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863360b7313d4a6/Documentos/GitHub/UC3M_Projects/FinancialManagement/"/>
    </mc:Choice>
  </mc:AlternateContent>
  <xr:revisionPtr revIDLastSave="2226" documentId="13_ncr:1_{9CE7DB7C-C080-4BB2-8A92-1D4A7BD45BE5}" xr6:coauthVersionLast="47" xr6:coauthVersionMax="47" xr10:uidLastSave="{94271EAA-A14F-4A49-A54B-C18E9C76C3B1}"/>
  <bookViews>
    <workbookView xWindow="-108" yWindow="-108" windowWidth="23256" windowHeight="12456" firstSheet="2" activeTab="2" xr2:uid="{00000000-000D-0000-FFFF-FFFF00000000}"/>
  </bookViews>
  <sheets>
    <sheet name="Search strategy" sheetId="1" r:id="rId1"/>
    <sheet name="Results" sheetId="2" r:id="rId2"/>
    <sheet name="JOHNSON &amp; JOHNSON" sheetId="3" r:id="rId3"/>
    <sheet name="ROCHE HOLDING AG" sheetId="4" r:id="rId4"/>
    <sheet name="PFIZER INC" sheetId="5" r:id="rId5"/>
    <sheet name="NOVARTIS AG" sheetId="6" r:id="rId6"/>
    <sheet name="ELI LILLY AND COMPANY" sheetId="7" r:id="rId7"/>
    <sheet name="Cálculos" sheetId="8" r:id="rId8"/>
    <sheet name="Gráficos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8" i="3" l="1"/>
  <c r="R18" i="3"/>
  <c r="T20" i="3"/>
  <c r="T22" i="3" s="1"/>
  <c r="T13" i="3"/>
  <c r="T14" i="3"/>
  <c r="T15" i="3"/>
  <c r="T16" i="3"/>
  <c r="T17" i="3"/>
  <c r="S17" i="3"/>
  <c r="T12" i="3"/>
  <c r="G48" i="8"/>
  <c r="G25" i="8"/>
  <c r="G44" i="8"/>
  <c r="G42" i="8"/>
  <c r="AD3" i="8"/>
  <c r="AD4" i="8"/>
  <c r="AD5" i="8"/>
  <c r="AD6" i="8"/>
  <c r="AD7" i="8"/>
  <c r="AD8" i="8"/>
  <c r="AD9" i="8"/>
  <c r="AD10" i="8"/>
  <c r="AD11" i="8"/>
  <c r="AD12" i="8"/>
  <c r="AD13" i="8"/>
  <c r="AD14" i="8"/>
  <c r="AD15" i="8"/>
  <c r="AD16" i="8"/>
  <c r="AD17" i="8"/>
  <c r="AD18" i="8"/>
  <c r="AD19" i="8"/>
  <c r="AD20" i="8"/>
  <c r="AD21" i="8"/>
  <c r="AD22" i="8"/>
  <c r="AD23" i="8"/>
  <c r="AD24" i="8"/>
  <c r="AD25" i="8"/>
  <c r="AD26" i="8"/>
  <c r="AD27" i="8"/>
  <c r="AD28" i="8"/>
  <c r="AD29" i="8"/>
  <c r="AD30" i="8"/>
  <c r="AD31" i="8"/>
  <c r="AD32" i="8"/>
  <c r="AD33" i="8"/>
  <c r="AD34" i="8"/>
  <c r="AD35" i="8"/>
  <c r="AD36" i="8"/>
  <c r="AD37" i="8"/>
  <c r="AD38" i="8"/>
  <c r="AD39" i="8"/>
  <c r="AD40" i="8"/>
  <c r="AD41" i="8"/>
  <c r="AD42" i="8"/>
  <c r="AD43" i="8"/>
  <c r="AD44" i="8"/>
  <c r="AD45" i="8"/>
  <c r="AD46" i="8"/>
  <c r="AD47" i="8"/>
  <c r="AD48" i="8"/>
  <c r="AD49" i="8"/>
  <c r="AD50" i="8"/>
  <c r="AD51" i="8"/>
  <c r="AD52" i="8"/>
  <c r="AD53" i="8"/>
  <c r="AD54" i="8"/>
  <c r="AD55" i="8"/>
  <c r="AD56" i="8"/>
  <c r="AD57" i="8"/>
  <c r="AD58" i="8"/>
  <c r="AD59" i="8"/>
  <c r="AD60" i="8"/>
  <c r="AD61" i="8"/>
  <c r="AD62" i="8"/>
  <c r="AD63" i="8"/>
  <c r="AD64" i="8"/>
  <c r="AD65" i="8"/>
  <c r="AD66" i="8"/>
  <c r="AD67" i="8"/>
  <c r="AD68" i="8"/>
  <c r="AD69" i="8"/>
  <c r="AD70" i="8"/>
  <c r="AD71" i="8"/>
  <c r="AD72" i="8"/>
  <c r="AD73" i="8"/>
  <c r="AD74" i="8"/>
  <c r="AD75" i="8"/>
  <c r="AD76" i="8"/>
  <c r="AD77" i="8"/>
  <c r="AD78" i="8"/>
  <c r="AD79" i="8"/>
  <c r="AD80" i="8"/>
  <c r="AD81" i="8"/>
  <c r="AD82" i="8"/>
  <c r="AD83" i="8"/>
  <c r="AD84" i="8"/>
  <c r="AD85" i="8"/>
  <c r="AD86" i="8"/>
  <c r="AD87" i="8"/>
  <c r="AD88" i="8"/>
  <c r="AD89" i="8"/>
  <c r="AD90" i="8"/>
  <c r="AD91" i="8"/>
  <c r="AD92" i="8"/>
  <c r="AD93" i="8"/>
  <c r="AD94" i="8"/>
  <c r="AD95" i="8"/>
  <c r="AD96" i="8"/>
  <c r="AD97" i="8"/>
  <c r="AD98" i="8"/>
  <c r="AD99" i="8"/>
  <c r="AD100" i="8"/>
  <c r="AD101" i="8"/>
  <c r="AD102" i="8"/>
  <c r="AD103" i="8"/>
  <c r="AD104" i="8"/>
  <c r="AD105" i="8"/>
  <c r="AD106" i="8"/>
  <c r="AD107" i="8"/>
  <c r="AD108" i="8"/>
  <c r="AD109" i="8"/>
  <c r="AD110" i="8"/>
  <c r="AD111" i="8"/>
  <c r="AD112" i="8"/>
  <c r="AD113" i="8"/>
  <c r="AD114" i="8"/>
  <c r="AD115" i="8"/>
  <c r="AD116" i="8"/>
  <c r="AD117" i="8"/>
  <c r="AD118" i="8"/>
  <c r="AD119" i="8"/>
  <c r="AD120" i="8"/>
  <c r="AD121" i="8"/>
  <c r="AD122" i="8"/>
  <c r="AD123" i="8"/>
  <c r="AD124" i="8"/>
  <c r="AD125" i="8"/>
  <c r="AD126" i="8"/>
  <c r="AD127" i="8"/>
  <c r="AD128" i="8"/>
  <c r="AD129" i="8"/>
  <c r="AD130" i="8"/>
  <c r="AD131" i="8"/>
  <c r="AD132" i="8"/>
  <c r="AD133" i="8"/>
  <c r="AD134" i="8"/>
  <c r="AD135" i="8"/>
  <c r="AD136" i="8"/>
  <c r="AD137" i="8"/>
  <c r="AD138" i="8"/>
  <c r="AD139" i="8"/>
  <c r="AD140" i="8"/>
  <c r="AD141" i="8"/>
  <c r="AD142" i="8"/>
  <c r="AD143" i="8"/>
  <c r="AD144" i="8"/>
  <c r="AD145" i="8"/>
  <c r="AD146" i="8"/>
  <c r="AD147" i="8"/>
  <c r="AD148" i="8"/>
  <c r="AD149" i="8"/>
  <c r="AD150" i="8"/>
  <c r="AD151" i="8"/>
  <c r="AD152" i="8"/>
  <c r="AD153" i="8"/>
  <c r="AD154" i="8"/>
  <c r="AD155" i="8"/>
  <c r="AD156" i="8"/>
  <c r="AD157" i="8"/>
  <c r="AD158" i="8"/>
  <c r="AD159" i="8"/>
  <c r="AD160" i="8"/>
  <c r="AD161" i="8"/>
  <c r="AD162" i="8"/>
  <c r="AD163" i="8"/>
  <c r="AD164" i="8"/>
  <c r="AD165" i="8"/>
  <c r="AD166" i="8"/>
  <c r="AD167" i="8"/>
  <c r="AD168" i="8"/>
  <c r="AD169" i="8"/>
  <c r="AD170" i="8"/>
  <c r="AD171" i="8"/>
  <c r="AD172" i="8"/>
  <c r="AD173" i="8"/>
  <c r="AD174" i="8"/>
  <c r="AD175" i="8"/>
  <c r="AD176" i="8"/>
  <c r="AD177" i="8"/>
  <c r="AD178" i="8"/>
  <c r="AD179" i="8"/>
  <c r="AD180" i="8"/>
  <c r="AD181" i="8"/>
  <c r="AD182" i="8"/>
  <c r="AD183" i="8"/>
  <c r="AD184" i="8"/>
  <c r="AD185" i="8"/>
  <c r="AD186" i="8"/>
  <c r="AD187" i="8"/>
  <c r="AD188" i="8"/>
  <c r="AD189" i="8"/>
  <c r="AD190" i="8"/>
  <c r="AD191" i="8"/>
  <c r="AD192" i="8"/>
  <c r="AD193" i="8"/>
  <c r="AD194" i="8"/>
  <c r="AD195" i="8"/>
  <c r="AD196" i="8"/>
  <c r="AD197" i="8"/>
  <c r="AD198" i="8"/>
  <c r="AD199" i="8"/>
  <c r="AD200" i="8"/>
  <c r="AD201" i="8"/>
  <c r="AD202" i="8"/>
  <c r="AD203" i="8"/>
  <c r="AD204" i="8"/>
  <c r="AD205" i="8"/>
  <c r="AD206" i="8"/>
  <c r="AD207" i="8"/>
  <c r="AD208" i="8"/>
  <c r="AD209" i="8"/>
  <c r="AD210" i="8"/>
  <c r="AD211" i="8"/>
  <c r="AD212" i="8"/>
  <c r="AD213" i="8"/>
  <c r="AD214" i="8"/>
  <c r="AD215" i="8"/>
  <c r="AD216" i="8"/>
  <c r="AD217" i="8"/>
  <c r="AD218" i="8"/>
  <c r="AD219" i="8"/>
  <c r="AD220" i="8"/>
  <c r="AD221" i="8"/>
  <c r="AD222" i="8"/>
  <c r="AD223" i="8"/>
  <c r="AD224" i="8"/>
  <c r="AD225" i="8"/>
  <c r="AD226" i="8"/>
  <c r="AD227" i="8"/>
  <c r="AD228" i="8"/>
  <c r="AD229" i="8"/>
  <c r="AD230" i="8"/>
  <c r="AD231" i="8"/>
  <c r="AD232" i="8"/>
  <c r="AD233" i="8"/>
  <c r="AD234" i="8"/>
  <c r="AD235" i="8"/>
  <c r="AD236" i="8"/>
  <c r="AD237" i="8"/>
  <c r="AD238" i="8"/>
  <c r="AD239" i="8"/>
  <c r="AD240" i="8"/>
  <c r="AD241" i="8"/>
  <c r="AD242" i="8"/>
  <c r="AD243" i="8"/>
  <c r="AD244" i="8"/>
  <c r="AD245" i="8"/>
  <c r="AD246" i="8"/>
  <c r="AD247" i="8"/>
  <c r="AD248" i="8"/>
  <c r="AD249" i="8"/>
  <c r="AD250" i="8"/>
  <c r="AD251" i="8"/>
  <c r="AD252" i="8"/>
  <c r="AD253" i="8"/>
  <c r="AD254" i="8"/>
  <c r="AD255" i="8"/>
  <c r="AD256" i="8"/>
  <c r="AD257" i="8"/>
  <c r="AD258" i="8"/>
  <c r="AD259" i="8"/>
  <c r="AD260" i="8"/>
  <c r="AD261" i="8"/>
  <c r="AD262" i="8"/>
  <c r="AD263" i="8"/>
  <c r="AD264" i="8"/>
  <c r="AD265" i="8"/>
  <c r="AD266" i="8"/>
  <c r="AD267" i="8"/>
  <c r="AD268" i="8"/>
  <c r="AD269" i="8"/>
  <c r="AD270" i="8"/>
  <c r="AD271" i="8"/>
  <c r="AD272" i="8"/>
  <c r="AD273" i="8"/>
  <c r="AD274" i="8"/>
  <c r="AD275" i="8"/>
  <c r="AD276" i="8"/>
  <c r="AD277" i="8"/>
  <c r="AD278" i="8"/>
  <c r="AD279" i="8"/>
  <c r="AD280" i="8"/>
  <c r="AD281" i="8"/>
  <c r="AD282" i="8"/>
  <c r="AD283" i="8"/>
  <c r="AD284" i="8"/>
  <c r="AD285" i="8"/>
  <c r="AD286" i="8"/>
  <c r="AD287" i="8"/>
  <c r="AD288" i="8"/>
  <c r="AD289" i="8"/>
  <c r="AD290" i="8"/>
  <c r="AD291" i="8"/>
  <c r="AD292" i="8"/>
  <c r="AD293" i="8"/>
  <c r="AD294" i="8"/>
  <c r="AD295" i="8"/>
  <c r="AD296" i="8"/>
  <c r="AD297" i="8"/>
  <c r="AD298" i="8"/>
  <c r="AD299" i="8"/>
  <c r="AD300" i="8"/>
  <c r="AD301" i="8"/>
  <c r="AD302" i="8"/>
  <c r="AD303" i="8"/>
  <c r="AD304" i="8"/>
  <c r="AD305" i="8"/>
  <c r="AD306" i="8"/>
  <c r="AD307" i="8"/>
  <c r="AD308" i="8"/>
  <c r="AD309" i="8"/>
  <c r="AD310" i="8"/>
  <c r="AD311" i="8"/>
  <c r="AD312" i="8"/>
  <c r="AD313" i="8"/>
  <c r="AD314" i="8"/>
  <c r="AD315" i="8"/>
  <c r="AD316" i="8"/>
  <c r="AD317" i="8"/>
  <c r="AD318" i="8"/>
  <c r="AD319" i="8"/>
  <c r="AD320" i="8"/>
  <c r="AD321" i="8"/>
  <c r="AD322" i="8"/>
  <c r="AD323" i="8"/>
  <c r="AD324" i="8"/>
  <c r="AD325" i="8"/>
  <c r="AD326" i="8"/>
  <c r="AD327" i="8"/>
  <c r="AD328" i="8"/>
  <c r="AD329" i="8"/>
  <c r="AD330" i="8"/>
  <c r="AD331" i="8"/>
  <c r="AD332" i="8"/>
  <c r="AD333" i="8"/>
  <c r="AD334" i="8"/>
  <c r="AD335" i="8"/>
  <c r="AD336" i="8"/>
  <c r="AD337" i="8"/>
  <c r="AD338" i="8"/>
  <c r="AD339" i="8"/>
  <c r="AD340" i="8"/>
  <c r="AD341" i="8"/>
  <c r="AD342" i="8"/>
  <c r="AD343" i="8"/>
  <c r="AD344" i="8"/>
  <c r="AD345" i="8"/>
  <c r="AD346" i="8"/>
  <c r="AD347" i="8"/>
  <c r="AD348" i="8"/>
  <c r="AD349" i="8"/>
  <c r="AD350" i="8"/>
  <c r="AD351" i="8"/>
  <c r="AD352" i="8"/>
  <c r="AD353" i="8"/>
  <c r="AD354" i="8"/>
  <c r="AD355" i="8"/>
  <c r="AD356" i="8"/>
  <c r="AD357" i="8"/>
  <c r="AD358" i="8"/>
  <c r="AD359" i="8"/>
  <c r="AD360" i="8"/>
  <c r="AD361" i="8"/>
  <c r="AD362" i="8"/>
  <c r="AD363" i="8"/>
  <c r="AD364" i="8"/>
  <c r="AD365" i="8"/>
  <c r="AD366" i="8"/>
  <c r="AC3" i="8"/>
  <c r="AC4" i="8"/>
  <c r="AC5" i="8"/>
  <c r="AC6" i="8"/>
  <c r="AC7" i="8"/>
  <c r="AC8" i="8"/>
  <c r="AC9" i="8"/>
  <c r="AC10" i="8"/>
  <c r="AC11" i="8"/>
  <c r="AC12" i="8"/>
  <c r="AC13" i="8"/>
  <c r="AC14" i="8"/>
  <c r="AC15" i="8"/>
  <c r="AC16" i="8"/>
  <c r="AC17" i="8"/>
  <c r="AC18" i="8"/>
  <c r="AC19" i="8"/>
  <c r="AC20" i="8"/>
  <c r="AC21" i="8"/>
  <c r="AC22" i="8"/>
  <c r="AC23" i="8"/>
  <c r="AC24" i="8"/>
  <c r="AC25" i="8"/>
  <c r="AC26" i="8"/>
  <c r="AC27" i="8"/>
  <c r="AC28" i="8"/>
  <c r="AC29" i="8"/>
  <c r="AC30" i="8"/>
  <c r="AC31" i="8"/>
  <c r="AC32" i="8"/>
  <c r="AC33" i="8"/>
  <c r="AC34" i="8"/>
  <c r="AC35" i="8"/>
  <c r="AC36" i="8"/>
  <c r="AC37" i="8"/>
  <c r="AC38" i="8"/>
  <c r="AC39" i="8"/>
  <c r="AC40" i="8"/>
  <c r="AC41" i="8"/>
  <c r="AC42" i="8"/>
  <c r="AC43" i="8"/>
  <c r="AC44" i="8"/>
  <c r="AC45" i="8"/>
  <c r="AC46" i="8"/>
  <c r="AC47" i="8"/>
  <c r="AC48" i="8"/>
  <c r="AC49" i="8"/>
  <c r="AC50" i="8"/>
  <c r="AC51" i="8"/>
  <c r="AC52" i="8"/>
  <c r="AC53" i="8"/>
  <c r="AC54" i="8"/>
  <c r="AC55" i="8"/>
  <c r="AC56" i="8"/>
  <c r="AC57" i="8"/>
  <c r="AC58" i="8"/>
  <c r="AC59" i="8"/>
  <c r="AC60" i="8"/>
  <c r="AC61" i="8"/>
  <c r="AC62" i="8"/>
  <c r="AC63" i="8"/>
  <c r="AC64" i="8"/>
  <c r="AC65" i="8"/>
  <c r="AC66" i="8"/>
  <c r="AC67" i="8"/>
  <c r="AC68" i="8"/>
  <c r="AC69" i="8"/>
  <c r="AC70" i="8"/>
  <c r="AC71" i="8"/>
  <c r="AC72" i="8"/>
  <c r="AC73" i="8"/>
  <c r="AC74" i="8"/>
  <c r="AC75" i="8"/>
  <c r="AC76" i="8"/>
  <c r="AC77" i="8"/>
  <c r="AC78" i="8"/>
  <c r="AC79" i="8"/>
  <c r="AC80" i="8"/>
  <c r="AC81" i="8"/>
  <c r="AC82" i="8"/>
  <c r="AC83" i="8"/>
  <c r="AC84" i="8"/>
  <c r="AC85" i="8"/>
  <c r="AC86" i="8"/>
  <c r="AC87" i="8"/>
  <c r="AC88" i="8"/>
  <c r="AC89" i="8"/>
  <c r="AC90" i="8"/>
  <c r="AC91" i="8"/>
  <c r="AC92" i="8"/>
  <c r="AC93" i="8"/>
  <c r="AC94" i="8"/>
  <c r="AC95" i="8"/>
  <c r="AC96" i="8"/>
  <c r="AC97" i="8"/>
  <c r="AC98" i="8"/>
  <c r="AC99" i="8"/>
  <c r="AC100" i="8"/>
  <c r="AC101" i="8"/>
  <c r="AC102" i="8"/>
  <c r="AC103" i="8"/>
  <c r="AC104" i="8"/>
  <c r="AC105" i="8"/>
  <c r="AC106" i="8"/>
  <c r="AC107" i="8"/>
  <c r="AC108" i="8"/>
  <c r="AC109" i="8"/>
  <c r="AC110" i="8"/>
  <c r="AC111" i="8"/>
  <c r="AC112" i="8"/>
  <c r="AC113" i="8"/>
  <c r="AC114" i="8"/>
  <c r="AC115" i="8"/>
  <c r="AC116" i="8"/>
  <c r="AC117" i="8"/>
  <c r="AC118" i="8"/>
  <c r="AC119" i="8"/>
  <c r="AC120" i="8"/>
  <c r="AC121" i="8"/>
  <c r="AC122" i="8"/>
  <c r="AC123" i="8"/>
  <c r="AC124" i="8"/>
  <c r="AC125" i="8"/>
  <c r="AC126" i="8"/>
  <c r="AC127" i="8"/>
  <c r="AC128" i="8"/>
  <c r="AC129" i="8"/>
  <c r="AC130" i="8"/>
  <c r="AC131" i="8"/>
  <c r="AC132" i="8"/>
  <c r="AC133" i="8"/>
  <c r="AC134" i="8"/>
  <c r="AC135" i="8"/>
  <c r="AC136" i="8"/>
  <c r="AC137" i="8"/>
  <c r="AC138" i="8"/>
  <c r="AC139" i="8"/>
  <c r="AC140" i="8"/>
  <c r="AC141" i="8"/>
  <c r="AC142" i="8"/>
  <c r="AC143" i="8"/>
  <c r="AC144" i="8"/>
  <c r="AC145" i="8"/>
  <c r="AC146" i="8"/>
  <c r="AC147" i="8"/>
  <c r="AC148" i="8"/>
  <c r="AC149" i="8"/>
  <c r="AC150" i="8"/>
  <c r="AC151" i="8"/>
  <c r="AC152" i="8"/>
  <c r="AC153" i="8"/>
  <c r="AC154" i="8"/>
  <c r="AC155" i="8"/>
  <c r="AC156" i="8"/>
  <c r="AC157" i="8"/>
  <c r="AC158" i="8"/>
  <c r="AC159" i="8"/>
  <c r="AC160" i="8"/>
  <c r="AC161" i="8"/>
  <c r="AC162" i="8"/>
  <c r="AC163" i="8"/>
  <c r="AC164" i="8"/>
  <c r="AC165" i="8"/>
  <c r="AC166" i="8"/>
  <c r="AC167" i="8"/>
  <c r="AC168" i="8"/>
  <c r="AC169" i="8"/>
  <c r="AC170" i="8"/>
  <c r="AC171" i="8"/>
  <c r="AC172" i="8"/>
  <c r="AC173" i="8"/>
  <c r="AC174" i="8"/>
  <c r="AC175" i="8"/>
  <c r="AC176" i="8"/>
  <c r="AC177" i="8"/>
  <c r="AC178" i="8"/>
  <c r="AC179" i="8"/>
  <c r="AC180" i="8"/>
  <c r="AC181" i="8"/>
  <c r="AC182" i="8"/>
  <c r="AC183" i="8"/>
  <c r="AC184" i="8"/>
  <c r="AC185" i="8"/>
  <c r="AC186" i="8"/>
  <c r="AC187" i="8"/>
  <c r="AC188" i="8"/>
  <c r="AC189" i="8"/>
  <c r="AC190" i="8"/>
  <c r="AC191" i="8"/>
  <c r="AC192" i="8"/>
  <c r="AC193" i="8"/>
  <c r="AC194" i="8"/>
  <c r="AC195" i="8"/>
  <c r="AC196" i="8"/>
  <c r="AC197" i="8"/>
  <c r="AC198" i="8"/>
  <c r="AC199" i="8"/>
  <c r="AC200" i="8"/>
  <c r="AC201" i="8"/>
  <c r="AC202" i="8"/>
  <c r="AC203" i="8"/>
  <c r="AC204" i="8"/>
  <c r="AC205" i="8"/>
  <c r="AC206" i="8"/>
  <c r="AC207" i="8"/>
  <c r="AC208" i="8"/>
  <c r="AC209" i="8"/>
  <c r="AC210" i="8"/>
  <c r="AC211" i="8"/>
  <c r="AC212" i="8"/>
  <c r="AC213" i="8"/>
  <c r="AC214" i="8"/>
  <c r="AC215" i="8"/>
  <c r="AC216" i="8"/>
  <c r="AC217" i="8"/>
  <c r="AC218" i="8"/>
  <c r="AC219" i="8"/>
  <c r="AC220" i="8"/>
  <c r="AC221" i="8"/>
  <c r="AC222" i="8"/>
  <c r="AC223" i="8"/>
  <c r="AC224" i="8"/>
  <c r="AC225" i="8"/>
  <c r="AC226" i="8"/>
  <c r="AC227" i="8"/>
  <c r="AC228" i="8"/>
  <c r="AC229" i="8"/>
  <c r="AC230" i="8"/>
  <c r="AC231" i="8"/>
  <c r="AC232" i="8"/>
  <c r="AC233" i="8"/>
  <c r="AC234" i="8"/>
  <c r="AC235" i="8"/>
  <c r="AC236" i="8"/>
  <c r="AC237" i="8"/>
  <c r="AC238" i="8"/>
  <c r="AC239" i="8"/>
  <c r="AC240" i="8"/>
  <c r="AC241" i="8"/>
  <c r="AC242" i="8"/>
  <c r="AC243" i="8"/>
  <c r="AC244" i="8"/>
  <c r="AC245" i="8"/>
  <c r="AC246" i="8"/>
  <c r="AC247" i="8"/>
  <c r="AC248" i="8"/>
  <c r="AC249" i="8"/>
  <c r="AC250" i="8"/>
  <c r="AC251" i="8"/>
  <c r="AC252" i="8"/>
  <c r="AC253" i="8"/>
  <c r="AC254" i="8"/>
  <c r="AC255" i="8"/>
  <c r="AC256" i="8"/>
  <c r="AC257" i="8"/>
  <c r="AC258" i="8"/>
  <c r="AC259" i="8"/>
  <c r="AC260" i="8"/>
  <c r="AC261" i="8"/>
  <c r="AC262" i="8"/>
  <c r="AC263" i="8"/>
  <c r="AC264" i="8"/>
  <c r="AC265" i="8"/>
  <c r="AC266" i="8"/>
  <c r="AC267" i="8"/>
  <c r="AC268" i="8"/>
  <c r="AC269" i="8"/>
  <c r="AC270" i="8"/>
  <c r="AC271" i="8"/>
  <c r="AC272" i="8"/>
  <c r="AC273" i="8"/>
  <c r="AC274" i="8"/>
  <c r="AC275" i="8"/>
  <c r="AC276" i="8"/>
  <c r="AC277" i="8"/>
  <c r="AC278" i="8"/>
  <c r="AC279" i="8"/>
  <c r="AC280" i="8"/>
  <c r="AC281" i="8"/>
  <c r="AC282" i="8"/>
  <c r="AC283" i="8"/>
  <c r="AC284" i="8"/>
  <c r="AC285" i="8"/>
  <c r="AC286" i="8"/>
  <c r="AC287" i="8"/>
  <c r="AC288" i="8"/>
  <c r="AC289" i="8"/>
  <c r="AC290" i="8"/>
  <c r="AC291" i="8"/>
  <c r="AC292" i="8"/>
  <c r="AC293" i="8"/>
  <c r="AC294" i="8"/>
  <c r="AC295" i="8"/>
  <c r="AC296" i="8"/>
  <c r="AC297" i="8"/>
  <c r="AC298" i="8"/>
  <c r="AC299" i="8"/>
  <c r="AC300" i="8"/>
  <c r="AC301" i="8"/>
  <c r="AC302" i="8"/>
  <c r="AC303" i="8"/>
  <c r="AC304" i="8"/>
  <c r="AC305" i="8"/>
  <c r="AC306" i="8"/>
  <c r="AC307" i="8"/>
  <c r="AC308" i="8"/>
  <c r="AC309" i="8"/>
  <c r="AC310" i="8"/>
  <c r="AC311" i="8"/>
  <c r="AC312" i="8"/>
  <c r="AC313" i="8"/>
  <c r="AC314" i="8"/>
  <c r="AC315" i="8"/>
  <c r="AC316" i="8"/>
  <c r="AC317" i="8"/>
  <c r="AC318" i="8"/>
  <c r="AC319" i="8"/>
  <c r="AC320" i="8"/>
  <c r="AC321" i="8"/>
  <c r="AC322" i="8"/>
  <c r="AC323" i="8"/>
  <c r="AC324" i="8"/>
  <c r="AC325" i="8"/>
  <c r="AC326" i="8"/>
  <c r="AC327" i="8"/>
  <c r="AC328" i="8"/>
  <c r="AC329" i="8"/>
  <c r="AC330" i="8"/>
  <c r="AC331" i="8"/>
  <c r="AC332" i="8"/>
  <c r="AC333" i="8"/>
  <c r="AC334" i="8"/>
  <c r="AC335" i="8"/>
  <c r="AC336" i="8"/>
  <c r="AC337" i="8"/>
  <c r="AC338" i="8"/>
  <c r="AC339" i="8"/>
  <c r="AC340" i="8"/>
  <c r="AC341" i="8"/>
  <c r="AC342" i="8"/>
  <c r="AC343" i="8"/>
  <c r="AC344" i="8"/>
  <c r="AC345" i="8"/>
  <c r="AC346" i="8"/>
  <c r="AC347" i="8"/>
  <c r="AC348" i="8"/>
  <c r="AC349" i="8"/>
  <c r="AC350" i="8"/>
  <c r="AC351" i="8"/>
  <c r="AC352" i="8"/>
  <c r="AC353" i="8"/>
  <c r="AC354" i="8"/>
  <c r="AC355" i="8"/>
  <c r="AC356" i="8"/>
  <c r="AC357" i="8"/>
  <c r="AC358" i="8"/>
  <c r="AC359" i="8"/>
  <c r="AC360" i="8"/>
  <c r="AC361" i="8"/>
  <c r="AC362" i="8"/>
  <c r="AC363" i="8"/>
  <c r="AC364" i="8"/>
  <c r="AC365" i="8"/>
  <c r="AC366" i="8"/>
  <c r="AC2" i="8"/>
  <c r="AD2" i="8"/>
  <c r="AB3" i="8"/>
  <c r="AB4" i="8"/>
  <c r="AB5" i="8"/>
  <c r="AB6" i="8"/>
  <c r="AB7" i="8"/>
  <c r="AB8" i="8"/>
  <c r="AB9" i="8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B26" i="8"/>
  <c r="AB27" i="8"/>
  <c r="AB28" i="8"/>
  <c r="AB29" i="8"/>
  <c r="AB30" i="8"/>
  <c r="AB31" i="8"/>
  <c r="AB32" i="8"/>
  <c r="AB33" i="8"/>
  <c r="AB34" i="8"/>
  <c r="AB35" i="8"/>
  <c r="AB36" i="8"/>
  <c r="AB37" i="8"/>
  <c r="AB38" i="8"/>
  <c r="AB39" i="8"/>
  <c r="AB40" i="8"/>
  <c r="AB41" i="8"/>
  <c r="AB42" i="8"/>
  <c r="AB43" i="8"/>
  <c r="AB44" i="8"/>
  <c r="AB45" i="8"/>
  <c r="AB46" i="8"/>
  <c r="AB47" i="8"/>
  <c r="AB48" i="8"/>
  <c r="AB49" i="8"/>
  <c r="AB50" i="8"/>
  <c r="AB51" i="8"/>
  <c r="AB52" i="8"/>
  <c r="AB53" i="8"/>
  <c r="AB54" i="8"/>
  <c r="AB55" i="8"/>
  <c r="AB56" i="8"/>
  <c r="AB57" i="8"/>
  <c r="AB58" i="8"/>
  <c r="AB59" i="8"/>
  <c r="AB60" i="8"/>
  <c r="AB61" i="8"/>
  <c r="AB62" i="8"/>
  <c r="AB63" i="8"/>
  <c r="AB64" i="8"/>
  <c r="AB65" i="8"/>
  <c r="AB66" i="8"/>
  <c r="AB67" i="8"/>
  <c r="AB68" i="8"/>
  <c r="AB69" i="8"/>
  <c r="AB70" i="8"/>
  <c r="AB71" i="8"/>
  <c r="AB72" i="8"/>
  <c r="AB73" i="8"/>
  <c r="AB74" i="8"/>
  <c r="AB75" i="8"/>
  <c r="AB76" i="8"/>
  <c r="AB77" i="8"/>
  <c r="AB78" i="8"/>
  <c r="AB79" i="8"/>
  <c r="AB80" i="8"/>
  <c r="AB81" i="8"/>
  <c r="AB82" i="8"/>
  <c r="AB83" i="8"/>
  <c r="AB84" i="8"/>
  <c r="AB85" i="8"/>
  <c r="AB86" i="8"/>
  <c r="AB87" i="8"/>
  <c r="AB88" i="8"/>
  <c r="AB89" i="8"/>
  <c r="AB90" i="8"/>
  <c r="AB91" i="8"/>
  <c r="AB92" i="8"/>
  <c r="AB93" i="8"/>
  <c r="AB94" i="8"/>
  <c r="AB95" i="8"/>
  <c r="AB96" i="8"/>
  <c r="AB97" i="8"/>
  <c r="AB98" i="8"/>
  <c r="AB99" i="8"/>
  <c r="AB100" i="8"/>
  <c r="AB101" i="8"/>
  <c r="AB102" i="8"/>
  <c r="AB103" i="8"/>
  <c r="AB104" i="8"/>
  <c r="AB105" i="8"/>
  <c r="AB106" i="8"/>
  <c r="AB107" i="8"/>
  <c r="AB108" i="8"/>
  <c r="AB109" i="8"/>
  <c r="AB110" i="8"/>
  <c r="AB111" i="8"/>
  <c r="AB112" i="8"/>
  <c r="AB113" i="8"/>
  <c r="AB114" i="8"/>
  <c r="AB115" i="8"/>
  <c r="AB116" i="8"/>
  <c r="AB117" i="8"/>
  <c r="AB118" i="8"/>
  <c r="AB119" i="8"/>
  <c r="AB120" i="8"/>
  <c r="AB121" i="8"/>
  <c r="AB122" i="8"/>
  <c r="AB123" i="8"/>
  <c r="AB124" i="8"/>
  <c r="AB125" i="8"/>
  <c r="AB126" i="8"/>
  <c r="AB127" i="8"/>
  <c r="AB128" i="8"/>
  <c r="AB129" i="8"/>
  <c r="AB130" i="8"/>
  <c r="AB131" i="8"/>
  <c r="AB132" i="8"/>
  <c r="AB133" i="8"/>
  <c r="AB134" i="8"/>
  <c r="AB135" i="8"/>
  <c r="AB136" i="8"/>
  <c r="AB137" i="8"/>
  <c r="AB138" i="8"/>
  <c r="AB139" i="8"/>
  <c r="AB140" i="8"/>
  <c r="AB141" i="8"/>
  <c r="AB142" i="8"/>
  <c r="AB143" i="8"/>
  <c r="AB144" i="8"/>
  <c r="AB145" i="8"/>
  <c r="AB146" i="8"/>
  <c r="AB147" i="8"/>
  <c r="AB148" i="8"/>
  <c r="AB149" i="8"/>
  <c r="AB150" i="8"/>
  <c r="AB151" i="8"/>
  <c r="AB152" i="8"/>
  <c r="AB153" i="8"/>
  <c r="AB154" i="8"/>
  <c r="AB155" i="8"/>
  <c r="AB156" i="8"/>
  <c r="AB157" i="8"/>
  <c r="AB158" i="8"/>
  <c r="AB159" i="8"/>
  <c r="AB160" i="8"/>
  <c r="AB161" i="8"/>
  <c r="AB162" i="8"/>
  <c r="AB163" i="8"/>
  <c r="AB164" i="8"/>
  <c r="AB165" i="8"/>
  <c r="AB166" i="8"/>
  <c r="AB167" i="8"/>
  <c r="AB168" i="8"/>
  <c r="AB169" i="8"/>
  <c r="AB170" i="8"/>
  <c r="AB171" i="8"/>
  <c r="AB172" i="8"/>
  <c r="AB173" i="8"/>
  <c r="AB174" i="8"/>
  <c r="AB175" i="8"/>
  <c r="AB176" i="8"/>
  <c r="AB177" i="8"/>
  <c r="AB178" i="8"/>
  <c r="AB179" i="8"/>
  <c r="AB180" i="8"/>
  <c r="AB181" i="8"/>
  <c r="AB182" i="8"/>
  <c r="AB183" i="8"/>
  <c r="AB184" i="8"/>
  <c r="AB185" i="8"/>
  <c r="AB186" i="8"/>
  <c r="AB187" i="8"/>
  <c r="AB188" i="8"/>
  <c r="AB189" i="8"/>
  <c r="AB190" i="8"/>
  <c r="AB191" i="8"/>
  <c r="AB192" i="8"/>
  <c r="AB193" i="8"/>
  <c r="AB194" i="8"/>
  <c r="AB195" i="8"/>
  <c r="AB196" i="8"/>
  <c r="AB197" i="8"/>
  <c r="AB198" i="8"/>
  <c r="AB199" i="8"/>
  <c r="AB200" i="8"/>
  <c r="AB201" i="8"/>
  <c r="AB202" i="8"/>
  <c r="AB203" i="8"/>
  <c r="AB204" i="8"/>
  <c r="AB205" i="8"/>
  <c r="AB206" i="8"/>
  <c r="AB207" i="8"/>
  <c r="AB208" i="8"/>
  <c r="AB209" i="8"/>
  <c r="AB210" i="8"/>
  <c r="AB211" i="8"/>
  <c r="AB212" i="8"/>
  <c r="AB213" i="8"/>
  <c r="AB214" i="8"/>
  <c r="AB215" i="8"/>
  <c r="AB216" i="8"/>
  <c r="AB217" i="8"/>
  <c r="AB218" i="8"/>
  <c r="AB219" i="8"/>
  <c r="AB220" i="8"/>
  <c r="AB221" i="8"/>
  <c r="AB222" i="8"/>
  <c r="AB223" i="8"/>
  <c r="AB224" i="8"/>
  <c r="AB225" i="8"/>
  <c r="AB226" i="8"/>
  <c r="AB227" i="8"/>
  <c r="AB228" i="8"/>
  <c r="AB229" i="8"/>
  <c r="AB230" i="8"/>
  <c r="AB231" i="8"/>
  <c r="AB232" i="8"/>
  <c r="AB233" i="8"/>
  <c r="AB234" i="8"/>
  <c r="AB235" i="8"/>
  <c r="AB236" i="8"/>
  <c r="AB237" i="8"/>
  <c r="AB238" i="8"/>
  <c r="AB239" i="8"/>
  <c r="AB240" i="8"/>
  <c r="AB241" i="8"/>
  <c r="AB242" i="8"/>
  <c r="AB243" i="8"/>
  <c r="AB244" i="8"/>
  <c r="AB245" i="8"/>
  <c r="AB246" i="8"/>
  <c r="AB247" i="8"/>
  <c r="AB248" i="8"/>
  <c r="AB249" i="8"/>
  <c r="AB250" i="8"/>
  <c r="AB251" i="8"/>
  <c r="AB252" i="8"/>
  <c r="AB253" i="8"/>
  <c r="AB254" i="8"/>
  <c r="AB255" i="8"/>
  <c r="AB256" i="8"/>
  <c r="AB257" i="8"/>
  <c r="AB258" i="8"/>
  <c r="AB259" i="8"/>
  <c r="AB260" i="8"/>
  <c r="AB261" i="8"/>
  <c r="AB262" i="8"/>
  <c r="AB263" i="8"/>
  <c r="AB264" i="8"/>
  <c r="AB265" i="8"/>
  <c r="AB266" i="8"/>
  <c r="AB267" i="8"/>
  <c r="AB268" i="8"/>
  <c r="AB269" i="8"/>
  <c r="AB270" i="8"/>
  <c r="AB271" i="8"/>
  <c r="AB272" i="8"/>
  <c r="AB273" i="8"/>
  <c r="AB274" i="8"/>
  <c r="AB275" i="8"/>
  <c r="AB276" i="8"/>
  <c r="AB277" i="8"/>
  <c r="AB278" i="8"/>
  <c r="AB279" i="8"/>
  <c r="AB280" i="8"/>
  <c r="AB281" i="8"/>
  <c r="AB282" i="8"/>
  <c r="AB283" i="8"/>
  <c r="AB284" i="8"/>
  <c r="AB285" i="8"/>
  <c r="AB286" i="8"/>
  <c r="AB287" i="8"/>
  <c r="AB288" i="8"/>
  <c r="AB289" i="8"/>
  <c r="AB290" i="8"/>
  <c r="AB291" i="8"/>
  <c r="AB292" i="8"/>
  <c r="AB293" i="8"/>
  <c r="AB294" i="8"/>
  <c r="AB295" i="8"/>
  <c r="AB296" i="8"/>
  <c r="AB297" i="8"/>
  <c r="AB298" i="8"/>
  <c r="AB299" i="8"/>
  <c r="AB300" i="8"/>
  <c r="AB301" i="8"/>
  <c r="AB302" i="8"/>
  <c r="AB303" i="8"/>
  <c r="AB304" i="8"/>
  <c r="AB305" i="8"/>
  <c r="AB306" i="8"/>
  <c r="AB307" i="8"/>
  <c r="AB308" i="8"/>
  <c r="AB309" i="8"/>
  <c r="AB310" i="8"/>
  <c r="AB311" i="8"/>
  <c r="AB312" i="8"/>
  <c r="AB313" i="8"/>
  <c r="AB314" i="8"/>
  <c r="AB315" i="8"/>
  <c r="AB316" i="8"/>
  <c r="AB317" i="8"/>
  <c r="AB318" i="8"/>
  <c r="AB319" i="8"/>
  <c r="AB320" i="8"/>
  <c r="AB321" i="8"/>
  <c r="AB322" i="8"/>
  <c r="AB323" i="8"/>
  <c r="AB324" i="8"/>
  <c r="AB325" i="8"/>
  <c r="AB326" i="8"/>
  <c r="AB327" i="8"/>
  <c r="AB328" i="8"/>
  <c r="AB329" i="8"/>
  <c r="AB330" i="8"/>
  <c r="AB331" i="8"/>
  <c r="AB332" i="8"/>
  <c r="AB333" i="8"/>
  <c r="AB334" i="8"/>
  <c r="AB335" i="8"/>
  <c r="AB336" i="8"/>
  <c r="AB337" i="8"/>
  <c r="AB338" i="8"/>
  <c r="AB339" i="8"/>
  <c r="AB340" i="8"/>
  <c r="AB341" i="8"/>
  <c r="AB342" i="8"/>
  <c r="AB343" i="8"/>
  <c r="AB344" i="8"/>
  <c r="AB345" i="8"/>
  <c r="AB346" i="8"/>
  <c r="AB347" i="8"/>
  <c r="AB348" i="8"/>
  <c r="AB349" i="8"/>
  <c r="AB350" i="8"/>
  <c r="AB351" i="8"/>
  <c r="AB352" i="8"/>
  <c r="AB353" i="8"/>
  <c r="AB354" i="8"/>
  <c r="AB355" i="8"/>
  <c r="AB356" i="8"/>
  <c r="AB357" i="8"/>
  <c r="AB358" i="8"/>
  <c r="AB359" i="8"/>
  <c r="AB360" i="8"/>
  <c r="AB361" i="8"/>
  <c r="AB362" i="8"/>
  <c r="AB363" i="8"/>
  <c r="AB364" i="8"/>
  <c r="AB365" i="8"/>
  <c r="AB366" i="8"/>
  <c r="AB2" i="8"/>
  <c r="G39" i="8"/>
  <c r="G37" i="8"/>
  <c r="V3" i="8"/>
  <c r="V4" i="8"/>
  <c r="V5" i="8"/>
  <c r="V6" i="8"/>
  <c r="V7" i="8"/>
  <c r="V8" i="8"/>
  <c r="V9" i="8"/>
  <c r="V10" i="8"/>
  <c r="V11" i="8"/>
  <c r="V12" i="8"/>
  <c r="V13" i="8"/>
  <c r="V14" i="8"/>
  <c r="V15" i="8"/>
  <c r="V16" i="8"/>
  <c r="V17" i="8"/>
  <c r="V18" i="8"/>
  <c r="V19" i="8"/>
  <c r="V20" i="8"/>
  <c r="V21" i="8"/>
  <c r="V22" i="8"/>
  <c r="V23" i="8"/>
  <c r="V24" i="8"/>
  <c r="V25" i="8"/>
  <c r="V26" i="8"/>
  <c r="V27" i="8"/>
  <c r="V28" i="8"/>
  <c r="V29" i="8"/>
  <c r="V30" i="8"/>
  <c r="V31" i="8"/>
  <c r="V32" i="8"/>
  <c r="V33" i="8"/>
  <c r="V34" i="8"/>
  <c r="V35" i="8"/>
  <c r="V36" i="8"/>
  <c r="V37" i="8"/>
  <c r="V38" i="8"/>
  <c r="V39" i="8"/>
  <c r="V40" i="8"/>
  <c r="V41" i="8"/>
  <c r="V42" i="8"/>
  <c r="V43" i="8"/>
  <c r="V44" i="8"/>
  <c r="V45" i="8"/>
  <c r="V46" i="8"/>
  <c r="V47" i="8"/>
  <c r="V48" i="8"/>
  <c r="V49" i="8"/>
  <c r="V50" i="8"/>
  <c r="V51" i="8"/>
  <c r="V52" i="8"/>
  <c r="V53" i="8"/>
  <c r="V54" i="8"/>
  <c r="V55" i="8"/>
  <c r="V56" i="8"/>
  <c r="V57" i="8"/>
  <c r="V58" i="8"/>
  <c r="V59" i="8"/>
  <c r="V60" i="8"/>
  <c r="V61" i="8"/>
  <c r="V62" i="8"/>
  <c r="V63" i="8"/>
  <c r="V64" i="8"/>
  <c r="V65" i="8"/>
  <c r="V66" i="8"/>
  <c r="V67" i="8"/>
  <c r="V68" i="8"/>
  <c r="V69" i="8"/>
  <c r="V70" i="8"/>
  <c r="V71" i="8"/>
  <c r="V72" i="8"/>
  <c r="V73" i="8"/>
  <c r="V74" i="8"/>
  <c r="V75" i="8"/>
  <c r="V76" i="8"/>
  <c r="V77" i="8"/>
  <c r="V78" i="8"/>
  <c r="V79" i="8"/>
  <c r="V80" i="8"/>
  <c r="V81" i="8"/>
  <c r="V82" i="8"/>
  <c r="V83" i="8"/>
  <c r="V84" i="8"/>
  <c r="V85" i="8"/>
  <c r="V86" i="8"/>
  <c r="V87" i="8"/>
  <c r="V88" i="8"/>
  <c r="V89" i="8"/>
  <c r="V90" i="8"/>
  <c r="V91" i="8"/>
  <c r="V92" i="8"/>
  <c r="V93" i="8"/>
  <c r="V94" i="8"/>
  <c r="V95" i="8"/>
  <c r="V96" i="8"/>
  <c r="V97" i="8"/>
  <c r="V98" i="8"/>
  <c r="V99" i="8"/>
  <c r="V100" i="8"/>
  <c r="V101" i="8"/>
  <c r="V102" i="8"/>
  <c r="V103" i="8"/>
  <c r="V104" i="8"/>
  <c r="V105" i="8"/>
  <c r="V106" i="8"/>
  <c r="V107" i="8"/>
  <c r="V108" i="8"/>
  <c r="V109" i="8"/>
  <c r="V110" i="8"/>
  <c r="V111" i="8"/>
  <c r="V112" i="8"/>
  <c r="V113" i="8"/>
  <c r="V114" i="8"/>
  <c r="V115" i="8"/>
  <c r="V116" i="8"/>
  <c r="V117" i="8"/>
  <c r="V118" i="8"/>
  <c r="V119" i="8"/>
  <c r="V120" i="8"/>
  <c r="V121" i="8"/>
  <c r="V122" i="8"/>
  <c r="V123" i="8"/>
  <c r="V124" i="8"/>
  <c r="V125" i="8"/>
  <c r="V126" i="8"/>
  <c r="V127" i="8"/>
  <c r="V128" i="8"/>
  <c r="V129" i="8"/>
  <c r="V130" i="8"/>
  <c r="V131" i="8"/>
  <c r="V132" i="8"/>
  <c r="V133" i="8"/>
  <c r="V134" i="8"/>
  <c r="V135" i="8"/>
  <c r="V136" i="8"/>
  <c r="V137" i="8"/>
  <c r="V138" i="8"/>
  <c r="V139" i="8"/>
  <c r="V140" i="8"/>
  <c r="V141" i="8"/>
  <c r="V142" i="8"/>
  <c r="V143" i="8"/>
  <c r="V144" i="8"/>
  <c r="V145" i="8"/>
  <c r="V146" i="8"/>
  <c r="V147" i="8"/>
  <c r="V148" i="8"/>
  <c r="V149" i="8"/>
  <c r="V150" i="8"/>
  <c r="V151" i="8"/>
  <c r="V152" i="8"/>
  <c r="V153" i="8"/>
  <c r="V154" i="8"/>
  <c r="V155" i="8"/>
  <c r="V156" i="8"/>
  <c r="V157" i="8"/>
  <c r="V158" i="8"/>
  <c r="V159" i="8"/>
  <c r="V160" i="8"/>
  <c r="V161" i="8"/>
  <c r="V162" i="8"/>
  <c r="V163" i="8"/>
  <c r="V164" i="8"/>
  <c r="V165" i="8"/>
  <c r="V166" i="8"/>
  <c r="V167" i="8"/>
  <c r="V168" i="8"/>
  <c r="V169" i="8"/>
  <c r="V170" i="8"/>
  <c r="V171" i="8"/>
  <c r="V172" i="8"/>
  <c r="V173" i="8"/>
  <c r="V174" i="8"/>
  <c r="V175" i="8"/>
  <c r="V176" i="8"/>
  <c r="V177" i="8"/>
  <c r="V178" i="8"/>
  <c r="V179" i="8"/>
  <c r="V180" i="8"/>
  <c r="V181" i="8"/>
  <c r="V182" i="8"/>
  <c r="V183" i="8"/>
  <c r="V184" i="8"/>
  <c r="V185" i="8"/>
  <c r="V186" i="8"/>
  <c r="V187" i="8"/>
  <c r="V188" i="8"/>
  <c r="V189" i="8"/>
  <c r="V190" i="8"/>
  <c r="V191" i="8"/>
  <c r="V192" i="8"/>
  <c r="V193" i="8"/>
  <c r="V194" i="8"/>
  <c r="V195" i="8"/>
  <c r="V196" i="8"/>
  <c r="V197" i="8"/>
  <c r="V198" i="8"/>
  <c r="V199" i="8"/>
  <c r="V200" i="8"/>
  <c r="V201" i="8"/>
  <c r="V202" i="8"/>
  <c r="V203" i="8"/>
  <c r="V204" i="8"/>
  <c r="V205" i="8"/>
  <c r="V206" i="8"/>
  <c r="V207" i="8"/>
  <c r="V208" i="8"/>
  <c r="V209" i="8"/>
  <c r="V210" i="8"/>
  <c r="V211" i="8"/>
  <c r="V212" i="8"/>
  <c r="V213" i="8"/>
  <c r="V214" i="8"/>
  <c r="V215" i="8"/>
  <c r="V216" i="8"/>
  <c r="V217" i="8"/>
  <c r="V218" i="8"/>
  <c r="V219" i="8"/>
  <c r="V220" i="8"/>
  <c r="V221" i="8"/>
  <c r="V222" i="8"/>
  <c r="V223" i="8"/>
  <c r="V224" i="8"/>
  <c r="V225" i="8"/>
  <c r="V226" i="8"/>
  <c r="V227" i="8"/>
  <c r="V228" i="8"/>
  <c r="V229" i="8"/>
  <c r="V230" i="8"/>
  <c r="V231" i="8"/>
  <c r="V232" i="8"/>
  <c r="V233" i="8"/>
  <c r="V234" i="8"/>
  <c r="V235" i="8"/>
  <c r="V236" i="8"/>
  <c r="V237" i="8"/>
  <c r="V238" i="8"/>
  <c r="V239" i="8"/>
  <c r="V240" i="8"/>
  <c r="V241" i="8"/>
  <c r="V242" i="8"/>
  <c r="V243" i="8"/>
  <c r="V244" i="8"/>
  <c r="V245" i="8"/>
  <c r="V246" i="8"/>
  <c r="V247" i="8"/>
  <c r="V248" i="8"/>
  <c r="V249" i="8"/>
  <c r="V250" i="8"/>
  <c r="V251" i="8"/>
  <c r="V252" i="8"/>
  <c r="V253" i="8"/>
  <c r="V254" i="8"/>
  <c r="V255" i="8"/>
  <c r="V256" i="8"/>
  <c r="V257" i="8"/>
  <c r="V258" i="8"/>
  <c r="V259" i="8"/>
  <c r="V260" i="8"/>
  <c r="V261" i="8"/>
  <c r="V262" i="8"/>
  <c r="V263" i="8"/>
  <c r="V264" i="8"/>
  <c r="V265" i="8"/>
  <c r="V266" i="8"/>
  <c r="V267" i="8"/>
  <c r="V268" i="8"/>
  <c r="V269" i="8"/>
  <c r="V270" i="8"/>
  <c r="V271" i="8"/>
  <c r="V272" i="8"/>
  <c r="V273" i="8"/>
  <c r="V274" i="8"/>
  <c r="V275" i="8"/>
  <c r="V276" i="8"/>
  <c r="V277" i="8"/>
  <c r="V278" i="8"/>
  <c r="V279" i="8"/>
  <c r="V280" i="8"/>
  <c r="V281" i="8"/>
  <c r="V282" i="8"/>
  <c r="V283" i="8"/>
  <c r="V284" i="8"/>
  <c r="V285" i="8"/>
  <c r="V286" i="8"/>
  <c r="V287" i="8"/>
  <c r="V288" i="8"/>
  <c r="V289" i="8"/>
  <c r="V290" i="8"/>
  <c r="V291" i="8"/>
  <c r="V292" i="8"/>
  <c r="V293" i="8"/>
  <c r="V294" i="8"/>
  <c r="V295" i="8"/>
  <c r="V296" i="8"/>
  <c r="V297" i="8"/>
  <c r="V298" i="8"/>
  <c r="V299" i="8"/>
  <c r="V300" i="8"/>
  <c r="V301" i="8"/>
  <c r="V302" i="8"/>
  <c r="V303" i="8"/>
  <c r="V304" i="8"/>
  <c r="V305" i="8"/>
  <c r="V306" i="8"/>
  <c r="V307" i="8"/>
  <c r="V308" i="8"/>
  <c r="V309" i="8"/>
  <c r="V310" i="8"/>
  <c r="V311" i="8"/>
  <c r="V312" i="8"/>
  <c r="V313" i="8"/>
  <c r="V314" i="8"/>
  <c r="V315" i="8"/>
  <c r="V316" i="8"/>
  <c r="V317" i="8"/>
  <c r="V318" i="8"/>
  <c r="V319" i="8"/>
  <c r="V320" i="8"/>
  <c r="V321" i="8"/>
  <c r="V322" i="8"/>
  <c r="V323" i="8"/>
  <c r="V324" i="8"/>
  <c r="V325" i="8"/>
  <c r="V326" i="8"/>
  <c r="V327" i="8"/>
  <c r="V328" i="8"/>
  <c r="V329" i="8"/>
  <c r="V330" i="8"/>
  <c r="V331" i="8"/>
  <c r="V332" i="8"/>
  <c r="V333" i="8"/>
  <c r="V334" i="8"/>
  <c r="V335" i="8"/>
  <c r="V336" i="8"/>
  <c r="V337" i="8"/>
  <c r="V338" i="8"/>
  <c r="V339" i="8"/>
  <c r="V340" i="8"/>
  <c r="V341" i="8"/>
  <c r="V342" i="8"/>
  <c r="V343" i="8"/>
  <c r="V344" i="8"/>
  <c r="V345" i="8"/>
  <c r="V346" i="8"/>
  <c r="V347" i="8"/>
  <c r="V348" i="8"/>
  <c r="V349" i="8"/>
  <c r="V350" i="8"/>
  <c r="V351" i="8"/>
  <c r="V352" i="8"/>
  <c r="V353" i="8"/>
  <c r="V354" i="8"/>
  <c r="V355" i="8"/>
  <c r="V356" i="8"/>
  <c r="V357" i="8"/>
  <c r="V358" i="8"/>
  <c r="V359" i="8"/>
  <c r="V360" i="8"/>
  <c r="V361" i="8"/>
  <c r="V362" i="8"/>
  <c r="V363" i="8"/>
  <c r="V364" i="8"/>
  <c r="V365" i="8"/>
  <c r="V366" i="8"/>
  <c r="V2" i="8"/>
  <c r="U3" i="8"/>
  <c r="U4" i="8"/>
  <c r="U5" i="8"/>
  <c r="U6" i="8"/>
  <c r="U7" i="8"/>
  <c r="U8" i="8"/>
  <c r="U9" i="8"/>
  <c r="U10" i="8"/>
  <c r="U11" i="8"/>
  <c r="U12" i="8"/>
  <c r="U13" i="8"/>
  <c r="U14" i="8"/>
  <c r="U15" i="8"/>
  <c r="U16" i="8"/>
  <c r="U17" i="8"/>
  <c r="U18" i="8"/>
  <c r="U19" i="8"/>
  <c r="U20" i="8"/>
  <c r="U21" i="8"/>
  <c r="U22" i="8"/>
  <c r="U23" i="8"/>
  <c r="U24" i="8"/>
  <c r="U25" i="8"/>
  <c r="U26" i="8"/>
  <c r="U27" i="8"/>
  <c r="U28" i="8"/>
  <c r="U29" i="8"/>
  <c r="U30" i="8"/>
  <c r="U31" i="8"/>
  <c r="U32" i="8"/>
  <c r="U33" i="8"/>
  <c r="U34" i="8"/>
  <c r="U35" i="8"/>
  <c r="U36" i="8"/>
  <c r="U37" i="8"/>
  <c r="U38" i="8"/>
  <c r="U39" i="8"/>
  <c r="U40" i="8"/>
  <c r="U41" i="8"/>
  <c r="U42" i="8"/>
  <c r="U43" i="8"/>
  <c r="U44" i="8"/>
  <c r="U45" i="8"/>
  <c r="U46" i="8"/>
  <c r="U47" i="8"/>
  <c r="U48" i="8"/>
  <c r="U49" i="8"/>
  <c r="U50" i="8"/>
  <c r="U51" i="8"/>
  <c r="U52" i="8"/>
  <c r="U53" i="8"/>
  <c r="U54" i="8"/>
  <c r="U55" i="8"/>
  <c r="U56" i="8"/>
  <c r="U57" i="8"/>
  <c r="U58" i="8"/>
  <c r="U59" i="8"/>
  <c r="U60" i="8"/>
  <c r="U61" i="8"/>
  <c r="U62" i="8"/>
  <c r="U63" i="8"/>
  <c r="U64" i="8"/>
  <c r="U65" i="8"/>
  <c r="U66" i="8"/>
  <c r="U67" i="8"/>
  <c r="U68" i="8"/>
  <c r="U69" i="8"/>
  <c r="U70" i="8"/>
  <c r="U71" i="8"/>
  <c r="U72" i="8"/>
  <c r="U73" i="8"/>
  <c r="U74" i="8"/>
  <c r="U75" i="8"/>
  <c r="U76" i="8"/>
  <c r="U77" i="8"/>
  <c r="U78" i="8"/>
  <c r="U79" i="8"/>
  <c r="U80" i="8"/>
  <c r="U81" i="8"/>
  <c r="U82" i="8"/>
  <c r="U83" i="8"/>
  <c r="U84" i="8"/>
  <c r="U85" i="8"/>
  <c r="U86" i="8"/>
  <c r="U87" i="8"/>
  <c r="U88" i="8"/>
  <c r="U89" i="8"/>
  <c r="U90" i="8"/>
  <c r="U91" i="8"/>
  <c r="U92" i="8"/>
  <c r="U93" i="8"/>
  <c r="U94" i="8"/>
  <c r="U95" i="8"/>
  <c r="U96" i="8"/>
  <c r="U97" i="8"/>
  <c r="U98" i="8"/>
  <c r="U99" i="8"/>
  <c r="U100" i="8"/>
  <c r="U101" i="8"/>
  <c r="U102" i="8"/>
  <c r="U103" i="8"/>
  <c r="U104" i="8"/>
  <c r="U105" i="8"/>
  <c r="U106" i="8"/>
  <c r="U107" i="8"/>
  <c r="U108" i="8"/>
  <c r="U109" i="8"/>
  <c r="U110" i="8"/>
  <c r="U111" i="8"/>
  <c r="U112" i="8"/>
  <c r="U113" i="8"/>
  <c r="U114" i="8"/>
  <c r="U115" i="8"/>
  <c r="U116" i="8"/>
  <c r="U117" i="8"/>
  <c r="U118" i="8"/>
  <c r="U119" i="8"/>
  <c r="U120" i="8"/>
  <c r="U121" i="8"/>
  <c r="U122" i="8"/>
  <c r="U123" i="8"/>
  <c r="U124" i="8"/>
  <c r="U125" i="8"/>
  <c r="U126" i="8"/>
  <c r="U127" i="8"/>
  <c r="U128" i="8"/>
  <c r="U129" i="8"/>
  <c r="U130" i="8"/>
  <c r="U131" i="8"/>
  <c r="U132" i="8"/>
  <c r="U133" i="8"/>
  <c r="U134" i="8"/>
  <c r="U135" i="8"/>
  <c r="U136" i="8"/>
  <c r="U137" i="8"/>
  <c r="U138" i="8"/>
  <c r="U139" i="8"/>
  <c r="U140" i="8"/>
  <c r="U141" i="8"/>
  <c r="U142" i="8"/>
  <c r="U143" i="8"/>
  <c r="U144" i="8"/>
  <c r="U145" i="8"/>
  <c r="U146" i="8"/>
  <c r="U147" i="8"/>
  <c r="U148" i="8"/>
  <c r="U149" i="8"/>
  <c r="U150" i="8"/>
  <c r="U151" i="8"/>
  <c r="U152" i="8"/>
  <c r="U153" i="8"/>
  <c r="U154" i="8"/>
  <c r="U155" i="8"/>
  <c r="U156" i="8"/>
  <c r="U157" i="8"/>
  <c r="U158" i="8"/>
  <c r="U159" i="8"/>
  <c r="U160" i="8"/>
  <c r="U161" i="8"/>
  <c r="U162" i="8"/>
  <c r="U163" i="8"/>
  <c r="U164" i="8"/>
  <c r="U165" i="8"/>
  <c r="U166" i="8"/>
  <c r="U167" i="8"/>
  <c r="U168" i="8"/>
  <c r="U169" i="8"/>
  <c r="U170" i="8"/>
  <c r="U171" i="8"/>
  <c r="U172" i="8"/>
  <c r="U173" i="8"/>
  <c r="U174" i="8"/>
  <c r="U175" i="8"/>
  <c r="U176" i="8"/>
  <c r="U177" i="8"/>
  <c r="U178" i="8"/>
  <c r="U179" i="8"/>
  <c r="U180" i="8"/>
  <c r="U181" i="8"/>
  <c r="U182" i="8"/>
  <c r="U183" i="8"/>
  <c r="U184" i="8"/>
  <c r="U185" i="8"/>
  <c r="U186" i="8"/>
  <c r="U187" i="8"/>
  <c r="U188" i="8"/>
  <c r="U189" i="8"/>
  <c r="U190" i="8"/>
  <c r="U191" i="8"/>
  <c r="U192" i="8"/>
  <c r="U193" i="8"/>
  <c r="U194" i="8"/>
  <c r="U195" i="8"/>
  <c r="U196" i="8"/>
  <c r="U197" i="8"/>
  <c r="U198" i="8"/>
  <c r="U199" i="8"/>
  <c r="U200" i="8"/>
  <c r="U201" i="8"/>
  <c r="U202" i="8"/>
  <c r="U203" i="8"/>
  <c r="U204" i="8"/>
  <c r="U205" i="8"/>
  <c r="U206" i="8"/>
  <c r="U207" i="8"/>
  <c r="U208" i="8"/>
  <c r="U209" i="8"/>
  <c r="U210" i="8"/>
  <c r="U211" i="8"/>
  <c r="U212" i="8"/>
  <c r="U213" i="8"/>
  <c r="U214" i="8"/>
  <c r="U215" i="8"/>
  <c r="U216" i="8"/>
  <c r="U217" i="8"/>
  <c r="U218" i="8"/>
  <c r="U219" i="8"/>
  <c r="U220" i="8"/>
  <c r="U221" i="8"/>
  <c r="U222" i="8"/>
  <c r="U223" i="8"/>
  <c r="U224" i="8"/>
  <c r="U225" i="8"/>
  <c r="U226" i="8"/>
  <c r="U227" i="8"/>
  <c r="U228" i="8"/>
  <c r="U229" i="8"/>
  <c r="U230" i="8"/>
  <c r="U231" i="8"/>
  <c r="U232" i="8"/>
  <c r="U233" i="8"/>
  <c r="U234" i="8"/>
  <c r="U235" i="8"/>
  <c r="U236" i="8"/>
  <c r="U237" i="8"/>
  <c r="U238" i="8"/>
  <c r="U239" i="8"/>
  <c r="U240" i="8"/>
  <c r="U241" i="8"/>
  <c r="U242" i="8"/>
  <c r="U243" i="8"/>
  <c r="U244" i="8"/>
  <c r="U245" i="8"/>
  <c r="U246" i="8"/>
  <c r="U247" i="8"/>
  <c r="U248" i="8"/>
  <c r="U249" i="8"/>
  <c r="U250" i="8"/>
  <c r="U251" i="8"/>
  <c r="U252" i="8"/>
  <c r="U253" i="8"/>
  <c r="U254" i="8"/>
  <c r="U255" i="8"/>
  <c r="U256" i="8"/>
  <c r="U257" i="8"/>
  <c r="U258" i="8"/>
  <c r="U259" i="8"/>
  <c r="U260" i="8"/>
  <c r="U261" i="8"/>
  <c r="U262" i="8"/>
  <c r="U263" i="8"/>
  <c r="U264" i="8"/>
  <c r="U265" i="8"/>
  <c r="U266" i="8"/>
  <c r="U267" i="8"/>
  <c r="U268" i="8"/>
  <c r="U269" i="8"/>
  <c r="U270" i="8"/>
  <c r="U271" i="8"/>
  <c r="U272" i="8"/>
  <c r="U273" i="8"/>
  <c r="U274" i="8"/>
  <c r="U275" i="8"/>
  <c r="U276" i="8"/>
  <c r="U277" i="8"/>
  <c r="U278" i="8"/>
  <c r="U279" i="8"/>
  <c r="U280" i="8"/>
  <c r="U281" i="8"/>
  <c r="U282" i="8"/>
  <c r="U283" i="8"/>
  <c r="U284" i="8"/>
  <c r="U285" i="8"/>
  <c r="U286" i="8"/>
  <c r="U287" i="8"/>
  <c r="U288" i="8"/>
  <c r="U289" i="8"/>
  <c r="U290" i="8"/>
  <c r="U291" i="8"/>
  <c r="U292" i="8"/>
  <c r="U293" i="8"/>
  <c r="U294" i="8"/>
  <c r="U295" i="8"/>
  <c r="U296" i="8"/>
  <c r="U297" i="8"/>
  <c r="U298" i="8"/>
  <c r="U299" i="8"/>
  <c r="U300" i="8"/>
  <c r="U301" i="8"/>
  <c r="U302" i="8"/>
  <c r="U303" i="8"/>
  <c r="U304" i="8"/>
  <c r="U305" i="8"/>
  <c r="U306" i="8"/>
  <c r="U307" i="8"/>
  <c r="U308" i="8"/>
  <c r="U309" i="8"/>
  <c r="U310" i="8"/>
  <c r="U311" i="8"/>
  <c r="U312" i="8"/>
  <c r="U313" i="8"/>
  <c r="U314" i="8"/>
  <c r="U315" i="8"/>
  <c r="U316" i="8"/>
  <c r="U317" i="8"/>
  <c r="U318" i="8"/>
  <c r="U319" i="8"/>
  <c r="U320" i="8"/>
  <c r="U321" i="8"/>
  <c r="U322" i="8"/>
  <c r="U323" i="8"/>
  <c r="U324" i="8"/>
  <c r="U325" i="8"/>
  <c r="U326" i="8"/>
  <c r="U327" i="8"/>
  <c r="U328" i="8"/>
  <c r="U329" i="8"/>
  <c r="U330" i="8"/>
  <c r="U331" i="8"/>
  <c r="U332" i="8"/>
  <c r="U333" i="8"/>
  <c r="U334" i="8"/>
  <c r="U335" i="8"/>
  <c r="U336" i="8"/>
  <c r="U337" i="8"/>
  <c r="U338" i="8"/>
  <c r="U339" i="8"/>
  <c r="U340" i="8"/>
  <c r="U341" i="8"/>
  <c r="U342" i="8"/>
  <c r="U343" i="8"/>
  <c r="U344" i="8"/>
  <c r="U345" i="8"/>
  <c r="U346" i="8"/>
  <c r="U347" i="8"/>
  <c r="U348" i="8"/>
  <c r="U349" i="8"/>
  <c r="U350" i="8"/>
  <c r="U351" i="8"/>
  <c r="U352" i="8"/>
  <c r="U353" i="8"/>
  <c r="U354" i="8"/>
  <c r="U355" i="8"/>
  <c r="U356" i="8"/>
  <c r="U357" i="8"/>
  <c r="U358" i="8"/>
  <c r="U359" i="8"/>
  <c r="U360" i="8"/>
  <c r="U361" i="8"/>
  <c r="U362" i="8"/>
  <c r="U363" i="8"/>
  <c r="U364" i="8"/>
  <c r="U365" i="8"/>
  <c r="U366" i="8"/>
  <c r="U2" i="8"/>
  <c r="T3" i="8"/>
  <c r="T4" i="8"/>
  <c r="T5" i="8"/>
  <c r="T6" i="8"/>
  <c r="T7" i="8"/>
  <c r="T8" i="8"/>
  <c r="T9" i="8"/>
  <c r="T10" i="8"/>
  <c r="T11" i="8"/>
  <c r="T12" i="8"/>
  <c r="T13" i="8"/>
  <c r="T14" i="8"/>
  <c r="T15" i="8"/>
  <c r="T16" i="8"/>
  <c r="T17" i="8"/>
  <c r="T18" i="8"/>
  <c r="T19" i="8"/>
  <c r="T20" i="8"/>
  <c r="T21" i="8"/>
  <c r="T22" i="8"/>
  <c r="T23" i="8"/>
  <c r="T24" i="8"/>
  <c r="T25" i="8"/>
  <c r="T26" i="8"/>
  <c r="T27" i="8"/>
  <c r="T28" i="8"/>
  <c r="T29" i="8"/>
  <c r="T30" i="8"/>
  <c r="T31" i="8"/>
  <c r="T32" i="8"/>
  <c r="T33" i="8"/>
  <c r="T34" i="8"/>
  <c r="T35" i="8"/>
  <c r="T36" i="8"/>
  <c r="T37" i="8"/>
  <c r="T38" i="8"/>
  <c r="T39" i="8"/>
  <c r="T40" i="8"/>
  <c r="T41" i="8"/>
  <c r="T42" i="8"/>
  <c r="T43" i="8"/>
  <c r="T44" i="8"/>
  <c r="T45" i="8"/>
  <c r="T46" i="8"/>
  <c r="T47" i="8"/>
  <c r="T48" i="8"/>
  <c r="T49" i="8"/>
  <c r="T50" i="8"/>
  <c r="T51" i="8"/>
  <c r="T52" i="8"/>
  <c r="T53" i="8"/>
  <c r="T54" i="8"/>
  <c r="T55" i="8"/>
  <c r="T56" i="8"/>
  <c r="T57" i="8"/>
  <c r="T58" i="8"/>
  <c r="T59" i="8"/>
  <c r="T60" i="8"/>
  <c r="T61" i="8"/>
  <c r="T62" i="8"/>
  <c r="T63" i="8"/>
  <c r="T64" i="8"/>
  <c r="T65" i="8"/>
  <c r="T66" i="8"/>
  <c r="T67" i="8"/>
  <c r="T68" i="8"/>
  <c r="T69" i="8"/>
  <c r="T70" i="8"/>
  <c r="T71" i="8"/>
  <c r="T72" i="8"/>
  <c r="T73" i="8"/>
  <c r="T74" i="8"/>
  <c r="T75" i="8"/>
  <c r="T76" i="8"/>
  <c r="T77" i="8"/>
  <c r="T78" i="8"/>
  <c r="T79" i="8"/>
  <c r="T80" i="8"/>
  <c r="T81" i="8"/>
  <c r="T82" i="8"/>
  <c r="T83" i="8"/>
  <c r="T84" i="8"/>
  <c r="T85" i="8"/>
  <c r="T86" i="8"/>
  <c r="T87" i="8"/>
  <c r="T88" i="8"/>
  <c r="T89" i="8"/>
  <c r="T90" i="8"/>
  <c r="T91" i="8"/>
  <c r="T92" i="8"/>
  <c r="T93" i="8"/>
  <c r="T94" i="8"/>
  <c r="T95" i="8"/>
  <c r="T96" i="8"/>
  <c r="T97" i="8"/>
  <c r="T98" i="8"/>
  <c r="T99" i="8"/>
  <c r="T100" i="8"/>
  <c r="T101" i="8"/>
  <c r="T102" i="8"/>
  <c r="T103" i="8"/>
  <c r="T104" i="8"/>
  <c r="T105" i="8"/>
  <c r="T106" i="8"/>
  <c r="T107" i="8"/>
  <c r="T108" i="8"/>
  <c r="T109" i="8"/>
  <c r="T110" i="8"/>
  <c r="T111" i="8"/>
  <c r="T112" i="8"/>
  <c r="T113" i="8"/>
  <c r="T114" i="8"/>
  <c r="T115" i="8"/>
  <c r="T116" i="8"/>
  <c r="T117" i="8"/>
  <c r="T118" i="8"/>
  <c r="T119" i="8"/>
  <c r="T120" i="8"/>
  <c r="T121" i="8"/>
  <c r="T122" i="8"/>
  <c r="T123" i="8"/>
  <c r="T124" i="8"/>
  <c r="T125" i="8"/>
  <c r="T126" i="8"/>
  <c r="T127" i="8"/>
  <c r="T128" i="8"/>
  <c r="T129" i="8"/>
  <c r="T130" i="8"/>
  <c r="T131" i="8"/>
  <c r="T132" i="8"/>
  <c r="T133" i="8"/>
  <c r="T134" i="8"/>
  <c r="T135" i="8"/>
  <c r="T136" i="8"/>
  <c r="T137" i="8"/>
  <c r="T138" i="8"/>
  <c r="T139" i="8"/>
  <c r="T140" i="8"/>
  <c r="T141" i="8"/>
  <c r="T142" i="8"/>
  <c r="T143" i="8"/>
  <c r="T144" i="8"/>
  <c r="T145" i="8"/>
  <c r="T146" i="8"/>
  <c r="T147" i="8"/>
  <c r="T148" i="8"/>
  <c r="T149" i="8"/>
  <c r="T150" i="8"/>
  <c r="T151" i="8"/>
  <c r="T152" i="8"/>
  <c r="T153" i="8"/>
  <c r="T154" i="8"/>
  <c r="T155" i="8"/>
  <c r="T156" i="8"/>
  <c r="T157" i="8"/>
  <c r="T158" i="8"/>
  <c r="T159" i="8"/>
  <c r="T160" i="8"/>
  <c r="T161" i="8"/>
  <c r="T162" i="8"/>
  <c r="T163" i="8"/>
  <c r="T164" i="8"/>
  <c r="T165" i="8"/>
  <c r="T166" i="8"/>
  <c r="T167" i="8"/>
  <c r="T168" i="8"/>
  <c r="T169" i="8"/>
  <c r="T170" i="8"/>
  <c r="T171" i="8"/>
  <c r="T172" i="8"/>
  <c r="T173" i="8"/>
  <c r="T174" i="8"/>
  <c r="T175" i="8"/>
  <c r="T176" i="8"/>
  <c r="T177" i="8"/>
  <c r="T178" i="8"/>
  <c r="T179" i="8"/>
  <c r="T180" i="8"/>
  <c r="T181" i="8"/>
  <c r="T182" i="8"/>
  <c r="T183" i="8"/>
  <c r="T184" i="8"/>
  <c r="T185" i="8"/>
  <c r="T186" i="8"/>
  <c r="T187" i="8"/>
  <c r="T188" i="8"/>
  <c r="T189" i="8"/>
  <c r="T190" i="8"/>
  <c r="T191" i="8"/>
  <c r="T192" i="8"/>
  <c r="T193" i="8"/>
  <c r="T194" i="8"/>
  <c r="T195" i="8"/>
  <c r="T196" i="8"/>
  <c r="T197" i="8"/>
  <c r="T198" i="8"/>
  <c r="T199" i="8"/>
  <c r="T200" i="8"/>
  <c r="T201" i="8"/>
  <c r="T202" i="8"/>
  <c r="T203" i="8"/>
  <c r="T204" i="8"/>
  <c r="T205" i="8"/>
  <c r="T206" i="8"/>
  <c r="T207" i="8"/>
  <c r="T208" i="8"/>
  <c r="T209" i="8"/>
  <c r="T210" i="8"/>
  <c r="T211" i="8"/>
  <c r="T212" i="8"/>
  <c r="T213" i="8"/>
  <c r="T214" i="8"/>
  <c r="T215" i="8"/>
  <c r="T216" i="8"/>
  <c r="T217" i="8"/>
  <c r="T218" i="8"/>
  <c r="T219" i="8"/>
  <c r="T220" i="8"/>
  <c r="T221" i="8"/>
  <c r="T222" i="8"/>
  <c r="T223" i="8"/>
  <c r="T224" i="8"/>
  <c r="T225" i="8"/>
  <c r="T226" i="8"/>
  <c r="T227" i="8"/>
  <c r="T228" i="8"/>
  <c r="T229" i="8"/>
  <c r="T230" i="8"/>
  <c r="T231" i="8"/>
  <c r="T232" i="8"/>
  <c r="T233" i="8"/>
  <c r="T234" i="8"/>
  <c r="T235" i="8"/>
  <c r="T236" i="8"/>
  <c r="T237" i="8"/>
  <c r="T238" i="8"/>
  <c r="T239" i="8"/>
  <c r="T240" i="8"/>
  <c r="T241" i="8"/>
  <c r="T242" i="8"/>
  <c r="T243" i="8"/>
  <c r="T244" i="8"/>
  <c r="T245" i="8"/>
  <c r="T246" i="8"/>
  <c r="T247" i="8"/>
  <c r="T248" i="8"/>
  <c r="T249" i="8"/>
  <c r="T250" i="8"/>
  <c r="T251" i="8"/>
  <c r="T252" i="8"/>
  <c r="T253" i="8"/>
  <c r="T254" i="8"/>
  <c r="T255" i="8"/>
  <c r="T256" i="8"/>
  <c r="T257" i="8"/>
  <c r="T258" i="8"/>
  <c r="T259" i="8"/>
  <c r="T260" i="8"/>
  <c r="T261" i="8"/>
  <c r="T262" i="8"/>
  <c r="T263" i="8"/>
  <c r="T264" i="8"/>
  <c r="T265" i="8"/>
  <c r="T266" i="8"/>
  <c r="T267" i="8"/>
  <c r="T268" i="8"/>
  <c r="T269" i="8"/>
  <c r="T270" i="8"/>
  <c r="T271" i="8"/>
  <c r="T272" i="8"/>
  <c r="T273" i="8"/>
  <c r="T274" i="8"/>
  <c r="T275" i="8"/>
  <c r="T276" i="8"/>
  <c r="T277" i="8"/>
  <c r="T278" i="8"/>
  <c r="T279" i="8"/>
  <c r="T280" i="8"/>
  <c r="T281" i="8"/>
  <c r="T282" i="8"/>
  <c r="T283" i="8"/>
  <c r="T284" i="8"/>
  <c r="T285" i="8"/>
  <c r="T286" i="8"/>
  <c r="T287" i="8"/>
  <c r="T288" i="8"/>
  <c r="T289" i="8"/>
  <c r="T290" i="8"/>
  <c r="T291" i="8"/>
  <c r="T292" i="8"/>
  <c r="T293" i="8"/>
  <c r="T294" i="8"/>
  <c r="T295" i="8"/>
  <c r="T296" i="8"/>
  <c r="T297" i="8"/>
  <c r="T298" i="8"/>
  <c r="T299" i="8"/>
  <c r="T300" i="8"/>
  <c r="T301" i="8"/>
  <c r="T302" i="8"/>
  <c r="T303" i="8"/>
  <c r="T304" i="8"/>
  <c r="T305" i="8"/>
  <c r="T306" i="8"/>
  <c r="T307" i="8"/>
  <c r="T308" i="8"/>
  <c r="T309" i="8"/>
  <c r="T310" i="8"/>
  <c r="T311" i="8"/>
  <c r="T312" i="8"/>
  <c r="T313" i="8"/>
  <c r="T314" i="8"/>
  <c r="T315" i="8"/>
  <c r="T316" i="8"/>
  <c r="T317" i="8"/>
  <c r="T318" i="8"/>
  <c r="T319" i="8"/>
  <c r="T320" i="8"/>
  <c r="T321" i="8"/>
  <c r="T322" i="8"/>
  <c r="T323" i="8"/>
  <c r="T324" i="8"/>
  <c r="T325" i="8"/>
  <c r="T326" i="8"/>
  <c r="T327" i="8"/>
  <c r="T328" i="8"/>
  <c r="T329" i="8"/>
  <c r="T330" i="8"/>
  <c r="T331" i="8"/>
  <c r="T332" i="8"/>
  <c r="T333" i="8"/>
  <c r="T334" i="8"/>
  <c r="T335" i="8"/>
  <c r="T336" i="8"/>
  <c r="T337" i="8"/>
  <c r="T338" i="8"/>
  <c r="T339" i="8"/>
  <c r="T340" i="8"/>
  <c r="T341" i="8"/>
  <c r="T342" i="8"/>
  <c r="T343" i="8"/>
  <c r="T344" i="8"/>
  <c r="T345" i="8"/>
  <c r="T346" i="8"/>
  <c r="T347" i="8"/>
  <c r="T348" i="8"/>
  <c r="T349" i="8"/>
  <c r="T350" i="8"/>
  <c r="T351" i="8"/>
  <c r="T352" i="8"/>
  <c r="T353" i="8"/>
  <c r="T354" i="8"/>
  <c r="T355" i="8"/>
  <c r="T356" i="8"/>
  <c r="T357" i="8"/>
  <c r="T358" i="8"/>
  <c r="T359" i="8"/>
  <c r="T360" i="8"/>
  <c r="T361" i="8"/>
  <c r="T362" i="8"/>
  <c r="T363" i="8"/>
  <c r="T364" i="8"/>
  <c r="T365" i="8"/>
  <c r="T366" i="8"/>
  <c r="S3" i="8"/>
  <c r="S4" i="8"/>
  <c r="S5" i="8"/>
  <c r="S6" i="8"/>
  <c r="S7" i="8"/>
  <c r="S8" i="8"/>
  <c r="S9" i="8"/>
  <c r="S10" i="8"/>
  <c r="S11" i="8"/>
  <c r="S12" i="8"/>
  <c r="S13" i="8"/>
  <c r="S14" i="8"/>
  <c r="S15" i="8"/>
  <c r="S16" i="8"/>
  <c r="S17" i="8"/>
  <c r="S18" i="8"/>
  <c r="S19" i="8"/>
  <c r="S20" i="8"/>
  <c r="S21" i="8"/>
  <c r="S22" i="8"/>
  <c r="S23" i="8"/>
  <c r="S24" i="8"/>
  <c r="S25" i="8"/>
  <c r="S26" i="8"/>
  <c r="S27" i="8"/>
  <c r="S28" i="8"/>
  <c r="S29" i="8"/>
  <c r="S30" i="8"/>
  <c r="S31" i="8"/>
  <c r="S32" i="8"/>
  <c r="S33" i="8"/>
  <c r="S34" i="8"/>
  <c r="S35" i="8"/>
  <c r="S36" i="8"/>
  <c r="S37" i="8"/>
  <c r="S38" i="8"/>
  <c r="S39" i="8"/>
  <c r="S40" i="8"/>
  <c r="S41" i="8"/>
  <c r="S42" i="8"/>
  <c r="S43" i="8"/>
  <c r="S44" i="8"/>
  <c r="S45" i="8"/>
  <c r="S46" i="8"/>
  <c r="S47" i="8"/>
  <c r="S48" i="8"/>
  <c r="S49" i="8"/>
  <c r="S50" i="8"/>
  <c r="S51" i="8"/>
  <c r="S52" i="8"/>
  <c r="S53" i="8"/>
  <c r="S54" i="8"/>
  <c r="S55" i="8"/>
  <c r="S56" i="8"/>
  <c r="S57" i="8"/>
  <c r="S58" i="8"/>
  <c r="S59" i="8"/>
  <c r="S60" i="8"/>
  <c r="S61" i="8"/>
  <c r="S62" i="8"/>
  <c r="S63" i="8"/>
  <c r="S64" i="8"/>
  <c r="S65" i="8"/>
  <c r="S66" i="8"/>
  <c r="S67" i="8"/>
  <c r="S68" i="8"/>
  <c r="S69" i="8"/>
  <c r="S70" i="8"/>
  <c r="S71" i="8"/>
  <c r="S72" i="8"/>
  <c r="S73" i="8"/>
  <c r="S74" i="8"/>
  <c r="S75" i="8"/>
  <c r="S76" i="8"/>
  <c r="S77" i="8"/>
  <c r="S78" i="8"/>
  <c r="S79" i="8"/>
  <c r="S80" i="8"/>
  <c r="S81" i="8"/>
  <c r="S82" i="8"/>
  <c r="S83" i="8"/>
  <c r="S84" i="8"/>
  <c r="S85" i="8"/>
  <c r="S86" i="8"/>
  <c r="S87" i="8"/>
  <c r="S88" i="8"/>
  <c r="S89" i="8"/>
  <c r="S90" i="8"/>
  <c r="S91" i="8"/>
  <c r="S92" i="8"/>
  <c r="S93" i="8"/>
  <c r="S94" i="8"/>
  <c r="S95" i="8"/>
  <c r="S96" i="8"/>
  <c r="S97" i="8"/>
  <c r="S98" i="8"/>
  <c r="S99" i="8"/>
  <c r="S100" i="8"/>
  <c r="S101" i="8"/>
  <c r="S102" i="8"/>
  <c r="S103" i="8"/>
  <c r="S104" i="8"/>
  <c r="S105" i="8"/>
  <c r="S106" i="8"/>
  <c r="S107" i="8"/>
  <c r="S108" i="8"/>
  <c r="S109" i="8"/>
  <c r="S110" i="8"/>
  <c r="S111" i="8"/>
  <c r="S112" i="8"/>
  <c r="S113" i="8"/>
  <c r="S114" i="8"/>
  <c r="S115" i="8"/>
  <c r="S116" i="8"/>
  <c r="S117" i="8"/>
  <c r="S118" i="8"/>
  <c r="S119" i="8"/>
  <c r="S120" i="8"/>
  <c r="S121" i="8"/>
  <c r="S122" i="8"/>
  <c r="S123" i="8"/>
  <c r="S124" i="8"/>
  <c r="S125" i="8"/>
  <c r="S126" i="8"/>
  <c r="S127" i="8"/>
  <c r="S128" i="8"/>
  <c r="S129" i="8"/>
  <c r="S130" i="8"/>
  <c r="S131" i="8"/>
  <c r="S132" i="8"/>
  <c r="S133" i="8"/>
  <c r="S134" i="8"/>
  <c r="S135" i="8"/>
  <c r="S136" i="8"/>
  <c r="S137" i="8"/>
  <c r="S138" i="8"/>
  <c r="S139" i="8"/>
  <c r="S140" i="8"/>
  <c r="S141" i="8"/>
  <c r="S142" i="8"/>
  <c r="S143" i="8"/>
  <c r="S144" i="8"/>
  <c r="S145" i="8"/>
  <c r="S146" i="8"/>
  <c r="S147" i="8"/>
  <c r="S148" i="8"/>
  <c r="S149" i="8"/>
  <c r="S150" i="8"/>
  <c r="S151" i="8"/>
  <c r="S152" i="8"/>
  <c r="S153" i="8"/>
  <c r="S154" i="8"/>
  <c r="S155" i="8"/>
  <c r="S156" i="8"/>
  <c r="S157" i="8"/>
  <c r="S158" i="8"/>
  <c r="S159" i="8"/>
  <c r="S160" i="8"/>
  <c r="S161" i="8"/>
  <c r="S162" i="8"/>
  <c r="S163" i="8"/>
  <c r="S164" i="8"/>
  <c r="S165" i="8"/>
  <c r="S166" i="8"/>
  <c r="S167" i="8"/>
  <c r="S168" i="8"/>
  <c r="S169" i="8"/>
  <c r="S170" i="8"/>
  <c r="S171" i="8"/>
  <c r="S172" i="8"/>
  <c r="S173" i="8"/>
  <c r="S174" i="8"/>
  <c r="S175" i="8"/>
  <c r="S176" i="8"/>
  <c r="S177" i="8"/>
  <c r="S178" i="8"/>
  <c r="S179" i="8"/>
  <c r="S180" i="8"/>
  <c r="S181" i="8"/>
  <c r="S182" i="8"/>
  <c r="S183" i="8"/>
  <c r="S184" i="8"/>
  <c r="S185" i="8"/>
  <c r="S186" i="8"/>
  <c r="S187" i="8"/>
  <c r="S188" i="8"/>
  <c r="S189" i="8"/>
  <c r="S190" i="8"/>
  <c r="S191" i="8"/>
  <c r="S192" i="8"/>
  <c r="S193" i="8"/>
  <c r="S194" i="8"/>
  <c r="S195" i="8"/>
  <c r="S196" i="8"/>
  <c r="S197" i="8"/>
  <c r="S198" i="8"/>
  <c r="S199" i="8"/>
  <c r="S200" i="8"/>
  <c r="S201" i="8"/>
  <c r="S202" i="8"/>
  <c r="S203" i="8"/>
  <c r="S204" i="8"/>
  <c r="S205" i="8"/>
  <c r="S206" i="8"/>
  <c r="S207" i="8"/>
  <c r="S208" i="8"/>
  <c r="S209" i="8"/>
  <c r="S210" i="8"/>
  <c r="S211" i="8"/>
  <c r="S212" i="8"/>
  <c r="S213" i="8"/>
  <c r="S214" i="8"/>
  <c r="S215" i="8"/>
  <c r="S216" i="8"/>
  <c r="S217" i="8"/>
  <c r="S218" i="8"/>
  <c r="S219" i="8"/>
  <c r="S220" i="8"/>
  <c r="S221" i="8"/>
  <c r="S222" i="8"/>
  <c r="S223" i="8"/>
  <c r="S224" i="8"/>
  <c r="S225" i="8"/>
  <c r="S226" i="8"/>
  <c r="S227" i="8"/>
  <c r="S228" i="8"/>
  <c r="S229" i="8"/>
  <c r="S230" i="8"/>
  <c r="S231" i="8"/>
  <c r="S232" i="8"/>
  <c r="S233" i="8"/>
  <c r="S234" i="8"/>
  <c r="S235" i="8"/>
  <c r="S236" i="8"/>
  <c r="S237" i="8"/>
  <c r="S238" i="8"/>
  <c r="S239" i="8"/>
  <c r="S240" i="8"/>
  <c r="S241" i="8"/>
  <c r="S242" i="8"/>
  <c r="S243" i="8"/>
  <c r="S244" i="8"/>
  <c r="S245" i="8"/>
  <c r="S246" i="8"/>
  <c r="S247" i="8"/>
  <c r="S248" i="8"/>
  <c r="S249" i="8"/>
  <c r="S250" i="8"/>
  <c r="S251" i="8"/>
  <c r="S252" i="8"/>
  <c r="S253" i="8"/>
  <c r="S254" i="8"/>
  <c r="S255" i="8"/>
  <c r="S256" i="8"/>
  <c r="S257" i="8"/>
  <c r="S258" i="8"/>
  <c r="S259" i="8"/>
  <c r="S260" i="8"/>
  <c r="S261" i="8"/>
  <c r="S262" i="8"/>
  <c r="S263" i="8"/>
  <c r="S264" i="8"/>
  <c r="S265" i="8"/>
  <c r="S266" i="8"/>
  <c r="S267" i="8"/>
  <c r="S268" i="8"/>
  <c r="S269" i="8"/>
  <c r="S270" i="8"/>
  <c r="S271" i="8"/>
  <c r="S272" i="8"/>
  <c r="S273" i="8"/>
  <c r="S274" i="8"/>
  <c r="S275" i="8"/>
  <c r="S276" i="8"/>
  <c r="S277" i="8"/>
  <c r="S278" i="8"/>
  <c r="S279" i="8"/>
  <c r="S280" i="8"/>
  <c r="S281" i="8"/>
  <c r="S282" i="8"/>
  <c r="S283" i="8"/>
  <c r="S284" i="8"/>
  <c r="S285" i="8"/>
  <c r="S286" i="8"/>
  <c r="S287" i="8"/>
  <c r="S288" i="8"/>
  <c r="S289" i="8"/>
  <c r="S290" i="8"/>
  <c r="S291" i="8"/>
  <c r="S292" i="8"/>
  <c r="S293" i="8"/>
  <c r="S294" i="8"/>
  <c r="S295" i="8"/>
  <c r="S296" i="8"/>
  <c r="S297" i="8"/>
  <c r="S298" i="8"/>
  <c r="S299" i="8"/>
  <c r="S300" i="8"/>
  <c r="S301" i="8"/>
  <c r="S302" i="8"/>
  <c r="S303" i="8"/>
  <c r="S304" i="8"/>
  <c r="S305" i="8"/>
  <c r="S306" i="8"/>
  <c r="S307" i="8"/>
  <c r="S308" i="8"/>
  <c r="S309" i="8"/>
  <c r="S310" i="8"/>
  <c r="S311" i="8"/>
  <c r="S312" i="8"/>
  <c r="S313" i="8"/>
  <c r="S314" i="8"/>
  <c r="S315" i="8"/>
  <c r="S316" i="8"/>
  <c r="S317" i="8"/>
  <c r="S318" i="8"/>
  <c r="S319" i="8"/>
  <c r="S320" i="8"/>
  <c r="S321" i="8"/>
  <c r="S322" i="8"/>
  <c r="S323" i="8"/>
  <c r="S324" i="8"/>
  <c r="S325" i="8"/>
  <c r="S326" i="8"/>
  <c r="S327" i="8"/>
  <c r="S328" i="8"/>
  <c r="S329" i="8"/>
  <c r="S330" i="8"/>
  <c r="S331" i="8"/>
  <c r="S332" i="8"/>
  <c r="S333" i="8"/>
  <c r="S334" i="8"/>
  <c r="S335" i="8"/>
  <c r="S336" i="8"/>
  <c r="S337" i="8"/>
  <c r="S338" i="8"/>
  <c r="S339" i="8"/>
  <c r="S340" i="8"/>
  <c r="S341" i="8"/>
  <c r="S342" i="8"/>
  <c r="S343" i="8"/>
  <c r="S344" i="8"/>
  <c r="S345" i="8"/>
  <c r="S346" i="8"/>
  <c r="S347" i="8"/>
  <c r="S348" i="8"/>
  <c r="S349" i="8"/>
  <c r="S350" i="8"/>
  <c r="S351" i="8"/>
  <c r="S352" i="8"/>
  <c r="S353" i="8"/>
  <c r="S354" i="8"/>
  <c r="S355" i="8"/>
  <c r="S356" i="8"/>
  <c r="S357" i="8"/>
  <c r="S358" i="8"/>
  <c r="S359" i="8"/>
  <c r="S360" i="8"/>
  <c r="S361" i="8"/>
  <c r="S362" i="8"/>
  <c r="S363" i="8"/>
  <c r="S364" i="8"/>
  <c r="S365" i="8"/>
  <c r="S366" i="8"/>
  <c r="T2" i="8"/>
  <c r="S2" i="8"/>
  <c r="V9" i="4"/>
  <c r="B2" i="8"/>
  <c r="G11" i="8"/>
  <c r="M7" i="3"/>
  <c r="M8" i="3"/>
  <c r="M9" i="3"/>
  <c r="M10" i="3"/>
  <c r="M6" i="3"/>
  <c r="G23" i="8" l="1"/>
  <c r="G27" i="8" s="1"/>
  <c r="N8" i="3"/>
  <c r="N9" i="3"/>
  <c r="N10" i="3"/>
  <c r="N11" i="3"/>
  <c r="N7" i="3"/>
  <c r="AF4" i="3" l="1"/>
  <c r="AF5" i="3"/>
  <c r="AF6" i="3"/>
  <c r="AF7" i="3"/>
  <c r="AF8" i="3"/>
  <c r="AF9" i="3"/>
  <c r="AF10" i="3"/>
  <c r="AF11" i="3"/>
  <c r="AF12" i="3" s="1"/>
  <c r="AF13" i="3" s="1"/>
  <c r="AF14" i="3" s="1"/>
  <c r="AF15" i="3" s="1"/>
  <c r="AF16" i="3" s="1"/>
  <c r="AF17" i="3" s="1"/>
  <c r="AF3" i="3"/>
  <c r="AE3" i="3"/>
  <c r="AE4" i="3"/>
  <c r="AE5" i="3"/>
  <c r="AE6" i="3"/>
  <c r="AE7" i="3"/>
  <c r="AE8" i="3"/>
  <c r="AE9" i="3"/>
  <c r="AE10" i="3"/>
  <c r="AE11" i="3"/>
  <c r="AE2" i="3"/>
  <c r="AG3" i="3"/>
  <c r="AG4" i="3"/>
  <c r="AG5" i="3"/>
  <c r="AG6" i="3"/>
  <c r="AG7" i="3"/>
  <c r="AG8" i="3"/>
  <c r="AG9" i="3"/>
  <c r="AG10" i="3"/>
  <c r="AG11" i="3"/>
  <c r="AG2" i="3"/>
  <c r="V3" i="4"/>
  <c r="V4" i="4"/>
  <c r="V5" i="4"/>
  <c r="V6" i="4"/>
  <c r="V7" i="4"/>
  <c r="V8" i="4"/>
  <c r="V10" i="4"/>
  <c r="V11" i="4"/>
  <c r="V2" i="4"/>
  <c r="V3" i="5"/>
  <c r="V4" i="5"/>
  <c r="V5" i="5"/>
  <c r="V6" i="5"/>
  <c r="V7" i="5"/>
  <c r="V8" i="5"/>
  <c r="V9" i="5"/>
  <c r="V10" i="5"/>
  <c r="V11" i="5"/>
  <c r="V2" i="5"/>
  <c r="V3" i="6"/>
  <c r="V4" i="6"/>
  <c r="V5" i="6"/>
  <c r="V6" i="6"/>
  <c r="V7" i="6"/>
  <c r="V8" i="6"/>
  <c r="V9" i="6"/>
  <c r="V10" i="6"/>
  <c r="V11" i="6"/>
  <c r="V2" i="6"/>
  <c r="V3" i="7"/>
  <c r="V4" i="7"/>
  <c r="V5" i="7"/>
  <c r="V6" i="7"/>
  <c r="V7" i="7"/>
  <c r="V8" i="7"/>
  <c r="V9" i="7"/>
  <c r="V10" i="7"/>
  <c r="V11" i="7"/>
  <c r="V2" i="7"/>
  <c r="X11" i="4"/>
  <c r="X11" i="6"/>
  <c r="X11" i="7"/>
  <c r="W11" i="7"/>
  <c r="W11" i="6"/>
  <c r="W11" i="5"/>
  <c r="W11" i="4"/>
  <c r="AC11" i="3"/>
  <c r="AD3" i="3"/>
  <c r="AD4" i="3"/>
  <c r="AD5" i="3"/>
  <c r="AD6" i="3"/>
  <c r="AD7" i="3"/>
  <c r="AD8" i="3"/>
  <c r="AD9" i="3"/>
  <c r="AD10" i="3"/>
  <c r="AD11" i="3"/>
  <c r="AD2" i="3"/>
  <c r="C42" i="8" a="1"/>
  <c r="C42" i="8" s="1"/>
  <c r="C32" i="8" a="1"/>
  <c r="C32" i="8" s="1"/>
  <c r="C22" i="8" a="1"/>
  <c r="C22" i="8" s="1"/>
  <c r="C12" i="8" a="1"/>
  <c r="C12" i="8" s="1"/>
  <c r="C2" i="8" a="1"/>
  <c r="C2" i="8" s="1"/>
  <c r="A42" i="8" a="1"/>
  <c r="A42" i="8" s="1"/>
  <c r="A32" i="8" a="1"/>
  <c r="A32" i="8" s="1"/>
  <c r="A22" i="8" a="1"/>
  <c r="A22" i="8" s="1"/>
  <c r="T11" i="7"/>
  <c r="B6" i="8" s="1"/>
  <c r="S11" i="7"/>
  <c r="T10" i="7"/>
  <c r="S10" i="7"/>
  <c r="T9" i="7"/>
  <c r="S9" i="7"/>
  <c r="T8" i="7"/>
  <c r="S8" i="7"/>
  <c r="T7" i="7"/>
  <c r="S7" i="7"/>
  <c r="T6" i="7"/>
  <c r="S6" i="7"/>
  <c r="T5" i="7"/>
  <c r="S5" i="7"/>
  <c r="T4" i="7"/>
  <c r="S4" i="7"/>
  <c r="T3" i="7"/>
  <c r="S3" i="7"/>
  <c r="T2" i="7"/>
  <c r="T11" i="6"/>
  <c r="B5" i="8" s="1"/>
  <c r="S11" i="6"/>
  <c r="T10" i="6"/>
  <c r="S10" i="6"/>
  <c r="T9" i="6"/>
  <c r="S9" i="6"/>
  <c r="T8" i="6"/>
  <c r="S8" i="6"/>
  <c r="T7" i="6"/>
  <c r="S7" i="6"/>
  <c r="T6" i="6"/>
  <c r="S6" i="6"/>
  <c r="T5" i="6"/>
  <c r="S5" i="6"/>
  <c r="T4" i="6"/>
  <c r="S4" i="6"/>
  <c r="T3" i="6"/>
  <c r="S3" i="6"/>
  <c r="T2" i="6"/>
  <c r="T11" i="5"/>
  <c r="B4" i="8" s="1"/>
  <c r="S11" i="5"/>
  <c r="T10" i="5"/>
  <c r="S10" i="5"/>
  <c r="T9" i="5"/>
  <c r="S9" i="5"/>
  <c r="T8" i="5"/>
  <c r="S8" i="5"/>
  <c r="T7" i="5"/>
  <c r="S7" i="5"/>
  <c r="T6" i="5"/>
  <c r="S6" i="5"/>
  <c r="T5" i="5"/>
  <c r="S5" i="5"/>
  <c r="T4" i="5"/>
  <c r="S4" i="5"/>
  <c r="T3" i="5"/>
  <c r="S3" i="5"/>
  <c r="T2" i="5"/>
  <c r="T3" i="4"/>
  <c r="T4" i="4"/>
  <c r="T5" i="4"/>
  <c r="T6" i="4"/>
  <c r="T7" i="4"/>
  <c r="T8" i="4"/>
  <c r="T9" i="4"/>
  <c r="T10" i="4"/>
  <c r="T11" i="4"/>
  <c r="B3" i="8" s="1"/>
  <c r="G9" i="8" s="1"/>
  <c r="T2" i="4"/>
  <c r="S4" i="4"/>
  <c r="S5" i="4"/>
  <c r="S6" i="4"/>
  <c r="S7" i="4"/>
  <c r="S8" i="4"/>
  <c r="S9" i="4"/>
  <c r="S10" i="4"/>
  <c r="S11" i="4"/>
  <c r="S3" i="4"/>
  <c r="H10" i="3"/>
  <c r="H4" i="3"/>
  <c r="AA3" i="3"/>
  <c r="AA4" i="3"/>
  <c r="AA5" i="3"/>
  <c r="AA6" i="3"/>
  <c r="AA7" i="3"/>
  <c r="AA8" i="3"/>
  <c r="AA9" i="3"/>
  <c r="AA10" i="3"/>
  <c r="AA11" i="3"/>
  <c r="AA2" i="3"/>
  <c r="R11" i="7"/>
  <c r="R11" i="5"/>
  <c r="X11" i="5" s="1"/>
  <c r="Z11" i="3"/>
  <c r="AH11" i="3" s="1"/>
  <c r="A12" i="8" l="1" a="1"/>
  <c r="A12" i="8" s="1"/>
  <c r="G16" i="8"/>
  <c r="G20" i="8" s="1"/>
  <c r="G50" i="8" s="1"/>
  <c r="G18" i="8"/>
  <c r="O12" i="3"/>
  <c r="V12" i="3"/>
  <c r="A2" i="8" a="1"/>
  <c r="A2" i="8" s="1"/>
  <c r="AG13" i="3"/>
  <c r="G30" i="8" l="1"/>
  <c r="G32" i="8" s="1"/>
  <c r="G2" i="8"/>
  <c r="G4" i="8"/>
  <c r="P12" i="3"/>
  <c r="M11" i="3"/>
  <c r="L12" i="3" s="1"/>
  <c r="N12" i="3" s="1"/>
  <c r="O13" i="3"/>
  <c r="O14" i="3" s="1"/>
  <c r="O15" i="3" s="1"/>
  <c r="O16" i="3" s="1"/>
  <c r="O17" i="3" s="1"/>
  <c r="Q12" i="3"/>
  <c r="W12" i="3"/>
  <c r="V13" i="3"/>
  <c r="L13" i="3" s="1"/>
  <c r="S13" i="3" l="1"/>
  <c r="S14" i="3"/>
  <c r="S15" i="3"/>
  <c r="S16" i="3"/>
  <c r="S12" i="3"/>
  <c r="R12" i="3"/>
  <c r="N13" i="3"/>
  <c r="W13" i="3"/>
  <c r="V14" i="3"/>
  <c r="L14" i="3" s="1"/>
  <c r="P13" i="3"/>
  <c r="Q13" i="3" s="1"/>
  <c r="R13" i="3" l="1"/>
  <c r="N14" i="3"/>
  <c r="V15" i="3"/>
  <c r="L15" i="3" s="1"/>
  <c r="W14" i="3"/>
  <c r="P14" i="3"/>
  <c r="Q14" i="3" s="1"/>
  <c r="R14" i="3" l="1"/>
  <c r="N15" i="3"/>
  <c r="V16" i="3"/>
  <c r="L16" i="3" s="1"/>
  <c r="W15" i="3"/>
  <c r="P15" i="3"/>
  <c r="Q15" i="3" s="1"/>
  <c r="R15" i="3" s="1"/>
  <c r="N16" i="3" l="1"/>
  <c r="V17" i="3"/>
  <c r="L17" i="3" s="1"/>
  <c r="N17" i="3" s="1"/>
  <c r="W16" i="3"/>
  <c r="P16" i="3"/>
  <c r="Q16" i="3" s="1"/>
  <c r="R16" i="3" l="1"/>
  <c r="W17" i="3"/>
  <c r="P17" i="3"/>
  <c r="Q17" i="3" s="1"/>
  <c r="R17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tc={6D7E679E-BD2F-441B-88DC-4231C8BC6A1C}</author>
  </authors>
  <commentList>
    <comment ref="Z11" authorId="0" shapeId="0" xr:uid="{6D7E679E-BD2F-441B-88DC-4231C8BC6A1C}">
      <text>
        <t>[Threaded comment]
Your version of Excel allows you to read this threaded comment; however, any edits to it will get removed if the file is opened in a newer version of Excel. Learn more: https://go.microsoft.com/fwlink/?linkid=870924
Comment:
    9% del Estado de Nueva Jersey y 21% federal de EEUU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tc={04297985-960D-4A6D-B72C-D25F288EBCA2}</author>
  </authors>
  <commentList>
    <comment ref="R11" authorId="0" shapeId="0" xr:uid="{04297985-960D-4A6D-B72C-D25F288EBCA2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es el máximo en la región de Basilea en Suiza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tc={427EB58A-84ED-4BA1-BFBD-2D82CABA1FF1}</author>
    <author>tc={446BE28C-59F2-4B47-B53E-DA33B790B7A3}</author>
  </authors>
  <commentList>
    <comment ref="R11" authorId="0" shapeId="0" xr:uid="{427EB58A-84ED-4BA1-BFBD-2D82CABA1FF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7,25% del Estad de Nueva York y 21% federal
</t>
      </text>
    </comment>
    <comment ref="W11" authorId="1" shapeId="0" xr:uid="{446BE28C-59F2-4B47-B53E-DA33B790B7A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Se usó el spread del año anterior porque si se cogía el EBIT de ese año y los intereses nuevos, el ICR seguía siendo &gt; 8 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tc={D1CB7C83-2261-4BA5-9694-B0C208C79A51}</author>
  </authors>
  <commentList>
    <comment ref="R11" authorId="0" shapeId="0" xr:uid="{D1CB7C83-2261-4BA5-9694-B0C208C79A51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es el tipo corporativo máximo en Basilea, Suiza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tc={52883D57-F86C-480B-9960-F09CA44D92A4}</author>
  </authors>
  <commentList>
    <comment ref="R11" authorId="0" shapeId="0" xr:uid="{52883D57-F86C-480B-9960-F09CA44D92A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8,5% del estado de Indiana y 21% tipo federal de EEUU
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tc={4878338B-5766-402B-A777-9AEFE162F75E}</author>
  </authors>
  <commentList>
    <comment ref="G25" authorId="0" shapeId="0" xr:uid="{4878338B-5766-402B-A777-9AEFE162F75E}">
      <text>
        <t>[Threaded comment]
Your version of Excel allows you to read this threaded comment; however, any edits to it will get removed if the file is opened in a newer version of Excel. Learn more: https://go.microsoft.com/fwlink/?linkid=870924
Comment:
    3,88% era la rentabilidad del bono a 10 años de EEUU el 1 de enero de 2023. Como hemos cogido crecimiento compuesto, el retorno del mercado es la suma de retornos logarítmicos.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<sst xmlns="http://schemas.openxmlformats.org/spreadsheetml/2006/main" count="842" uniqueCount="487">
  <si>
    <t>Product name</t>
  </si>
  <si>
    <t>Osiris</t>
  </si>
  <si>
    <t>Update number</t>
  </si>
  <si>
    <t>279</t>
  </si>
  <si>
    <t>Software version</t>
  </si>
  <si>
    <t>213.01</t>
  </si>
  <si>
    <t>Data update</t>
  </si>
  <si>
    <t>05/04/2024 (n° 2848)</t>
  </si>
  <si>
    <t>Username</t>
  </si>
  <si>
    <t>UCTS-100473028@uc3m.es</t>
  </si>
  <si>
    <t>Export date</t>
  </si>
  <si>
    <t>06/04/2024</t>
  </si>
  <si>
    <t>Cut off date</t>
  </si>
  <si>
    <t>31/03</t>
  </si>
  <si>
    <t>Step result</t>
  </si>
  <si>
    <t>Search result</t>
  </si>
  <si>
    <t>1.</t>
  </si>
  <si>
    <t>Company name: PFIZER INC</t>
  </si>
  <si>
    <t>1</t>
  </si>
  <si>
    <t>2.</t>
  </si>
  <si>
    <t>Company name: ELI LILLY AND COMPANY</t>
  </si>
  <si>
    <t>2</t>
  </si>
  <si>
    <t>3.</t>
  </si>
  <si>
    <t>Company name: JOHNSON &amp; JOHNSON</t>
  </si>
  <si>
    <t>26</t>
  </si>
  <si>
    <t>28</t>
  </si>
  <si>
    <t>4.</t>
  </si>
  <si>
    <t>Company name: ROCHE HOLDING AG</t>
  </si>
  <si>
    <t>29</t>
  </si>
  <si>
    <t>5.</t>
  </si>
  <si>
    <t>Company name: NOVARTIS AG</t>
  </si>
  <si>
    <t>30</t>
  </si>
  <si>
    <t>Boolean search : 1 Or 2 Or 3 Or 4 Or 5</t>
  </si>
  <si>
    <t>TOTAL</t>
  </si>
  <si>
    <t>Information Source exclusion : FS</t>
  </si>
  <si>
    <t>Company name</t>
  </si>
  <si>
    <t>Total
Assets
th USD
2014</t>
  </si>
  <si>
    <t>Total
Assets
th USD
2015</t>
  </si>
  <si>
    <t>Total
Assets
th USD
2016</t>
  </si>
  <si>
    <t>Total
Assets
th USD
2017</t>
  </si>
  <si>
    <t>Total
Assets
th USD
2018</t>
  </si>
  <si>
    <t>Total
Assets
th USD
2019</t>
  </si>
  <si>
    <t>Total
Assets
th USD
2020</t>
  </si>
  <si>
    <t>Total
Assets
th USD
2021</t>
  </si>
  <si>
    <t>Total
Assets
th USD
2022</t>
  </si>
  <si>
    <t>Total
Assets
th USD
2023</t>
  </si>
  <si>
    <t>Shareholders
Funds
th USD
2014</t>
  </si>
  <si>
    <t>Shareholders
Funds
th USD
2015</t>
  </si>
  <si>
    <t>Shareholders
Funds
th USD
2016</t>
  </si>
  <si>
    <t>Shareholders
Funds
th USD
2017</t>
  </si>
  <si>
    <t>Shareholders
Funds
th USD
2018</t>
  </si>
  <si>
    <t>Shareholders
Funds
th USD
2019</t>
  </si>
  <si>
    <t>Shareholders
Funds
th USD
2020</t>
  </si>
  <si>
    <t>Shareholders
Funds
th USD
2021</t>
  </si>
  <si>
    <t>Shareholders
Funds
th USD
2022</t>
  </si>
  <si>
    <t>Shareholders
Funds
th USD
2023</t>
  </si>
  <si>
    <t>Net Income
th USD
2014</t>
  </si>
  <si>
    <t>Net Income
th USD
2015</t>
  </si>
  <si>
    <t>Net Income
th USD
2016</t>
  </si>
  <si>
    <t>Net Income
th USD
2017</t>
  </si>
  <si>
    <t>Net Income
th USD
2018</t>
  </si>
  <si>
    <t>Net Income
th USD
2019</t>
  </si>
  <si>
    <t>Net Income
th USD
2020</t>
  </si>
  <si>
    <t>Net Income
th USD
2021</t>
  </si>
  <si>
    <t>Net Income
th USD
2022</t>
  </si>
  <si>
    <t>Net Income
th USD
2023</t>
  </si>
  <si>
    <t>Market Cap.
th USD
2014</t>
  </si>
  <si>
    <t>Market Cap.
th USD
2015</t>
  </si>
  <si>
    <t>Market Cap.
th USD
2016</t>
  </si>
  <si>
    <t>Market Cap.
th USD
2017</t>
  </si>
  <si>
    <t>Market Cap.
th USD
2018</t>
  </si>
  <si>
    <t>Market Cap.
th USD
2019</t>
  </si>
  <si>
    <t>Market Cap.
th USD
2020</t>
  </si>
  <si>
    <t>Market Cap.
th USD
2021</t>
  </si>
  <si>
    <t>Market Cap.
th USD
2022</t>
  </si>
  <si>
    <t>Market Cap.
th USD
2023</t>
  </si>
  <si>
    <t>Return on
Shareh. Funds
(%)
2014</t>
  </si>
  <si>
    <t>Return on
Shareh. Funds
(%)
2015</t>
  </si>
  <si>
    <t>Return on
Shareh. Funds
(%)
2016</t>
  </si>
  <si>
    <t>Return on
Shareh. Funds
(%)
2017</t>
  </si>
  <si>
    <t>Return on
Shareh. Funds
(%)
2018</t>
  </si>
  <si>
    <t>Return on
Shareh. Funds
(%)
2019</t>
  </si>
  <si>
    <t>Return on
Shareh. Funds
(%)
2020</t>
  </si>
  <si>
    <t>Return on
Shareh. Funds
(%)
2021</t>
  </si>
  <si>
    <t>Return on
Shareh. Funds
(%)
2022</t>
  </si>
  <si>
    <t>Return on
Shareh. Funds
(%)
2023</t>
  </si>
  <si>
    <t>Return on
Total Assets
(%)
%
2014</t>
  </si>
  <si>
    <t>Return on
Total Assets
(%)
%
2015</t>
  </si>
  <si>
    <t>Return on
Total Assets
(%)
%
2016</t>
  </si>
  <si>
    <t>Return on
Total Assets
(%)
%
2017</t>
  </si>
  <si>
    <t>Return on
Total Assets
(%)
%
2018</t>
  </si>
  <si>
    <t>Return on
Total Assets
(%)
%
2019</t>
  </si>
  <si>
    <t>Return on
Total Assets
(%)
%
2020</t>
  </si>
  <si>
    <t>Return on
Total Assets
(%)
%
2021</t>
  </si>
  <si>
    <t>Return on
Total Assets
(%)
%
2022</t>
  </si>
  <si>
    <t>Return on
Total Assets
(%)
%
2023</t>
  </si>
  <si>
    <t>Market price - year end
USD
2014</t>
  </si>
  <si>
    <t>Market price - year end
USD
2015</t>
  </si>
  <si>
    <t>Market price - year end
USD
2016</t>
  </si>
  <si>
    <t>Market price - year end
USD
2017</t>
  </si>
  <si>
    <t>Market price - year end
USD
2018</t>
  </si>
  <si>
    <t>Market price - year end
USD
2019</t>
  </si>
  <si>
    <t>Market price - year end
USD
2020</t>
  </si>
  <si>
    <t>Market price - year end
USD
2021</t>
  </si>
  <si>
    <t>Market price - year end
USD
2022</t>
  </si>
  <si>
    <t>Market price - year end
USD
2023</t>
  </si>
  <si>
    <t>Enterprise Value
th USD
2014</t>
  </si>
  <si>
    <t>Enterprise Value
th USD
2015</t>
  </si>
  <si>
    <t>Enterprise Value
th USD
2016</t>
  </si>
  <si>
    <t>Enterprise Value
th USD
2017</t>
  </si>
  <si>
    <t>Enterprise Value
th USD
2018</t>
  </si>
  <si>
    <t>Enterprise Value
th USD
2019</t>
  </si>
  <si>
    <t>Enterprise Value
th USD
2020</t>
  </si>
  <si>
    <t>Enterprise Value
th USD
2021</t>
  </si>
  <si>
    <t>Enterprise Value
th USD
2022</t>
  </si>
  <si>
    <t>Enterprise Value
th USD
2023</t>
  </si>
  <si>
    <t>Total Common Shares Outstanding
2014</t>
  </si>
  <si>
    <t>Total Common Shares Outstanding
2015</t>
  </si>
  <si>
    <t>Total Common Shares Outstanding
2016</t>
  </si>
  <si>
    <t>Total Common Shares Outstanding
2017</t>
  </si>
  <si>
    <t>Total Common Shares Outstanding
2018</t>
  </si>
  <si>
    <t>Total Common Shares Outstanding
2019</t>
  </si>
  <si>
    <t>Total Common Shares Outstanding
2021</t>
  </si>
  <si>
    <t>Total Common Shares Outstanding
2020</t>
  </si>
  <si>
    <t>Total Common Shares Outstanding
2022</t>
  </si>
  <si>
    <t>Total Common Shares Outstanding
2023</t>
  </si>
  <si>
    <t>Cash &amp; Cash Equivalent
th USD
2014</t>
  </si>
  <si>
    <t>Cash &amp; Cash Equivalent
th USD
2015</t>
  </si>
  <si>
    <t>Cash &amp; Cash Equivalent
th USD
2016</t>
  </si>
  <si>
    <t>Cash &amp; Cash Equivalent
th USD
2017</t>
  </si>
  <si>
    <t>Cash &amp; Cash Equivalent
th USD
2018</t>
  </si>
  <si>
    <t>Cash &amp; Cash Equivalent
th USD
2019</t>
  </si>
  <si>
    <t>Cash &amp; Cash Equivalent
th USD
2020</t>
  </si>
  <si>
    <t>Cash &amp; Cash Equivalent
th USD
2021</t>
  </si>
  <si>
    <t>Cash &amp; Cash Equivalent
th USD
2022</t>
  </si>
  <si>
    <t>Cash &amp; Cash Equivalent
th USD
2023</t>
  </si>
  <si>
    <t>Earnings before interest &amp; tax (EBIT)
th USD
2014</t>
  </si>
  <si>
    <t>Earnings before interest &amp; tax (EBIT)
th USD
2015</t>
  </si>
  <si>
    <t>Earnings before interest &amp; tax (EBIT)
th USD
2016</t>
  </si>
  <si>
    <t>Earnings before interest &amp; tax (EBIT)
th USD
2017</t>
  </si>
  <si>
    <t>Earnings before interest &amp; tax (EBIT)
th USD
2018</t>
  </si>
  <si>
    <t>Earnings before interest &amp; tax (EBIT)
th USD
2019</t>
  </si>
  <si>
    <t>Earnings before interest &amp; tax (EBIT)
th USD
2020</t>
  </si>
  <si>
    <t>Earnings before interest &amp; tax (EBIT)
th USD
2021</t>
  </si>
  <si>
    <t>Earnings before interest &amp; tax (EBIT)
th USD
2022</t>
  </si>
  <si>
    <t>Earnings before interest &amp; tax (EBIT)
th USD
2023</t>
  </si>
  <si>
    <t>Sales
th USD
2014</t>
  </si>
  <si>
    <t>Sales
th USD
2015</t>
  </si>
  <si>
    <t>Sales
th USD
2016</t>
  </si>
  <si>
    <t>Sales
th USD
2017</t>
  </si>
  <si>
    <t>Sales
th USD
2018</t>
  </si>
  <si>
    <t>Sales
th USD
2019</t>
  </si>
  <si>
    <t>Sales
th USD
2020</t>
  </si>
  <si>
    <t>Sales
th USD
2021</t>
  </si>
  <si>
    <t>Sales
th USD
2022</t>
  </si>
  <si>
    <t>Sales
th USD
2023</t>
  </si>
  <si>
    <t>Depreciation/Amortization
th USD
2014</t>
  </si>
  <si>
    <t>Depreciation/Amortization
th USD
2015</t>
  </si>
  <si>
    <t>Depreciation/Amortization
th USD
2016</t>
  </si>
  <si>
    <t>Depreciation/Amortization
th USD
2017</t>
  </si>
  <si>
    <t>Depreciation/Amortization
th USD
2018</t>
  </si>
  <si>
    <t>Depreciation/Amortization
th USD
2019</t>
  </si>
  <si>
    <t>Depreciation/Amortization
th USD
2020</t>
  </si>
  <si>
    <t>Depreciation/Amortization
th USD
2021</t>
  </si>
  <si>
    <t>Depreciation/Amortization
th USD
2022</t>
  </si>
  <si>
    <t>Depreciation/Amortization
th USD
2023</t>
  </si>
  <si>
    <t>JOHNSON &amp; JOHNSON</t>
  </si>
  <si>
    <t>n.a.</t>
  </si>
  <si>
    <t>ROCHE HOLDING AG</t>
  </si>
  <si>
    <t>PFIZER INC</t>
  </si>
  <si>
    <t>NOVARTIS AG</t>
  </si>
  <si>
    <t>ELI LILLY AND COMPANY</t>
  </si>
  <si>
    <t>Assets (th USD)</t>
  </si>
  <si>
    <t>BVE</t>
  </si>
  <si>
    <t>NI</t>
  </si>
  <si>
    <t>MarketCap</t>
  </si>
  <si>
    <t>RoE</t>
  </si>
  <si>
    <t>RoA</t>
  </si>
  <si>
    <t>Price</t>
  </si>
  <si>
    <t>EnterpriseValue</t>
  </si>
  <si>
    <t>CommonSharesOutstanding</t>
  </si>
  <si>
    <t>Cash</t>
  </si>
  <si>
    <t>EBIT</t>
  </si>
  <si>
    <t>Sales</t>
  </si>
  <si>
    <t>D&amp;A</t>
  </si>
  <si>
    <t>Year</t>
  </si>
  <si>
    <t>D</t>
  </si>
  <si>
    <t>t_c</t>
  </si>
  <si>
    <t>ICR</t>
  </si>
  <si>
    <t>Financial Expenses
th USD
2014</t>
  </si>
  <si>
    <t>Financial Expenses
th USD
2015</t>
  </si>
  <si>
    <t>Financial Expenses
th USD
2016</t>
  </si>
  <si>
    <t>Financial Expenses
th USD
2017</t>
  </si>
  <si>
    <t>Financial Expenses
th USD
2018</t>
  </si>
  <si>
    <t>Financial Expenses
th USD
2019</t>
  </si>
  <si>
    <t>Financial Expenses
th USD
2020</t>
  </si>
  <si>
    <t>Financial Expenses
th USD
2021</t>
  </si>
  <si>
    <t>Financial Expenses
th USD
2022</t>
  </si>
  <si>
    <t>Financial Expenses
th USD
2023</t>
  </si>
  <si>
    <t>InterestExpense</t>
  </si>
  <si>
    <t>g</t>
  </si>
  <si>
    <t>N/A</t>
  </si>
  <si>
    <t>D/E</t>
  </si>
  <si>
    <t>La media del ratio D/E del sector fue:</t>
  </si>
  <si>
    <t>Spread</t>
  </si>
  <si>
    <t>D/V</t>
  </si>
  <si>
    <t>rd</t>
  </si>
  <si>
    <t>spread</t>
  </si>
  <si>
    <t>TS</t>
  </si>
  <si>
    <t>La media del ratio D/V del sector fue:</t>
  </si>
  <si>
    <t>D&amp;A/Ventas</t>
  </si>
  <si>
    <t>Media 5 últimos años:</t>
  </si>
  <si>
    <t>EBIT/Ventas</t>
  </si>
  <si>
    <t>Aftertax EBIT</t>
  </si>
  <si>
    <t>NWC</t>
  </si>
  <si>
    <t>Change in NWC</t>
  </si>
  <si>
    <t>CAPEX</t>
  </si>
  <si>
    <t>NWC/Ventas</t>
  </si>
  <si>
    <t>FCF</t>
  </si>
  <si>
    <t>La media de J&amp;J fue:</t>
  </si>
  <si>
    <t>La media de J&amp;J ha sido:</t>
  </si>
  <si>
    <t>Crec.Ventas (g)</t>
  </si>
  <si>
    <t>El crecimiento compuesto de J&amp;J ha sido:</t>
  </si>
  <si>
    <t>Date</t>
  </si>
  <si>
    <t xml:space="preserve"> Close_S&amp;P500</t>
  </si>
  <si>
    <t xml:space="preserve"> Close_J&amp;J</t>
  </si>
  <si>
    <t>12/29/23</t>
  </si>
  <si>
    <t>12/28/23</t>
  </si>
  <si>
    <t>12/27/23</t>
  </si>
  <si>
    <t>12/26/23</t>
  </si>
  <si>
    <t>12/22/23</t>
  </si>
  <si>
    <t>12/21/23</t>
  </si>
  <si>
    <t>12/20/23</t>
  </si>
  <si>
    <t>12/19/23</t>
  </si>
  <si>
    <t>12/18/23</t>
  </si>
  <si>
    <t>12/15/23</t>
  </si>
  <si>
    <t>12/14/23</t>
  </si>
  <si>
    <t>12/13/23</t>
  </si>
  <si>
    <t>11/30/23</t>
  </si>
  <si>
    <t>11/29/23</t>
  </si>
  <si>
    <t>11/28/23</t>
  </si>
  <si>
    <t>11/27/23</t>
  </si>
  <si>
    <t>11/24/23</t>
  </si>
  <si>
    <t>11/22/23</t>
  </si>
  <si>
    <t>11/21/23</t>
  </si>
  <si>
    <t>11/20/23</t>
  </si>
  <si>
    <t>11/17/23</t>
  </si>
  <si>
    <t>11/16/23</t>
  </si>
  <si>
    <t>11/15/23</t>
  </si>
  <si>
    <t>11/14/23</t>
  </si>
  <si>
    <t>11/13/23</t>
  </si>
  <si>
    <t>10/31/23</t>
  </si>
  <si>
    <t>10/30/23</t>
  </si>
  <si>
    <t>10/27/23</t>
  </si>
  <si>
    <t>10/26/23</t>
  </si>
  <si>
    <t>10/25/23</t>
  </si>
  <si>
    <t>10/24/23</t>
  </si>
  <si>
    <t>10/23/23</t>
  </si>
  <si>
    <t>10/20/23</t>
  </si>
  <si>
    <t>10/19/23</t>
  </si>
  <si>
    <t>10/18/23</t>
  </si>
  <si>
    <t>10/17/23</t>
  </si>
  <si>
    <t>10/16/23</t>
  </si>
  <si>
    <t>10/13/23</t>
  </si>
  <si>
    <t>09/29/23</t>
  </si>
  <si>
    <t>09/28/23</t>
  </si>
  <si>
    <t>09/27/23</t>
  </si>
  <si>
    <t>09/26/23</t>
  </si>
  <si>
    <t>09/25/23</t>
  </si>
  <si>
    <t>09/22/23</t>
  </si>
  <si>
    <t>09/21/23</t>
  </si>
  <si>
    <t>09/20/23</t>
  </si>
  <si>
    <t>09/19/23</t>
  </si>
  <si>
    <t>09/18/23</t>
  </si>
  <si>
    <t>09/15/23</t>
  </si>
  <si>
    <t>09/14/23</t>
  </si>
  <si>
    <t>09/13/23</t>
  </si>
  <si>
    <t>08/31/23</t>
  </si>
  <si>
    <t>08/30/23</t>
  </si>
  <si>
    <t>08/29/23</t>
  </si>
  <si>
    <t>08/28/23</t>
  </si>
  <si>
    <t>08/25/23</t>
  </si>
  <si>
    <t>08/24/23</t>
  </si>
  <si>
    <t>08/23/23</t>
  </si>
  <si>
    <t>08/22/23</t>
  </si>
  <si>
    <t>08/21/23</t>
  </si>
  <si>
    <t>08/18/23</t>
  </si>
  <si>
    <t>08/17/23</t>
  </si>
  <si>
    <t>08/16/23</t>
  </si>
  <si>
    <t>08/15/23</t>
  </si>
  <si>
    <t>08/14/23</t>
  </si>
  <si>
    <t>07/31/23</t>
  </si>
  <si>
    <t>07/28/23</t>
  </si>
  <si>
    <t>07/27/23</t>
  </si>
  <si>
    <t>07/26/23</t>
  </si>
  <si>
    <t>07/25/23</t>
  </si>
  <si>
    <t>07/24/23</t>
  </si>
  <si>
    <t>07/21/23</t>
  </si>
  <si>
    <t>07/20/23</t>
  </si>
  <si>
    <t>07/19/23</t>
  </si>
  <si>
    <t>07/18/23</t>
  </si>
  <si>
    <t>07/17/23</t>
  </si>
  <si>
    <t>07/14/23</t>
  </si>
  <si>
    <t>07/13/23</t>
  </si>
  <si>
    <t>06/30/23</t>
  </si>
  <si>
    <t>06/29/23</t>
  </si>
  <si>
    <t>06/28/23</t>
  </si>
  <si>
    <t>06/27/23</t>
  </si>
  <si>
    <t>06/26/23</t>
  </si>
  <si>
    <t>06/23/23</t>
  </si>
  <si>
    <t>06/22/23</t>
  </si>
  <si>
    <t>06/21/23</t>
  </si>
  <si>
    <t>06/20/23</t>
  </si>
  <si>
    <t>06/16/23</t>
  </si>
  <si>
    <t>06/15/23</t>
  </si>
  <si>
    <t>06/14/23</t>
  </si>
  <si>
    <t>06/13/23</t>
  </si>
  <si>
    <t>05/31/23</t>
  </si>
  <si>
    <t>05/30/23</t>
  </si>
  <si>
    <t>05/26/23</t>
  </si>
  <si>
    <t>05/25/23</t>
  </si>
  <si>
    <t>05/24/23</t>
  </si>
  <si>
    <t>05/23/23</t>
  </si>
  <si>
    <t>05/22/23</t>
  </si>
  <si>
    <t>05/19/23</t>
  </si>
  <si>
    <t>05/18/23</t>
  </si>
  <si>
    <t>05/17/23</t>
  </si>
  <si>
    <t>05/16/23</t>
  </si>
  <si>
    <t>05/15/23</t>
  </si>
  <si>
    <t>04/28/23</t>
  </si>
  <si>
    <t>04/27/23</t>
  </si>
  <si>
    <t>04/26/23</t>
  </si>
  <si>
    <t>04/25/23</t>
  </si>
  <si>
    <t>04/24/23</t>
  </si>
  <si>
    <t>04/21/23</t>
  </si>
  <si>
    <t>04/20/23</t>
  </si>
  <si>
    <t>04/19/23</t>
  </si>
  <si>
    <t>04/18/23</t>
  </si>
  <si>
    <t>04/17/23</t>
  </si>
  <si>
    <t>04/14/23</t>
  </si>
  <si>
    <t>04/13/23</t>
  </si>
  <si>
    <t>03/31/23</t>
  </si>
  <si>
    <t>03/30/23</t>
  </si>
  <si>
    <t>03/29/23</t>
  </si>
  <si>
    <t>03/28/23</t>
  </si>
  <si>
    <t>03/27/23</t>
  </si>
  <si>
    <t>03/24/23</t>
  </si>
  <si>
    <t>03/23/23</t>
  </si>
  <si>
    <t>03/22/23</t>
  </si>
  <si>
    <t>03/21/23</t>
  </si>
  <si>
    <t>03/20/23</t>
  </si>
  <si>
    <t>03/17/23</t>
  </si>
  <si>
    <t>03/16/23</t>
  </si>
  <si>
    <t>03/15/23</t>
  </si>
  <si>
    <t>03/14/23</t>
  </si>
  <si>
    <t>03/13/23</t>
  </si>
  <si>
    <t>02/28/23</t>
  </si>
  <si>
    <t>02/27/23</t>
  </si>
  <si>
    <t>02/24/23</t>
  </si>
  <si>
    <t>02/23/23</t>
  </si>
  <si>
    <t>02/22/23</t>
  </si>
  <si>
    <t>02/21/23</t>
  </si>
  <si>
    <t>02/17/23</t>
  </si>
  <si>
    <t>02/16/23</t>
  </si>
  <si>
    <t>02/15/23</t>
  </si>
  <si>
    <t>02/14/23</t>
  </si>
  <si>
    <t>02/13/23</t>
  </si>
  <si>
    <t>01/31/23</t>
  </si>
  <si>
    <t>01/30/23</t>
  </si>
  <si>
    <t>01/27/23</t>
  </si>
  <si>
    <t>01/26/23</t>
  </si>
  <si>
    <t>01/25/23</t>
  </si>
  <si>
    <t>01/24/23</t>
  </si>
  <si>
    <t>01/23/23</t>
  </si>
  <si>
    <t>01/20/23</t>
  </si>
  <si>
    <t>01/19/23</t>
  </si>
  <si>
    <t>01/18/23</t>
  </si>
  <si>
    <t>01/17/23</t>
  </si>
  <si>
    <t>01/13/23</t>
  </si>
  <si>
    <t>12/30/22</t>
  </si>
  <si>
    <t>12/29/22</t>
  </si>
  <si>
    <t>12/28/22</t>
  </si>
  <si>
    <t>12/27/22</t>
  </si>
  <si>
    <t>12/23/22</t>
  </si>
  <si>
    <t>12/22/22</t>
  </si>
  <si>
    <t>12/21/22</t>
  </si>
  <si>
    <t>12/20/22</t>
  </si>
  <si>
    <t>12/19/22</t>
  </si>
  <si>
    <t>12/16/22</t>
  </si>
  <si>
    <t>12/15/22</t>
  </si>
  <si>
    <t>12/14/22</t>
  </si>
  <si>
    <t>12/13/22</t>
  </si>
  <si>
    <t>11/30/22</t>
  </si>
  <si>
    <t>11/29/22</t>
  </si>
  <si>
    <t>11/28/22</t>
  </si>
  <si>
    <t>11/25/22</t>
  </si>
  <si>
    <t>11/23/22</t>
  </si>
  <si>
    <t>11/22/22</t>
  </si>
  <si>
    <t>11/21/22</t>
  </si>
  <si>
    <t>11/18/22</t>
  </si>
  <si>
    <t>11/17/22</t>
  </si>
  <si>
    <t>11/16/22</t>
  </si>
  <si>
    <t>11/15/22</t>
  </si>
  <si>
    <t>11/14/22</t>
  </si>
  <si>
    <t>10/31/22</t>
  </si>
  <si>
    <t>10/28/22</t>
  </si>
  <si>
    <t>10/27/22</t>
  </si>
  <si>
    <t>10/26/22</t>
  </si>
  <si>
    <t>10/25/22</t>
  </si>
  <si>
    <t>10/24/22</t>
  </si>
  <si>
    <t>10/21/22</t>
  </si>
  <si>
    <t>10/20/22</t>
  </si>
  <si>
    <t>10/19/22</t>
  </si>
  <si>
    <t>10/18/22</t>
  </si>
  <si>
    <t>10/17/22</t>
  </si>
  <si>
    <t>10/14/22</t>
  </si>
  <si>
    <t>10/13/22</t>
  </si>
  <si>
    <t>09/30/22</t>
  </si>
  <si>
    <t>09/29/22</t>
  </si>
  <si>
    <t>09/28/22</t>
  </si>
  <si>
    <t>09/27/22</t>
  </si>
  <si>
    <t>09/26/22</t>
  </si>
  <si>
    <t>09/23/22</t>
  </si>
  <si>
    <t>09/22/22</t>
  </si>
  <si>
    <t>09/21/22</t>
  </si>
  <si>
    <t>09/20/22</t>
  </si>
  <si>
    <t>09/19/22</t>
  </si>
  <si>
    <t>09/16/22</t>
  </si>
  <si>
    <t>09/15/22</t>
  </si>
  <si>
    <t>09/14/22</t>
  </si>
  <si>
    <t>09/13/22</t>
  </si>
  <si>
    <t>08/31/22</t>
  </si>
  <si>
    <t>08/30/22</t>
  </si>
  <si>
    <t>08/29/22</t>
  </si>
  <si>
    <t>08/26/22</t>
  </si>
  <si>
    <t>08/25/22</t>
  </si>
  <si>
    <t>08/24/22</t>
  </si>
  <si>
    <t>08/23/22</t>
  </si>
  <si>
    <t>08/22/22</t>
  </si>
  <si>
    <t>08/19/22</t>
  </si>
  <si>
    <t>08/18/22</t>
  </si>
  <si>
    <t>08/17/22</t>
  </si>
  <si>
    <t>08/16/22</t>
  </si>
  <si>
    <t>08/15/22</t>
  </si>
  <si>
    <t>07/29/22</t>
  </si>
  <si>
    <t>07/28/22</t>
  </si>
  <si>
    <t>07/27/22</t>
  </si>
  <si>
    <t>07/26/22</t>
  </si>
  <si>
    <t>07/25/22</t>
  </si>
  <si>
    <t>07/22/22</t>
  </si>
  <si>
    <t>07/21/22</t>
  </si>
  <si>
    <t>07/20/22</t>
  </si>
  <si>
    <t>07/19/22</t>
  </si>
  <si>
    <t>Change S&amp;P500</t>
  </si>
  <si>
    <t>Change J&amp;J</t>
  </si>
  <si>
    <t>La beta de las acciones es:</t>
  </si>
  <si>
    <t>La prima de mercado es:</t>
  </si>
  <si>
    <t>r_E es:</t>
  </si>
  <si>
    <t>El E/V estimado es:</t>
  </si>
  <si>
    <t>El WACC es:</t>
  </si>
  <si>
    <t>La media del crecimiento compuesto de las ventas para empresas que crecen ha sido:</t>
  </si>
  <si>
    <t>Close Pfizer</t>
  </si>
  <si>
    <t>Close Eli Lilly</t>
  </si>
  <si>
    <t>Change Pfizer</t>
  </si>
  <si>
    <t>Change Eli Lilly</t>
  </si>
  <si>
    <t>La beta de las acciones de Pfizer es:</t>
  </si>
  <si>
    <t>La beta de las acciones de Eli Lilly &amp; Company es:</t>
  </si>
  <si>
    <t>La beta de las acciones de Novartis AG es:</t>
  </si>
  <si>
    <t>11/23/23</t>
  </si>
  <si>
    <t>06/19/23</t>
  </si>
  <si>
    <t>02/20/23</t>
  </si>
  <si>
    <t>01/16/23</t>
  </si>
  <si>
    <t>11/24/22</t>
  </si>
  <si>
    <t xml:space="preserve"> Close Swiss Market Index</t>
  </si>
  <si>
    <t>Close Roche Holding</t>
  </si>
  <si>
    <t>Close Novartis AG</t>
  </si>
  <si>
    <t>Roche Holding Roche</t>
  </si>
  <si>
    <t>Novartis AG Change</t>
  </si>
  <si>
    <t>SMI Change</t>
  </si>
  <si>
    <t>La beta de las acciones de Roche Holding AG es:</t>
  </si>
  <si>
    <t>La beta de la deuda de J&amp;J es:</t>
  </si>
  <si>
    <t>La beta desapalancada de J&amp;J es:</t>
  </si>
  <si>
    <t>Con lo que el D/E estimado para J&amp;J es:</t>
  </si>
  <si>
    <t>Discount factor</t>
  </si>
  <si>
    <t>DCF</t>
  </si>
  <si>
    <t>Valoración:</t>
  </si>
  <si>
    <t xml:space="preserve">Precio acciones: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</si>
</sst>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€&quot;_-;\-* #,##0.00\ &quot;€&quot;_-;_-* &quot;-&quot;??\ &quot;€&quot;_-;_-@_-"/>
    <numFmt numFmtId="164" formatCode="0.000"/>
    <numFmt numFmtId="165" formatCode="_-[$$-409]* #,##0.00_ ;_-[$$-409]* \-#,##0.00\ ;_-[$$-409]* &quot;-&quot;??_ ;_-@_ "/>
    <numFmt numFmtId="166" formatCode="0.0000"/>
  </numFmts>
  <fonts count="12" x14ac:knownFonts="1">
    <font>
      <sz val="11"/>
      <color rgb="FF000000"/>
      <name val="Calibri"/>
    </font>
    <font>
      <b/>
      <sz val="8.5"/>
      <color rgb="FF003366"/>
      <name val="verdana"/>
    </font>
    <font>
      <b/>
      <sz val="8"/>
      <color rgb="FF003366"/>
      <name val="verdana"/>
    </font>
    <font>
      <sz val="8.5"/>
      <color rgb="FF333333"/>
      <name val="verdana"/>
    </font>
    <font>
      <b/>
      <sz val="8.5"/>
      <color rgb="FFFFFFFF"/>
      <name val="verdana"/>
    </font>
    <font>
      <sz val="11"/>
      <color rgb="FF000000"/>
      <name val="Calibri"/>
    </font>
    <font>
      <b/>
      <u/>
      <sz val="11"/>
      <color theme="3" tint="9.9978637043366805E-2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  <font>
      <b/>
      <sz val="11"/>
      <color theme="3" tint="0.249977111117893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E7EBF7"/>
      </patternFill>
    </fill>
    <fill>
      <patternFill patternType="solid">
        <fgColor rgb="FFFFFFFF"/>
      </patternFill>
    </fill>
    <fill>
      <patternFill patternType="solid">
        <fgColor rgb="FF96A3B5"/>
      </patternFill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E666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rgb="FF6D819D"/>
      </left>
      <right/>
      <top/>
      <bottom/>
      <diagonal/>
    </border>
    <border>
      <left/>
      <right style="thin">
        <color rgb="FF6D819D"/>
      </right>
      <top/>
      <bottom/>
      <diagonal/>
    </border>
    <border>
      <left style="thin">
        <color rgb="FF6D819D"/>
      </left>
      <right/>
      <top/>
      <bottom style="thin">
        <color rgb="FF6D819D"/>
      </bottom>
      <diagonal/>
    </border>
    <border>
      <left/>
      <right/>
      <top/>
      <bottom style="thin">
        <color rgb="FF6D819D"/>
      </bottom>
      <diagonal/>
    </border>
    <border>
      <left/>
      <right style="thin">
        <color rgb="FF6D819D"/>
      </right>
      <top/>
      <bottom style="thin">
        <color rgb="FF6D819D"/>
      </bottom>
      <diagonal/>
    </border>
    <border>
      <left style="thin">
        <color rgb="FFFFFFFF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</cellStyleXfs>
  <cellXfs count="104">
    <xf numFmtId="0" fontId="0" fillId="0" borderId="0" xfId="0"/>
    <xf numFmtId="0" fontId="1" fillId="2" borderId="0" xfId="0" applyFont="1" applyFill="1" applyAlignment="1">
      <alignment horizontal="right" vertical="top"/>
    </xf>
    <xf numFmtId="0" fontId="1" fillId="2" borderId="2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 wrapText="1"/>
    </xf>
    <xf numFmtId="0" fontId="2" fillId="2" borderId="0" xfId="0" applyFont="1" applyFill="1" applyAlignment="1">
      <alignment horizontal="right" vertical="top" wrapText="1"/>
    </xf>
    <xf numFmtId="0" fontId="2" fillId="2" borderId="2" xfId="0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right" vertical="top" wrapText="1"/>
    </xf>
    <xf numFmtId="0" fontId="2" fillId="2" borderId="4" xfId="0" applyFont="1" applyFill="1" applyBorder="1" applyAlignment="1">
      <alignment horizontal="right" vertical="top" wrapText="1"/>
    </xf>
    <xf numFmtId="0" fontId="2" fillId="2" borderId="5" xfId="0" applyFont="1" applyFill="1" applyBorder="1" applyAlignment="1">
      <alignment horizontal="right" vertical="top" wrapText="1"/>
    </xf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vertical="center" wrapText="1"/>
    </xf>
    <xf numFmtId="0" fontId="0" fillId="3" borderId="0" xfId="0" applyFill="1"/>
    <xf numFmtId="0" fontId="0" fillId="4" borderId="6" xfId="0" applyFill="1" applyBorder="1"/>
    <xf numFmtId="0" fontId="4" fillId="4" borderId="6" xfId="0" applyFont="1" applyFill="1" applyBorder="1" applyAlignment="1">
      <alignment horizontal="left" wrapText="1"/>
    </xf>
    <xf numFmtId="0" fontId="4" fillId="4" borderId="6" xfId="0" applyFont="1" applyFill="1" applyBorder="1" applyAlignment="1">
      <alignment horizontal="right" wrapText="1"/>
    </xf>
    <xf numFmtId="0" fontId="3" fillId="3" borderId="6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3" fontId="3" fillId="3" borderId="6" xfId="0" applyNumberFormat="1" applyFont="1" applyFill="1" applyBorder="1" applyAlignment="1">
      <alignment horizontal="right" vertical="top"/>
    </xf>
    <xf numFmtId="4" fontId="3" fillId="3" borderId="6" xfId="0" applyNumberFormat="1" applyFont="1" applyFill="1" applyBorder="1" applyAlignment="1">
      <alignment horizontal="right" vertical="top"/>
    </xf>
    <xf numFmtId="0" fontId="3" fillId="3" borderId="6" xfId="0" applyFont="1" applyFill="1" applyBorder="1" applyAlignment="1">
      <alignment horizontal="right" vertical="top" wrapText="1"/>
    </xf>
    <xf numFmtId="0" fontId="3" fillId="5" borderId="6" xfId="0" applyFont="1" applyFill="1" applyBorder="1" applyAlignment="1">
      <alignment horizontal="left" vertical="top" wrapText="1"/>
    </xf>
    <xf numFmtId="0" fontId="1" fillId="5" borderId="6" xfId="0" applyFont="1" applyFill="1" applyBorder="1" applyAlignment="1">
      <alignment horizontal="left" vertical="top" wrapText="1"/>
    </xf>
    <xf numFmtId="3" fontId="3" fillId="5" borderId="6" xfId="0" applyNumberFormat="1" applyFont="1" applyFill="1" applyBorder="1" applyAlignment="1">
      <alignment horizontal="right" vertical="top"/>
    </xf>
    <xf numFmtId="4" fontId="3" fillId="5" borderId="6" xfId="0" applyNumberFormat="1" applyFont="1" applyFill="1" applyBorder="1" applyAlignment="1">
      <alignment horizontal="right" vertical="top"/>
    </xf>
    <xf numFmtId="0" fontId="3" fillId="5" borderId="6" xfId="0" applyFont="1" applyFill="1" applyBorder="1" applyAlignment="1">
      <alignment horizontal="right" vertical="top" wrapText="1"/>
    </xf>
    <xf numFmtId="0" fontId="6" fillId="6" borderId="8" xfId="0" applyFont="1" applyFill="1" applyBorder="1" applyAlignment="1">
      <alignment horizontal="center"/>
    </xf>
    <xf numFmtId="0" fontId="6" fillId="6" borderId="9" xfId="0" applyFont="1" applyFill="1" applyBorder="1" applyAlignment="1">
      <alignment horizontal="center"/>
    </xf>
    <xf numFmtId="0" fontId="6" fillId="6" borderId="10" xfId="0" applyFont="1" applyFill="1" applyBorder="1" applyAlignment="1">
      <alignment horizontal="center"/>
    </xf>
    <xf numFmtId="0" fontId="7" fillId="0" borderId="0" xfId="0" applyFont="1"/>
    <xf numFmtId="0" fontId="0" fillId="7" borderId="0" xfId="0" applyFill="1"/>
    <xf numFmtId="0" fontId="8" fillId="8" borderId="0" xfId="0" applyFont="1" applyFill="1"/>
    <xf numFmtId="0" fontId="0" fillId="9" borderId="0" xfId="0" applyFill="1"/>
    <xf numFmtId="164" fontId="0" fillId="9" borderId="0" xfId="0" applyNumberFormat="1" applyFill="1"/>
    <xf numFmtId="10" fontId="0" fillId="9" borderId="0" xfId="0" applyNumberFormat="1" applyFill="1"/>
    <xf numFmtId="0" fontId="9" fillId="9" borderId="0" xfId="0" applyFont="1" applyFill="1"/>
    <xf numFmtId="0" fontId="0" fillId="10" borderId="0" xfId="0" applyFill="1"/>
    <xf numFmtId="0" fontId="6" fillId="6" borderId="7" xfId="0" applyFont="1" applyFill="1" applyBorder="1" applyAlignment="1">
      <alignment horizontal="center"/>
    </xf>
    <xf numFmtId="0" fontId="0" fillId="8" borderId="12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0" xfId="0" applyFill="1"/>
    <xf numFmtId="0" fontId="0" fillId="8" borderId="15" xfId="0" applyFill="1" applyBorder="1"/>
    <xf numFmtId="0" fontId="0" fillId="8" borderId="16" xfId="0" applyFill="1" applyBorder="1"/>
    <xf numFmtId="0" fontId="0" fillId="8" borderId="17" xfId="0" applyFill="1" applyBorder="1"/>
    <xf numFmtId="0" fontId="0" fillId="8" borderId="18" xfId="0" applyFill="1" applyBorder="1"/>
    <xf numFmtId="0" fontId="9" fillId="8" borderId="11" xfId="0" applyFont="1" applyFill="1" applyBorder="1"/>
    <xf numFmtId="10" fontId="0" fillId="8" borderId="0" xfId="1" applyNumberFormat="1" applyFont="1" applyFill="1" applyBorder="1" applyAlignment="1">
      <alignment horizontal="center"/>
    </xf>
    <xf numFmtId="10" fontId="9" fillId="8" borderId="0" xfId="1" applyNumberFormat="1" applyFont="1" applyFill="1" applyBorder="1" applyAlignment="1">
      <alignment horizontal="center"/>
    </xf>
    <xf numFmtId="10" fontId="0" fillId="8" borderId="17" xfId="1" applyNumberFormat="1" applyFont="1" applyFill="1" applyBorder="1" applyAlignment="1">
      <alignment horizontal="center"/>
    </xf>
    <xf numFmtId="0" fontId="9" fillId="8" borderId="12" xfId="0" applyFont="1" applyFill="1" applyBorder="1" applyAlignment="1">
      <alignment horizontal="center"/>
    </xf>
    <xf numFmtId="10" fontId="9" fillId="8" borderId="17" xfId="1" applyNumberFormat="1" applyFont="1" applyFill="1" applyBorder="1" applyAlignment="1">
      <alignment horizontal="center"/>
    </xf>
    <xf numFmtId="10" fontId="0" fillId="9" borderId="0" xfId="1" applyNumberFormat="1" applyFont="1" applyFill="1"/>
    <xf numFmtId="0" fontId="0" fillId="11" borderId="0" xfId="0" applyFill="1"/>
    <xf numFmtId="165" fontId="0" fillId="7" borderId="0" xfId="0" applyNumberFormat="1" applyFill="1"/>
    <xf numFmtId="165" fontId="0" fillId="11" borderId="0" xfId="0" applyNumberFormat="1" applyFill="1"/>
    <xf numFmtId="165" fontId="0" fillId="7" borderId="0" xfId="2" applyNumberFormat="1" applyFont="1" applyFill="1"/>
    <xf numFmtId="1" fontId="0" fillId="7" borderId="0" xfId="0" applyNumberFormat="1" applyFill="1"/>
    <xf numFmtId="165" fontId="0" fillId="9" borderId="0" xfId="0" applyNumberFormat="1" applyFill="1"/>
    <xf numFmtId="14" fontId="0" fillId="10" borderId="0" xfId="0" applyNumberFormat="1" applyFill="1"/>
    <xf numFmtId="10" fontId="0" fillId="8" borderId="19" xfId="1" applyNumberFormat="1" applyFont="1" applyFill="1" applyBorder="1"/>
    <xf numFmtId="10" fontId="0" fillId="8" borderId="20" xfId="1" applyNumberFormat="1" applyFont="1" applyFill="1" applyBorder="1"/>
    <xf numFmtId="10" fontId="0" fillId="8" borderId="21" xfId="1" applyNumberFormat="1" applyFont="1" applyFill="1" applyBorder="1"/>
    <xf numFmtId="10" fontId="0" fillId="8" borderId="11" xfId="1" applyNumberFormat="1" applyFont="1" applyFill="1" applyBorder="1"/>
    <xf numFmtId="10" fontId="0" fillId="8" borderId="14" xfId="1" applyNumberFormat="1" applyFont="1" applyFill="1" applyBorder="1"/>
    <xf numFmtId="10" fontId="0" fillId="8" borderId="16" xfId="1" applyNumberFormat="1" applyFont="1" applyFill="1" applyBorder="1"/>
    <xf numFmtId="10" fontId="0" fillId="12" borderId="0" xfId="1" applyNumberFormat="1" applyFont="1" applyFill="1"/>
    <xf numFmtId="10" fontId="0" fillId="7" borderId="0" xfId="1" applyNumberFormat="1" applyFont="1" applyFill="1"/>
    <xf numFmtId="0" fontId="0" fillId="13" borderId="11" xfId="0" applyFill="1" applyBorder="1"/>
    <xf numFmtId="0" fontId="0" fillId="13" borderId="14" xfId="0" applyFill="1" applyBorder="1"/>
    <xf numFmtId="0" fontId="0" fillId="13" borderId="19" xfId="0" applyFill="1" applyBorder="1"/>
    <xf numFmtId="0" fontId="0" fillId="13" borderId="20" xfId="0" applyFill="1" applyBorder="1"/>
    <xf numFmtId="14" fontId="0" fillId="13" borderId="20" xfId="0" applyNumberFormat="1" applyFill="1" applyBorder="1"/>
    <xf numFmtId="0" fontId="0" fillId="13" borderId="21" xfId="0" applyFill="1" applyBorder="1"/>
    <xf numFmtId="10" fontId="0" fillId="13" borderId="15" xfId="1" applyNumberFormat="1" applyFont="1" applyFill="1" applyBorder="1"/>
    <xf numFmtId="2" fontId="0" fillId="8" borderId="0" xfId="1" applyNumberFormat="1" applyFont="1" applyFill="1" applyBorder="1" applyAlignment="1">
      <alignment horizontal="center"/>
    </xf>
    <xf numFmtId="10" fontId="0" fillId="13" borderId="19" xfId="1" applyNumberFormat="1" applyFont="1" applyFill="1" applyBorder="1"/>
    <xf numFmtId="10" fontId="0" fillId="13" borderId="20" xfId="1" applyNumberFormat="1" applyFont="1" applyFill="1" applyBorder="1"/>
    <xf numFmtId="10" fontId="0" fillId="13" borderId="21" xfId="1" applyNumberFormat="1" applyFont="1" applyFill="1" applyBorder="1"/>
    <xf numFmtId="0" fontId="0" fillId="13" borderId="18" xfId="0" applyFill="1" applyBorder="1"/>
    <xf numFmtId="0" fontId="0" fillId="13" borderId="13" xfId="0" applyFill="1" applyBorder="1"/>
    <xf numFmtId="0" fontId="0" fillId="13" borderId="15" xfId="0" applyFill="1" applyBorder="1"/>
    <xf numFmtId="10" fontId="0" fillId="13" borderId="13" xfId="1" applyNumberFormat="1" applyFont="1" applyFill="1" applyBorder="1"/>
    <xf numFmtId="10" fontId="0" fillId="13" borderId="18" xfId="1" applyNumberFormat="1" applyFont="1" applyFill="1" applyBorder="1"/>
    <xf numFmtId="2" fontId="0" fillId="8" borderId="0" xfId="0" applyNumberFormat="1" applyFill="1" applyAlignment="1">
      <alignment horizontal="center"/>
    </xf>
    <xf numFmtId="164" fontId="0" fillId="8" borderId="0" xfId="1" applyNumberFormat="1" applyFont="1" applyFill="1" applyBorder="1" applyAlignment="1">
      <alignment horizontal="center"/>
    </xf>
    <xf numFmtId="10" fontId="0" fillId="14" borderId="0" xfId="0" applyNumberFormat="1" applyFill="1"/>
    <xf numFmtId="165" fontId="0" fillId="12" borderId="0" xfId="0" applyNumberFormat="1" applyFill="1"/>
    <xf numFmtId="165" fontId="0" fillId="15" borderId="0" xfId="0" applyNumberFormat="1" applyFill="1"/>
    <xf numFmtId="0" fontId="1" fillId="2" borderId="1" xfId="0" applyFont="1" applyFill="1" applyBorder="1" applyAlignment="1">
      <alignment horizontal="left" vertical="top" wrapText="1"/>
    </xf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2" xfId="0" applyBorder="1"/>
    <xf numFmtId="0" fontId="0" fillId="2" borderId="0" xfId="0" applyFill="1"/>
    <xf numFmtId="0" fontId="2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0" fillId="0" borderId="4" xfId="0" applyBorder="1"/>
    <xf numFmtId="0" fontId="1" fillId="0" borderId="0" xfId="0" applyFont="1" applyAlignment="1">
      <alignment horizontal="left" vertical="center"/>
    </xf>
    <xf numFmtId="165" fontId="0" fillId="14" borderId="0" xfId="1" applyNumberFormat="1" applyFont="1" applyFill="1"/>
    <xf numFmtId="165" fontId="0" fillId="0" borderId="20" xfId="0" applyNumberFormat="1" applyBorder="1" applyAlignment="1">
      <alignment horizontal="center"/>
    </xf>
    <xf numFmtId="165" fontId="0" fillId="0" borderId="21" xfId="0" applyNumberFormat="1" applyBorder="1" applyAlignment="1">
      <alignment horizontal="center"/>
    </xf>
    <xf numFmtId="0" fontId="11" fillId="0" borderId="19" xfId="0" applyFont="1" applyBorder="1" applyAlignment="1">
      <alignment horizontal="center"/>
    </xf>
    <xf numFmtId="0" fontId="11" fillId="0" borderId="20" xfId="0" applyFont="1" applyBorder="1" applyAlignment="1">
      <alignment horizontal="center"/>
    </xf>
    <xf numFmtId="166" fontId="0" fillId="12" borderId="0" xfId="1" applyNumberFormat="1" applyFont="1" applyFill="1"/>
  </cellXfs>
  <cellStyles count="3">
    <cellStyle name="Currency" xfId="2" builtinId="4"/>
    <cellStyle name="Normal" xfId="0" builtinId="0"/>
    <cellStyle name="Per cent" xfId="1" builtinId="5"/>
  </cellStyles>
  <dxfs count="0"/>
  <tableStyles count="0" defaultTableStyle="TableStyleMedium2" defaultPivotStyle="PivotStyleLight16"/>
  <colors>
    <mruColors>
      <color rgb="FFE66666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Ventas y BAIT de Johnson</a:t>
            </a:r>
            <a:r>
              <a:rPr lang="es-ES" baseline="0"/>
              <a:t> &amp; Johnson</a:t>
            </a:r>
          </a:p>
          <a:p>
            <a:pPr>
              <a:defRPr/>
            </a:pP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Ventas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'JOHNSON &amp; JOHNSON'!$A$2:$A$11</c:f>
              <c:numCache>
                <c:formatCode>General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'JOHNSON &amp; JOHNSON'!$V$2:$V$11</c:f>
              <c:numCache>
                <c:formatCode>_-[$$-409]* #,##0.00_ ;_-[$$-409]* \-#,##0.00\ ;_-[$$-409]* "-"??_ ;_-@_ </c:formatCode>
                <c:ptCount val="10"/>
                <c:pt idx="0">
                  <c:v>74331000</c:v>
                </c:pt>
                <c:pt idx="1">
                  <c:v>70074000</c:v>
                </c:pt>
                <c:pt idx="2">
                  <c:v>71890000</c:v>
                </c:pt>
                <c:pt idx="3">
                  <c:v>76450000</c:v>
                </c:pt>
                <c:pt idx="4">
                  <c:v>81581000</c:v>
                </c:pt>
                <c:pt idx="5">
                  <c:v>82059000</c:v>
                </c:pt>
                <c:pt idx="6">
                  <c:v>82584000</c:v>
                </c:pt>
                <c:pt idx="7">
                  <c:v>78740000</c:v>
                </c:pt>
                <c:pt idx="8">
                  <c:v>79990000</c:v>
                </c:pt>
                <c:pt idx="9">
                  <c:v>85159000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B1-42F3-B4CC-5BE18FEE8721}"/>
            </c:ext>
          </c:extLst>
        </c:ser>
        <c:ser>
          <c:idx val="1"/>
          <c:order val="1"/>
          <c:tx>
            <c:v>BAIT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'JOHNSON &amp; JOHNSON'!$P$2:$P$11</c:f>
              <c:numCache>
                <c:formatCode>_-[$$-409]* #,##0.00_ ;_-[$$-409]* \-#,##0.00\ ;_-[$$-409]* "-"??_ ;_-@_ </c:formatCode>
                <c:ptCount val="10"/>
                <c:pt idx="0">
                  <c:v>21034000</c:v>
                </c:pt>
                <c:pt idx="1">
                  <c:v>19652000</c:v>
                </c:pt>
                <c:pt idx="2">
                  <c:v>20215000</c:v>
                </c:pt>
                <c:pt idx="3">
                  <c:v>18222000</c:v>
                </c:pt>
                <c:pt idx="4">
                  <c:v>18393000</c:v>
                </c:pt>
                <c:pt idx="5">
                  <c:v>17145000</c:v>
                </c:pt>
                <c:pt idx="6">
                  <c:v>16087000</c:v>
                </c:pt>
                <c:pt idx="7">
                  <c:v>19524000</c:v>
                </c:pt>
                <c:pt idx="8">
                  <c:v>20131000</c:v>
                </c:pt>
                <c:pt idx="9">
                  <c:v>15539000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B1-42F3-B4CC-5BE18FEE87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5176623"/>
        <c:axId val="2135174223"/>
      </c:barChart>
      <c:catAx>
        <c:axId val="2135176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35174223"/>
        <c:crosses val="autoZero"/>
        <c:auto val="1"/>
        <c:lblAlgn val="ctr"/>
        <c:lblOffset val="100"/>
        <c:noMultiLvlLbl val="0"/>
      </c:catAx>
      <c:valAx>
        <c:axId val="2135174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35176623"/>
        <c:crosses val="autoZero"/>
        <c:crossBetween val="between"/>
        <c:dispUnits>
          <c:builtInUnit val="millions"/>
          <c:dispUnitsLbl>
            <c:layout>
              <c:manualLayout>
                <c:xMode val="edge"/>
                <c:yMode val="edge"/>
                <c:x val="2.2222222222222223E-2"/>
                <c:y val="0.2877777777777778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US"/>
                    <a:t>Miles</a:t>
                  </a:r>
                  <a:r>
                    <a:rPr lang="en-US" baseline="0"/>
                    <a:t> de millones de dólares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603696412948378"/>
          <c:y val="0.19775408282298043"/>
          <c:w val="0.11285192475940506"/>
          <c:h val="0.1562510936132983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Ventas y BAIT de Roche Holding</a:t>
            </a:r>
            <a:endParaRPr lang="es-ES" baseline="0"/>
          </a:p>
          <a:p>
            <a:pPr>
              <a:defRPr/>
            </a:pP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Ventas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'JOHNSON &amp; JOHNSON'!$A$2:$A$11</c:f>
              <c:numCache>
                <c:formatCode>General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'ROCHE HOLDING AG'!$N$2:$N$11</c:f>
              <c:numCache>
                <c:formatCode>_-[$$-409]* #,##0.00_ ;_-[$$-409]* \-#,##0.00\ ;_-[$$-409]* "-"??_ ;_-@_ </c:formatCode>
                <c:ptCount val="10"/>
                <c:pt idx="0">
                  <c:v>47985034.294366799</c:v>
                </c:pt>
                <c:pt idx="1">
                  <c:v>48528375.848531701</c:v>
                </c:pt>
                <c:pt idx="2">
                  <c:v>49779527.938842803</c:v>
                </c:pt>
                <c:pt idx="3">
                  <c:v>54648825.782060601</c:v>
                </c:pt>
                <c:pt idx="4">
                  <c:v>57729258.299827598</c:v>
                </c:pt>
                <c:pt idx="5">
                  <c:v>63484815.380811699</c:v>
                </c:pt>
                <c:pt idx="6">
                  <c:v>66185883.4676743</c:v>
                </c:pt>
                <c:pt idx="7">
                  <c:v>68807935.450196296</c:v>
                </c:pt>
                <c:pt idx="8">
                  <c:v>68541564.745306998</c:v>
                </c:pt>
                <c:pt idx="9">
                  <c:v>69895841.634750396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8B-4309-A16B-3940F2DDBF9F}"/>
            </c:ext>
          </c:extLst>
        </c:ser>
        <c:ser>
          <c:idx val="1"/>
          <c:order val="1"/>
          <c:tx>
            <c:v>BAIT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'ROCHE HOLDING AG'!$L$2:$L$11</c:f>
              <c:numCache>
                <c:formatCode>_-[$$-409]* #,##0.00_ ;_-[$$-409]* \-#,##0.00\ ;_-[$$-409]* "-"??_ ;_-@_ </c:formatCode>
                <c:ptCount val="10"/>
                <c:pt idx="0">
                  <c:v>14245272.7067471</c:v>
                </c:pt>
                <c:pt idx="1">
                  <c:v>13931055.8230877</c:v>
                </c:pt>
                <c:pt idx="2">
                  <c:v>13847441.0505295</c:v>
                </c:pt>
                <c:pt idx="3">
                  <c:v>13332307.954073001</c:v>
                </c:pt>
                <c:pt idx="4">
                  <c:v>14998476.864337901</c:v>
                </c:pt>
                <c:pt idx="5">
                  <c:v>18124353.956699401</c:v>
                </c:pt>
                <c:pt idx="6">
                  <c:v>21042896.235466</c:v>
                </c:pt>
                <c:pt idx="7">
                  <c:v>19891531.4739943</c:v>
                </c:pt>
                <c:pt idx="8">
                  <c:v>18928784.081935901</c:v>
                </c:pt>
                <c:pt idx="9">
                  <c:v>18326290.6527519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8B-4309-A16B-3940F2DDBF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5176623"/>
        <c:axId val="2135174223"/>
      </c:barChart>
      <c:catAx>
        <c:axId val="2135176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35174223"/>
        <c:crosses val="autoZero"/>
        <c:auto val="1"/>
        <c:lblAlgn val="ctr"/>
        <c:lblOffset val="100"/>
        <c:noMultiLvlLbl val="0"/>
      </c:catAx>
      <c:valAx>
        <c:axId val="2135174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35176623"/>
        <c:crosses val="autoZero"/>
        <c:crossBetween val="between"/>
        <c:dispUnits>
          <c:builtInUnit val="millions"/>
          <c:dispUnitsLbl>
            <c:layout>
              <c:manualLayout>
                <c:xMode val="edge"/>
                <c:yMode val="edge"/>
                <c:x val="2.2222222222222223E-2"/>
                <c:y val="0.2877777777777778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US"/>
                    <a:t>Miles</a:t>
                  </a:r>
                  <a:r>
                    <a:rPr lang="en-US" baseline="0"/>
                    <a:t> de millones de dólares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603696412948378"/>
          <c:y val="0.19775408282298043"/>
          <c:w val="0.11285192475940506"/>
          <c:h val="0.1562510936132983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Ventas y BAIT de Pfizer</a:t>
            </a:r>
            <a:endParaRPr lang="es-ES" baseline="0"/>
          </a:p>
          <a:p>
            <a:pPr>
              <a:defRPr/>
            </a:pP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Ventas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'JOHNSON &amp; JOHNSON'!$A$2:$A$11</c:f>
              <c:numCache>
                <c:formatCode>General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'PFIZER INC'!$N$2:$N$11</c:f>
              <c:numCache>
                <c:formatCode>_-[$$-409]* #,##0.00_ ;_-[$$-409]* \-#,##0.00\ ;_-[$$-409]* "-"??_ ;_-@_ </c:formatCode>
                <c:ptCount val="10"/>
                <c:pt idx="0">
                  <c:v>49605000</c:v>
                </c:pt>
                <c:pt idx="1">
                  <c:v>48851000</c:v>
                </c:pt>
                <c:pt idx="2">
                  <c:v>52824000</c:v>
                </c:pt>
                <c:pt idx="3">
                  <c:v>52546000</c:v>
                </c:pt>
                <c:pt idx="4">
                  <c:v>40825000</c:v>
                </c:pt>
                <c:pt idx="5">
                  <c:v>41172000</c:v>
                </c:pt>
                <c:pt idx="6">
                  <c:v>41651000</c:v>
                </c:pt>
                <c:pt idx="7">
                  <c:v>81288000</c:v>
                </c:pt>
                <c:pt idx="8">
                  <c:v>100330000</c:v>
                </c:pt>
                <c:pt idx="9">
                  <c:v>58496000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34-4390-BB19-B63BB85EF722}"/>
            </c:ext>
          </c:extLst>
        </c:ser>
        <c:ser>
          <c:idx val="1"/>
          <c:order val="1"/>
          <c:tx>
            <c:v>BAIT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'PFIZER INC'!$L$2:$L$11</c:f>
              <c:numCache>
                <c:formatCode>_-[$$-409]* #,##0.00_ ;_-[$$-409]* \-#,##0.00\ ;_-[$$-409]* "-"??_ ;_-@_ </c:formatCode>
                <c:ptCount val="10"/>
                <c:pt idx="0">
                  <c:v>12726000</c:v>
                </c:pt>
                <c:pt idx="1">
                  <c:v>10329000</c:v>
                </c:pt>
                <c:pt idx="2">
                  <c:v>9004000</c:v>
                </c:pt>
                <c:pt idx="3">
                  <c:v>12989000</c:v>
                </c:pt>
                <c:pt idx="4">
                  <c:v>4062000</c:v>
                </c:pt>
                <c:pt idx="5">
                  <c:v>12331000</c:v>
                </c:pt>
                <c:pt idx="6">
                  <c:v>7534000</c:v>
                </c:pt>
                <c:pt idx="7">
                  <c:v>23486000</c:v>
                </c:pt>
                <c:pt idx="8">
                  <c:v>36237000</c:v>
                </c:pt>
                <c:pt idx="9">
                  <c:v>-929000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34-4390-BB19-B63BB85EF7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5176623"/>
        <c:axId val="2135174223"/>
      </c:barChart>
      <c:catAx>
        <c:axId val="2135176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35174223"/>
        <c:crosses val="autoZero"/>
        <c:auto val="1"/>
        <c:lblAlgn val="ctr"/>
        <c:lblOffset val="100"/>
        <c:noMultiLvlLbl val="0"/>
      </c:catAx>
      <c:valAx>
        <c:axId val="2135174223"/>
        <c:scaling>
          <c:orientation val="minMax"/>
          <c:max val="1050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35176623"/>
        <c:crosses val="autoZero"/>
        <c:crossBetween val="between"/>
        <c:dispUnits>
          <c:builtInUnit val="millions"/>
          <c:dispUnitsLbl>
            <c:layout>
              <c:manualLayout>
                <c:xMode val="edge"/>
                <c:yMode val="edge"/>
                <c:x val="2.2222222222222223E-2"/>
                <c:y val="0.2877777777777778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US"/>
                    <a:t>Miles</a:t>
                  </a:r>
                  <a:r>
                    <a:rPr lang="en-US" baseline="0"/>
                    <a:t> de millones de dólares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60369641294838"/>
          <c:y val="0.27645778652668418"/>
          <c:w val="0.11285192475940506"/>
          <c:h val="0.1562510936132983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Ventas y BAIT de Novartis</a:t>
            </a:r>
            <a:endParaRPr lang="es-ES" baseline="0"/>
          </a:p>
          <a:p>
            <a:pPr>
              <a:defRPr/>
            </a:pP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Ventas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'JOHNSON &amp; JOHNSON'!$A$2:$A$11</c:f>
              <c:numCache>
                <c:formatCode>General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'NOVARTIS AG'!$N$2:$N$11</c:f>
              <c:numCache>
                <c:formatCode>_-[$$-409]* #,##0.00_ ;_-[$$-409]* \-#,##0.00\ ;_-[$$-409]* "-"??_ ;_-@_ </c:formatCode>
                <c:ptCount val="10"/>
                <c:pt idx="0">
                  <c:v>59276000</c:v>
                </c:pt>
                <c:pt idx="1">
                  <c:v>50387000</c:v>
                </c:pt>
                <c:pt idx="2">
                  <c:v>49436000</c:v>
                </c:pt>
                <c:pt idx="3">
                  <c:v>50135000</c:v>
                </c:pt>
                <c:pt idx="4">
                  <c:v>53166000</c:v>
                </c:pt>
                <c:pt idx="5">
                  <c:v>50486000</c:v>
                </c:pt>
                <c:pt idx="6">
                  <c:v>49898000</c:v>
                </c:pt>
                <c:pt idx="7">
                  <c:v>52877000</c:v>
                </c:pt>
                <c:pt idx="8">
                  <c:v>51828000</c:v>
                </c:pt>
                <c:pt idx="9">
                  <c:v>54107000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13-4785-9A21-B6F76A90B638}"/>
            </c:ext>
          </c:extLst>
        </c:ser>
        <c:ser>
          <c:idx val="1"/>
          <c:order val="1"/>
          <c:tx>
            <c:v>BAIT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'NOVARTIS AG'!$L$2:$L$11</c:f>
              <c:numCache>
                <c:formatCode>_-[$$-409]* #,##0.00_ ;_-[$$-409]* \-#,##0.00\ ;_-[$$-409]* "-"??_ ;_-@_ </c:formatCode>
                <c:ptCount val="10"/>
                <c:pt idx="0">
                  <c:v>10736000</c:v>
                </c:pt>
                <c:pt idx="1">
                  <c:v>8977000</c:v>
                </c:pt>
                <c:pt idx="2">
                  <c:v>8268000</c:v>
                </c:pt>
                <c:pt idx="3">
                  <c:v>8629000</c:v>
                </c:pt>
                <c:pt idx="4">
                  <c:v>8169000</c:v>
                </c:pt>
                <c:pt idx="5">
                  <c:v>9157000</c:v>
                </c:pt>
                <c:pt idx="6">
                  <c:v>10152000</c:v>
                </c:pt>
                <c:pt idx="7">
                  <c:v>11689000</c:v>
                </c:pt>
                <c:pt idx="8">
                  <c:v>9197000</c:v>
                </c:pt>
                <c:pt idx="9">
                  <c:v>10030000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13-4785-9A21-B6F76A90B6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5176623"/>
        <c:axId val="2135174223"/>
      </c:barChart>
      <c:catAx>
        <c:axId val="2135176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35174223"/>
        <c:crosses val="autoZero"/>
        <c:auto val="1"/>
        <c:lblAlgn val="ctr"/>
        <c:lblOffset val="100"/>
        <c:noMultiLvlLbl val="0"/>
      </c:catAx>
      <c:valAx>
        <c:axId val="2135174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35176623"/>
        <c:crosses val="autoZero"/>
        <c:crossBetween val="between"/>
        <c:dispUnits>
          <c:builtInUnit val="millions"/>
          <c:dispUnitsLbl>
            <c:layout>
              <c:manualLayout>
                <c:xMode val="edge"/>
                <c:yMode val="edge"/>
                <c:x val="2.2222222222222223E-2"/>
                <c:y val="0.2877777777777778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US"/>
                    <a:t>Miles</a:t>
                  </a:r>
                  <a:r>
                    <a:rPr lang="en-US" baseline="0"/>
                    <a:t> de millones de dólares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603696412948378"/>
          <c:y val="0.19775408282298043"/>
          <c:w val="0.11285192475940506"/>
          <c:h val="0.1562510936132983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Ventas y BAIT de Eli Lilly &amp; Company</a:t>
            </a:r>
            <a:endParaRPr lang="es-ES" baseline="0"/>
          </a:p>
          <a:p>
            <a:pPr>
              <a:defRPr/>
            </a:pP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Ventas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'JOHNSON &amp; JOHNSON'!$A$2:$A$11</c:f>
              <c:numCache>
                <c:formatCode>General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'ELI LILLY AND COMPANY'!$N$2:$N$11</c:f>
              <c:numCache>
                <c:formatCode>_-[$$-409]* #,##0.00_ ;_-[$$-409]* \-#,##0.00\ ;_-[$$-409]* "-"??_ ;_-@_ </c:formatCode>
                <c:ptCount val="10"/>
                <c:pt idx="0">
                  <c:v>19615600</c:v>
                </c:pt>
                <c:pt idx="1">
                  <c:v>19958700</c:v>
                </c:pt>
                <c:pt idx="2">
                  <c:v>21222100</c:v>
                </c:pt>
                <c:pt idx="3">
                  <c:v>19973800</c:v>
                </c:pt>
                <c:pt idx="4">
                  <c:v>21493300</c:v>
                </c:pt>
                <c:pt idx="5">
                  <c:v>22319500</c:v>
                </c:pt>
                <c:pt idx="6">
                  <c:v>24539800</c:v>
                </c:pt>
                <c:pt idx="7">
                  <c:v>28318400</c:v>
                </c:pt>
                <c:pt idx="8">
                  <c:v>28541400</c:v>
                </c:pt>
                <c:pt idx="9">
                  <c:v>34124100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DC-4710-800E-7B016A7C07EB}"/>
            </c:ext>
          </c:extLst>
        </c:ser>
        <c:ser>
          <c:idx val="1"/>
          <c:order val="1"/>
          <c:tx>
            <c:v>BAIT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'ELI LILLY AND COMPANY'!$L$2:$L$11</c:f>
              <c:numCache>
                <c:formatCode>_-[$$-409]* #,##0.00_ ;_-[$$-409]* \-#,##0.00\ ;_-[$$-409]* "-"??_ ;_-@_ </c:formatCode>
                <c:ptCount val="10"/>
                <c:pt idx="0">
                  <c:v>2659800</c:v>
                </c:pt>
                <c:pt idx="1">
                  <c:v>2522700</c:v>
                </c:pt>
                <c:pt idx="2">
                  <c:v>3458800</c:v>
                </c:pt>
                <c:pt idx="3">
                  <c:v>2003300</c:v>
                </c:pt>
                <c:pt idx="4">
                  <c:v>3534500</c:v>
                </c:pt>
                <c:pt idx="5">
                  <c:v>5031600</c:v>
                </c:pt>
                <c:pt idx="6">
                  <c:v>6058000</c:v>
                </c:pt>
                <c:pt idx="7">
                  <c:v>5951900</c:v>
                </c:pt>
                <c:pt idx="8">
                  <c:v>7127300</c:v>
                </c:pt>
                <c:pt idx="9">
                  <c:v>6457900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DC-4710-800E-7B016A7C07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5176623"/>
        <c:axId val="2135174223"/>
      </c:barChart>
      <c:catAx>
        <c:axId val="2135176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35174223"/>
        <c:crosses val="autoZero"/>
        <c:auto val="1"/>
        <c:lblAlgn val="ctr"/>
        <c:lblOffset val="100"/>
        <c:noMultiLvlLbl val="0"/>
      </c:catAx>
      <c:valAx>
        <c:axId val="2135174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35176623"/>
        <c:crosses val="autoZero"/>
        <c:crossBetween val="between"/>
        <c:dispUnits>
          <c:builtInUnit val="millions"/>
          <c:dispUnitsLbl>
            <c:layout>
              <c:manualLayout>
                <c:xMode val="edge"/>
                <c:yMode val="edge"/>
                <c:x val="2.2222222222222223E-2"/>
                <c:y val="0.2877777777777778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US"/>
                    <a:t>Miles</a:t>
                  </a:r>
                  <a:r>
                    <a:rPr lang="en-US" baseline="0"/>
                    <a:t> de millones de dólares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603696412948378"/>
          <c:y val="0.19775408282298043"/>
          <c:w val="0.11285192475940506"/>
          <c:h val="0.1562510936132983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D/E de las compañías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J&amp;J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'ROCHE HOLDING AG'!$A$2:$A$11</c:f>
              <c:numCache>
                <c:formatCode>General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'JOHNSON &amp; JOHNSON'!$AA$2:$AA$11</c:f>
              <c:numCache>
                <c:formatCode>0.00%</c:formatCode>
                <c:ptCount val="10"/>
                <c:pt idx="0">
                  <c:v>6.4092277574088155E-2</c:v>
                </c:pt>
                <c:pt idx="1">
                  <c:v>6.9878855621977348E-2</c:v>
                </c:pt>
                <c:pt idx="2">
                  <c:v>8.6544961466626408E-2</c:v>
                </c:pt>
                <c:pt idx="3">
                  <c:v>9.2127413963828939E-2</c:v>
                </c:pt>
                <c:pt idx="4">
                  <c:v>8.6622933945440614E-2</c:v>
                </c:pt>
                <c:pt idx="5">
                  <c:v>7.2141680133365416E-2</c:v>
                </c:pt>
                <c:pt idx="6">
                  <c:v>8.5119924296995317E-2</c:v>
                </c:pt>
                <c:pt idx="7">
                  <c:v>7.4942537485751651E-2</c:v>
                </c:pt>
                <c:pt idx="8">
                  <c:v>8.5870147642978331E-2</c:v>
                </c:pt>
                <c:pt idx="9">
                  <c:v>7.773837535128035E-2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41-41E7-A077-53B576595F0C}"/>
            </c:ext>
          </c:extLst>
        </c:ser>
        <c:ser>
          <c:idx val="1"/>
          <c:order val="1"/>
          <c:tx>
            <c:v>Roche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'ROCHE HOLDING AG'!$T$2:$T$11</c:f>
              <c:numCache>
                <c:formatCode>0.00%</c:formatCode>
                <c:ptCount val="10"/>
                <c:pt idx="0">
                  <c:v>0.13560686503433594</c:v>
                </c:pt>
                <c:pt idx="1">
                  <c:v>0.11973428310493527</c:v>
                </c:pt>
                <c:pt idx="2">
                  <c:v>0.13679803642017296</c:v>
                </c:pt>
                <c:pt idx="3">
                  <c:v>0.10948038616311</c:v>
                </c:pt>
                <c:pt idx="4">
                  <c:v>0.10976367034938629</c:v>
                </c:pt>
                <c:pt idx="5">
                  <c:v>7.0633131849521247E-2</c:v>
                </c:pt>
                <c:pt idx="6">
                  <c:v>7.0988377845519354E-2</c:v>
                </c:pt>
                <c:pt idx="7">
                  <c:v>0.12221901988273991</c:v>
                </c:pt>
                <c:pt idx="8">
                  <c:v>0.13005742259858386</c:v>
                </c:pt>
                <c:pt idx="9">
                  <c:v>0.17919788584171276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41-41E7-A077-53B576595F0C}"/>
            </c:ext>
          </c:extLst>
        </c:ser>
        <c:ser>
          <c:idx val="2"/>
          <c:order val="2"/>
          <c:tx>
            <c:v>Pfizer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'PFIZER INC'!$T$2:$T$11</c:f>
              <c:numCache>
                <c:formatCode>0.00%</c:formatCode>
                <c:ptCount val="10"/>
                <c:pt idx="0">
                  <c:v>0.18689991577784967</c:v>
                </c:pt>
                <c:pt idx="1">
                  <c:v>0.19521290032125391</c:v>
                </c:pt>
                <c:pt idx="2">
                  <c:v>0.2135259425344388</c:v>
                </c:pt>
                <c:pt idx="3">
                  <c:v>0.20144344317502844</c:v>
                </c:pt>
                <c:pt idx="4">
                  <c:v>0.16542634951795934</c:v>
                </c:pt>
                <c:pt idx="5">
                  <c:v>0.24051442026690081</c:v>
                </c:pt>
                <c:pt idx="6">
                  <c:v>0.1946974932419159</c:v>
                </c:pt>
                <c:pt idx="7">
                  <c:v>0.11596677197770668</c:v>
                </c:pt>
                <c:pt idx="8">
                  <c:v>0.12456790886878939</c:v>
                </c:pt>
                <c:pt idx="9">
                  <c:v>0.44222374567794082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841-41E7-A077-53B576595F0C}"/>
            </c:ext>
          </c:extLst>
        </c:ser>
        <c:ser>
          <c:idx val="3"/>
          <c:order val="3"/>
          <c:tx>
            <c:v>Novartis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'NOVARTIS AG'!$T$2:$T$11</c:f>
              <c:numCache>
                <c:formatCode>0.00%</c:formatCode>
                <c:ptCount val="10"/>
                <c:pt idx="0">
                  <c:v>8.0575128891098302E-2</c:v>
                </c:pt>
                <c:pt idx="1">
                  <c:v>9.3508782761580478E-2</c:v>
                </c:pt>
                <c:pt idx="2">
                  <c:v>0.12361983972268509</c:v>
                </c:pt>
                <c:pt idx="3">
                  <c:v>0.12856818411971854</c:v>
                </c:pt>
                <c:pt idx="4">
                  <c:v>0.14741477711122725</c:v>
                </c:pt>
                <c:pt idx="5">
                  <c:v>0.12150346930271523</c:v>
                </c:pt>
                <c:pt idx="6">
                  <c:v>0.16164114128332377</c:v>
                </c:pt>
                <c:pt idx="7">
                  <c:v>0.14488945988623</c:v>
                </c:pt>
                <c:pt idx="8">
                  <c:v>0.12824049478859698</c:v>
                </c:pt>
                <c:pt idx="9">
                  <c:v>0.11451026466998719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841-41E7-A077-53B576595F0C}"/>
            </c:ext>
          </c:extLst>
        </c:ser>
        <c:ser>
          <c:idx val="4"/>
          <c:order val="4"/>
          <c:tx>
            <c:v>Eli Lilly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'ELI LILLY AND COMPANY'!$T$2:$T$11</c:f>
              <c:numCache>
                <c:formatCode>0.00%</c:formatCode>
                <c:ptCount val="10"/>
                <c:pt idx="0">
                  <c:v>0.10442551098163294</c:v>
                </c:pt>
                <c:pt idx="1">
                  <c:v>8.5453532396543713E-2</c:v>
                </c:pt>
                <c:pt idx="2">
                  <c:v>0.12691852675956325</c:v>
                </c:pt>
                <c:pt idx="3">
                  <c:v>0.14674544344026691</c:v>
                </c:pt>
                <c:pt idx="4">
                  <c:v>8.4012065920098564E-2</c:v>
                </c:pt>
                <c:pt idx="5">
                  <c:v>0.12138206199670983</c:v>
                </c:pt>
                <c:pt idx="6">
                  <c:v>0.10275140089555157</c:v>
                </c:pt>
                <c:pt idx="7">
                  <c:v>6.3901536803928488E-2</c:v>
                </c:pt>
                <c:pt idx="8">
                  <c:v>4.6714582850026054E-2</c:v>
                </c:pt>
                <c:pt idx="9">
                  <c:v>4.5584857836116252E-2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841-41E7-A077-53B576595F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0336639"/>
        <c:axId val="580340479"/>
      </c:lineChart>
      <c:catAx>
        <c:axId val="580336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80340479"/>
        <c:crosses val="autoZero"/>
        <c:auto val="1"/>
        <c:lblAlgn val="ctr"/>
        <c:lblOffset val="100"/>
        <c:noMultiLvlLbl val="0"/>
      </c:catAx>
      <c:valAx>
        <c:axId val="580340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80336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2805489938757658"/>
          <c:y val="0.14285724701079031"/>
          <c:w val="0.1663895450568679"/>
          <c:h val="0.39062773403324585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3074D4-69EA-4B95-936A-5681D17490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0</xdr:row>
      <xdr:rowOff>0</xdr:rowOff>
    </xdr:from>
    <xdr:to>
      <xdr:col>15</xdr:col>
      <xdr:colOff>304800</xdr:colOff>
      <xdr:row>15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9624791-A580-40F0-8CF4-DE84D89C42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0</xdr:row>
      <xdr:rowOff>0</xdr:rowOff>
    </xdr:from>
    <xdr:to>
      <xdr:col>23</xdr:col>
      <xdr:colOff>304800</xdr:colOff>
      <xdr:row>15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22D5E6A-9E59-4035-809C-19E1F8D0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16</xdr:row>
      <xdr:rowOff>0</xdr:rowOff>
    </xdr:from>
    <xdr:to>
      <xdr:col>7</xdr:col>
      <xdr:colOff>304800</xdr:colOff>
      <xdr:row>31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5E57900-3ADA-44F2-9FA4-86C63EAAAC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0</xdr:colOff>
      <xdr:row>16</xdr:row>
      <xdr:rowOff>0</xdr:rowOff>
    </xdr:from>
    <xdr:to>
      <xdr:col>15</xdr:col>
      <xdr:colOff>304800</xdr:colOff>
      <xdr:row>31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298AC38-5662-4BF1-B99D-C0ED03F5FD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30480</xdr:colOff>
      <xdr:row>16</xdr:row>
      <xdr:rowOff>19050</xdr:rowOff>
    </xdr:from>
    <xdr:to>
      <xdr:col>23</xdr:col>
      <xdr:colOff>335280</xdr:colOff>
      <xdr:row>31</xdr:row>
      <xdr:rowOff>19050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73A6FCE-9CB5-6D4A-7CA1-3795FB7D98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Lucas Senande López" id="{743F5DB6-1958-42C6-BD5F-77B09807DC6D}" userId="3863360b7313d4a6" providerId="Windows Live"/>
  <person displayName="Lucas Senande López" id="{D102DFAF-7AB4-4E26-AD3A-9DDD4F90D851}" userId="S::100473028@alumnos.uc3m.es::31d0fb0c-afe5-479c-baf8-21196e96574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Z11" dT="2024-04-16T20:44:33.13" personId="{D102DFAF-7AB4-4E26-AD3A-9DDD4F90D851}" id="{6D7E679E-BD2F-441B-88DC-4231C8BC6A1C}">
    <text>9% del Estado de Nueva Jersey y 21% federal de EEUU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R11" dT="2024-04-16T20:44:09.85" personId="{D102DFAF-7AB4-4E26-AD3A-9DDD4F90D851}" id="{04297985-960D-4A6D-B72C-D25F288EBCA2}">
    <text>15% es el máximo en la región de Basilea en Suiza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R11" dT="2024-04-16T20:45:44.09" personId="{D102DFAF-7AB4-4E26-AD3A-9DDD4F90D851}" id="{427EB58A-84ED-4BA1-BFBD-2D82CABA1FF1}">
    <text xml:space="preserve">7,25% del Estad de Nueva York y 21% federal
</text>
  </threadedComment>
  <threadedComment ref="W11" dT="2024-04-19T15:33:46.19" personId="{743F5DB6-1958-42C6-BD5F-77B09807DC6D}" id="{446BE28C-59F2-4B47-B53E-DA33B790B7A3}">
    <text xml:space="preserve">Se usó el spread del año anterior porque si se cogía el EBIT de ese año y los intereses nuevos, el ICR seguía siendo &gt; 8 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R11" dT="2024-04-16T20:46:36.72" personId="{D102DFAF-7AB4-4E26-AD3A-9DDD4F90D851}" id="{D1CB7C83-2261-4BA5-9694-B0C208C79A51}">
    <text>15% es el tipo corporativo máximo en Basilea, Suiza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R11" dT="2024-04-16T20:47:42.10" personId="{D102DFAF-7AB4-4E26-AD3A-9DDD4F90D851}" id="{52883D57-F86C-480B-9960-F09CA44D92A4}">
    <text xml:space="preserve">8,5% del estado de Indiana y 21% tipo federal de EEUU
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G25" dT="2024-04-22T13:41:13.47" personId="{743F5DB6-1958-42C6-BD5F-77B09807DC6D}" id="{4878338B-5766-402B-A777-9AEFE162F75E}">
    <text>3,88% era la rentabilidad del bono a 10 años de EEUU el 1 de enero de 2023. Como hemos cogido crecimiento compuesto, el retorno del mercado es la suma de retornos logarítmicos.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7"/>
  <sheetViews>
    <sheetView workbookViewId="0">
      <selection sqref="A1:B1"/>
    </sheetView>
  </sheetViews>
  <sheetFormatPr defaultRowHeight="14.4" x14ac:dyDescent="0.3"/>
  <cols>
    <col min="1" max="1" width="6.109375" customWidth="1"/>
    <col min="2" max="2" width="18.33203125" customWidth="1"/>
    <col min="3" max="3" width="32" customWidth="1"/>
    <col min="4" max="5" width="16.33203125" customWidth="1"/>
    <col min="6" max="6" width="12.88671875" customWidth="1"/>
  </cols>
  <sheetData>
    <row r="1" spans="1:6" ht="14.4" customHeight="1" x14ac:dyDescent="0.3">
      <c r="A1" s="88" t="s">
        <v>0</v>
      </c>
      <c r="B1" s="89"/>
      <c r="C1" s="90" t="s">
        <v>1</v>
      </c>
      <c r="D1" s="89"/>
      <c r="E1" s="91"/>
    </row>
    <row r="2" spans="1:6" ht="14.4" customHeight="1" x14ac:dyDescent="0.3">
      <c r="A2" s="88" t="s">
        <v>2</v>
      </c>
      <c r="B2" s="89"/>
      <c r="C2" s="90" t="s">
        <v>3</v>
      </c>
      <c r="D2" s="89"/>
      <c r="E2" s="91"/>
    </row>
    <row r="3" spans="1:6" ht="14.4" customHeight="1" x14ac:dyDescent="0.3">
      <c r="A3" s="88" t="s">
        <v>4</v>
      </c>
      <c r="B3" s="89"/>
      <c r="C3" s="90" t="s">
        <v>5</v>
      </c>
      <c r="D3" s="89"/>
      <c r="E3" s="91"/>
    </row>
    <row r="4" spans="1:6" ht="14.4" customHeight="1" x14ac:dyDescent="0.3">
      <c r="A4" s="88" t="s">
        <v>6</v>
      </c>
      <c r="B4" s="89"/>
      <c r="C4" s="90" t="s">
        <v>7</v>
      </c>
      <c r="D4" s="89"/>
      <c r="E4" s="91"/>
    </row>
    <row r="5" spans="1:6" ht="14.4" customHeight="1" x14ac:dyDescent="0.3">
      <c r="A5" s="88" t="s">
        <v>8</v>
      </c>
      <c r="B5" s="89"/>
      <c r="C5" s="90" t="s">
        <v>9</v>
      </c>
      <c r="D5" s="89"/>
      <c r="E5" s="91"/>
    </row>
    <row r="6" spans="1:6" ht="14.4" customHeight="1" x14ac:dyDescent="0.3">
      <c r="A6" s="88" t="s">
        <v>10</v>
      </c>
      <c r="B6" s="89"/>
      <c r="C6" s="90" t="s">
        <v>11</v>
      </c>
      <c r="D6" s="89"/>
      <c r="E6" s="91"/>
    </row>
    <row r="7" spans="1:6" ht="14.4" customHeight="1" x14ac:dyDescent="0.3">
      <c r="A7" s="88" t="s">
        <v>12</v>
      </c>
      <c r="B7" s="89"/>
      <c r="C7" s="90" t="s">
        <v>13</v>
      </c>
      <c r="D7" s="89"/>
      <c r="E7" s="91"/>
    </row>
    <row r="8" spans="1:6" ht="14.4" customHeight="1" x14ac:dyDescent="0.3">
      <c r="A8" s="92"/>
      <c r="B8" s="89"/>
      <c r="C8" s="89"/>
      <c r="D8" s="1" t="s">
        <v>14</v>
      </c>
      <c r="E8" s="2" t="s">
        <v>15</v>
      </c>
    </row>
    <row r="9" spans="1:6" ht="13.2" customHeight="1" x14ac:dyDescent="0.3">
      <c r="A9" s="3" t="s">
        <v>16</v>
      </c>
      <c r="B9" s="93" t="s">
        <v>17</v>
      </c>
      <c r="C9" s="89"/>
      <c r="D9" s="4" t="s">
        <v>18</v>
      </c>
      <c r="E9" s="5" t="s">
        <v>18</v>
      </c>
    </row>
    <row r="10" spans="1:6" ht="13.2" customHeight="1" x14ac:dyDescent="0.3">
      <c r="A10" s="3" t="s">
        <v>19</v>
      </c>
      <c r="B10" s="93" t="s">
        <v>20</v>
      </c>
      <c r="C10" s="89"/>
      <c r="D10" s="4" t="s">
        <v>18</v>
      </c>
      <c r="E10" s="5" t="s">
        <v>21</v>
      </c>
    </row>
    <row r="11" spans="1:6" ht="13.2" customHeight="1" x14ac:dyDescent="0.3">
      <c r="A11" s="3" t="s">
        <v>22</v>
      </c>
      <c r="B11" s="93" t="s">
        <v>23</v>
      </c>
      <c r="C11" s="89"/>
      <c r="D11" s="4" t="s">
        <v>24</v>
      </c>
      <c r="E11" s="5" t="s">
        <v>25</v>
      </c>
    </row>
    <row r="12" spans="1:6" ht="13.2" customHeight="1" x14ac:dyDescent="0.3">
      <c r="A12" s="3" t="s">
        <v>26</v>
      </c>
      <c r="B12" s="93" t="s">
        <v>27</v>
      </c>
      <c r="C12" s="89"/>
      <c r="D12" s="4" t="s">
        <v>18</v>
      </c>
      <c r="E12" s="5" t="s">
        <v>28</v>
      </c>
    </row>
    <row r="13" spans="1:6" ht="13.2" customHeight="1" x14ac:dyDescent="0.3">
      <c r="A13" s="6" t="s">
        <v>29</v>
      </c>
      <c r="B13" s="95" t="s">
        <v>30</v>
      </c>
      <c r="C13" s="96"/>
      <c r="D13" s="7" t="s">
        <v>18</v>
      </c>
      <c r="E13" s="8" t="s">
        <v>31</v>
      </c>
    </row>
    <row r="14" spans="1:6" ht="14.4" customHeight="1" x14ac:dyDescent="0.3">
      <c r="B14" s="97" t="s">
        <v>32</v>
      </c>
      <c r="C14" s="89"/>
      <c r="D14" s="89"/>
      <c r="E14" s="89"/>
    </row>
    <row r="15" spans="1:6" ht="14.4" customHeight="1" x14ac:dyDescent="0.3">
      <c r="A15" s="89"/>
      <c r="B15" s="89"/>
      <c r="C15" s="89"/>
      <c r="D15" s="9" t="s">
        <v>33</v>
      </c>
      <c r="E15" s="10" t="s">
        <v>31</v>
      </c>
    </row>
    <row r="16" spans="1:6" ht="13.2" customHeight="1" x14ac:dyDescent="0.3">
      <c r="A16" s="89"/>
      <c r="B16" s="89"/>
      <c r="C16" s="89"/>
      <c r="D16" s="89"/>
      <c r="E16" s="89"/>
      <c r="F16" s="89"/>
    </row>
    <row r="17" spans="1:6" ht="14.4" customHeight="1" x14ac:dyDescent="0.3">
      <c r="A17" s="94" t="s">
        <v>34</v>
      </c>
      <c r="B17" s="89"/>
      <c r="C17" s="89"/>
      <c r="D17" s="89"/>
      <c r="E17" s="89"/>
      <c r="F17" s="89"/>
    </row>
  </sheetData>
  <mergeCells count="24">
    <mergeCell ref="A16:F16"/>
    <mergeCell ref="A17:F17"/>
    <mergeCell ref="B11:C11"/>
    <mergeCell ref="B12:C12"/>
    <mergeCell ref="B13:C13"/>
    <mergeCell ref="B14:E14"/>
    <mergeCell ref="A15:C15"/>
    <mergeCell ref="A7:B7"/>
    <mergeCell ref="C7:E7"/>
    <mergeCell ref="A8:C8"/>
    <mergeCell ref="B9:C9"/>
    <mergeCell ref="B10:C10"/>
    <mergeCell ref="A4:B4"/>
    <mergeCell ref="C4:E4"/>
    <mergeCell ref="A5:B5"/>
    <mergeCell ref="C5:E5"/>
    <mergeCell ref="A6:B6"/>
    <mergeCell ref="C6:E6"/>
    <mergeCell ref="A1:B1"/>
    <mergeCell ref="C1:E1"/>
    <mergeCell ref="A2:B2"/>
    <mergeCell ref="C2:E2"/>
    <mergeCell ref="A3:B3"/>
    <mergeCell ref="C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V7"/>
  <sheetViews>
    <sheetView topLeftCell="DO1" workbookViewId="0">
      <selection activeCell="DI14" sqref="DI14"/>
    </sheetView>
  </sheetViews>
  <sheetFormatPr defaultRowHeight="14.4" x14ac:dyDescent="0.3"/>
  <cols>
    <col min="1" max="1" width="3" style="11" customWidth="1"/>
    <col min="2" max="2" width="31.44140625" style="11" customWidth="1"/>
    <col min="3" max="152" width="20.44140625" style="11" customWidth="1"/>
  </cols>
  <sheetData>
    <row r="1" spans="1:152" ht="81.599999999999994" customHeight="1" x14ac:dyDescent="0.3">
      <c r="A1" s="12"/>
      <c r="B1" s="13" t="s">
        <v>35</v>
      </c>
      <c r="C1" s="14" t="s">
        <v>36</v>
      </c>
      <c r="D1" s="14" t="s">
        <v>37</v>
      </c>
      <c r="E1" s="14" t="s">
        <v>38</v>
      </c>
      <c r="F1" s="14" t="s">
        <v>39</v>
      </c>
      <c r="G1" s="14" t="s">
        <v>40</v>
      </c>
      <c r="H1" s="14" t="s">
        <v>41</v>
      </c>
      <c r="I1" s="14" t="s">
        <v>42</v>
      </c>
      <c r="J1" s="14" t="s">
        <v>43</v>
      </c>
      <c r="K1" s="14" t="s">
        <v>44</v>
      </c>
      <c r="L1" s="14" t="s">
        <v>45</v>
      </c>
      <c r="M1" s="14" t="s">
        <v>46</v>
      </c>
      <c r="N1" s="14" t="s">
        <v>47</v>
      </c>
      <c r="O1" s="14" t="s">
        <v>48</v>
      </c>
      <c r="P1" s="14" t="s">
        <v>49</v>
      </c>
      <c r="Q1" s="14" t="s">
        <v>50</v>
      </c>
      <c r="R1" s="14" t="s">
        <v>51</v>
      </c>
      <c r="S1" s="14" t="s">
        <v>52</v>
      </c>
      <c r="T1" s="14" t="s">
        <v>53</v>
      </c>
      <c r="U1" s="14" t="s">
        <v>54</v>
      </c>
      <c r="V1" s="14" t="s">
        <v>55</v>
      </c>
      <c r="W1" s="14" t="s">
        <v>56</v>
      </c>
      <c r="X1" s="14" t="s">
        <v>57</v>
      </c>
      <c r="Y1" s="14" t="s">
        <v>58</v>
      </c>
      <c r="Z1" s="14" t="s">
        <v>59</v>
      </c>
      <c r="AA1" s="14" t="s">
        <v>60</v>
      </c>
      <c r="AB1" s="14" t="s">
        <v>61</v>
      </c>
      <c r="AC1" s="14" t="s">
        <v>62</v>
      </c>
      <c r="AD1" s="14" t="s">
        <v>63</v>
      </c>
      <c r="AE1" s="14" t="s">
        <v>64</v>
      </c>
      <c r="AF1" s="14" t="s">
        <v>65</v>
      </c>
      <c r="AG1" s="14" t="s">
        <v>66</v>
      </c>
      <c r="AH1" s="14" t="s">
        <v>67</v>
      </c>
      <c r="AI1" s="14" t="s">
        <v>68</v>
      </c>
      <c r="AJ1" s="14" t="s">
        <v>69</v>
      </c>
      <c r="AK1" s="14" t="s">
        <v>70</v>
      </c>
      <c r="AL1" s="14" t="s">
        <v>71</v>
      </c>
      <c r="AM1" s="14" t="s">
        <v>72</v>
      </c>
      <c r="AN1" s="14" t="s">
        <v>73</v>
      </c>
      <c r="AO1" s="14" t="s">
        <v>74</v>
      </c>
      <c r="AP1" s="14" t="s">
        <v>75</v>
      </c>
      <c r="AQ1" s="14" t="s">
        <v>76</v>
      </c>
      <c r="AR1" s="14" t="s">
        <v>77</v>
      </c>
      <c r="AS1" s="14" t="s">
        <v>78</v>
      </c>
      <c r="AT1" s="14" t="s">
        <v>79</v>
      </c>
      <c r="AU1" s="14" t="s">
        <v>80</v>
      </c>
      <c r="AV1" s="14" t="s">
        <v>81</v>
      </c>
      <c r="AW1" s="14" t="s">
        <v>82</v>
      </c>
      <c r="AX1" s="14" t="s">
        <v>83</v>
      </c>
      <c r="AY1" s="14" t="s">
        <v>84</v>
      </c>
      <c r="AZ1" s="14" t="s">
        <v>85</v>
      </c>
      <c r="BA1" s="14" t="s">
        <v>86</v>
      </c>
      <c r="BB1" s="14" t="s">
        <v>87</v>
      </c>
      <c r="BC1" s="14" t="s">
        <v>88</v>
      </c>
      <c r="BD1" s="14" t="s">
        <v>89</v>
      </c>
      <c r="BE1" s="14" t="s">
        <v>90</v>
      </c>
      <c r="BF1" s="14" t="s">
        <v>91</v>
      </c>
      <c r="BG1" s="14" t="s">
        <v>92</v>
      </c>
      <c r="BH1" s="14" t="s">
        <v>93</v>
      </c>
      <c r="BI1" s="14" t="s">
        <v>94</v>
      </c>
      <c r="BJ1" s="14" t="s">
        <v>95</v>
      </c>
      <c r="BK1" s="14" t="s">
        <v>96</v>
      </c>
      <c r="BL1" s="14" t="s">
        <v>97</v>
      </c>
      <c r="BM1" s="14" t="s">
        <v>98</v>
      </c>
      <c r="BN1" s="14" t="s">
        <v>99</v>
      </c>
      <c r="BO1" s="14" t="s">
        <v>100</v>
      </c>
      <c r="BP1" s="14" t="s">
        <v>101</v>
      </c>
      <c r="BQ1" s="14" t="s">
        <v>102</v>
      </c>
      <c r="BR1" s="14" t="s">
        <v>103</v>
      </c>
      <c r="BS1" s="14" t="s">
        <v>104</v>
      </c>
      <c r="BT1" s="14" t="s">
        <v>105</v>
      </c>
      <c r="BU1" s="14" t="s">
        <v>106</v>
      </c>
      <c r="BV1" s="14" t="s">
        <v>107</v>
      </c>
      <c r="BW1" s="14" t="s">
        <v>108</v>
      </c>
      <c r="BX1" s="14" t="s">
        <v>109</v>
      </c>
      <c r="BY1" s="14" t="s">
        <v>110</v>
      </c>
      <c r="BZ1" s="14" t="s">
        <v>111</v>
      </c>
      <c r="CA1" s="14" t="s">
        <v>112</v>
      </c>
      <c r="CB1" s="14" t="s">
        <v>113</v>
      </c>
      <c r="CC1" s="14" t="s">
        <v>114</v>
      </c>
      <c r="CD1" s="14" t="s">
        <v>115</v>
      </c>
      <c r="CE1" s="14" t="s">
        <v>116</v>
      </c>
      <c r="CF1" s="14" t="s">
        <v>117</v>
      </c>
      <c r="CG1" s="14" t="s">
        <v>118</v>
      </c>
      <c r="CH1" s="14" t="s">
        <v>119</v>
      </c>
      <c r="CI1" s="14" t="s">
        <v>120</v>
      </c>
      <c r="CJ1" s="14" t="s">
        <v>121</v>
      </c>
      <c r="CK1" s="14" t="s">
        <v>122</v>
      </c>
      <c r="CL1" s="14" t="s">
        <v>123</v>
      </c>
      <c r="CM1" s="14" t="s">
        <v>124</v>
      </c>
      <c r="CN1" s="14" t="s">
        <v>125</v>
      </c>
      <c r="CO1" s="14" t="s">
        <v>126</v>
      </c>
      <c r="CP1" s="14" t="s">
        <v>127</v>
      </c>
      <c r="CQ1" s="14" t="s">
        <v>128</v>
      </c>
      <c r="CR1" s="14" t="s">
        <v>129</v>
      </c>
      <c r="CS1" s="14" t="s">
        <v>130</v>
      </c>
      <c r="CT1" s="14" t="s">
        <v>131</v>
      </c>
      <c r="CU1" s="14" t="s">
        <v>132</v>
      </c>
      <c r="CV1" s="14" t="s">
        <v>133</v>
      </c>
      <c r="CW1" s="14" t="s">
        <v>134</v>
      </c>
      <c r="CX1" s="14" t="s">
        <v>135</v>
      </c>
      <c r="CY1" s="14" t="s">
        <v>136</v>
      </c>
      <c r="CZ1" s="14" t="s">
        <v>137</v>
      </c>
      <c r="DA1" s="14" t="s">
        <v>138</v>
      </c>
      <c r="DB1" s="14" t="s">
        <v>139</v>
      </c>
      <c r="DC1" s="14" t="s">
        <v>140</v>
      </c>
      <c r="DD1" s="14" t="s">
        <v>141</v>
      </c>
      <c r="DE1" s="14" t="s">
        <v>142</v>
      </c>
      <c r="DF1" s="14" t="s">
        <v>143</v>
      </c>
      <c r="DG1" s="14" t="s">
        <v>144</v>
      </c>
      <c r="DH1" s="14" t="s">
        <v>145</v>
      </c>
      <c r="DI1" s="14" t="s">
        <v>189</v>
      </c>
      <c r="DJ1" s="14" t="s">
        <v>190</v>
      </c>
      <c r="DK1" s="14" t="s">
        <v>191</v>
      </c>
      <c r="DL1" s="14" t="s">
        <v>192</v>
      </c>
      <c r="DM1" s="14" t="s">
        <v>193</v>
      </c>
      <c r="DN1" s="14" t="s">
        <v>194</v>
      </c>
      <c r="DO1" s="14" t="s">
        <v>195</v>
      </c>
      <c r="DP1" s="14" t="s">
        <v>196</v>
      </c>
      <c r="DQ1" s="14" t="s">
        <v>197</v>
      </c>
      <c r="DR1" s="14" t="s">
        <v>198</v>
      </c>
      <c r="DS1" s="14" t="s">
        <v>146</v>
      </c>
      <c r="DT1" s="14" t="s">
        <v>147</v>
      </c>
      <c r="DU1" s="14" t="s">
        <v>148</v>
      </c>
      <c r="DV1" s="14" t="s">
        <v>149</v>
      </c>
      <c r="DW1" s="14" t="s">
        <v>150</v>
      </c>
      <c r="DX1" s="14" t="s">
        <v>151</v>
      </c>
      <c r="DY1" s="14" t="s">
        <v>152</v>
      </c>
      <c r="DZ1" s="14" t="s">
        <v>153</v>
      </c>
      <c r="EA1" s="14" t="s">
        <v>154</v>
      </c>
      <c r="EB1" s="14" t="s">
        <v>155</v>
      </c>
      <c r="EC1" s="14" t="s">
        <v>156</v>
      </c>
      <c r="ED1" s="14" t="s">
        <v>157</v>
      </c>
      <c r="EE1" s="14" t="s">
        <v>158</v>
      </c>
      <c r="EF1" s="14" t="s">
        <v>159</v>
      </c>
      <c r="EG1" s="14" t="s">
        <v>160</v>
      </c>
      <c r="EH1" s="14" t="s">
        <v>161</v>
      </c>
      <c r="EI1" s="14" t="s">
        <v>162</v>
      </c>
      <c r="EJ1" s="14" t="s">
        <v>163</v>
      </c>
      <c r="EK1" s="14" t="s">
        <v>164</v>
      </c>
      <c r="EL1" s="14" t="s">
        <v>165</v>
      </c>
      <c r="EM1"/>
      <c r="EN1"/>
      <c r="EO1"/>
      <c r="EP1"/>
      <c r="EQ1"/>
      <c r="ER1"/>
      <c r="ES1"/>
      <c r="ET1"/>
      <c r="EU1"/>
      <c r="EV1"/>
    </row>
    <row r="2" spans="1:152" ht="18" customHeight="1" x14ac:dyDescent="0.3">
      <c r="A2" s="15" t="s">
        <v>16</v>
      </c>
      <c r="B2" s="16" t="s">
        <v>166</v>
      </c>
      <c r="C2" s="17">
        <v>131119000</v>
      </c>
      <c r="D2" s="17">
        <v>133411000</v>
      </c>
      <c r="E2" s="17">
        <v>141208000</v>
      </c>
      <c r="F2" s="17">
        <v>157303000</v>
      </c>
      <c r="G2" s="17">
        <v>152954000</v>
      </c>
      <c r="H2" s="17">
        <v>157728000</v>
      </c>
      <c r="I2" s="17">
        <v>174894000</v>
      </c>
      <c r="J2" s="17">
        <v>182018000</v>
      </c>
      <c r="K2" s="17">
        <v>187378000</v>
      </c>
      <c r="L2" s="17">
        <v>167558000</v>
      </c>
      <c r="M2" s="17">
        <v>69752000</v>
      </c>
      <c r="N2" s="17">
        <v>71150000</v>
      </c>
      <c r="O2" s="17">
        <v>70418000</v>
      </c>
      <c r="P2" s="17">
        <v>60160000</v>
      </c>
      <c r="Q2" s="17">
        <v>59752000</v>
      </c>
      <c r="R2" s="17">
        <v>59471000</v>
      </c>
      <c r="S2" s="17">
        <v>63278000</v>
      </c>
      <c r="T2" s="17">
        <v>74023000</v>
      </c>
      <c r="U2" s="17">
        <v>76804000</v>
      </c>
      <c r="V2" s="17">
        <v>68774000</v>
      </c>
      <c r="W2" s="17">
        <v>16323000</v>
      </c>
      <c r="X2" s="17">
        <v>15409000</v>
      </c>
      <c r="Y2" s="17">
        <v>16540000</v>
      </c>
      <c r="Z2" s="17">
        <v>1300000</v>
      </c>
      <c r="AA2" s="17">
        <v>15297000</v>
      </c>
      <c r="AB2" s="17">
        <v>15119000</v>
      </c>
      <c r="AC2" s="17">
        <v>14714000</v>
      </c>
      <c r="AD2" s="17">
        <v>20878000</v>
      </c>
      <c r="AE2" s="17">
        <v>17941000</v>
      </c>
      <c r="AF2" s="17">
        <v>35153000</v>
      </c>
      <c r="AG2" s="17">
        <v>292702970</v>
      </c>
      <c r="AH2" s="17">
        <v>284220453</v>
      </c>
      <c r="AI2" s="17">
        <v>313432458</v>
      </c>
      <c r="AJ2" s="17">
        <v>375360585</v>
      </c>
      <c r="AK2" s="17">
        <v>346109265</v>
      </c>
      <c r="AL2" s="17">
        <v>383911214</v>
      </c>
      <c r="AM2" s="17">
        <v>414309579</v>
      </c>
      <c r="AN2" s="17">
        <v>450358383</v>
      </c>
      <c r="AO2" s="17">
        <v>461848513</v>
      </c>
      <c r="AP2" s="17">
        <v>377316864</v>
      </c>
      <c r="AQ2" s="18">
        <v>29.48</v>
      </c>
      <c r="AR2" s="18">
        <v>26.98</v>
      </c>
      <c r="AS2" s="18">
        <v>28.12</v>
      </c>
      <c r="AT2" s="18">
        <v>29.38</v>
      </c>
      <c r="AU2" s="18">
        <v>30.12</v>
      </c>
      <c r="AV2" s="18">
        <v>29.14</v>
      </c>
      <c r="AW2" s="18">
        <v>26.07</v>
      </c>
      <c r="AX2" s="18">
        <v>25.91</v>
      </c>
      <c r="AY2" s="18">
        <v>25.21</v>
      </c>
      <c r="AZ2" s="18">
        <v>21.9</v>
      </c>
      <c r="BA2" s="18">
        <v>15.68</v>
      </c>
      <c r="BB2" s="18">
        <v>14.39</v>
      </c>
      <c r="BC2" s="18">
        <v>14.02</v>
      </c>
      <c r="BD2" s="18">
        <v>11.24</v>
      </c>
      <c r="BE2" s="18">
        <v>11.77</v>
      </c>
      <c r="BF2" s="18">
        <v>10.99</v>
      </c>
      <c r="BG2" s="18">
        <v>9.43</v>
      </c>
      <c r="BH2" s="18">
        <v>10.54</v>
      </c>
      <c r="BI2" s="18">
        <v>10.33</v>
      </c>
      <c r="BJ2" s="18">
        <v>8.99</v>
      </c>
      <c r="BK2" s="18">
        <v>104.57</v>
      </c>
      <c r="BL2" s="18">
        <v>102.72</v>
      </c>
      <c r="BM2" s="19" t="s">
        <v>167</v>
      </c>
      <c r="BN2" s="18">
        <v>139.72</v>
      </c>
      <c r="BO2" s="18">
        <v>129.05000000000001</v>
      </c>
      <c r="BP2" s="18">
        <v>145.87</v>
      </c>
      <c r="BQ2" s="18">
        <v>157.38</v>
      </c>
      <c r="BR2" s="18">
        <v>171.07</v>
      </c>
      <c r="BS2" s="19" t="s">
        <v>167</v>
      </c>
      <c r="BT2" s="18">
        <v>156.74</v>
      </c>
      <c r="BU2" s="17">
        <v>278373970</v>
      </c>
      <c r="BV2" s="17">
        <v>265705453</v>
      </c>
      <c r="BW2" s="17">
        <v>298651458</v>
      </c>
      <c r="BX2" s="17">
        <v>391645585</v>
      </c>
      <c r="BY2" s="17">
        <v>356403265</v>
      </c>
      <c r="BZ2" s="17">
        <v>392320214</v>
      </c>
      <c r="CA2" s="17">
        <v>424390579</v>
      </c>
      <c r="CB2" s="17">
        <v>452501383</v>
      </c>
      <c r="CC2" s="17">
        <v>477988513</v>
      </c>
      <c r="CD2" s="17">
        <v>383721864</v>
      </c>
      <c r="CE2" s="17">
        <v>2783</v>
      </c>
      <c r="CF2" s="17">
        <v>2755</v>
      </c>
      <c r="CG2" s="17">
        <v>2707</v>
      </c>
      <c r="CH2" s="17">
        <v>2683</v>
      </c>
      <c r="CI2" s="17">
        <v>2662</v>
      </c>
      <c r="CJ2" s="17">
        <v>2633</v>
      </c>
      <c r="CK2" s="17">
        <v>2629</v>
      </c>
      <c r="CL2" s="17">
        <v>2633</v>
      </c>
      <c r="CM2" s="17">
        <v>2614</v>
      </c>
      <c r="CN2" s="17">
        <v>2407</v>
      </c>
      <c r="CO2" s="17">
        <v>33089000</v>
      </c>
      <c r="CP2" s="17">
        <v>38376000</v>
      </c>
      <c r="CQ2" s="17">
        <v>41907000</v>
      </c>
      <c r="CR2" s="17">
        <v>18296000</v>
      </c>
      <c r="CS2" s="17">
        <v>19687000</v>
      </c>
      <c r="CT2" s="17">
        <v>19287000</v>
      </c>
      <c r="CU2" s="17">
        <v>25185000</v>
      </c>
      <c r="CV2" s="17">
        <v>31608000</v>
      </c>
      <c r="CW2" s="17">
        <v>23519000</v>
      </c>
      <c r="CX2" s="17">
        <v>22927000</v>
      </c>
      <c r="CY2" s="17">
        <v>21034000</v>
      </c>
      <c r="CZ2" s="17">
        <v>19652000</v>
      </c>
      <c r="DA2" s="17">
        <v>20215000</v>
      </c>
      <c r="DB2" s="17">
        <v>18222000</v>
      </c>
      <c r="DC2" s="17">
        <v>18393000</v>
      </c>
      <c r="DD2" s="17">
        <v>17145000</v>
      </c>
      <c r="DE2" s="17">
        <v>16087000</v>
      </c>
      <c r="DF2" s="17">
        <v>19524000</v>
      </c>
      <c r="DG2" s="17">
        <v>20131000</v>
      </c>
      <c r="DH2" s="17">
        <v>15539000</v>
      </c>
      <c r="DI2" s="17">
        <v>533000</v>
      </c>
      <c r="DJ2" s="17">
        <v>552000</v>
      </c>
      <c r="DK2" s="17">
        <v>726000</v>
      </c>
      <c r="DL2" s="17">
        <v>934000</v>
      </c>
      <c r="DM2" s="17">
        <v>1005000</v>
      </c>
      <c r="DN2" s="17">
        <v>318000</v>
      </c>
      <c r="DO2" s="17">
        <v>201000</v>
      </c>
      <c r="DP2" s="17">
        <v>183000</v>
      </c>
      <c r="DQ2" s="17">
        <v>276000</v>
      </c>
      <c r="DR2" s="17">
        <v>772000</v>
      </c>
      <c r="DS2" s="17">
        <v>74331000</v>
      </c>
      <c r="DT2" s="17">
        <v>70074000</v>
      </c>
      <c r="DU2" s="17">
        <v>71890000</v>
      </c>
      <c r="DV2" s="17">
        <v>76450000</v>
      </c>
      <c r="DW2" s="17">
        <v>81581000</v>
      </c>
      <c r="DX2" s="17">
        <v>82059000</v>
      </c>
      <c r="DY2" s="17">
        <v>82584000</v>
      </c>
      <c r="DZ2" s="17">
        <v>78740000</v>
      </c>
      <c r="EA2" s="17">
        <v>79990000</v>
      </c>
      <c r="EB2" s="17">
        <v>85159000</v>
      </c>
      <c r="EC2" s="17">
        <v>3895000</v>
      </c>
      <c r="ED2" s="17">
        <v>3746000</v>
      </c>
      <c r="EE2" s="17">
        <v>3754000</v>
      </c>
      <c r="EF2" s="17">
        <v>5642000</v>
      </c>
      <c r="EG2" s="17">
        <v>6929000</v>
      </c>
      <c r="EH2" s="17">
        <v>7009000</v>
      </c>
      <c r="EI2" s="17">
        <v>7300000</v>
      </c>
      <c r="EJ2" s="17">
        <v>7390000</v>
      </c>
      <c r="EK2" s="17">
        <v>6970000</v>
      </c>
      <c r="EL2" s="17">
        <v>7103000</v>
      </c>
      <c r="EM2"/>
      <c r="EN2"/>
      <c r="EO2"/>
      <c r="EP2"/>
      <c r="EQ2"/>
      <c r="ER2"/>
      <c r="ES2"/>
      <c r="ET2"/>
      <c r="EU2"/>
      <c r="EV2"/>
    </row>
    <row r="3" spans="1:152" ht="18" customHeight="1" x14ac:dyDescent="0.3">
      <c r="A3" s="20" t="s">
        <v>19</v>
      </c>
      <c r="B3" s="21" t="s">
        <v>168</v>
      </c>
      <c r="C3" s="22">
        <v>76474568.687796593</v>
      </c>
      <c r="D3" s="22">
        <v>76366296.384096101</v>
      </c>
      <c r="E3" s="22">
        <v>75609252.545356795</v>
      </c>
      <c r="F3" s="22">
        <v>78617860.854148895</v>
      </c>
      <c r="G3" s="22">
        <v>79736976.637363404</v>
      </c>
      <c r="H3" s="22">
        <v>85820076.055169106</v>
      </c>
      <c r="I3" s="22">
        <v>97750795.2289581</v>
      </c>
      <c r="J3" s="22">
        <v>101147150.15614</v>
      </c>
      <c r="K3" s="22">
        <v>95479013.825058907</v>
      </c>
      <c r="L3" s="22">
        <v>107693592.905045</v>
      </c>
      <c r="M3" s="22">
        <v>21795570.5473423</v>
      </c>
      <c r="N3" s="22">
        <v>23485536.551475499</v>
      </c>
      <c r="O3" s="22">
        <v>25986220.670700099</v>
      </c>
      <c r="P3" s="22">
        <v>29741617.8438663</v>
      </c>
      <c r="Q3" s="22">
        <v>30837818.976402301</v>
      </c>
      <c r="R3" s="22">
        <v>37045030.964493804</v>
      </c>
      <c r="S3" s="22">
        <v>45135043.519020103</v>
      </c>
      <c r="T3" s="22">
        <v>31056208.186745599</v>
      </c>
      <c r="U3" s="22">
        <v>34676414.647698402</v>
      </c>
      <c r="V3" s="22">
        <v>39596453.782558396</v>
      </c>
      <c r="W3" s="22">
        <v>9434839.2405509893</v>
      </c>
      <c r="X3" s="22">
        <v>8933575.5560398102</v>
      </c>
      <c r="Y3" s="22">
        <v>9425196.9223022498</v>
      </c>
      <c r="Z3" s="22">
        <v>8851635.35857201</v>
      </c>
      <c r="AA3" s="22">
        <v>10663146.2574005</v>
      </c>
      <c r="AB3" s="22">
        <v>13940301.1940718</v>
      </c>
      <c r="AC3" s="22">
        <v>16222197.146415699</v>
      </c>
      <c r="AD3" s="22">
        <v>15262408.891916299</v>
      </c>
      <c r="AE3" s="22">
        <v>13453560.7165098</v>
      </c>
      <c r="AF3" s="22">
        <v>13687280.9305191</v>
      </c>
      <c r="AG3" s="22">
        <v>191711311.431133</v>
      </c>
      <c r="AH3" s="22">
        <v>195734636.39291701</v>
      </c>
      <c r="AI3" s="22">
        <v>160842607.829494</v>
      </c>
      <c r="AJ3" s="22">
        <v>177567625.19450799</v>
      </c>
      <c r="AK3" s="22">
        <v>173660768.60041499</v>
      </c>
      <c r="AL3" s="22">
        <v>227850321.757144</v>
      </c>
      <c r="AM3" s="22">
        <v>246359369.27453601</v>
      </c>
      <c r="AN3" s="22">
        <v>291817174.58843303</v>
      </c>
      <c r="AO3" s="22">
        <v>221060886.24396399</v>
      </c>
      <c r="AP3" s="22">
        <v>204483763.245511</v>
      </c>
      <c r="AQ3" s="23">
        <v>58.05</v>
      </c>
      <c r="AR3" s="23">
        <v>51.45</v>
      </c>
      <c r="AS3" s="23">
        <v>49.27</v>
      </c>
      <c r="AT3" s="23">
        <v>42.22</v>
      </c>
      <c r="AU3" s="23">
        <v>46.59</v>
      </c>
      <c r="AV3" s="23">
        <v>46.32</v>
      </c>
      <c r="AW3" s="23">
        <v>45.17</v>
      </c>
      <c r="AX3" s="23">
        <v>61.38</v>
      </c>
      <c r="AY3" s="23">
        <v>51</v>
      </c>
      <c r="AZ3" s="23">
        <v>42.33</v>
      </c>
      <c r="BA3" s="23">
        <v>16.55</v>
      </c>
      <c r="BB3" s="23">
        <v>15.82</v>
      </c>
      <c r="BC3" s="23">
        <v>16.93</v>
      </c>
      <c r="BD3" s="23">
        <v>15.97</v>
      </c>
      <c r="BE3" s="23">
        <v>18.02</v>
      </c>
      <c r="BF3" s="23">
        <v>19.989999999999998</v>
      </c>
      <c r="BG3" s="23">
        <v>20.86</v>
      </c>
      <c r="BH3" s="23">
        <v>18.850000000000001</v>
      </c>
      <c r="BI3" s="23">
        <v>18.52</v>
      </c>
      <c r="BJ3" s="23">
        <v>15.56</v>
      </c>
      <c r="BK3" s="23">
        <v>272.87431536912902</v>
      </c>
      <c r="BL3" s="23">
        <v>278.60095720291099</v>
      </c>
      <c r="BM3" s="23">
        <v>228.937009620666</v>
      </c>
      <c r="BN3" s="23">
        <v>252.74274480342899</v>
      </c>
      <c r="BO3" s="23">
        <v>247.181885623932</v>
      </c>
      <c r="BP3" s="23">
        <v>324.31314921379101</v>
      </c>
      <c r="BQ3" s="23">
        <v>350.65819644928001</v>
      </c>
      <c r="BR3" s="23">
        <v>415.36103452444098</v>
      </c>
      <c r="BS3" s="23">
        <v>314.64933484792698</v>
      </c>
      <c r="BT3" s="23">
        <v>291.05411267280601</v>
      </c>
      <c r="BU3" s="22">
        <v>205876713.55279601</v>
      </c>
      <c r="BV3" s="22">
        <v>208609347.052659</v>
      </c>
      <c r="BW3" s="22">
        <v>172786505.55841401</v>
      </c>
      <c r="BX3" s="22">
        <v>183834414.874989</v>
      </c>
      <c r="BY3" s="22">
        <v>179390432.52272499</v>
      </c>
      <c r="BZ3" s="22">
        <v>231678043.19340599</v>
      </c>
      <c r="CA3" s="22">
        <v>249840985.28329501</v>
      </c>
      <c r="CB3" s="22">
        <v>313192216.58932298</v>
      </c>
      <c r="CC3" s="22">
        <v>239226063.50638899</v>
      </c>
      <c r="CD3" s="22">
        <v>228591852.77454799</v>
      </c>
      <c r="CE3" s="24" t="s">
        <v>167</v>
      </c>
      <c r="CF3" s="24" t="s">
        <v>167</v>
      </c>
      <c r="CG3" s="24" t="s">
        <v>167</v>
      </c>
      <c r="CH3" s="24" t="s">
        <v>167</v>
      </c>
      <c r="CI3" s="24" t="s">
        <v>167</v>
      </c>
      <c r="CJ3" s="24" t="s">
        <v>167</v>
      </c>
      <c r="CK3" s="24" t="s">
        <v>167</v>
      </c>
      <c r="CL3" s="24" t="s">
        <v>167</v>
      </c>
      <c r="CM3" s="24" t="s">
        <v>167</v>
      </c>
      <c r="CN3" s="24" t="s">
        <v>167</v>
      </c>
      <c r="CO3" s="22">
        <v>11831967.813134201</v>
      </c>
      <c r="CP3" s="22">
        <v>10561435.7075691</v>
      </c>
      <c r="CQ3" s="22">
        <v>10059055.194854699</v>
      </c>
      <c r="CR3" s="22">
        <v>13173382.495880101</v>
      </c>
      <c r="CS3" s="22">
        <v>13331979.434967</v>
      </c>
      <c r="CT3" s="22">
        <v>12266060.382366201</v>
      </c>
      <c r="CU3" s="22">
        <v>14007035.983085601</v>
      </c>
      <c r="CV3" s="22">
        <v>14290567.0622587</v>
      </c>
      <c r="CW3" s="22">
        <v>10585431.8398237</v>
      </c>
      <c r="CX3" s="22">
        <v>12534968.5335159</v>
      </c>
      <c r="CY3" s="22">
        <v>14245272.7067471</v>
      </c>
      <c r="CZ3" s="22">
        <v>13931055.8230877</v>
      </c>
      <c r="DA3" s="22">
        <v>13847441.0505295</v>
      </c>
      <c r="DB3" s="22">
        <v>13332307.954073001</v>
      </c>
      <c r="DC3" s="22">
        <v>14998476.864337901</v>
      </c>
      <c r="DD3" s="22">
        <v>18124353.956699401</v>
      </c>
      <c r="DE3" s="22">
        <v>21042896.235466</v>
      </c>
      <c r="DF3" s="22">
        <v>19891531.4739943</v>
      </c>
      <c r="DG3" s="22">
        <v>18928784.081935901</v>
      </c>
      <c r="DH3" s="22">
        <v>18326290.6527519</v>
      </c>
      <c r="DI3" s="22">
        <v>1859265.8983469</v>
      </c>
      <c r="DJ3" s="22">
        <v>1625844.22564507</v>
      </c>
      <c r="DK3" s="22">
        <v>1099409.45720673</v>
      </c>
      <c r="DL3" s="22">
        <v>863324.10192489601</v>
      </c>
      <c r="DM3" s="22">
        <v>815476.80425643898</v>
      </c>
      <c r="DN3" s="22">
        <v>1043172.86849022</v>
      </c>
      <c r="DO3" s="22">
        <v>643440.76824188197</v>
      </c>
      <c r="DP3" s="22">
        <v>479894.83809471101</v>
      </c>
      <c r="DQ3" s="22">
        <v>879501.755237579</v>
      </c>
      <c r="DR3" s="22">
        <v>1570144.6814536999</v>
      </c>
      <c r="DS3" s="22">
        <v>47985034.294366799</v>
      </c>
      <c r="DT3" s="22">
        <v>48528375.848531701</v>
      </c>
      <c r="DU3" s="22">
        <v>49779527.938842803</v>
      </c>
      <c r="DV3" s="22">
        <v>54648825.782060601</v>
      </c>
      <c r="DW3" s="22">
        <v>57729258.299827598</v>
      </c>
      <c r="DX3" s="22">
        <v>63484815.380811699</v>
      </c>
      <c r="DY3" s="22">
        <v>66185883.4676743</v>
      </c>
      <c r="DZ3" s="22">
        <v>68807935.450196296</v>
      </c>
      <c r="EA3" s="22">
        <v>68541564.745306998</v>
      </c>
      <c r="EB3" s="22">
        <v>69895841.634750396</v>
      </c>
      <c r="EC3" s="22">
        <v>4632493.93486977</v>
      </c>
      <c r="ED3" s="22">
        <v>3931055.4742813101</v>
      </c>
      <c r="EE3" s="22">
        <v>5649606.3423156701</v>
      </c>
      <c r="EF3" s="22">
        <v>7831436.4495277395</v>
      </c>
      <c r="EG3" s="22">
        <v>7172743.0491447402</v>
      </c>
      <c r="EH3" s="22">
        <v>6516215.4725789996</v>
      </c>
      <c r="EI3" s="22">
        <v>5911257.4281692496</v>
      </c>
      <c r="EJ3" s="22">
        <v>5583434.0066909799</v>
      </c>
      <c r="EK3" s="22">
        <v>7375033.8071584702</v>
      </c>
      <c r="EL3" s="22">
        <v>5643711.85350418</v>
      </c>
      <c r="EM3"/>
      <c r="EN3"/>
      <c r="EO3"/>
      <c r="EP3"/>
      <c r="EQ3"/>
      <c r="ER3"/>
      <c r="ES3"/>
      <c r="ET3"/>
      <c r="EU3"/>
      <c r="EV3"/>
    </row>
    <row r="4" spans="1:152" ht="18" customHeight="1" x14ac:dyDescent="0.3">
      <c r="A4" s="15" t="s">
        <v>22</v>
      </c>
      <c r="B4" s="16" t="s">
        <v>169</v>
      </c>
      <c r="C4" s="17">
        <v>167566000</v>
      </c>
      <c r="D4" s="17">
        <v>167381000</v>
      </c>
      <c r="E4" s="17">
        <v>171615000</v>
      </c>
      <c r="F4" s="17">
        <v>171797000</v>
      </c>
      <c r="G4" s="17">
        <v>159422000</v>
      </c>
      <c r="H4" s="17">
        <v>167594000</v>
      </c>
      <c r="I4" s="17">
        <v>154229000</v>
      </c>
      <c r="J4" s="17">
        <v>181476000</v>
      </c>
      <c r="K4" s="17">
        <v>197205000</v>
      </c>
      <c r="L4" s="17">
        <v>226502000</v>
      </c>
      <c r="M4" s="17">
        <v>71301000</v>
      </c>
      <c r="N4" s="17">
        <v>64720000</v>
      </c>
      <c r="O4" s="17">
        <v>59544000</v>
      </c>
      <c r="P4" s="17">
        <v>71308000</v>
      </c>
      <c r="Q4" s="17">
        <v>63407000</v>
      </c>
      <c r="R4" s="17">
        <v>63144000</v>
      </c>
      <c r="S4" s="17">
        <v>63238000</v>
      </c>
      <c r="T4" s="17">
        <v>77200000</v>
      </c>
      <c r="U4" s="17">
        <v>95660000</v>
      </c>
      <c r="V4" s="17">
        <v>89014000</v>
      </c>
      <c r="W4" s="17">
        <v>9134000</v>
      </c>
      <c r="X4" s="17">
        <v>6959000</v>
      </c>
      <c r="Y4" s="17">
        <v>7213000</v>
      </c>
      <c r="Z4" s="17">
        <v>21308000</v>
      </c>
      <c r="AA4" s="17">
        <v>11151000</v>
      </c>
      <c r="AB4" s="17">
        <v>16272000</v>
      </c>
      <c r="AC4" s="17">
        <v>9159000</v>
      </c>
      <c r="AD4" s="17">
        <v>21980000</v>
      </c>
      <c r="AE4" s="17">
        <v>31372000</v>
      </c>
      <c r="AF4" s="17">
        <v>2119000</v>
      </c>
      <c r="AG4" s="17">
        <v>196265471</v>
      </c>
      <c r="AH4" s="17">
        <v>199264495</v>
      </c>
      <c r="AI4" s="17">
        <v>197100172</v>
      </c>
      <c r="AJ4" s="17">
        <v>215896826</v>
      </c>
      <c r="AK4" s="17">
        <v>252317724</v>
      </c>
      <c r="AL4" s="17">
        <v>216826916</v>
      </c>
      <c r="AM4" s="17">
        <v>204604586</v>
      </c>
      <c r="AN4" s="17">
        <v>331439768</v>
      </c>
      <c r="AO4" s="17">
        <v>287626246</v>
      </c>
      <c r="AP4" s="17">
        <v>162560244</v>
      </c>
      <c r="AQ4" s="18">
        <v>17.16</v>
      </c>
      <c r="AR4" s="18">
        <v>13.85</v>
      </c>
      <c r="AS4" s="18">
        <v>14.02</v>
      </c>
      <c r="AT4" s="18">
        <v>17.260000000000002</v>
      </c>
      <c r="AU4" s="18">
        <v>5.67</v>
      </c>
      <c r="AV4" s="18">
        <v>18.190000000000001</v>
      </c>
      <c r="AW4" s="18">
        <v>11.13</v>
      </c>
      <c r="AX4" s="18">
        <v>31.49</v>
      </c>
      <c r="AY4" s="18">
        <v>36.299999999999997</v>
      </c>
      <c r="AZ4" s="18">
        <v>1.19</v>
      </c>
      <c r="BA4" s="18">
        <v>7.3</v>
      </c>
      <c r="BB4" s="18">
        <v>5.36</v>
      </c>
      <c r="BC4" s="18">
        <v>4.87</v>
      </c>
      <c r="BD4" s="18">
        <v>7.16</v>
      </c>
      <c r="BE4" s="18">
        <v>2.25</v>
      </c>
      <c r="BF4" s="18">
        <v>6.85</v>
      </c>
      <c r="BG4" s="18">
        <v>4.5599999999999996</v>
      </c>
      <c r="BH4" s="18">
        <v>13.4</v>
      </c>
      <c r="BI4" s="18">
        <v>17.61</v>
      </c>
      <c r="BJ4" s="18">
        <v>0.47</v>
      </c>
      <c r="BK4" s="18">
        <v>31.15</v>
      </c>
      <c r="BL4" s="18">
        <v>32.28</v>
      </c>
      <c r="BM4" s="18">
        <v>32.479999999999997</v>
      </c>
      <c r="BN4" s="18">
        <v>36.22</v>
      </c>
      <c r="BO4" s="18">
        <v>43.65</v>
      </c>
      <c r="BP4" s="18">
        <v>39.18</v>
      </c>
      <c r="BQ4" s="18">
        <v>36.81</v>
      </c>
      <c r="BR4" s="18">
        <v>59.05</v>
      </c>
      <c r="BS4" s="18">
        <v>51.24</v>
      </c>
      <c r="BT4" s="18">
        <v>28.79</v>
      </c>
      <c r="BU4" s="17">
        <v>196825471</v>
      </c>
      <c r="BV4" s="17">
        <v>214873495</v>
      </c>
      <c r="BW4" s="17">
        <v>221336172</v>
      </c>
      <c r="BX4" s="17">
        <v>239395826</v>
      </c>
      <c r="BY4" s="17">
        <v>275224724</v>
      </c>
      <c r="BZ4" s="17">
        <v>259330916</v>
      </c>
      <c r="CA4" s="17">
        <v>232219586</v>
      </c>
      <c r="CB4" s="17">
        <v>338806768</v>
      </c>
      <c r="CC4" s="17">
        <v>300723246</v>
      </c>
      <c r="CD4" s="17">
        <v>221758244</v>
      </c>
      <c r="CE4" s="17">
        <v>6291</v>
      </c>
      <c r="CF4" s="17">
        <v>6175</v>
      </c>
      <c r="CG4" s="17">
        <v>6070</v>
      </c>
      <c r="CH4" s="17">
        <v>5979</v>
      </c>
      <c r="CI4" s="17">
        <v>5717</v>
      </c>
      <c r="CJ4" s="17">
        <v>5534</v>
      </c>
      <c r="CK4" s="17">
        <v>5620</v>
      </c>
      <c r="CL4" s="17">
        <v>5567</v>
      </c>
      <c r="CM4" s="17">
        <v>5616</v>
      </c>
      <c r="CN4" s="17">
        <v>5646</v>
      </c>
      <c r="CO4" s="17">
        <v>36122000</v>
      </c>
      <c r="CP4" s="17">
        <v>23290000</v>
      </c>
      <c r="CQ4" s="17">
        <v>17850000</v>
      </c>
      <c r="CR4" s="17">
        <v>19992000</v>
      </c>
      <c r="CS4" s="17">
        <v>18833000</v>
      </c>
      <c r="CT4" s="17">
        <v>9646000</v>
      </c>
      <c r="CU4" s="17">
        <v>12221000</v>
      </c>
      <c r="CV4" s="17">
        <v>31069000</v>
      </c>
      <c r="CW4" s="17">
        <v>22732000</v>
      </c>
      <c r="CX4" s="17">
        <v>12690000</v>
      </c>
      <c r="CY4" s="17">
        <v>12726000</v>
      </c>
      <c r="CZ4" s="17">
        <v>10329000</v>
      </c>
      <c r="DA4" s="17">
        <v>9004000</v>
      </c>
      <c r="DB4" s="17">
        <v>12989000</v>
      </c>
      <c r="DC4" s="17">
        <v>4062000</v>
      </c>
      <c r="DD4" s="17">
        <v>12331000</v>
      </c>
      <c r="DE4" s="17">
        <v>7534000</v>
      </c>
      <c r="DF4" s="17">
        <v>23486000</v>
      </c>
      <c r="DG4" s="17">
        <v>36237000</v>
      </c>
      <c r="DH4" s="17">
        <v>-929000</v>
      </c>
      <c r="DI4" s="17">
        <v>1360000</v>
      </c>
      <c r="DJ4" s="17">
        <v>1199000</v>
      </c>
      <c r="DK4" s="17">
        <v>1186000</v>
      </c>
      <c r="DL4" s="17">
        <v>1270000</v>
      </c>
      <c r="DM4" s="17">
        <v>1316000</v>
      </c>
      <c r="DN4" s="17">
        <v>1573000</v>
      </c>
      <c r="DO4" s="17">
        <v>1449000</v>
      </c>
      <c r="DP4" s="17">
        <v>1291000</v>
      </c>
      <c r="DQ4" s="17">
        <v>1238000</v>
      </c>
      <c r="DR4" s="17">
        <v>2209000</v>
      </c>
      <c r="DS4" s="17">
        <v>49605000</v>
      </c>
      <c r="DT4" s="17">
        <v>48851000</v>
      </c>
      <c r="DU4" s="17">
        <v>52824000</v>
      </c>
      <c r="DV4" s="17">
        <v>52546000</v>
      </c>
      <c r="DW4" s="17">
        <v>40825000</v>
      </c>
      <c r="DX4" s="17">
        <v>41172000</v>
      </c>
      <c r="DY4" s="17">
        <v>41651000</v>
      </c>
      <c r="DZ4" s="17">
        <v>81288000</v>
      </c>
      <c r="EA4" s="17">
        <v>100330000</v>
      </c>
      <c r="EB4" s="17">
        <v>58496000</v>
      </c>
      <c r="EC4" s="17">
        <v>6006000</v>
      </c>
      <c r="ED4" s="17">
        <v>5975000</v>
      </c>
      <c r="EE4" s="17">
        <v>7204000</v>
      </c>
      <c r="EF4" s="17">
        <v>6664000</v>
      </c>
      <c r="EG4" s="17">
        <v>9499000</v>
      </c>
      <c r="EH4" s="17">
        <v>8853000</v>
      </c>
      <c r="EI4" s="17">
        <v>6468000</v>
      </c>
      <c r="EJ4" s="17">
        <v>5277000</v>
      </c>
      <c r="EK4" s="17">
        <v>5485000</v>
      </c>
      <c r="EL4" s="17">
        <v>15514000</v>
      </c>
      <c r="EM4"/>
      <c r="EN4"/>
      <c r="EO4"/>
      <c r="EP4"/>
      <c r="EQ4"/>
      <c r="ER4"/>
      <c r="ES4"/>
      <c r="ET4"/>
      <c r="EU4"/>
      <c r="EV4"/>
    </row>
    <row r="5" spans="1:152" ht="18" customHeight="1" x14ac:dyDescent="0.3">
      <c r="A5" s="20" t="s">
        <v>26</v>
      </c>
      <c r="B5" s="21" t="s">
        <v>170</v>
      </c>
      <c r="C5" s="22">
        <v>125387000</v>
      </c>
      <c r="D5" s="22">
        <v>131556000</v>
      </c>
      <c r="E5" s="22">
        <v>130124000</v>
      </c>
      <c r="F5" s="22">
        <v>133079000</v>
      </c>
      <c r="G5" s="22">
        <v>145563000</v>
      </c>
      <c r="H5" s="22">
        <v>118370000</v>
      </c>
      <c r="I5" s="22">
        <v>132059000</v>
      </c>
      <c r="J5" s="22">
        <v>131795000</v>
      </c>
      <c r="K5" s="22">
        <v>117453000</v>
      </c>
      <c r="L5" s="22">
        <v>99945000</v>
      </c>
      <c r="M5" s="22">
        <v>70844000</v>
      </c>
      <c r="N5" s="22">
        <v>77122000</v>
      </c>
      <c r="O5" s="22">
        <v>74891000</v>
      </c>
      <c r="P5" s="22">
        <v>74227000</v>
      </c>
      <c r="Q5" s="22">
        <v>78692000</v>
      </c>
      <c r="R5" s="22">
        <v>55551000</v>
      </c>
      <c r="S5" s="22">
        <v>56666000</v>
      </c>
      <c r="T5" s="22">
        <v>67822000</v>
      </c>
      <c r="U5" s="22">
        <v>59423000</v>
      </c>
      <c r="V5" s="22">
        <v>46750000</v>
      </c>
      <c r="W5" s="22">
        <v>10210000</v>
      </c>
      <c r="X5" s="22">
        <v>17783000</v>
      </c>
      <c r="Y5" s="22">
        <v>6712000</v>
      </c>
      <c r="Z5" s="22">
        <v>7703000</v>
      </c>
      <c r="AA5" s="22">
        <v>12611000</v>
      </c>
      <c r="AB5" s="22">
        <v>11732000</v>
      </c>
      <c r="AC5" s="22">
        <v>8072000</v>
      </c>
      <c r="AD5" s="22">
        <v>24021000</v>
      </c>
      <c r="AE5" s="22">
        <v>6955000</v>
      </c>
      <c r="AF5" s="22">
        <v>14854000</v>
      </c>
      <c r="AG5" s="22">
        <v>252671019.956</v>
      </c>
      <c r="AH5" s="22">
        <v>234213293.69499999</v>
      </c>
      <c r="AI5" s="22">
        <v>191603548.85699999</v>
      </c>
      <c r="AJ5" s="22">
        <v>221088912.42899999</v>
      </c>
      <c r="AK5" s="22">
        <v>217685096.62900001</v>
      </c>
      <c r="AL5" s="22">
        <v>239894384.63999999</v>
      </c>
      <c r="AM5" s="22">
        <v>234191615.44800001</v>
      </c>
      <c r="AN5" s="22">
        <v>214128757.36000001</v>
      </c>
      <c r="AO5" s="22">
        <v>217630164.68399999</v>
      </c>
      <c r="AP5" s="22">
        <v>230092909.801</v>
      </c>
      <c r="AQ5" s="23">
        <v>16.829999999999998</v>
      </c>
      <c r="AR5" s="23">
        <v>10.55</v>
      </c>
      <c r="AS5" s="23">
        <v>10.44</v>
      </c>
      <c r="AT5" s="23">
        <v>12.12</v>
      </c>
      <c r="AU5" s="23">
        <v>17.579999999999998</v>
      </c>
      <c r="AV5" s="23">
        <v>16.2</v>
      </c>
      <c r="AW5" s="23">
        <v>17.43</v>
      </c>
      <c r="AX5" s="23">
        <v>38.54</v>
      </c>
      <c r="AY5" s="23">
        <v>14.09</v>
      </c>
      <c r="AZ5" s="23">
        <v>19.96</v>
      </c>
      <c r="BA5" s="23">
        <v>9.51</v>
      </c>
      <c r="BB5" s="23">
        <v>6.18</v>
      </c>
      <c r="BC5" s="23">
        <v>6.01</v>
      </c>
      <c r="BD5" s="23">
        <v>6.76</v>
      </c>
      <c r="BE5" s="23">
        <v>9.5</v>
      </c>
      <c r="BF5" s="23">
        <v>7.6</v>
      </c>
      <c r="BG5" s="23">
        <v>7.48</v>
      </c>
      <c r="BH5" s="23">
        <v>19.829999999999998</v>
      </c>
      <c r="BI5" s="23">
        <v>7.13</v>
      </c>
      <c r="BJ5" s="23">
        <v>9.34</v>
      </c>
      <c r="BK5" s="23">
        <v>93.367702943086599</v>
      </c>
      <c r="BL5" s="23">
        <v>87.491183376312307</v>
      </c>
      <c r="BM5" s="23">
        <v>72.933071422576901</v>
      </c>
      <c r="BN5" s="23">
        <v>84.486824226379397</v>
      </c>
      <c r="BO5" s="23">
        <v>85.345791568756098</v>
      </c>
      <c r="BP5" s="23">
        <v>94.918402588367499</v>
      </c>
      <c r="BQ5" s="23">
        <v>94.927372598648105</v>
      </c>
      <c r="BR5" s="23">
        <v>87.958807311058095</v>
      </c>
      <c r="BS5" s="23">
        <v>90.538856798410393</v>
      </c>
      <c r="BT5" s="23">
        <v>101.029703650475</v>
      </c>
      <c r="BU5" s="22">
        <v>259524019.956</v>
      </c>
      <c r="BV5" s="22">
        <v>250810293.69499999</v>
      </c>
      <c r="BW5" s="22">
        <v>207742548.85699999</v>
      </c>
      <c r="BX5" s="22">
        <v>240059912.42899999</v>
      </c>
      <c r="BY5" s="22">
        <v>233941096.62900001</v>
      </c>
      <c r="BZ5" s="22">
        <v>257698384.63999999</v>
      </c>
      <c r="CA5" s="22">
        <v>260642615.44800001</v>
      </c>
      <c r="CB5" s="22">
        <v>216929757.36000001</v>
      </c>
      <c r="CC5" s="22">
        <v>226813164.68399999</v>
      </c>
      <c r="CD5" s="22">
        <v>242367909.801</v>
      </c>
      <c r="CE5" s="24" t="s">
        <v>167</v>
      </c>
      <c r="CF5" s="24" t="s">
        <v>167</v>
      </c>
      <c r="CG5" s="24" t="s">
        <v>167</v>
      </c>
      <c r="CH5" s="24" t="s">
        <v>167</v>
      </c>
      <c r="CI5" s="24" t="s">
        <v>167</v>
      </c>
      <c r="CJ5" s="24" t="s">
        <v>167</v>
      </c>
      <c r="CK5" s="24" t="s">
        <v>167</v>
      </c>
      <c r="CL5" s="24" t="s">
        <v>167</v>
      </c>
      <c r="CM5" s="24" t="s">
        <v>167</v>
      </c>
      <c r="CN5" s="24" t="s">
        <v>167</v>
      </c>
      <c r="CO5" s="22">
        <v>13506000</v>
      </c>
      <c r="CP5" s="22">
        <v>5304000</v>
      </c>
      <c r="CQ5" s="22">
        <v>7547000</v>
      </c>
      <c r="CR5" s="22">
        <v>9454000</v>
      </c>
      <c r="CS5" s="22">
        <v>15834000</v>
      </c>
      <c r="CT5" s="22">
        <v>11344000</v>
      </c>
      <c r="CU5" s="22">
        <v>11404000</v>
      </c>
      <c r="CV5" s="22">
        <v>28224000</v>
      </c>
      <c r="CW5" s="22">
        <v>18726000</v>
      </c>
      <c r="CX5" s="22">
        <v>14073000</v>
      </c>
      <c r="CY5" s="22">
        <v>10736000</v>
      </c>
      <c r="CZ5" s="22">
        <v>8977000</v>
      </c>
      <c r="DA5" s="22">
        <v>8268000</v>
      </c>
      <c r="DB5" s="22">
        <v>8629000</v>
      </c>
      <c r="DC5" s="22">
        <v>8169000</v>
      </c>
      <c r="DD5" s="22">
        <v>9157000</v>
      </c>
      <c r="DE5" s="22">
        <v>10152000</v>
      </c>
      <c r="DF5" s="22">
        <v>11689000</v>
      </c>
      <c r="DG5" s="22">
        <v>9197000</v>
      </c>
      <c r="DH5" s="22">
        <v>10030000</v>
      </c>
      <c r="DI5" s="22">
        <v>792000</v>
      </c>
      <c r="DJ5" s="22">
        <v>890000</v>
      </c>
      <c r="DK5" s="22">
        <v>728000</v>
      </c>
      <c r="DL5" s="22">
        <v>803000</v>
      </c>
      <c r="DM5" s="22">
        <v>1000000</v>
      </c>
      <c r="DN5" s="22">
        <v>915000</v>
      </c>
      <c r="DO5" s="22">
        <v>921000</v>
      </c>
      <c r="DP5" s="22">
        <v>905000</v>
      </c>
      <c r="DQ5" s="22">
        <v>1031000</v>
      </c>
      <c r="DR5" s="22">
        <v>1120000</v>
      </c>
      <c r="DS5" s="22">
        <v>59276000</v>
      </c>
      <c r="DT5" s="22">
        <v>50387000</v>
      </c>
      <c r="DU5" s="22">
        <v>49436000</v>
      </c>
      <c r="DV5" s="22">
        <v>50135000</v>
      </c>
      <c r="DW5" s="22">
        <v>53166000</v>
      </c>
      <c r="DX5" s="22">
        <v>50486000</v>
      </c>
      <c r="DY5" s="22">
        <v>49898000</v>
      </c>
      <c r="DZ5" s="22">
        <v>52877000</v>
      </c>
      <c r="EA5" s="22">
        <v>51828000</v>
      </c>
      <c r="EB5" s="22">
        <v>54107000</v>
      </c>
      <c r="EC5" s="22">
        <v>4774000</v>
      </c>
      <c r="ED5" s="22">
        <v>4148000</v>
      </c>
      <c r="EE5" s="22">
        <v>6063000</v>
      </c>
      <c r="EF5" s="22">
        <v>6108000</v>
      </c>
      <c r="EG5" s="22">
        <v>6729000</v>
      </c>
      <c r="EH5" s="22">
        <v>5866000</v>
      </c>
      <c r="EI5" s="22">
        <v>6471000</v>
      </c>
      <c r="EJ5" s="22">
        <v>6216000</v>
      </c>
      <c r="EK5" s="22">
        <v>7188000</v>
      </c>
      <c r="EL5" s="22">
        <v>8293000</v>
      </c>
      <c r="EM5"/>
      <c r="EN5"/>
      <c r="EO5"/>
      <c r="EP5"/>
      <c r="EQ5"/>
      <c r="ER5"/>
      <c r="ES5"/>
      <c r="ET5"/>
      <c r="EU5"/>
      <c r="EV5"/>
    </row>
    <row r="6" spans="1:152" ht="18" customHeight="1" x14ac:dyDescent="0.3">
      <c r="A6" s="15" t="s">
        <v>29</v>
      </c>
      <c r="B6" s="16" t="s">
        <v>171</v>
      </c>
      <c r="C6" s="17">
        <v>36307600</v>
      </c>
      <c r="D6" s="17">
        <v>35568900</v>
      </c>
      <c r="E6" s="17">
        <v>38805900</v>
      </c>
      <c r="F6" s="17">
        <v>44981000</v>
      </c>
      <c r="G6" s="17">
        <v>43908400</v>
      </c>
      <c r="H6" s="17">
        <v>39286100</v>
      </c>
      <c r="I6" s="17">
        <v>46633100</v>
      </c>
      <c r="J6" s="17">
        <v>48806000</v>
      </c>
      <c r="K6" s="17">
        <v>49489800</v>
      </c>
      <c r="L6" s="17">
        <v>64006300</v>
      </c>
      <c r="M6" s="17">
        <v>15373200</v>
      </c>
      <c r="N6" s="17">
        <v>14571300</v>
      </c>
      <c r="O6" s="17">
        <v>14007700</v>
      </c>
      <c r="P6" s="17">
        <v>11592200</v>
      </c>
      <c r="Q6" s="17">
        <v>9828700</v>
      </c>
      <c r="R6" s="17">
        <v>2606900</v>
      </c>
      <c r="S6" s="17">
        <v>5641600</v>
      </c>
      <c r="T6" s="17">
        <v>8979200</v>
      </c>
      <c r="U6" s="17">
        <v>10649800</v>
      </c>
      <c r="V6" s="17">
        <v>10771900</v>
      </c>
      <c r="W6" s="17">
        <v>2390500</v>
      </c>
      <c r="X6" s="17">
        <v>2408400</v>
      </c>
      <c r="Y6" s="17">
        <v>2737600</v>
      </c>
      <c r="Z6" s="17">
        <v>-204100</v>
      </c>
      <c r="AA6" s="17">
        <v>3232000</v>
      </c>
      <c r="AB6" s="17">
        <v>8318400</v>
      </c>
      <c r="AC6" s="17">
        <v>6193700</v>
      </c>
      <c r="AD6" s="17">
        <v>5581700</v>
      </c>
      <c r="AE6" s="17">
        <v>6244800</v>
      </c>
      <c r="AF6" s="17">
        <v>5240400</v>
      </c>
      <c r="AG6" s="17">
        <v>76815520.695999995</v>
      </c>
      <c r="AH6" s="17">
        <v>93366532.386000007</v>
      </c>
      <c r="AI6" s="17">
        <v>81195395.685000002</v>
      </c>
      <c r="AJ6" s="17">
        <v>92998458.283000007</v>
      </c>
      <c r="AK6" s="17">
        <v>122584772.642</v>
      </c>
      <c r="AL6" s="17">
        <v>126189980.2</v>
      </c>
      <c r="AM6" s="17">
        <v>161509233.50299999</v>
      </c>
      <c r="AN6" s="17">
        <v>264229951.96200001</v>
      </c>
      <c r="AO6" s="17">
        <v>347613079.45599997</v>
      </c>
      <c r="AP6" s="17">
        <v>553370158.36899996</v>
      </c>
      <c r="AQ6" s="18">
        <v>19.52</v>
      </c>
      <c r="AR6" s="18">
        <v>19.149999999999999</v>
      </c>
      <c r="AS6" s="18">
        <v>24.09</v>
      </c>
      <c r="AT6" s="18">
        <v>19.88</v>
      </c>
      <c r="AU6" s="18">
        <v>37.44</v>
      </c>
      <c r="AV6" s="18">
        <v>202</v>
      </c>
      <c r="AW6" s="18">
        <v>128.15</v>
      </c>
      <c r="AX6" s="18">
        <v>68.55</v>
      </c>
      <c r="AY6" s="18">
        <v>63.91</v>
      </c>
      <c r="AZ6" s="18">
        <v>60.85</v>
      </c>
      <c r="BA6" s="18">
        <v>8.26</v>
      </c>
      <c r="BB6" s="18">
        <v>7.84</v>
      </c>
      <c r="BC6" s="18">
        <v>8.69</v>
      </c>
      <c r="BD6" s="18">
        <v>5.12</v>
      </c>
      <c r="BE6" s="18">
        <v>8.3800000000000008</v>
      </c>
      <c r="BF6" s="18">
        <v>13.4</v>
      </c>
      <c r="BG6" s="18">
        <v>15.5</v>
      </c>
      <c r="BH6" s="18">
        <v>12.61</v>
      </c>
      <c r="BI6" s="18">
        <v>13.75</v>
      </c>
      <c r="BJ6" s="18">
        <v>10.24</v>
      </c>
      <c r="BK6" s="18">
        <v>68.989999999999995</v>
      </c>
      <c r="BL6" s="18">
        <v>84.26</v>
      </c>
      <c r="BM6" s="18">
        <v>73.55</v>
      </c>
      <c r="BN6" s="18">
        <v>84.46</v>
      </c>
      <c r="BO6" s="18">
        <v>115.72</v>
      </c>
      <c r="BP6" s="18">
        <v>131.43</v>
      </c>
      <c r="BQ6" s="18">
        <v>168.84</v>
      </c>
      <c r="BR6" s="18">
        <v>276.22000000000003</v>
      </c>
      <c r="BS6" s="18">
        <v>365.84</v>
      </c>
      <c r="BT6" s="18">
        <v>582.91999999999996</v>
      </c>
      <c r="BU6" s="17">
        <v>80010020.695999995</v>
      </c>
      <c r="BV6" s="17">
        <v>96893232.386000007</v>
      </c>
      <c r="BW6" s="17">
        <v>85461995.685000002</v>
      </c>
      <c r="BX6" s="17">
        <v>98611458.283000007</v>
      </c>
      <c r="BY6" s="17">
        <v>125474472.642</v>
      </c>
      <c r="BZ6" s="17">
        <v>139068680.19999999</v>
      </c>
      <c r="CA6" s="17">
        <v>174423233.50299999</v>
      </c>
      <c r="CB6" s="17">
        <v>277206051.96200001</v>
      </c>
      <c r="CC6" s="17">
        <v>361639879.45599997</v>
      </c>
      <c r="CD6" s="17">
        <v>575667758.36899996</v>
      </c>
      <c r="CE6" s="17">
        <v>1111</v>
      </c>
      <c r="CF6" s="17">
        <v>1105</v>
      </c>
      <c r="CG6" s="17">
        <v>1101</v>
      </c>
      <c r="CH6" s="17">
        <v>1100</v>
      </c>
      <c r="CI6" s="17">
        <v>1058</v>
      </c>
      <c r="CJ6" s="17">
        <v>958</v>
      </c>
      <c r="CK6" s="17">
        <v>954</v>
      </c>
      <c r="CL6" s="17">
        <v>957</v>
      </c>
      <c r="CM6" s="17">
        <v>950</v>
      </c>
      <c r="CN6" s="17">
        <v>949</v>
      </c>
      <c r="CO6" s="17">
        <v>4827000</v>
      </c>
      <c r="CP6" s="17">
        <v>4451800</v>
      </c>
      <c r="CQ6" s="17">
        <v>6038600</v>
      </c>
      <c r="CR6" s="17">
        <v>8034100</v>
      </c>
      <c r="CS6" s="17">
        <v>7408900</v>
      </c>
      <c r="CT6" s="17">
        <v>2438500</v>
      </c>
      <c r="CU6" s="17">
        <v>3681300</v>
      </c>
      <c r="CV6" s="17">
        <v>3908600</v>
      </c>
      <c r="CW6" s="17">
        <v>2211800</v>
      </c>
      <c r="CX6" s="17">
        <v>2927700</v>
      </c>
      <c r="CY6" s="17">
        <v>2659800</v>
      </c>
      <c r="CZ6" s="17">
        <v>2522700</v>
      </c>
      <c r="DA6" s="17">
        <v>3458800</v>
      </c>
      <c r="DB6" s="17">
        <v>2003300</v>
      </c>
      <c r="DC6" s="17">
        <v>3534500</v>
      </c>
      <c r="DD6" s="17">
        <v>5031600</v>
      </c>
      <c r="DE6" s="17">
        <v>6058000</v>
      </c>
      <c r="DF6" s="17">
        <v>5951900</v>
      </c>
      <c r="DG6" s="17">
        <v>7127300</v>
      </c>
      <c r="DH6" s="17">
        <v>6457900</v>
      </c>
      <c r="DI6" s="17">
        <v>148800</v>
      </c>
      <c r="DJ6" s="17">
        <v>161200</v>
      </c>
      <c r="DK6" s="17">
        <v>185200</v>
      </c>
      <c r="DL6" s="17">
        <v>225000</v>
      </c>
      <c r="DM6" s="17">
        <v>242500</v>
      </c>
      <c r="DN6" s="17">
        <v>400600</v>
      </c>
      <c r="DO6" s="17">
        <v>359600</v>
      </c>
      <c r="DP6" s="17">
        <v>339800</v>
      </c>
      <c r="DQ6" s="17">
        <v>331600</v>
      </c>
      <c r="DR6" s="17">
        <v>485900</v>
      </c>
      <c r="DS6" s="17">
        <v>19615600</v>
      </c>
      <c r="DT6" s="17">
        <v>19958700</v>
      </c>
      <c r="DU6" s="17">
        <v>21222100</v>
      </c>
      <c r="DV6" s="17">
        <v>19973800</v>
      </c>
      <c r="DW6" s="17">
        <v>21493300</v>
      </c>
      <c r="DX6" s="17">
        <v>22319500</v>
      </c>
      <c r="DY6" s="17">
        <v>24539800</v>
      </c>
      <c r="DZ6" s="17">
        <v>28318400</v>
      </c>
      <c r="EA6" s="17">
        <v>28541400</v>
      </c>
      <c r="EB6" s="17">
        <v>34124100</v>
      </c>
      <c r="EC6" s="17">
        <v>1847700</v>
      </c>
      <c r="ED6" s="17">
        <v>1654400</v>
      </c>
      <c r="EE6" s="17">
        <v>1752400</v>
      </c>
      <c r="EF6" s="17">
        <v>2297900</v>
      </c>
      <c r="EG6" s="17">
        <v>1748100</v>
      </c>
      <c r="EH6" s="17">
        <v>1730400</v>
      </c>
      <c r="EI6" s="17">
        <v>1303900</v>
      </c>
      <c r="EJ6" s="17">
        <v>1850700</v>
      </c>
      <c r="EK6" s="17">
        <v>1744100</v>
      </c>
      <c r="EL6" s="17">
        <v>1549500</v>
      </c>
      <c r="EM6"/>
      <c r="EN6"/>
      <c r="EO6"/>
      <c r="EP6"/>
      <c r="EQ6"/>
      <c r="ER6"/>
      <c r="ES6"/>
      <c r="ET6"/>
      <c r="EU6"/>
      <c r="EV6"/>
    </row>
    <row r="7" spans="1:152" x14ac:dyDescent="0.3">
      <c r="EM7"/>
      <c r="EN7"/>
      <c r="EO7"/>
      <c r="EP7"/>
      <c r="EQ7"/>
      <c r="ER7"/>
      <c r="ES7"/>
      <c r="ET7"/>
      <c r="EU7"/>
      <c r="EV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40F42-7C75-4C7D-9199-1DB0B1072644}">
  <sheetPr codeName="Sheet3"/>
  <dimension ref="A1:AH22"/>
  <sheetViews>
    <sheetView tabSelected="1" topLeftCell="P1" workbookViewId="0">
      <selection activeCell="S7" sqref="S7"/>
    </sheetView>
  </sheetViews>
  <sheetFormatPr defaultRowHeight="14.4" x14ac:dyDescent="0.3"/>
  <cols>
    <col min="1" max="1" width="5" bestFit="1" customWidth="1"/>
    <col min="2" max="2" width="16.44140625" bestFit="1" customWidth="1"/>
    <col min="3" max="4" width="15.44140625" bestFit="1" customWidth="1"/>
    <col min="5" max="5" width="16.44140625" bestFit="1" customWidth="1"/>
    <col min="6" max="7" width="7" bestFit="1" customWidth="1"/>
    <col min="8" max="8" width="12" bestFit="1" customWidth="1"/>
    <col min="9" max="9" width="16.44140625" bestFit="1" customWidth="1"/>
    <col min="10" max="10" width="25.21875" bestFit="1" customWidth="1"/>
    <col min="11" max="11" width="14.77734375" bestFit="1" customWidth="1"/>
    <col min="12" max="12" width="15.44140625" bestFit="1" customWidth="1"/>
    <col min="13" max="13" width="11.88671875" bestFit="1" customWidth="1"/>
    <col min="14" max="14" width="14.44140625" bestFit="1" customWidth="1"/>
    <col min="15" max="15" width="13.77734375" bestFit="1" customWidth="1"/>
    <col min="16" max="16" width="14.77734375" bestFit="1" customWidth="1"/>
    <col min="17" max="18" width="15.77734375" bestFit="1" customWidth="1"/>
    <col min="19" max="19" width="14.77734375" customWidth="1"/>
    <col min="20" max="20" width="15.77734375" bestFit="1" customWidth="1"/>
    <col min="21" max="21" width="14.44140625" bestFit="1" customWidth="1"/>
    <col min="22" max="22" width="15.77734375" bestFit="1" customWidth="1"/>
    <col min="23" max="24" width="14.77734375" bestFit="1" customWidth="1"/>
    <col min="25" max="25" width="12" bestFit="1" customWidth="1"/>
    <col min="26" max="26" width="6.88671875" bestFit="1" customWidth="1"/>
    <col min="27" max="27" width="12" bestFit="1" customWidth="1"/>
    <col min="30" max="30" width="12" bestFit="1" customWidth="1"/>
    <col min="31" max="31" width="19.109375" bestFit="1" customWidth="1"/>
    <col min="32" max="32" width="13.88671875" bestFit="1" customWidth="1"/>
    <col min="33" max="33" width="19.109375" bestFit="1" customWidth="1"/>
    <col min="34" max="34" width="13.77734375" bestFit="1" customWidth="1"/>
  </cols>
  <sheetData>
    <row r="1" spans="1:34" ht="15" thickBot="1" x14ac:dyDescent="0.35">
      <c r="A1" s="25" t="s">
        <v>185</v>
      </c>
      <c r="B1" s="26" t="s">
        <v>172</v>
      </c>
      <c r="C1" s="26" t="s">
        <v>173</v>
      </c>
      <c r="D1" s="26" t="s">
        <v>174</v>
      </c>
      <c r="E1" s="26" t="s">
        <v>175</v>
      </c>
      <c r="F1" s="26" t="s">
        <v>176</v>
      </c>
      <c r="G1" s="26" t="s">
        <v>177</v>
      </c>
      <c r="H1" s="26" t="s">
        <v>178</v>
      </c>
      <c r="I1" s="26" t="s">
        <v>179</v>
      </c>
      <c r="J1" s="26" t="s">
        <v>180</v>
      </c>
      <c r="K1" s="26" t="s">
        <v>181</v>
      </c>
      <c r="L1" s="26" t="s">
        <v>214</v>
      </c>
      <c r="M1" s="26" t="s">
        <v>217</v>
      </c>
      <c r="N1" s="26" t="s">
        <v>215</v>
      </c>
      <c r="O1" s="26" t="s">
        <v>216</v>
      </c>
      <c r="P1" s="26" t="s">
        <v>182</v>
      </c>
      <c r="Q1" s="26" t="s">
        <v>213</v>
      </c>
      <c r="R1" s="26" t="s">
        <v>218</v>
      </c>
      <c r="S1" s="26" t="s">
        <v>483</v>
      </c>
      <c r="T1" s="26" t="s">
        <v>484</v>
      </c>
      <c r="U1" s="26" t="s">
        <v>199</v>
      </c>
      <c r="V1" s="26" t="s">
        <v>183</v>
      </c>
      <c r="W1" s="26" t="s">
        <v>184</v>
      </c>
      <c r="X1" s="26" t="s">
        <v>186</v>
      </c>
      <c r="Y1" s="26" t="s">
        <v>188</v>
      </c>
      <c r="Z1" s="26" t="s">
        <v>187</v>
      </c>
      <c r="AA1" s="26" t="s">
        <v>202</v>
      </c>
      <c r="AB1" s="26" t="s">
        <v>204</v>
      </c>
      <c r="AC1" s="26" t="s">
        <v>206</v>
      </c>
      <c r="AD1" s="26" t="s">
        <v>205</v>
      </c>
      <c r="AE1" s="26" t="s">
        <v>212</v>
      </c>
      <c r="AF1" s="26" t="s">
        <v>221</v>
      </c>
      <c r="AG1" s="26" t="s">
        <v>210</v>
      </c>
      <c r="AH1" s="27" t="s">
        <v>208</v>
      </c>
    </row>
    <row r="2" spans="1:34" x14ac:dyDescent="0.3">
      <c r="A2" s="28">
        <v>2014</v>
      </c>
      <c r="B2" s="55">
        <v>131119000</v>
      </c>
      <c r="C2" s="55">
        <v>69752000</v>
      </c>
      <c r="D2" s="55">
        <v>16323000</v>
      </c>
      <c r="E2" s="55">
        <v>292702970</v>
      </c>
      <c r="F2" s="29">
        <v>0.29480000000000001</v>
      </c>
      <c r="G2" s="29">
        <v>0.15679999999999999</v>
      </c>
      <c r="H2" s="55">
        <v>104.57</v>
      </c>
      <c r="I2" s="53">
        <v>278373970</v>
      </c>
      <c r="J2" s="56">
        <v>2783000</v>
      </c>
      <c r="K2" s="53">
        <v>33089000</v>
      </c>
      <c r="L2" s="53"/>
      <c r="M2" s="53"/>
      <c r="N2" s="53"/>
      <c r="O2" s="53"/>
      <c r="P2" s="53">
        <v>21034000</v>
      </c>
      <c r="Q2" s="53"/>
      <c r="R2" s="53"/>
      <c r="S2" s="53"/>
      <c r="T2" s="53"/>
      <c r="U2" s="53">
        <v>533000</v>
      </c>
      <c r="V2" s="53">
        <v>74331000</v>
      </c>
      <c r="W2" s="53">
        <v>3895000</v>
      </c>
      <c r="X2" s="53">
        <v>18760000</v>
      </c>
      <c r="Y2" s="66">
        <v>39.463414634146339</v>
      </c>
      <c r="Z2" s="31"/>
      <c r="AA2" s="51">
        <f t="shared" ref="AA2:AA11" si="0">X2/E2</f>
        <v>6.4092277574088155E-2</v>
      </c>
      <c r="AB2" s="31"/>
      <c r="AC2" s="31"/>
      <c r="AD2" s="51">
        <f t="shared" ref="AD2:AD11" si="1">X2/I2</f>
        <v>6.7391358466454318E-2</v>
      </c>
      <c r="AE2" s="51">
        <f t="shared" ref="AE2:AE11" si="2">P2/V2</f>
        <v>0.28297749256703125</v>
      </c>
      <c r="AF2" s="31"/>
      <c r="AG2" s="51">
        <f t="shared" ref="AG2:AG11" si="3">W2/V2</f>
        <v>5.2400748005542772E-2</v>
      </c>
      <c r="AH2" s="32"/>
    </row>
    <row r="3" spans="1:34" x14ac:dyDescent="0.3">
      <c r="A3" s="28">
        <v>2015</v>
      </c>
      <c r="B3" s="55">
        <v>133411000</v>
      </c>
      <c r="C3" s="55">
        <v>71150000</v>
      </c>
      <c r="D3" s="55">
        <v>15409000</v>
      </c>
      <c r="E3" s="55">
        <v>284220453</v>
      </c>
      <c r="F3" s="29">
        <v>0.26979999999999998</v>
      </c>
      <c r="G3" s="29">
        <v>0.1439</v>
      </c>
      <c r="H3" s="55">
        <v>102.72</v>
      </c>
      <c r="I3" s="53">
        <v>265705453</v>
      </c>
      <c r="J3" s="56">
        <v>2755000</v>
      </c>
      <c r="K3" s="53">
        <v>38376000</v>
      </c>
      <c r="L3" s="53"/>
      <c r="M3" s="53"/>
      <c r="N3" s="53"/>
      <c r="O3" s="53"/>
      <c r="P3" s="53">
        <v>19652000</v>
      </c>
      <c r="Q3" s="53"/>
      <c r="R3" s="53"/>
      <c r="S3" s="53"/>
      <c r="T3" s="53"/>
      <c r="U3" s="53">
        <v>552000</v>
      </c>
      <c r="V3" s="53">
        <v>70074000</v>
      </c>
      <c r="W3" s="53">
        <v>3746000</v>
      </c>
      <c r="X3" s="53">
        <v>19861000</v>
      </c>
      <c r="Y3" s="66">
        <v>35.60144927536232</v>
      </c>
      <c r="Z3" s="31"/>
      <c r="AA3" s="51">
        <f t="shared" si="0"/>
        <v>6.9878855621977348E-2</v>
      </c>
      <c r="AB3" s="31"/>
      <c r="AC3" s="31"/>
      <c r="AD3" s="51">
        <f t="shared" si="1"/>
        <v>7.4748183658842712E-2</v>
      </c>
      <c r="AE3" s="51">
        <f t="shared" si="2"/>
        <v>0.28044638524987869</v>
      </c>
      <c r="AF3" s="51">
        <f t="shared" ref="AF3:AF11" si="4">V3/V2 - 1</f>
        <v>-5.7270856035839701E-2</v>
      </c>
      <c r="AG3" s="51">
        <f t="shared" si="3"/>
        <v>5.3457773211176757E-2</v>
      </c>
      <c r="AH3" s="32"/>
    </row>
    <row r="4" spans="1:34" x14ac:dyDescent="0.3">
      <c r="A4" s="28">
        <v>2016</v>
      </c>
      <c r="B4" s="55">
        <v>141208000</v>
      </c>
      <c r="C4" s="55">
        <v>70418000</v>
      </c>
      <c r="D4" s="55">
        <v>16540000</v>
      </c>
      <c r="E4" s="55">
        <v>313432458</v>
      </c>
      <c r="F4" s="29">
        <v>0.28120000000000001</v>
      </c>
      <c r="G4" s="29">
        <v>0.14019999999999999</v>
      </c>
      <c r="H4" s="55">
        <f>E4/J4</f>
        <v>115.78590986331733</v>
      </c>
      <c r="I4" s="53">
        <v>298651458</v>
      </c>
      <c r="J4" s="56">
        <v>2707000</v>
      </c>
      <c r="K4" s="53">
        <v>41907000</v>
      </c>
      <c r="L4" s="53"/>
      <c r="M4" s="53"/>
      <c r="N4" s="53"/>
      <c r="O4" s="53"/>
      <c r="P4" s="53">
        <v>20215000</v>
      </c>
      <c r="Q4" s="53"/>
      <c r="R4" s="53"/>
      <c r="S4" s="53"/>
      <c r="T4" s="53"/>
      <c r="U4" s="53">
        <v>726000</v>
      </c>
      <c r="V4" s="53">
        <v>71890000</v>
      </c>
      <c r="W4" s="53">
        <v>3754000</v>
      </c>
      <c r="X4" s="53">
        <v>27126000</v>
      </c>
      <c r="Y4" s="66">
        <v>27.844352617079888</v>
      </c>
      <c r="Z4" s="31"/>
      <c r="AA4" s="51">
        <f t="shared" si="0"/>
        <v>8.6544961466626408E-2</v>
      </c>
      <c r="AB4" s="31"/>
      <c r="AC4" s="31"/>
      <c r="AD4" s="51">
        <f t="shared" si="1"/>
        <v>9.0828285860904787E-2</v>
      </c>
      <c r="AE4" s="51">
        <f t="shared" si="2"/>
        <v>0.28119349005424954</v>
      </c>
      <c r="AF4" s="51">
        <f t="shared" si="4"/>
        <v>2.5915460798584311E-2</v>
      </c>
      <c r="AG4" s="51">
        <f t="shared" si="3"/>
        <v>5.2218667408540829E-2</v>
      </c>
      <c r="AH4" s="32"/>
    </row>
    <row r="5" spans="1:34" x14ac:dyDescent="0.3">
      <c r="A5" s="28">
        <v>2017</v>
      </c>
      <c r="B5" s="55">
        <v>157303000</v>
      </c>
      <c r="C5" s="55">
        <v>60160000</v>
      </c>
      <c r="D5" s="55">
        <v>1300000</v>
      </c>
      <c r="E5" s="55">
        <v>375360585</v>
      </c>
      <c r="F5" s="29">
        <v>0.29380000000000001</v>
      </c>
      <c r="G5" s="29">
        <v>0.1124</v>
      </c>
      <c r="H5" s="55">
        <v>139.72</v>
      </c>
      <c r="I5" s="53">
        <v>391645585</v>
      </c>
      <c r="J5" s="56">
        <v>2683000</v>
      </c>
      <c r="K5" s="53">
        <v>18296000</v>
      </c>
      <c r="L5" s="53"/>
      <c r="M5" s="53"/>
      <c r="N5" s="53"/>
      <c r="O5" s="53"/>
      <c r="P5" s="53">
        <v>18222000</v>
      </c>
      <c r="Q5" s="53"/>
      <c r="R5" s="53"/>
      <c r="S5" s="53"/>
      <c r="T5" s="53"/>
      <c r="U5" s="53">
        <v>934000</v>
      </c>
      <c r="V5" s="53">
        <v>76450000</v>
      </c>
      <c r="W5" s="53">
        <v>5642000</v>
      </c>
      <c r="X5" s="53">
        <v>34581000</v>
      </c>
      <c r="Y5" s="66">
        <v>19.509635974304068</v>
      </c>
      <c r="Z5" s="31"/>
      <c r="AA5" s="51">
        <f t="shared" si="0"/>
        <v>9.2127413963828939E-2</v>
      </c>
      <c r="AB5" s="31"/>
      <c r="AC5" s="31"/>
      <c r="AD5" s="51">
        <f t="shared" si="1"/>
        <v>8.8296667508711985E-2</v>
      </c>
      <c r="AE5" s="51">
        <f t="shared" si="2"/>
        <v>0.23835186396337477</v>
      </c>
      <c r="AF5" s="51">
        <f t="shared" si="4"/>
        <v>6.3430240645430569E-2</v>
      </c>
      <c r="AG5" s="51">
        <f t="shared" si="3"/>
        <v>7.3799869195552648E-2</v>
      </c>
      <c r="AH5" s="32"/>
    </row>
    <row r="6" spans="1:34" x14ac:dyDescent="0.3">
      <c r="A6" s="28">
        <v>2018</v>
      </c>
      <c r="B6" s="55">
        <v>152954000</v>
      </c>
      <c r="C6" s="55">
        <v>59752000</v>
      </c>
      <c r="D6" s="55">
        <v>15297000</v>
      </c>
      <c r="E6" s="55">
        <v>346109265</v>
      </c>
      <c r="F6" s="29">
        <v>0.30120000000000002</v>
      </c>
      <c r="G6" s="29">
        <v>0.1177</v>
      </c>
      <c r="H6" s="55">
        <v>129.05000000000001</v>
      </c>
      <c r="I6" s="53">
        <v>356403265</v>
      </c>
      <c r="J6" s="56">
        <v>2662000</v>
      </c>
      <c r="K6" s="53">
        <v>19687000</v>
      </c>
      <c r="L6" s="53">
        <v>-1958000</v>
      </c>
      <c r="M6" s="66">
        <f>L6/V7</f>
        <v>-2.3860880585919887E-2</v>
      </c>
      <c r="N6" s="53"/>
      <c r="O6" s="53"/>
      <c r="P6" s="53">
        <v>18393000</v>
      </c>
      <c r="Q6" s="53"/>
      <c r="R6" s="53"/>
      <c r="S6" s="53"/>
      <c r="T6" s="53"/>
      <c r="U6" s="53">
        <v>1005000</v>
      </c>
      <c r="V6" s="53">
        <v>81581000</v>
      </c>
      <c r="W6" s="53">
        <v>6929000</v>
      </c>
      <c r="X6" s="53">
        <v>29981000</v>
      </c>
      <c r="Y6" s="66">
        <v>18.301492537313433</v>
      </c>
      <c r="Z6" s="31"/>
      <c r="AA6" s="51">
        <f t="shared" si="0"/>
        <v>8.6622933945440614E-2</v>
      </c>
      <c r="AB6" s="31"/>
      <c r="AC6" s="31"/>
      <c r="AD6" s="51">
        <f t="shared" si="1"/>
        <v>8.412100265130848E-2</v>
      </c>
      <c r="AE6" s="51">
        <f t="shared" si="2"/>
        <v>0.22545690785844744</v>
      </c>
      <c r="AF6" s="51">
        <f t="shared" si="4"/>
        <v>6.7115761935905738E-2</v>
      </c>
      <c r="AG6" s="51">
        <f t="shared" si="3"/>
        <v>8.493399198342752E-2</v>
      </c>
      <c r="AH6" s="32"/>
    </row>
    <row r="7" spans="1:34" x14ac:dyDescent="0.3">
      <c r="A7" s="28">
        <v>2019</v>
      </c>
      <c r="B7" s="55">
        <v>157728000</v>
      </c>
      <c r="C7" s="55">
        <v>59471000</v>
      </c>
      <c r="D7" s="55">
        <v>15119000</v>
      </c>
      <c r="E7" s="55">
        <v>383911214</v>
      </c>
      <c r="F7" s="29">
        <v>0.29139999999999999</v>
      </c>
      <c r="G7" s="29">
        <v>0.1099</v>
      </c>
      <c r="H7" s="55">
        <v>145.87</v>
      </c>
      <c r="I7" s="53">
        <v>392320214</v>
      </c>
      <c r="J7" s="56">
        <v>2633000</v>
      </c>
      <c r="K7" s="53">
        <v>19287000</v>
      </c>
      <c r="L7" s="53">
        <v>-8440000</v>
      </c>
      <c r="M7" s="66">
        <f t="shared" ref="M7:M11" si="5">L7/V8</f>
        <v>-0.1021989731667151</v>
      </c>
      <c r="N7" s="53">
        <f>L7-L6</f>
        <v>-6482000</v>
      </c>
      <c r="O7" s="53">
        <v>3498000</v>
      </c>
      <c r="P7" s="53">
        <v>17145000</v>
      </c>
      <c r="Q7" s="53"/>
      <c r="R7" s="53"/>
      <c r="S7" s="53"/>
      <c r="T7" s="53"/>
      <c r="U7" s="53">
        <v>318000</v>
      </c>
      <c r="V7" s="53">
        <v>82059000</v>
      </c>
      <c r="W7" s="53">
        <v>7009000</v>
      </c>
      <c r="X7" s="53">
        <v>27696000</v>
      </c>
      <c r="Y7" s="66">
        <v>53.915094339622641</v>
      </c>
      <c r="Z7" s="31"/>
      <c r="AA7" s="51">
        <f t="shared" si="0"/>
        <v>7.2141680133365416E-2</v>
      </c>
      <c r="AB7" s="51">
        <v>6.3E-3</v>
      </c>
      <c r="AC7" s="31"/>
      <c r="AD7" s="51">
        <f t="shared" si="1"/>
        <v>7.0595393792276015E-2</v>
      </c>
      <c r="AE7" s="51">
        <f t="shared" si="2"/>
        <v>0.2089350345483128</v>
      </c>
      <c r="AF7" s="51">
        <f t="shared" si="4"/>
        <v>5.8592074134908856E-3</v>
      </c>
      <c r="AG7" s="51">
        <f t="shared" si="3"/>
        <v>8.5414153231211695E-2</v>
      </c>
      <c r="AH7" s="32"/>
    </row>
    <row r="8" spans="1:34" x14ac:dyDescent="0.3">
      <c r="A8" s="28">
        <v>2020</v>
      </c>
      <c r="B8" s="55">
        <v>174894000</v>
      </c>
      <c r="C8" s="55">
        <v>63278000</v>
      </c>
      <c r="D8" s="55">
        <v>14714000</v>
      </c>
      <c r="E8" s="55">
        <v>414309579</v>
      </c>
      <c r="F8" s="29">
        <v>0.26069999999999999</v>
      </c>
      <c r="G8" s="29">
        <v>9.4299999999999995E-2</v>
      </c>
      <c r="H8" s="55">
        <v>157.38</v>
      </c>
      <c r="I8" s="53">
        <v>424390579</v>
      </c>
      <c r="J8" s="56">
        <v>2629000</v>
      </c>
      <c r="K8" s="53">
        <v>25185000</v>
      </c>
      <c r="L8" s="53">
        <v>-11305000</v>
      </c>
      <c r="M8" s="66">
        <f t="shared" si="5"/>
        <v>-0.14357378714757429</v>
      </c>
      <c r="N8" s="53">
        <f t="shared" ref="N8:N11" si="6">L8-L7</f>
        <v>-2865000</v>
      </c>
      <c r="O8" s="53">
        <v>3347000</v>
      </c>
      <c r="P8" s="53">
        <v>16087000</v>
      </c>
      <c r="Q8" s="53"/>
      <c r="R8" s="53"/>
      <c r="S8" s="53"/>
      <c r="T8" s="53"/>
      <c r="U8" s="53">
        <v>201000</v>
      </c>
      <c r="V8" s="53">
        <v>82584000</v>
      </c>
      <c r="W8" s="53">
        <v>7300000</v>
      </c>
      <c r="X8" s="53">
        <v>35266000</v>
      </c>
      <c r="Y8" s="66">
        <v>80.03482587064677</v>
      </c>
      <c r="Z8" s="31"/>
      <c r="AA8" s="51">
        <f t="shared" si="0"/>
        <v>8.5119924296995317E-2</v>
      </c>
      <c r="AB8" s="51">
        <v>6.8999999999999999E-3</v>
      </c>
      <c r="AC8" s="31"/>
      <c r="AD8" s="51">
        <f t="shared" si="1"/>
        <v>8.3097980363037227E-2</v>
      </c>
      <c r="AE8" s="51">
        <f t="shared" si="2"/>
        <v>0.19479560205366658</v>
      </c>
      <c r="AF8" s="51">
        <f t="shared" si="4"/>
        <v>6.3978357035792133E-3</v>
      </c>
      <c r="AG8" s="51">
        <f t="shared" si="3"/>
        <v>8.8394846459362589E-2</v>
      </c>
      <c r="AH8" s="32"/>
    </row>
    <row r="9" spans="1:34" x14ac:dyDescent="0.3">
      <c r="A9" s="28">
        <v>2021</v>
      </c>
      <c r="B9" s="55">
        <v>182018000</v>
      </c>
      <c r="C9" s="55">
        <v>74023000</v>
      </c>
      <c r="D9" s="55">
        <v>20878000</v>
      </c>
      <c r="E9" s="55">
        <v>450358383</v>
      </c>
      <c r="F9" s="29">
        <v>0.2591</v>
      </c>
      <c r="G9" s="29">
        <v>0.10539999999999999</v>
      </c>
      <c r="H9" s="55">
        <v>171.07</v>
      </c>
      <c r="I9" s="53">
        <v>452501383</v>
      </c>
      <c r="J9" s="56">
        <v>2633000</v>
      </c>
      <c r="K9" s="53">
        <v>31608000</v>
      </c>
      <c r="L9" s="53">
        <v>-10621000</v>
      </c>
      <c r="M9" s="66">
        <f t="shared" si="5"/>
        <v>-0.13277909738717339</v>
      </c>
      <c r="N9" s="53">
        <f t="shared" si="6"/>
        <v>684000</v>
      </c>
      <c r="O9" s="53">
        <v>3652000</v>
      </c>
      <c r="P9" s="53">
        <v>19524000</v>
      </c>
      <c r="Q9" s="53"/>
      <c r="R9" s="53"/>
      <c r="S9" s="53"/>
      <c r="T9" s="53"/>
      <c r="U9" s="53">
        <v>183000</v>
      </c>
      <c r="V9" s="53">
        <v>78740000</v>
      </c>
      <c r="W9" s="53">
        <v>7390000</v>
      </c>
      <c r="X9" s="53">
        <v>33751000</v>
      </c>
      <c r="Y9" s="66">
        <v>106.68852459016394</v>
      </c>
      <c r="Z9" s="31"/>
      <c r="AA9" s="51">
        <f t="shared" si="0"/>
        <v>7.4942537485751651E-2</v>
      </c>
      <c r="AB9" s="51">
        <v>6.7000000000000002E-3</v>
      </c>
      <c r="AC9" s="31"/>
      <c r="AD9" s="51">
        <f t="shared" si="1"/>
        <v>7.4587617337735293E-2</v>
      </c>
      <c r="AE9" s="51">
        <f t="shared" si="2"/>
        <v>0.24795529591059182</v>
      </c>
      <c r="AF9" s="51">
        <f t="shared" si="4"/>
        <v>-4.6546546546546552E-2</v>
      </c>
      <c r="AG9" s="51">
        <f t="shared" si="3"/>
        <v>9.3853187706375407E-2</v>
      </c>
      <c r="AH9" s="32"/>
    </row>
    <row r="10" spans="1:34" x14ac:dyDescent="0.3">
      <c r="A10" s="28">
        <v>2022</v>
      </c>
      <c r="B10" s="55">
        <v>187378000</v>
      </c>
      <c r="C10" s="55">
        <v>76804000</v>
      </c>
      <c r="D10" s="55">
        <v>17941000</v>
      </c>
      <c r="E10" s="55">
        <v>461848513</v>
      </c>
      <c r="F10" s="29">
        <v>0.25209999999999999</v>
      </c>
      <c r="G10" s="29">
        <v>0.1033</v>
      </c>
      <c r="H10" s="55">
        <f>E10/J10</f>
        <v>176.68267521040551</v>
      </c>
      <c r="I10" s="53">
        <v>477988513</v>
      </c>
      <c r="J10" s="56">
        <v>2614000</v>
      </c>
      <c r="K10" s="53">
        <v>23519000</v>
      </c>
      <c r="L10" s="53">
        <v>-9370000</v>
      </c>
      <c r="M10" s="66">
        <f t="shared" si="5"/>
        <v>-0.11002947427752792</v>
      </c>
      <c r="N10" s="53">
        <f t="shared" si="6"/>
        <v>1251000</v>
      </c>
      <c r="O10" s="53">
        <v>4009000</v>
      </c>
      <c r="P10" s="53">
        <v>20131000</v>
      </c>
      <c r="Q10" s="53"/>
      <c r="R10" s="53"/>
      <c r="S10" s="53"/>
      <c r="T10" s="53"/>
      <c r="U10" s="53">
        <v>276000</v>
      </c>
      <c r="V10" s="53">
        <v>79990000</v>
      </c>
      <c r="W10" s="53">
        <v>6970000</v>
      </c>
      <c r="X10" s="53">
        <v>39659000</v>
      </c>
      <c r="Y10" s="66">
        <v>72.938405797101453</v>
      </c>
      <c r="Z10" s="31"/>
      <c r="AA10" s="51">
        <f t="shared" si="0"/>
        <v>8.5870147642978331E-2</v>
      </c>
      <c r="AB10" s="51">
        <v>6.8999999999999999E-3</v>
      </c>
      <c r="AC10" s="31"/>
      <c r="AD10" s="51">
        <f t="shared" si="1"/>
        <v>8.2970613145257735E-2</v>
      </c>
      <c r="AE10" s="51">
        <f t="shared" si="2"/>
        <v>0.25166895861982747</v>
      </c>
      <c r="AF10" s="51">
        <f t="shared" si="4"/>
        <v>1.5875031750063551E-2</v>
      </c>
      <c r="AG10" s="51">
        <f t="shared" si="3"/>
        <v>8.7135891986498307E-2</v>
      </c>
      <c r="AH10" s="32"/>
    </row>
    <row r="11" spans="1:34" x14ac:dyDescent="0.3">
      <c r="A11" s="28">
        <v>2023</v>
      </c>
      <c r="B11" s="55">
        <v>167558000</v>
      </c>
      <c r="C11" s="55">
        <v>68774000</v>
      </c>
      <c r="D11" s="55">
        <v>35153000</v>
      </c>
      <c r="E11" s="55">
        <v>377316864</v>
      </c>
      <c r="F11" s="29">
        <v>0.21899999999999997</v>
      </c>
      <c r="G11" s="29">
        <v>8.9900000000000008E-2</v>
      </c>
      <c r="H11" s="55">
        <v>156.74</v>
      </c>
      <c r="I11" s="53">
        <v>383721864</v>
      </c>
      <c r="J11" s="56">
        <v>2407000</v>
      </c>
      <c r="K11" s="53">
        <v>22927000</v>
      </c>
      <c r="L11" s="53">
        <v>-11108000</v>
      </c>
      <c r="M11" s="66">
        <f t="shared" si="5"/>
        <v>-0.12252097999416783</v>
      </c>
      <c r="N11" s="53">
        <f t="shared" si="6"/>
        <v>-1738000</v>
      </c>
      <c r="O11" s="53">
        <v>4543000</v>
      </c>
      <c r="P11" s="53">
        <v>15539000</v>
      </c>
      <c r="Q11" s="53"/>
      <c r="R11" s="53"/>
      <c r="S11" s="53"/>
      <c r="T11" s="53"/>
      <c r="U11" s="53">
        <v>772000</v>
      </c>
      <c r="V11" s="53">
        <v>85159000</v>
      </c>
      <c r="W11" s="53">
        <v>7103000</v>
      </c>
      <c r="X11" s="53">
        <v>29332000</v>
      </c>
      <c r="Y11" s="66">
        <v>20.128238341968913</v>
      </c>
      <c r="Z11" s="33">
        <f>9% + 21%</f>
        <v>0.3</v>
      </c>
      <c r="AA11" s="51">
        <f t="shared" si="0"/>
        <v>7.773837535128035E-2</v>
      </c>
      <c r="AB11" s="51">
        <v>5.8999999999999999E-3</v>
      </c>
      <c r="AC11" s="51">
        <f>3.94%+AB11</f>
        <v>4.53E-2</v>
      </c>
      <c r="AD11" s="51">
        <f t="shared" si="1"/>
        <v>7.6440783681797186E-2</v>
      </c>
      <c r="AE11" s="51">
        <f t="shared" si="2"/>
        <v>0.1824704376519217</v>
      </c>
      <c r="AF11" s="51">
        <f t="shared" si="4"/>
        <v>6.4620577572196414E-2</v>
      </c>
      <c r="AG11" s="51">
        <f t="shared" si="3"/>
        <v>8.3408682581993687E-2</v>
      </c>
      <c r="AH11" s="57">
        <f>Z11*X11</f>
        <v>8799600</v>
      </c>
    </row>
    <row r="12" spans="1:34" x14ac:dyDescent="0.3">
      <c r="A12" s="30">
        <v>2024</v>
      </c>
      <c r="B12" s="52"/>
      <c r="C12" s="52"/>
      <c r="D12" s="52"/>
      <c r="E12" s="52"/>
      <c r="F12" s="52"/>
      <c r="G12" s="52"/>
      <c r="H12" s="52"/>
      <c r="I12" s="52"/>
      <c r="J12" s="54"/>
      <c r="K12" s="54"/>
      <c r="L12" s="54">
        <f>AVERAGE($M$7:$M$11)*V12</f>
        <v>-11080754.466248915</v>
      </c>
      <c r="M12" s="54"/>
      <c r="N12" s="86">
        <f>L12-L11</f>
        <v>27245.533751085401</v>
      </c>
      <c r="O12" s="86">
        <f t="shared" ref="O12:O17" si="7">O11*(1+ AF12)</f>
        <v>4836571.2839104887</v>
      </c>
      <c r="P12" s="54">
        <f t="shared" ref="P12:P17" si="8">$AE$11 * V12</f>
        <v>16543139.154894359</v>
      </c>
      <c r="Q12" s="86">
        <f>P12*(1-$Z$11)</f>
        <v>11580197.40842605</v>
      </c>
      <c r="R12" s="87">
        <f>Q12-N12-O12+W12</f>
        <v>14662122.964264639</v>
      </c>
      <c r="S12" s="103">
        <f>1/ ((1 + Cálculos!$G$32)^(A12 - 2023))</f>
        <v>0.92343592589933743</v>
      </c>
      <c r="T12" s="98">
        <f>R12*S12</f>
        <v>13539531.095155654</v>
      </c>
      <c r="U12" s="54"/>
      <c r="V12" s="54">
        <f t="shared" ref="V12:V17" si="9">V11*(1+AF12)</f>
        <v>90662023.765470669</v>
      </c>
      <c r="W12" s="86">
        <f t="shared" ref="W12:W17" si="10">V12*$AG$13</f>
        <v>7945742.3735001637</v>
      </c>
      <c r="X12" s="54"/>
      <c r="AF12" s="65">
        <f>AF11</f>
        <v>6.4620577572196414E-2</v>
      </c>
      <c r="AG12" s="51" t="s">
        <v>211</v>
      </c>
    </row>
    <row r="13" spans="1:34" x14ac:dyDescent="0.3">
      <c r="A13" s="30">
        <v>2025</v>
      </c>
      <c r="B13" s="52"/>
      <c r="C13" s="52"/>
      <c r="D13" s="52"/>
      <c r="E13" s="52"/>
      <c r="F13" s="52"/>
      <c r="G13" s="52"/>
      <c r="H13" s="52"/>
      <c r="I13" s="52"/>
      <c r="J13" s="54"/>
      <c r="K13" s="54"/>
      <c r="L13" s="54">
        <f t="shared" ref="L13:L17" si="11">AVERAGE($M$7:$M$11)*V13</f>
        <v>-11741395.447462371</v>
      </c>
      <c r="M13" s="54"/>
      <c r="N13" s="86">
        <f t="shared" ref="N13:N17" si="12">L13-L12</f>
        <v>-660640.98121345602</v>
      </c>
      <c r="O13" s="86">
        <f t="shared" si="7"/>
        <v>5124930.4573263321</v>
      </c>
      <c r="P13" s="54">
        <f t="shared" si="8"/>
        <v>17529450.66616638</v>
      </c>
      <c r="Q13" s="86">
        <f t="shared" ref="Q13:Q17" si="13">P13*(1-$Z$11)</f>
        <v>12270615.466316465</v>
      </c>
      <c r="R13" s="87">
        <f t="shared" ref="R13:R17" si="14">Q13-N13-O13+W13</f>
        <v>16225798.113251708</v>
      </c>
      <c r="S13" s="103">
        <f>1/ ((1 + Cálculos!$G$32)^(A13 - 2023))</f>
        <v>0.85273390924156678</v>
      </c>
      <c r="T13" s="98">
        <f t="shared" ref="T13:T17" si="15">R13*S13</f>
        <v>13836288.255677568</v>
      </c>
      <c r="U13" s="54"/>
      <c r="V13" s="54">
        <f t="shared" si="9"/>
        <v>96067345.986232236</v>
      </c>
      <c r="W13" s="86">
        <f t="shared" si="10"/>
        <v>8419472.1230481192</v>
      </c>
      <c r="X13" s="54"/>
      <c r="AF13" s="65">
        <f>AF12 - 0.005</f>
        <v>5.9620577572196416E-2</v>
      </c>
      <c r="AG13" s="51">
        <f>AVERAGE(AG7:AG11)</f>
        <v>8.7641352393088331E-2</v>
      </c>
    </row>
    <row r="14" spans="1:34" x14ac:dyDescent="0.3">
      <c r="A14" s="30">
        <v>2026</v>
      </c>
      <c r="B14" s="52"/>
      <c r="C14" s="52"/>
      <c r="D14" s="52"/>
      <c r="E14" s="52"/>
      <c r="F14" s="52"/>
      <c r="G14" s="52"/>
      <c r="H14" s="52"/>
      <c r="I14" s="52"/>
      <c r="J14" s="54"/>
      <c r="K14" s="54"/>
      <c r="L14" s="54">
        <f t="shared" si="11"/>
        <v>-12382717.248306323</v>
      </c>
      <c r="M14" s="54"/>
      <c r="N14" s="86">
        <f t="shared" si="12"/>
        <v>-641321.80084395222</v>
      </c>
      <c r="O14" s="86">
        <f t="shared" si="7"/>
        <v>5404857.1189228371</v>
      </c>
      <c r="P14" s="54">
        <f t="shared" si="8"/>
        <v>18486919.386075709</v>
      </c>
      <c r="Q14" s="86">
        <f t="shared" si="13"/>
        <v>12940843.570252996</v>
      </c>
      <c r="R14" s="87">
        <f t="shared" si="14"/>
        <v>17056656.805436127</v>
      </c>
      <c r="S14" s="103">
        <f>1/ ((1 + Cálculos!$G$32)^(A14 - 2023))</f>
        <v>0.7874451270262478</v>
      </c>
      <c r="T14" s="98">
        <f t="shared" si="15"/>
        <v>13431181.284799766</v>
      </c>
      <c r="U14" s="54"/>
      <c r="V14" s="54">
        <f t="shared" si="9"/>
        <v>101314599.90982826</v>
      </c>
      <c r="W14" s="86">
        <f t="shared" si="10"/>
        <v>8879348.5532620139</v>
      </c>
      <c r="X14" s="54"/>
      <c r="Y14" s="46"/>
      <c r="AF14" s="65">
        <f t="shared" ref="AF14:AF17" si="16">AF13 - 0.005</f>
        <v>5.4620577572196419E-2</v>
      </c>
    </row>
    <row r="15" spans="1:34" x14ac:dyDescent="0.3">
      <c r="A15" s="30">
        <v>2027</v>
      </c>
      <c r="B15" s="52"/>
      <c r="C15" s="52"/>
      <c r="D15" s="52"/>
      <c r="E15" s="52"/>
      <c r="F15" s="52"/>
      <c r="G15" s="52"/>
      <c r="H15" s="52"/>
      <c r="I15" s="52"/>
      <c r="J15" s="54"/>
      <c r="K15" s="54"/>
      <c r="L15" s="54">
        <f t="shared" si="11"/>
        <v>-12997154.830080481</v>
      </c>
      <c r="M15" s="54"/>
      <c r="N15" s="86">
        <f t="shared" si="12"/>
        <v>-614437.5817741584</v>
      </c>
      <c r="O15" s="86">
        <f t="shared" si="7"/>
        <v>5673049.2508589858</v>
      </c>
      <c r="P15" s="54">
        <f t="shared" si="8"/>
        <v>19404251.003543422</v>
      </c>
      <c r="Q15" s="86">
        <f t="shared" si="13"/>
        <v>13582975.702480394</v>
      </c>
      <c r="R15" s="87">
        <f t="shared" si="14"/>
        <v>17844310.990335286</v>
      </c>
      <c r="S15" s="103">
        <f>1/ ((1 + Cálculos!$G$32)^(A15 - 2023))</f>
        <v>0.7271551199704045</v>
      </c>
      <c r="T15" s="98">
        <f t="shared" si="15"/>
        <v>12975582.098966463</v>
      </c>
      <c r="U15" s="54"/>
      <c r="V15" s="54">
        <f t="shared" si="9"/>
        <v>106341888.87384994</v>
      </c>
      <c r="W15" s="86">
        <f t="shared" si="10"/>
        <v>9319946.9569397215</v>
      </c>
      <c r="X15" s="54"/>
      <c r="AF15" s="65">
        <f t="shared" si="16"/>
        <v>4.9620577572196421E-2</v>
      </c>
    </row>
    <row r="16" spans="1:34" x14ac:dyDescent="0.3">
      <c r="A16" s="30">
        <v>2028</v>
      </c>
      <c r="B16" s="52"/>
      <c r="C16" s="52"/>
      <c r="D16" s="52"/>
      <c r="E16" s="52"/>
      <c r="F16" s="52"/>
      <c r="G16" s="52"/>
      <c r="H16" s="52"/>
      <c r="I16" s="52"/>
      <c r="J16" s="54"/>
      <c r="K16" s="54"/>
      <c r="L16" s="54">
        <f t="shared" si="11"/>
        <v>-13577095.385393936</v>
      </c>
      <c r="M16" s="54"/>
      <c r="N16" s="86">
        <f t="shared" si="12"/>
        <v>-579940.55531345494</v>
      </c>
      <c r="O16" s="86">
        <f t="shared" si="7"/>
        <v>5926183.9850278301</v>
      </c>
      <c r="P16" s="54">
        <f t="shared" si="8"/>
        <v>20270079.8906774</v>
      </c>
      <c r="Q16" s="86">
        <f t="shared" si="13"/>
        <v>14189055.92347418</v>
      </c>
      <c r="R16" s="87">
        <f t="shared" si="14"/>
        <v>18578620.866860412</v>
      </c>
      <c r="S16" s="103">
        <f>1/ ((1 + Cálculos!$G$32)^(A16 - 2023))</f>
        <v>0.67148116148231429</v>
      </c>
      <c r="T16" s="98">
        <f t="shared" si="15"/>
        <v>12475193.91841899</v>
      </c>
      <c r="U16" s="54"/>
      <c r="V16" s="54">
        <f t="shared" si="9"/>
        <v>111086925.37551945</v>
      </c>
      <c r="W16" s="86">
        <f t="shared" si="10"/>
        <v>9735808.3731006067</v>
      </c>
      <c r="X16" s="54"/>
      <c r="AF16" s="65">
        <f t="shared" si="16"/>
        <v>4.4620577572196424E-2</v>
      </c>
    </row>
    <row r="17" spans="1:32" x14ac:dyDescent="0.3">
      <c r="A17" s="30">
        <v>2029</v>
      </c>
      <c r="B17" s="52"/>
      <c r="C17" s="52"/>
      <c r="D17" s="52"/>
      <c r="E17" s="52"/>
      <c r="F17" s="52"/>
      <c r="G17" s="52"/>
      <c r="H17" s="52"/>
      <c r="I17" s="52"/>
      <c r="J17" s="54"/>
      <c r="K17" s="54"/>
      <c r="L17" s="54">
        <f t="shared" si="11"/>
        <v>-14115027.746316046</v>
      </c>
      <c r="M17" s="54"/>
      <c r="N17" s="86">
        <f t="shared" si="12"/>
        <v>-537932.36092210934</v>
      </c>
      <c r="O17" s="86">
        <f t="shared" si="7"/>
        <v>6160982.8173137335</v>
      </c>
      <c r="P17" s="54">
        <f t="shared" si="8"/>
        <v>21073192.163380604</v>
      </c>
      <c r="Q17" s="86">
        <f t="shared" si="13"/>
        <v>14751234.514366422</v>
      </c>
      <c r="R17" s="87">
        <f t="shared" si="14"/>
        <v>19249730.781949878</v>
      </c>
      <c r="S17" s="103">
        <f>1/ ((1 + Cálculos!$G$32)^(A17 - 2023))</f>
        <v>0.62006982807738353</v>
      </c>
      <c r="T17" s="98">
        <f t="shared" si="15"/>
        <v>11936177.256499579</v>
      </c>
      <c r="U17" s="54"/>
      <c r="V17" s="54">
        <f t="shared" si="9"/>
        <v>115488253.51961702</v>
      </c>
      <c r="W17" s="86">
        <f t="shared" si="10"/>
        <v>10121546.723975079</v>
      </c>
      <c r="X17" s="54"/>
      <c r="AF17" s="65">
        <f t="shared" si="16"/>
        <v>3.9620577572196426E-2</v>
      </c>
    </row>
    <row r="18" spans="1:32" ht="15" thickBot="1" x14ac:dyDescent="0.35">
      <c r="R18" s="87">
        <f>R17*(1+AF18)/(Cálculos!G32-AF18)</f>
        <v>415833230.41473943</v>
      </c>
      <c r="T18" s="98">
        <f>R18*S17</f>
        <v>257845639.69213051</v>
      </c>
      <c r="AF18" s="85">
        <v>3.5000000000000003E-2</v>
      </c>
    </row>
    <row r="19" spans="1:32" x14ac:dyDescent="0.3">
      <c r="T19" s="101" t="s">
        <v>485</v>
      </c>
    </row>
    <row r="20" spans="1:32" x14ac:dyDescent="0.3">
      <c r="T20" s="99">
        <f>SUM(T12:T18)</f>
        <v>336039593.60164851</v>
      </c>
    </row>
    <row r="21" spans="1:32" x14ac:dyDescent="0.3">
      <c r="T21" s="102" t="s">
        <v>486</v>
      </c>
    </row>
    <row r="22" spans="1:32" ht="15" thickBot="1" x14ac:dyDescent="0.35">
      <c r="T22" s="100">
        <f>(T20-X11+K11)/J11</f>
        <v>136.94831474933466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43F43-DDA8-48B7-AA53-77749AB56B8E}">
  <sheetPr codeName="Sheet4"/>
  <dimension ref="A1:X11"/>
  <sheetViews>
    <sheetView topLeftCell="H1" workbookViewId="0">
      <selection activeCell="Q11" sqref="Q11"/>
    </sheetView>
  </sheetViews>
  <sheetFormatPr defaultRowHeight="14.4" x14ac:dyDescent="0.3"/>
  <cols>
    <col min="1" max="1" width="5" bestFit="1" customWidth="1"/>
    <col min="2" max="2" width="15.77734375" bestFit="1" customWidth="1"/>
    <col min="3" max="4" width="14.77734375" bestFit="1" customWidth="1"/>
    <col min="5" max="5" width="15.77734375" bestFit="1" customWidth="1"/>
    <col min="6" max="7" width="7" bestFit="1" customWidth="1"/>
    <col min="8" max="8" width="12" bestFit="1" customWidth="1"/>
    <col min="9" max="9" width="15.77734375" bestFit="1" customWidth="1"/>
    <col min="10" max="10" width="23.88671875" bestFit="1" customWidth="1"/>
    <col min="11" max="12" width="14.77734375" bestFit="1" customWidth="1"/>
    <col min="13" max="13" width="14.109375" bestFit="1" customWidth="1"/>
    <col min="14" max="14" width="14.77734375" bestFit="1" customWidth="1"/>
    <col min="15" max="15" width="13.77734375" bestFit="1" customWidth="1"/>
    <col min="16" max="16" width="14.77734375" bestFit="1" customWidth="1"/>
    <col min="17" max="17" width="12" bestFit="1" customWidth="1"/>
    <col min="18" max="18" width="6.88671875" bestFit="1" customWidth="1"/>
    <col min="19" max="19" width="13.88671875" bestFit="1" customWidth="1"/>
    <col min="24" max="24" width="13.77734375" bestFit="1" customWidth="1"/>
  </cols>
  <sheetData>
    <row r="1" spans="1:24" ht="15" thickBot="1" x14ac:dyDescent="0.35">
      <c r="A1" s="25" t="s">
        <v>185</v>
      </c>
      <c r="B1" s="26" t="s">
        <v>172</v>
      </c>
      <c r="C1" s="26" t="s">
        <v>173</v>
      </c>
      <c r="D1" s="26" t="s">
        <v>174</v>
      </c>
      <c r="E1" s="26" t="s">
        <v>175</v>
      </c>
      <c r="F1" s="26" t="s">
        <v>176</v>
      </c>
      <c r="G1" s="26" t="s">
        <v>177</v>
      </c>
      <c r="H1" s="26" t="s">
        <v>178</v>
      </c>
      <c r="I1" s="26" t="s">
        <v>179</v>
      </c>
      <c r="J1" s="26" t="s">
        <v>180</v>
      </c>
      <c r="K1" s="26" t="s">
        <v>181</v>
      </c>
      <c r="L1" s="26" t="s">
        <v>182</v>
      </c>
      <c r="M1" s="26" t="s">
        <v>199</v>
      </c>
      <c r="N1" s="26" t="s">
        <v>183</v>
      </c>
      <c r="O1" s="26" t="s">
        <v>184</v>
      </c>
      <c r="P1" s="26" t="s">
        <v>186</v>
      </c>
      <c r="Q1" s="26" t="s">
        <v>188</v>
      </c>
      <c r="R1" s="26" t="s">
        <v>187</v>
      </c>
      <c r="S1" s="26" t="s">
        <v>221</v>
      </c>
      <c r="T1" s="26" t="s">
        <v>202</v>
      </c>
      <c r="U1" s="26" t="s">
        <v>207</v>
      </c>
      <c r="V1" s="26" t="s">
        <v>205</v>
      </c>
      <c r="W1" s="26" t="s">
        <v>206</v>
      </c>
      <c r="X1" s="27" t="s">
        <v>208</v>
      </c>
    </row>
    <row r="2" spans="1:24" x14ac:dyDescent="0.3">
      <c r="A2" s="28">
        <v>2014</v>
      </c>
      <c r="B2" s="55">
        <v>76474568.687796593</v>
      </c>
      <c r="C2" s="55">
        <v>21795570.5473423</v>
      </c>
      <c r="D2" s="55">
        <v>9434839.2405509893</v>
      </c>
      <c r="E2" s="55">
        <v>191711311.431133</v>
      </c>
      <c r="F2" s="66">
        <v>0.58050000000000002</v>
      </c>
      <c r="G2" s="66">
        <v>0.16550000000000001</v>
      </c>
      <c r="H2" s="55">
        <v>272.87431536912902</v>
      </c>
      <c r="I2" s="55">
        <v>205876713.55279601</v>
      </c>
      <c r="J2" s="29">
        <v>702563</v>
      </c>
      <c r="K2" s="55">
        <v>11831967.813134201</v>
      </c>
      <c r="L2" s="55">
        <v>14245272.7067471</v>
      </c>
      <c r="M2" s="55">
        <v>1859265.8983469</v>
      </c>
      <c r="N2" s="55">
        <v>47985034.294366799</v>
      </c>
      <c r="O2" s="55">
        <v>4632493.93486977</v>
      </c>
      <c r="P2" s="55">
        <v>25997369.934797198</v>
      </c>
      <c r="Q2" s="66">
        <v>7.6617727025557647</v>
      </c>
      <c r="R2" s="31"/>
      <c r="S2" s="34" t="s">
        <v>201</v>
      </c>
      <c r="T2" s="51">
        <f>P2/E2</f>
        <v>0.13560686503433594</v>
      </c>
      <c r="U2" s="34"/>
      <c r="V2" s="51">
        <f>P2/I2</f>
        <v>0.12627639855990955</v>
      </c>
      <c r="W2" s="31"/>
      <c r="X2" s="32"/>
    </row>
    <row r="3" spans="1:24" x14ac:dyDescent="0.3">
      <c r="A3" s="28">
        <v>2015</v>
      </c>
      <c r="B3" s="55">
        <v>76366296.384096101</v>
      </c>
      <c r="C3" s="55">
        <v>23485536.551475499</v>
      </c>
      <c r="D3" s="55">
        <v>8933575.5560398102</v>
      </c>
      <c r="E3" s="55">
        <v>195734636.39291701</v>
      </c>
      <c r="F3" s="66">
        <v>0.51450000000000007</v>
      </c>
      <c r="G3" s="66">
        <v>0.15820000000000001</v>
      </c>
      <c r="H3" s="55">
        <v>278.60095720291099</v>
      </c>
      <c r="I3" s="55">
        <v>208609347.052659</v>
      </c>
      <c r="J3" s="29">
        <v>702563</v>
      </c>
      <c r="K3" s="55">
        <v>10561435.7075691</v>
      </c>
      <c r="L3" s="55">
        <v>13931055.8230877</v>
      </c>
      <c r="M3" s="55">
        <v>1625844.22564507</v>
      </c>
      <c r="N3" s="55">
        <v>48528375.848531701</v>
      </c>
      <c r="O3" s="55">
        <v>3931055.4742813101</v>
      </c>
      <c r="P3" s="55">
        <v>23436146.36731109</v>
      </c>
      <c r="Q3" s="66">
        <v>8.5685058896466018</v>
      </c>
      <c r="R3" s="31"/>
      <c r="S3" s="51">
        <f t="shared" ref="S3:S11" si="0">C3/C2 -1</f>
        <v>7.7537130788221997E-2</v>
      </c>
      <c r="T3" s="51">
        <f t="shared" ref="T3:T11" si="1">P3/E3</f>
        <v>0.11973428310493527</v>
      </c>
      <c r="U3" s="31"/>
      <c r="V3" s="51">
        <f t="shared" ref="V3:V11" si="2">P3/I3</f>
        <v>0.11234466095804965</v>
      </c>
      <c r="W3" s="31"/>
      <c r="X3" s="32"/>
    </row>
    <row r="4" spans="1:24" x14ac:dyDescent="0.3">
      <c r="A4" s="28">
        <v>2016</v>
      </c>
      <c r="B4" s="55">
        <v>75609252.545356795</v>
      </c>
      <c r="C4" s="55">
        <v>25986220.670700099</v>
      </c>
      <c r="D4" s="55">
        <v>9425196.9223022498</v>
      </c>
      <c r="E4" s="55">
        <v>160842607.829494</v>
      </c>
      <c r="F4" s="66">
        <v>0.49270000000000003</v>
      </c>
      <c r="G4" s="66">
        <v>0.16930000000000001</v>
      </c>
      <c r="H4" s="55">
        <v>228.937009620666</v>
      </c>
      <c r="I4" s="55">
        <v>172786505.55841401</v>
      </c>
      <c r="J4" s="29">
        <v>702563</v>
      </c>
      <c r="K4" s="55">
        <v>10059055.194854699</v>
      </c>
      <c r="L4" s="55">
        <v>13847441.0505295</v>
      </c>
      <c r="M4" s="55">
        <v>1099409.45720673</v>
      </c>
      <c r="N4" s="55">
        <v>49779527.938842803</v>
      </c>
      <c r="O4" s="55">
        <v>5649606.3423156701</v>
      </c>
      <c r="P4" s="55">
        <v>22002952.923774719</v>
      </c>
      <c r="Q4" s="66">
        <v>12.595344673231844</v>
      </c>
      <c r="R4" s="31"/>
      <c r="S4" s="51">
        <f t="shared" si="0"/>
        <v>0.10647762352559464</v>
      </c>
      <c r="T4" s="51">
        <f t="shared" si="1"/>
        <v>0.13679803642017296</v>
      </c>
      <c r="U4" s="31"/>
      <c r="V4" s="51">
        <f t="shared" si="2"/>
        <v>0.12734184797976697</v>
      </c>
      <c r="W4" s="31"/>
      <c r="X4" s="32"/>
    </row>
    <row r="5" spans="1:24" x14ac:dyDescent="0.3">
      <c r="A5" s="28">
        <v>2017</v>
      </c>
      <c r="B5" s="55">
        <v>78617860.854148895</v>
      </c>
      <c r="C5" s="55">
        <v>29741617.8438663</v>
      </c>
      <c r="D5" s="55">
        <v>8851635.35857201</v>
      </c>
      <c r="E5" s="55">
        <v>177567625.19450799</v>
      </c>
      <c r="F5" s="66">
        <v>0.42219999999999996</v>
      </c>
      <c r="G5" s="66">
        <v>0.15970000000000001</v>
      </c>
      <c r="H5" s="55">
        <v>252.74274480342899</v>
      </c>
      <c r="I5" s="55">
        <v>183834414.874989</v>
      </c>
      <c r="J5" s="29">
        <v>702563</v>
      </c>
      <c r="K5" s="55">
        <v>13173382.495880101</v>
      </c>
      <c r="L5" s="55">
        <v>13332307.954073001</v>
      </c>
      <c r="M5" s="55">
        <v>863324.10192489601</v>
      </c>
      <c r="N5" s="55">
        <v>54648825.782060601</v>
      </c>
      <c r="O5" s="55">
        <v>7831436.4495277395</v>
      </c>
      <c r="P5" s="55">
        <v>19440172.176361114</v>
      </c>
      <c r="Q5" s="66">
        <v>15.442992874109324</v>
      </c>
      <c r="R5" s="31"/>
      <c r="S5" s="51">
        <f t="shared" si="0"/>
        <v>0.14451494200541726</v>
      </c>
      <c r="T5" s="51">
        <f t="shared" si="1"/>
        <v>0.10948038616311</v>
      </c>
      <c r="U5" s="31"/>
      <c r="V5" s="51">
        <f t="shared" si="2"/>
        <v>0.10574827455229649</v>
      </c>
      <c r="W5" s="31"/>
      <c r="X5" s="32"/>
    </row>
    <row r="6" spans="1:24" x14ac:dyDescent="0.3">
      <c r="A6" s="28">
        <v>2018</v>
      </c>
      <c r="B6" s="55">
        <v>79736976.637363404</v>
      </c>
      <c r="C6" s="55">
        <v>30837818.976402301</v>
      </c>
      <c r="D6" s="55">
        <v>10663146.2574005</v>
      </c>
      <c r="E6" s="55">
        <v>173660768.60041499</v>
      </c>
      <c r="F6" s="66">
        <v>0.46590000000000004</v>
      </c>
      <c r="G6" s="66">
        <v>0.1802</v>
      </c>
      <c r="H6" s="55">
        <v>247.181885623932</v>
      </c>
      <c r="I6" s="55">
        <v>179390432.52272499</v>
      </c>
      <c r="J6" s="29">
        <v>702563</v>
      </c>
      <c r="K6" s="55">
        <v>13331979.434967</v>
      </c>
      <c r="L6" s="55">
        <v>14998476.864337901</v>
      </c>
      <c r="M6" s="55">
        <v>815476.80425643898</v>
      </c>
      <c r="N6" s="55">
        <v>57729258.299827598</v>
      </c>
      <c r="O6" s="55">
        <v>7172743.0491447402</v>
      </c>
      <c r="P6" s="55">
        <v>19061643.357277006</v>
      </c>
      <c r="Q6" s="66">
        <v>18.392278953922769</v>
      </c>
      <c r="R6" s="31"/>
      <c r="S6" s="51">
        <f t="shared" si="0"/>
        <v>3.6857481603411735E-2</v>
      </c>
      <c r="T6" s="51">
        <f t="shared" si="1"/>
        <v>0.10976367034938629</v>
      </c>
      <c r="U6" s="31"/>
      <c r="V6" s="51">
        <f t="shared" si="2"/>
        <v>0.10625785940318917</v>
      </c>
      <c r="W6" s="31"/>
      <c r="X6" s="32"/>
    </row>
    <row r="7" spans="1:24" x14ac:dyDescent="0.3">
      <c r="A7" s="28">
        <v>2019</v>
      </c>
      <c r="B7" s="55">
        <v>85820076.055169106</v>
      </c>
      <c r="C7" s="55">
        <v>37045030.964493804</v>
      </c>
      <c r="D7" s="55">
        <v>13940301.1940718</v>
      </c>
      <c r="E7" s="55">
        <v>227850321.757144</v>
      </c>
      <c r="F7" s="66">
        <v>0.4632</v>
      </c>
      <c r="G7" s="66">
        <v>0.19989999999999999</v>
      </c>
      <c r="H7" s="55">
        <v>324.31314921379101</v>
      </c>
      <c r="I7" s="55">
        <v>231678043.19340599</v>
      </c>
      <c r="J7" s="29">
        <v>702563</v>
      </c>
      <c r="K7" s="55">
        <v>12266060.382366201</v>
      </c>
      <c r="L7" s="55">
        <v>18124353.956699401</v>
      </c>
      <c r="M7" s="55">
        <v>1043172.86849022</v>
      </c>
      <c r="N7" s="55">
        <v>63484815.380811699</v>
      </c>
      <c r="O7" s="55">
        <v>6516215.4725789996</v>
      </c>
      <c r="P7" s="55">
        <v>16093781.818628192</v>
      </c>
      <c r="Q7" s="66">
        <v>17.374257425742588</v>
      </c>
      <c r="R7" s="31"/>
      <c r="S7" s="51">
        <f t="shared" si="0"/>
        <v>0.20128570029032788</v>
      </c>
      <c r="T7" s="51">
        <f t="shared" si="1"/>
        <v>7.0633131849521247E-2</v>
      </c>
      <c r="U7" s="51">
        <v>6.3E-3</v>
      </c>
      <c r="V7" s="51">
        <f t="shared" si="2"/>
        <v>6.9466150511263702E-2</v>
      </c>
      <c r="W7" s="31"/>
      <c r="X7" s="32"/>
    </row>
    <row r="8" spans="1:24" x14ac:dyDescent="0.3">
      <c r="A8" s="28">
        <v>2020</v>
      </c>
      <c r="B8" s="55">
        <v>97750795.2289581</v>
      </c>
      <c r="C8" s="55">
        <v>45135043.519020103</v>
      </c>
      <c r="D8" s="55">
        <v>16222197.146415699</v>
      </c>
      <c r="E8" s="55">
        <v>246359369.27453601</v>
      </c>
      <c r="F8" s="66">
        <v>0.45169999999999999</v>
      </c>
      <c r="G8" s="66">
        <v>0.20860000000000001</v>
      </c>
      <c r="H8" s="55">
        <v>350.65819644928001</v>
      </c>
      <c r="I8" s="55">
        <v>249840985.28329501</v>
      </c>
      <c r="J8" s="29">
        <v>702563</v>
      </c>
      <c r="K8" s="55">
        <v>14007035.983085601</v>
      </c>
      <c r="L8" s="55">
        <v>21042896.235466</v>
      </c>
      <c r="M8" s="55">
        <v>643440.76824188197</v>
      </c>
      <c r="N8" s="55">
        <v>66185883.4676743</v>
      </c>
      <c r="O8" s="55">
        <v>5911257.4281692496</v>
      </c>
      <c r="P8" s="55">
        <v>17488651.991844594</v>
      </c>
      <c r="Q8" s="66">
        <v>32.703703703703717</v>
      </c>
      <c r="R8" s="31"/>
      <c r="S8" s="51">
        <f t="shared" si="0"/>
        <v>0.21838320400596389</v>
      </c>
      <c r="T8" s="51">
        <f t="shared" si="1"/>
        <v>7.0988377845519354E-2</v>
      </c>
      <c r="U8" s="51">
        <v>6.8999999999999999E-3</v>
      </c>
      <c r="V8" s="51">
        <f t="shared" si="2"/>
        <v>6.9999131535661327E-2</v>
      </c>
      <c r="W8" s="31"/>
      <c r="X8" s="32"/>
    </row>
    <row r="9" spans="1:24" x14ac:dyDescent="0.3">
      <c r="A9" s="28">
        <v>2021</v>
      </c>
      <c r="B9" s="55">
        <v>101147150.15614</v>
      </c>
      <c r="C9" s="55">
        <v>31056208.186745599</v>
      </c>
      <c r="D9" s="55">
        <v>15262408.891916299</v>
      </c>
      <c r="E9" s="55">
        <v>291817174.58843303</v>
      </c>
      <c r="F9" s="66">
        <v>0.61380000000000001</v>
      </c>
      <c r="G9" s="66">
        <v>0.1885</v>
      </c>
      <c r="H9" s="55">
        <v>415.36103452444098</v>
      </c>
      <c r="I9" s="55">
        <v>313192216.58932298</v>
      </c>
      <c r="J9" s="29">
        <v>702563</v>
      </c>
      <c r="K9" s="55">
        <v>14290567.0622587</v>
      </c>
      <c r="L9" s="55">
        <v>19891531.4739943</v>
      </c>
      <c r="M9" s="55">
        <v>479894.83809471101</v>
      </c>
      <c r="N9" s="55">
        <v>68807935.450196296</v>
      </c>
      <c r="O9" s="55">
        <v>5583434.0066909799</v>
      </c>
      <c r="P9" s="55">
        <v>35665609.063148677</v>
      </c>
      <c r="Q9" s="66">
        <v>41.449771689497837</v>
      </c>
      <c r="R9" s="31"/>
      <c r="S9" s="51">
        <f t="shared" si="0"/>
        <v>-0.31192692494783181</v>
      </c>
      <c r="T9" s="51">
        <f t="shared" si="1"/>
        <v>0.12221901988273991</v>
      </c>
      <c r="U9" s="51">
        <v>6.7000000000000002E-3</v>
      </c>
      <c r="V9" s="51">
        <f t="shared" si="2"/>
        <v>0.11387769929773073</v>
      </c>
      <c r="W9" s="31"/>
      <c r="X9" s="32"/>
    </row>
    <row r="10" spans="1:24" x14ac:dyDescent="0.3">
      <c r="A10" s="28">
        <v>2022</v>
      </c>
      <c r="B10" s="55">
        <v>95479013.825058907</v>
      </c>
      <c r="C10" s="55">
        <v>34676414.647698402</v>
      </c>
      <c r="D10" s="55">
        <v>13453560.7165098</v>
      </c>
      <c r="E10" s="55">
        <v>221060886.24396399</v>
      </c>
      <c r="F10" s="66">
        <v>0.51</v>
      </c>
      <c r="G10" s="66">
        <v>0.1852</v>
      </c>
      <c r="H10" s="55">
        <v>314.64933484792698</v>
      </c>
      <c r="I10" s="55">
        <v>239226063.50638899</v>
      </c>
      <c r="J10" s="29">
        <v>702563</v>
      </c>
      <c r="K10" s="55">
        <v>10585431.8398237</v>
      </c>
      <c r="L10" s="55">
        <v>18928784.081935901</v>
      </c>
      <c r="M10" s="55">
        <v>879501.755237579</v>
      </c>
      <c r="N10" s="55">
        <v>68541564.745306998</v>
      </c>
      <c r="O10" s="55">
        <v>7375033.8071584702</v>
      </c>
      <c r="P10" s="55">
        <v>28750609.102248698</v>
      </c>
      <c r="Q10" s="66">
        <v>21.522167487684758</v>
      </c>
      <c r="R10" s="31"/>
      <c r="S10" s="51">
        <f t="shared" si="0"/>
        <v>0.11656949358350399</v>
      </c>
      <c r="T10" s="51">
        <f t="shared" si="1"/>
        <v>0.13005742259858386</v>
      </c>
      <c r="U10" s="51">
        <v>6.8999999999999999E-3</v>
      </c>
      <c r="V10" s="51">
        <f t="shared" si="2"/>
        <v>0.12018175896407232</v>
      </c>
      <c r="W10" s="31"/>
      <c r="X10" s="32"/>
    </row>
    <row r="11" spans="1:24" x14ac:dyDescent="0.3">
      <c r="A11" s="28">
        <v>2023</v>
      </c>
      <c r="B11" s="55">
        <v>107693592.905045</v>
      </c>
      <c r="C11" s="55">
        <v>39596453.782558396</v>
      </c>
      <c r="D11" s="55">
        <v>13687280.9305191</v>
      </c>
      <c r="E11" s="55">
        <v>204483763.245511</v>
      </c>
      <c r="F11" s="66">
        <v>0.42330000000000001</v>
      </c>
      <c r="G11" s="66">
        <v>0.15560000000000002</v>
      </c>
      <c r="H11" s="55">
        <v>291.05411267280601</v>
      </c>
      <c r="I11" s="55">
        <v>228591852.77454799</v>
      </c>
      <c r="J11" s="29">
        <v>702563</v>
      </c>
      <c r="K11" s="55">
        <v>12534968.5335159</v>
      </c>
      <c r="L11" s="55">
        <v>18326290.6527519</v>
      </c>
      <c r="M11" s="55">
        <v>1570144.6814536999</v>
      </c>
      <c r="N11" s="55">
        <v>69895841.634750396</v>
      </c>
      <c r="O11" s="55">
        <v>5643711.85350418</v>
      </c>
      <c r="P11" s="55">
        <v>36643058.062552899</v>
      </c>
      <c r="Q11" s="66">
        <v>11.671721000758172</v>
      </c>
      <c r="R11" s="33">
        <v>0.15</v>
      </c>
      <c r="S11" s="51">
        <f t="shared" si="0"/>
        <v>0.14188430911459737</v>
      </c>
      <c r="T11" s="51">
        <f t="shared" si="1"/>
        <v>0.17919788584171276</v>
      </c>
      <c r="U11" s="51">
        <v>5.8999999999999999E-3</v>
      </c>
      <c r="V11" s="51">
        <f t="shared" si="2"/>
        <v>0.16029905535912797</v>
      </c>
      <c r="W11" s="51">
        <f>0.7%+U11</f>
        <v>1.2899999999999998E-2</v>
      </c>
      <c r="X11" s="57">
        <f>R11*P11</f>
        <v>5496458.7093829345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231A4-BC20-493A-9F2E-2632555001BB}">
  <sheetPr codeName="Sheet5"/>
  <dimension ref="A1:X11"/>
  <sheetViews>
    <sheetView topLeftCell="C1" workbookViewId="0">
      <selection activeCell="F13" sqref="F13"/>
    </sheetView>
  </sheetViews>
  <sheetFormatPr defaultRowHeight="14.4" x14ac:dyDescent="0.3"/>
  <cols>
    <col min="1" max="1" width="5" bestFit="1" customWidth="1"/>
    <col min="2" max="2" width="15.77734375" bestFit="1" customWidth="1"/>
    <col min="3" max="4" width="14.77734375" bestFit="1" customWidth="1"/>
    <col min="5" max="5" width="15.77734375" bestFit="1" customWidth="1"/>
    <col min="6" max="7" width="6.88671875" bestFit="1" customWidth="1"/>
    <col min="8" max="8" width="7.5546875" bestFit="1" customWidth="1"/>
    <col min="9" max="9" width="15.77734375" bestFit="1" customWidth="1"/>
    <col min="10" max="10" width="25" bestFit="1" customWidth="1"/>
    <col min="11" max="12" width="14.77734375" bestFit="1" customWidth="1"/>
    <col min="13" max="13" width="14.44140625" bestFit="1" customWidth="1"/>
    <col min="14" max="14" width="15.77734375" bestFit="1" customWidth="1"/>
    <col min="15" max="16" width="14.77734375" bestFit="1" customWidth="1"/>
    <col min="17" max="17" width="8.88671875" bestFit="1" customWidth="1"/>
    <col min="18" max="18" width="6.88671875" bestFit="1" customWidth="1"/>
    <col min="19" max="19" width="7.5546875" bestFit="1" customWidth="1"/>
    <col min="20" max="22" width="6.88671875" bestFit="1" customWidth="1"/>
    <col min="23" max="23" width="5.88671875" bestFit="1" customWidth="1"/>
    <col min="24" max="24" width="14.77734375" bestFit="1" customWidth="1"/>
  </cols>
  <sheetData>
    <row r="1" spans="1:24" ht="15" thickBot="1" x14ac:dyDescent="0.35">
      <c r="A1" s="25" t="s">
        <v>185</v>
      </c>
      <c r="B1" s="26" t="s">
        <v>172</v>
      </c>
      <c r="C1" s="26" t="s">
        <v>173</v>
      </c>
      <c r="D1" s="26" t="s">
        <v>174</v>
      </c>
      <c r="E1" s="26" t="s">
        <v>175</v>
      </c>
      <c r="F1" s="26" t="s">
        <v>176</v>
      </c>
      <c r="G1" s="26" t="s">
        <v>177</v>
      </c>
      <c r="H1" s="26" t="s">
        <v>178</v>
      </c>
      <c r="I1" s="26" t="s">
        <v>179</v>
      </c>
      <c r="J1" s="26" t="s">
        <v>180</v>
      </c>
      <c r="K1" s="26" t="s">
        <v>181</v>
      </c>
      <c r="L1" s="26" t="s">
        <v>182</v>
      </c>
      <c r="M1" s="26" t="s">
        <v>199</v>
      </c>
      <c r="N1" s="26" t="s">
        <v>183</v>
      </c>
      <c r="O1" s="26" t="s">
        <v>184</v>
      </c>
      <c r="P1" s="26" t="s">
        <v>186</v>
      </c>
      <c r="Q1" s="26" t="s">
        <v>188</v>
      </c>
      <c r="R1" s="26" t="s">
        <v>187</v>
      </c>
      <c r="S1" s="26" t="s">
        <v>200</v>
      </c>
      <c r="T1" s="26" t="s">
        <v>202</v>
      </c>
      <c r="U1" s="26" t="s">
        <v>207</v>
      </c>
      <c r="V1" s="26" t="s">
        <v>205</v>
      </c>
      <c r="W1" s="26" t="s">
        <v>206</v>
      </c>
      <c r="X1" s="27" t="s">
        <v>208</v>
      </c>
    </row>
    <row r="2" spans="1:24" x14ac:dyDescent="0.3">
      <c r="A2" s="28">
        <v>2014</v>
      </c>
      <c r="B2" s="55">
        <v>167566000</v>
      </c>
      <c r="C2" s="55">
        <v>71301000</v>
      </c>
      <c r="D2" s="55">
        <v>9134000</v>
      </c>
      <c r="E2" s="55">
        <v>196265471</v>
      </c>
      <c r="F2" s="66">
        <v>0.1716</v>
      </c>
      <c r="G2" s="66">
        <v>7.2999999999999995E-2</v>
      </c>
      <c r="H2" s="55">
        <v>31.15</v>
      </c>
      <c r="I2" s="55">
        <v>196825471</v>
      </c>
      <c r="J2" s="29">
        <v>6291000</v>
      </c>
      <c r="K2" s="55">
        <v>36122000</v>
      </c>
      <c r="L2" s="55">
        <v>12726000</v>
      </c>
      <c r="M2" s="55">
        <v>1360000</v>
      </c>
      <c r="N2" s="55">
        <v>49605000</v>
      </c>
      <c r="O2" s="55">
        <v>6006000</v>
      </c>
      <c r="P2" s="55">
        <v>36682000</v>
      </c>
      <c r="Q2" s="66">
        <v>9.3573529411764707</v>
      </c>
      <c r="R2" s="31"/>
      <c r="S2" s="34" t="s">
        <v>201</v>
      </c>
      <c r="T2" s="51">
        <f>P2/E2</f>
        <v>0.18689991577784967</v>
      </c>
      <c r="U2" s="34"/>
      <c r="V2" s="51">
        <f>P2/I2</f>
        <v>0.18636815557271041</v>
      </c>
      <c r="W2" s="31"/>
      <c r="X2" s="32"/>
    </row>
    <row r="3" spans="1:24" x14ac:dyDescent="0.3">
      <c r="A3" s="28">
        <v>2015</v>
      </c>
      <c r="B3" s="55">
        <v>167381000</v>
      </c>
      <c r="C3" s="55">
        <v>64720000</v>
      </c>
      <c r="D3" s="55">
        <v>6959000</v>
      </c>
      <c r="E3" s="55">
        <v>199264495</v>
      </c>
      <c r="F3" s="66">
        <v>0.13849999999999998</v>
      </c>
      <c r="G3" s="66">
        <v>5.3600000000000002E-2</v>
      </c>
      <c r="H3" s="55">
        <v>32.28</v>
      </c>
      <c r="I3" s="55">
        <v>214873495</v>
      </c>
      <c r="J3" s="29">
        <v>6175000</v>
      </c>
      <c r="K3" s="55">
        <v>23290000</v>
      </c>
      <c r="L3" s="55">
        <v>10329000</v>
      </c>
      <c r="M3" s="55">
        <v>1199000</v>
      </c>
      <c r="N3" s="55">
        <v>48851000</v>
      </c>
      <c r="O3" s="55">
        <v>5975000</v>
      </c>
      <c r="P3" s="55">
        <v>38899000</v>
      </c>
      <c r="Q3" s="66">
        <v>8.614678899082568</v>
      </c>
      <c r="R3" s="31"/>
      <c r="S3" s="51">
        <f t="shared" ref="S3:S11" si="0">C3/C2 -1</f>
        <v>-9.2298845738488899E-2</v>
      </c>
      <c r="T3" s="51">
        <f t="shared" ref="T3:T11" si="1">P3/E3</f>
        <v>0.19521290032125391</v>
      </c>
      <c r="U3" s="31"/>
      <c r="V3" s="51">
        <f t="shared" ref="V3:V11" si="2">P3/I3</f>
        <v>0.18103209984088545</v>
      </c>
      <c r="W3" s="31"/>
      <c r="X3" s="32"/>
    </row>
    <row r="4" spans="1:24" x14ac:dyDescent="0.3">
      <c r="A4" s="28">
        <v>2016</v>
      </c>
      <c r="B4" s="55">
        <v>171615000</v>
      </c>
      <c r="C4" s="55">
        <v>59544000</v>
      </c>
      <c r="D4" s="55">
        <v>7213000</v>
      </c>
      <c r="E4" s="55">
        <v>197100172</v>
      </c>
      <c r="F4" s="66">
        <v>0.14019999999999999</v>
      </c>
      <c r="G4" s="66">
        <v>4.87E-2</v>
      </c>
      <c r="H4" s="55">
        <v>32.479999999999997</v>
      </c>
      <c r="I4" s="55">
        <v>221336172</v>
      </c>
      <c r="J4" s="29">
        <v>6070000</v>
      </c>
      <c r="K4" s="55">
        <v>17850000</v>
      </c>
      <c r="L4" s="55">
        <v>9004000</v>
      </c>
      <c r="M4" s="55">
        <v>1186000</v>
      </c>
      <c r="N4" s="55">
        <v>52824000</v>
      </c>
      <c r="O4" s="55">
        <v>7204000</v>
      </c>
      <c r="P4" s="55">
        <v>42086000</v>
      </c>
      <c r="Q4" s="66">
        <v>7.5919055649241143</v>
      </c>
      <c r="R4" s="31"/>
      <c r="S4" s="51">
        <f t="shared" si="0"/>
        <v>-7.997527812113725E-2</v>
      </c>
      <c r="T4" s="51">
        <f t="shared" si="1"/>
        <v>0.2135259425344388</v>
      </c>
      <c r="U4" s="31"/>
      <c r="V4" s="51">
        <f t="shared" si="2"/>
        <v>0.19014515169260268</v>
      </c>
      <c r="W4" s="31"/>
      <c r="X4" s="32"/>
    </row>
    <row r="5" spans="1:24" x14ac:dyDescent="0.3">
      <c r="A5" s="28">
        <v>2017</v>
      </c>
      <c r="B5" s="55">
        <v>171797000</v>
      </c>
      <c r="C5" s="55">
        <v>71308000</v>
      </c>
      <c r="D5" s="55">
        <v>21308000</v>
      </c>
      <c r="E5" s="55">
        <v>215896826</v>
      </c>
      <c r="F5" s="66">
        <v>0.1726</v>
      </c>
      <c r="G5" s="66">
        <v>7.1599999999999997E-2</v>
      </c>
      <c r="H5" s="55">
        <v>36.22</v>
      </c>
      <c r="I5" s="55">
        <v>239395826</v>
      </c>
      <c r="J5" s="29">
        <v>5979000</v>
      </c>
      <c r="K5" s="55">
        <v>19992000</v>
      </c>
      <c r="L5" s="55">
        <v>12989000</v>
      </c>
      <c r="M5" s="55">
        <v>1270000</v>
      </c>
      <c r="N5" s="55">
        <v>52546000</v>
      </c>
      <c r="O5" s="55">
        <v>6664000</v>
      </c>
      <c r="P5" s="55">
        <v>43491000</v>
      </c>
      <c r="Q5" s="66">
        <v>10.22755905511811</v>
      </c>
      <c r="R5" s="31"/>
      <c r="S5" s="51">
        <f t="shared" si="0"/>
        <v>0.19756818487169148</v>
      </c>
      <c r="T5" s="51">
        <f t="shared" si="1"/>
        <v>0.20144344317502844</v>
      </c>
      <c r="U5" s="31"/>
      <c r="V5" s="51">
        <f t="shared" si="2"/>
        <v>0.1816698341265148</v>
      </c>
      <c r="W5" s="31"/>
      <c r="X5" s="32"/>
    </row>
    <row r="6" spans="1:24" x14ac:dyDescent="0.3">
      <c r="A6" s="28">
        <v>2018</v>
      </c>
      <c r="B6" s="55">
        <v>159422000</v>
      </c>
      <c r="C6" s="55">
        <v>63407000</v>
      </c>
      <c r="D6" s="55">
        <v>11151000</v>
      </c>
      <c r="E6" s="55">
        <v>252317724</v>
      </c>
      <c r="F6" s="66">
        <v>5.67E-2</v>
      </c>
      <c r="G6" s="66">
        <v>2.2499999999999999E-2</v>
      </c>
      <c r="H6" s="55">
        <v>43.65</v>
      </c>
      <c r="I6" s="55">
        <v>275224724</v>
      </c>
      <c r="J6" s="29">
        <v>5717000</v>
      </c>
      <c r="K6" s="55">
        <v>18833000</v>
      </c>
      <c r="L6" s="55">
        <v>4062000</v>
      </c>
      <c r="M6" s="55">
        <v>1316000</v>
      </c>
      <c r="N6" s="55">
        <v>40825000</v>
      </c>
      <c r="O6" s="55">
        <v>9499000</v>
      </c>
      <c r="P6" s="55">
        <v>41740000</v>
      </c>
      <c r="Q6" s="66">
        <v>3.0866261398176293</v>
      </c>
      <c r="R6" s="31"/>
      <c r="S6" s="51">
        <f t="shared" si="0"/>
        <v>-0.11080103214225612</v>
      </c>
      <c r="T6" s="51">
        <f t="shared" si="1"/>
        <v>0.16542634951795934</v>
      </c>
      <c r="U6" s="31"/>
      <c r="V6" s="51">
        <f t="shared" si="2"/>
        <v>0.15165788666573429</v>
      </c>
      <c r="W6" s="31"/>
      <c r="X6" s="32"/>
    </row>
    <row r="7" spans="1:24" x14ac:dyDescent="0.3">
      <c r="A7" s="28">
        <v>2019</v>
      </c>
      <c r="B7" s="55">
        <v>167594000</v>
      </c>
      <c r="C7" s="55">
        <v>63144000</v>
      </c>
      <c r="D7" s="55">
        <v>16272000</v>
      </c>
      <c r="E7" s="55">
        <v>216826916</v>
      </c>
      <c r="F7" s="66">
        <v>0.18190000000000001</v>
      </c>
      <c r="G7" s="66">
        <v>6.8499999999999991E-2</v>
      </c>
      <c r="H7" s="55">
        <v>39.18</v>
      </c>
      <c r="I7" s="55">
        <v>259330916</v>
      </c>
      <c r="J7" s="29">
        <v>5534000</v>
      </c>
      <c r="K7" s="55">
        <v>9646000</v>
      </c>
      <c r="L7" s="55">
        <v>12331000</v>
      </c>
      <c r="M7" s="55">
        <v>1573000</v>
      </c>
      <c r="N7" s="55">
        <v>41172000</v>
      </c>
      <c r="O7" s="55">
        <v>8853000</v>
      </c>
      <c r="P7" s="55">
        <v>52150000</v>
      </c>
      <c r="Q7" s="66">
        <v>7.8391608391608392</v>
      </c>
      <c r="R7" s="31"/>
      <c r="S7" s="51">
        <f t="shared" si="0"/>
        <v>-4.1478070244610477E-3</v>
      </c>
      <c r="T7" s="51">
        <f t="shared" si="1"/>
        <v>0.24051442026690081</v>
      </c>
      <c r="U7" s="51">
        <v>7.7999999999999996E-3</v>
      </c>
      <c r="V7" s="51">
        <f t="shared" si="2"/>
        <v>0.20109441945595102</v>
      </c>
      <c r="W7" s="31"/>
      <c r="X7" s="32"/>
    </row>
    <row r="8" spans="1:24" x14ac:dyDescent="0.3">
      <c r="A8" s="28">
        <v>2020</v>
      </c>
      <c r="B8" s="55">
        <v>154229000</v>
      </c>
      <c r="C8" s="55">
        <v>63238000</v>
      </c>
      <c r="D8" s="55">
        <v>9159000</v>
      </c>
      <c r="E8" s="55">
        <v>204604586</v>
      </c>
      <c r="F8" s="66">
        <v>0.11130000000000001</v>
      </c>
      <c r="G8" s="66">
        <v>4.5599999999999995E-2</v>
      </c>
      <c r="H8" s="55">
        <v>36.81</v>
      </c>
      <c r="I8" s="55">
        <v>232219586</v>
      </c>
      <c r="J8" s="29">
        <v>5620000</v>
      </c>
      <c r="K8" s="55">
        <v>12221000</v>
      </c>
      <c r="L8" s="55">
        <v>7534000</v>
      </c>
      <c r="M8" s="55">
        <v>1449000</v>
      </c>
      <c r="N8" s="55">
        <v>41651000</v>
      </c>
      <c r="O8" s="55">
        <v>6468000</v>
      </c>
      <c r="P8" s="55">
        <v>39836000</v>
      </c>
      <c r="Q8" s="66">
        <v>5.1994478951000689</v>
      </c>
      <c r="R8" s="31"/>
      <c r="S8" s="51">
        <f t="shared" si="0"/>
        <v>1.4886608387179034E-3</v>
      </c>
      <c r="T8" s="51">
        <f t="shared" si="1"/>
        <v>0.1946974932419159</v>
      </c>
      <c r="U8" s="51">
        <v>1.18E-2</v>
      </c>
      <c r="V8" s="51">
        <f t="shared" si="2"/>
        <v>0.17154453113184001</v>
      </c>
      <c r="W8" s="31"/>
      <c r="X8" s="32"/>
    </row>
    <row r="9" spans="1:24" x14ac:dyDescent="0.3">
      <c r="A9" s="28">
        <v>2021</v>
      </c>
      <c r="B9" s="55">
        <v>181476000</v>
      </c>
      <c r="C9" s="55">
        <v>77200000</v>
      </c>
      <c r="D9" s="55">
        <v>21980000</v>
      </c>
      <c r="E9" s="55">
        <v>331439768</v>
      </c>
      <c r="F9" s="66">
        <v>0.31489999999999996</v>
      </c>
      <c r="G9" s="66">
        <v>0.13400000000000001</v>
      </c>
      <c r="H9" s="55">
        <v>59.05</v>
      </c>
      <c r="I9" s="55">
        <v>338806768</v>
      </c>
      <c r="J9" s="29">
        <v>5567000</v>
      </c>
      <c r="K9" s="55">
        <v>31069000</v>
      </c>
      <c r="L9" s="55">
        <v>23486000</v>
      </c>
      <c r="M9" s="55">
        <v>1291000</v>
      </c>
      <c r="N9" s="55">
        <v>81288000</v>
      </c>
      <c r="O9" s="55">
        <v>5277000</v>
      </c>
      <c r="P9" s="55">
        <v>38436000</v>
      </c>
      <c r="Q9" s="66">
        <v>18.192099147947328</v>
      </c>
      <c r="R9" s="31"/>
      <c r="S9" s="51">
        <f t="shared" si="0"/>
        <v>0.22078497106170336</v>
      </c>
      <c r="T9" s="51">
        <f t="shared" si="1"/>
        <v>0.11596677197770668</v>
      </c>
      <c r="U9" s="51">
        <v>6.7000000000000002E-3</v>
      </c>
      <c r="V9" s="51">
        <f t="shared" si="2"/>
        <v>0.11344519540412487</v>
      </c>
      <c r="W9" s="31"/>
      <c r="X9" s="32"/>
    </row>
    <row r="10" spans="1:24" x14ac:dyDescent="0.3">
      <c r="A10" s="28">
        <v>2022</v>
      </c>
      <c r="B10" s="55">
        <v>197205000</v>
      </c>
      <c r="C10" s="55">
        <v>95660000</v>
      </c>
      <c r="D10" s="55">
        <v>31372000</v>
      </c>
      <c r="E10" s="55">
        <v>287626246</v>
      </c>
      <c r="F10" s="66">
        <v>0.36299999999999999</v>
      </c>
      <c r="G10" s="66">
        <v>0.17610000000000001</v>
      </c>
      <c r="H10" s="55">
        <v>51.24</v>
      </c>
      <c r="I10" s="55">
        <v>300723246</v>
      </c>
      <c r="J10" s="29">
        <v>5616000</v>
      </c>
      <c r="K10" s="55">
        <v>22732000</v>
      </c>
      <c r="L10" s="55">
        <v>36237000</v>
      </c>
      <c r="M10" s="55">
        <v>1238000</v>
      </c>
      <c r="N10" s="55">
        <v>100330000</v>
      </c>
      <c r="O10" s="55">
        <v>5485000</v>
      </c>
      <c r="P10" s="55">
        <v>35829000</v>
      </c>
      <c r="Q10" s="66">
        <v>29.27059773828756</v>
      </c>
      <c r="R10" s="31"/>
      <c r="S10" s="51">
        <f t="shared" si="0"/>
        <v>0.23911917098445601</v>
      </c>
      <c r="T10" s="51">
        <f t="shared" si="1"/>
        <v>0.12456790886878939</v>
      </c>
      <c r="U10" s="51">
        <v>6.8999999999999999E-3</v>
      </c>
      <c r="V10" s="51">
        <f t="shared" si="2"/>
        <v>0.11914276823149215</v>
      </c>
      <c r="W10" s="31"/>
      <c r="X10" s="32"/>
    </row>
    <row r="11" spans="1:24" x14ac:dyDescent="0.3">
      <c r="A11" s="28">
        <v>2023</v>
      </c>
      <c r="B11" s="55">
        <v>226502000</v>
      </c>
      <c r="C11" s="55">
        <v>89014000</v>
      </c>
      <c r="D11" s="55">
        <v>2119000</v>
      </c>
      <c r="E11" s="55">
        <v>162560244</v>
      </c>
      <c r="F11" s="66">
        <v>1.1899999999999999E-2</v>
      </c>
      <c r="G11" s="66">
        <v>4.6999999999999993E-3</v>
      </c>
      <c r="H11" s="55">
        <v>28.79</v>
      </c>
      <c r="I11" s="55">
        <v>221758244</v>
      </c>
      <c r="J11" s="29">
        <v>5646000</v>
      </c>
      <c r="K11" s="55">
        <v>12690000</v>
      </c>
      <c r="L11" s="55">
        <v>-929000</v>
      </c>
      <c r="M11" s="55">
        <v>2209000</v>
      </c>
      <c r="N11" s="55">
        <v>58496000</v>
      </c>
      <c r="O11" s="55">
        <v>15514000</v>
      </c>
      <c r="P11" s="55">
        <v>71888000</v>
      </c>
      <c r="Q11" s="66">
        <v>-0.42055228610230871</v>
      </c>
      <c r="R11" s="33">
        <f>7.25% + 21%</f>
        <v>0.28249999999999997</v>
      </c>
      <c r="S11" s="51">
        <f t="shared" si="0"/>
        <v>-6.9475224754338316E-2</v>
      </c>
      <c r="T11" s="51">
        <f t="shared" si="1"/>
        <v>0.44222374567794082</v>
      </c>
      <c r="U11" s="51">
        <v>0.2</v>
      </c>
      <c r="V11" s="51">
        <f t="shared" si="2"/>
        <v>0.32417284112332706</v>
      </c>
      <c r="W11" s="51">
        <f>0.69 %+ 3.94%</f>
        <v>4.6299999999999994E-2</v>
      </c>
      <c r="X11" s="57">
        <f>R11*P11</f>
        <v>20308359.999999996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62E8B-B252-4389-A5F4-D2A4703DD146}">
  <sheetPr codeName="Sheet6"/>
  <dimension ref="A1:X11"/>
  <sheetViews>
    <sheetView topLeftCell="E1" workbookViewId="0">
      <selection activeCell="J18" sqref="J18"/>
    </sheetView>
  </sheetViews>
  <sheetFormatPr defaultRowHeight="14.4" x14ac:dyDescent="0.3"/>
  <cols>
    <col min="1" max="1" width="5" bestFit="1" customWidth="1"/>
    <col min="2" max="2" width="15.77734375" bestFit="1" customWidth="1"/>
    <col min="3" max="4" width="14.77734375" bestFit="1" customWidth="1"/>
    <col min="5" max="5" width="15.77734375" bestFit="1" customWidth="1"/>
    <col min="6" max="7" width="6.88671875" bestFit="1" customWidth="1"/>
    <col min="8" max="8" width="8.5546875" bestFit="1" customWidth="1"/>
    <col min="9" max="9" width="15.77734375" bestFit="1" customWidth="1"/>
    <col min="10" max="10" width="25" bestFit="1" customWidth="1"/>
    <col min="11" max="12" width="14.77734375" bestFit="1" customWidth="1"/>
    <col min="13" max="13" width="14.44140625" bestFit="1" customWidth="1"/>
    <col min="14" max="14" width="14.77734375" bestFit="1" customWidth="1"/>
    <col min="15" max="15" width="13.77734375" bestFit="1" customWidth="1"/>
    <col min="16" max="16" width="14.77734375" bestFit="1" customWidth="1"/>
    <col min="17" max="17" width="8.88671875" bestFit="1" customWidth="1"/>
    <col min="18" max="18" width="6.88671875" bestFit="1" customWidth="1"/>
    <col min="19" max="19" width="7.5546875" bestFit="1" customWidth="1"/>
    <col min="20" max="20" width="6.88671875" bestFit="1" customWidth="1"/>
    <col min="21" max="21" width="6.6640625" bestFit="1" customWidth="1"/>
    <col min="22" max="22" width="6.88671875" bestFit="1" customWidth="1"/>
    <col min="23" max="23" width="5.88671875" bestFit="1" customWidth="1"/>
    <col min="24" max="24" width="13.77734375" bestFit="1" customWidth="1"/>
  </cols>
  <sheetData>
    <row r="1" spans="1:24" ht="15" thickBot="1" x14ac:dyDescent="0.35">
      <c r="A1" s="25" t="s">
        <v>185</v>
      </c>
      <c r="B1" s="26" t="s">
        <v>172</v>
      </c>
      <c r="C1" s="26" t="s">
        <v>173</v>
      </c>
      <c r="D1" s="26" t="s">
        <v>174</v>
      </c>
      <c r="E1" s="26" t="s">
        <v>175</v>
      </c>
      <c r="F1" s="26" t="s">
        <v>176</v>
      </c>
      <c r="G1" s="26" t="s">
        <v>177</v>
      </c>
      <c r="H1" s="26" t="s">
        <v>178</v>
      </c>
      <c r="I1" s="26" t="s">
        <v>179</v>
      </c>
      <c r="J1" s="26" t="s">
        <v>180</v>
      </c>
      <c r="K1" s="26" t="s">
        <v>181</v>
      </c>
      <c r="L1" s="26" t="s">
        <v>182</v>
      </c>
      <c r="M1" s="26" t="s">
        <v>199</v>
      </c>
      <c r="N1" s="26" t="s">
        <v>183</v>
      </c>
      <c r="O1" s="26" t="s">
        <v>184</v>
      </c>
      <c r="P1" s="26" t="s">
        <v>186</v>
      </c>
      <c r="Q1" s="26" t="s">
        <v>188</v>
      </c>
      <c r="R1" s="26" t="s">
        <v>187</v>
      </c>
      <c r="S1" s="26" t="s">
        <v>200</v>
      </c>
      <c r="T1" s="26" t="s">
        <v>202</v>
      </c>
      <c r="U1" s="26" t="s">
        <v>207</v>
      </c>
      <c r="V1" s="26" t="s">
        <v>205</v>
      </c>
      <c r="W1" s="26" t="s">
        <v>206</v>
      </c>
      <c r="X1" s="27" t="s">
        <v>208</v>
      </c>
    </row>
    <row r="2" spans="1:24" x14ac:dyDescent="0.3">
      <c r="A2" s="28">
        <v>2014</v>
      </c>
      <c r="B2" s="55">
        <v>125387000</v>
      </c>
      <c r="C2" s="55">
        <v>70844000</v>
      </c>
      <c r="D2" s="55">
        <v>10210000</v>
      </c>
      <c r="E2" s="55">
        <v>252671019.956</v>
      </c>
      <c r="F2" s="66">
        <v>0.16829999999999998</v>
      </c>
      <c r="G2" s="66">
        <v>9.5100000000000004E-2</v>
      </c>
      <c r="H2" s="55">
        <v>93.367702943086599</v>
      </c>
      <c r="I2" s="55">
        <v>259524019.956</v>
      </c>
      <c r="J2" s="29">
        <v>2706193</v>
      </c>
      <c r="K2" s="55">
        <v>13506000</v>
      </c>
      <c r="L2" s="55">
        <v>10736000</v>
      </c>
      <c r="M2" s="55">
        <v>792000</v>
      </c>
      <c r="N2" s="55">
        <v>59276000</v>
      </c>
      <c r="O2" s="55">
        <v>4774000</v>
      </c>
      <c r="P2" s="55">
        <v>20358999.99999997</v>
      </c>
      <c r="Q2" s="66">
        <v>13.555555555555555</v>
      </c>
      <c r="R2" s="31"/>
      <c r="S2" s="34" t="s">
        <v>201</v>
      </c>
      <c r="T2" s="51">
        <f>P2/E2</f>
        <v>8.0575128891098302E-2</v>
      </c>
      <c r="U2" s="34"/>
      <c r="V2" s="51">
        <f>P2/I2</f>
        <v>7.8447459327470562E-2</v>
      </c>
      <c r="W2" s="31"/>
      <c r="X2" s="32"/>
    </row>
    <row r="3" spans="1:24" x14ac:dyDescent="0.3">
      <c r="A3" s="28">
        <v>2015</v>
      </c>
      <c r="B3" s="55">
        <v>131556000</v>
      </c>
      <c r="C3" s="55">
        <v>77122000</v>
      </c>
      <c r="D3" s="55">
        <v>17783000</v>
      </c>
      <c r="E3" s="55">
        <v>234213293.69499999</v>
      </c>
      <c r="F3" s="66">
        <v>0.10550000000000001</v>
      </c>
      <c r="G3" s="66">
        <v>6.1799999999999994E-2</v>
      </c>
      <c r="H3" s="55">
        <v>87.491183376312307</v>
      </c>
      <c r="I3" s="55">
        <v>250810293.69499999</v>
      </c>
      <c r="J3" s="29">
        <v>2676993</v>
      </c>
      <c r="K3" s="55">
        <v>5304000</v>
      </c>
      <c r="L3" s="55">
        <v>8977000</v>
      </c>
      <c r="M3" s="55">
        <v>890000</v>
      </c>
      <c r="N3" s="55">
        <v>50387000</v>
      </c>
      <c r="O3" s="55">
        <v>4148000</v>
      </c>
      <c r="P3" s="55">
        <v>21901000</v>
      </c>
      <c r="Q3" s="66">
        <v>10.086516853932585</v>
      </c>
      <c r="R3" s="31"/>
      <c r="S3" s="51">
        <f t="shared" ref="S3:S11" si="0">C3/C2 -1</f>
        <v>8.8617243520975775E-2</v>
      </c>
      <c r="T3" s="51">
        <f t="shared" ref="T3:T11" si="1">P3/E3</f>
        <v>9.3508782761580478E-2</v>
      </c>
      <c r="U3" s="31"/>
      <c r="V3" s="51">
        <f t="shared" ref="V3:V11" si="2">P3/I3</f>
        <v>8.732097745012371E-2</v>
      </c>
      <c r="W3" s="31"/>
      <c r="X3" s="32"/>
    </row>
    <row r="4" spans="1:24" x14ac:dyDescent="0.3">
      <c r="A4" s="28">
        <v>2016</v>
      </c>
      <c r="B4" s="55">
        <v>130124000</v>
      </c>
      <c r="C4" s="55">
        <v>74891000</v>
      </c>
      <c r="D4" s="55">
        <v>6712000</v>
      </c>
      <c r="E4" s="55">
        <v>191603548.85699999</v>
      </c>
      <c r="F4" s="66">
        <v>0.10439999999999999</v>
      </c>
      <c r="G4" s="66">
        <v>6.0100000000000001E-2</v>
      </c>
      <c r="H4" s="55">
        <v>72.933071422576901</v>
      </c>
      <c r="I4" s="55">
        <v>207742548.85699999</v>
      </c>
      <c r="J4" s="29">
        <v>2627115</v>
      </c>
      <c r="K4" s="55">
        <v>7547000</v>
      </c>
      <c r="L4" s="55">
        <v>8268000</v>
      </c>
      <c r="M4" s="55">
        <v>728000</v>
      </c>
      <c r="N4" s="55">
        <v>49436000</v>
      </c>
      <c r="O4" s="55">
        <v>6063000</v>
      </c>
      <c r="P4" s="55">
        <v>23686000</v>
      </c>
      <c r="Q4" s="66">
        <v>11.357142857142858</v>
      </c>
      <c r="R4" s="31"/>
      <c r="S4" s="51">
        <f t="shared" si="0"/>
        <v>-2.8928191696273475E-2</v>
      </c>
      <c r="T4" s="51">
        <f t="shared" si="1"/>
        <v>0.12361983972268509</v>
      </c>
      <c r="U4" s="31"/>
      <c r="V4" s="51">
        <f t="shared" si="2"/>
        <v>0.11401612298645813</v>
      </c>
      <c r="W4" s="31"/>
      <c r="X4" s="32"/>
    </row>
    <row r="5" spans="1:24" x14ac:dyDescent="0.3">
      <c r="A5" s="28">
        <v>2017</v>
      </c>
      <c r="B5" s="55">
        <v>133079000</v>
      </c>
      <c r="C5" s="55">
        <v>74227000</v>
      </c>
      <c r="D5" s="55">
        <v>7703000</v>
      </c>
      <c r="E5" s="55">
        <v>221088912.42899999</v>
      </c>
      <c r="F5" s="66">
        <v>0.12119999999999999</v>
      </c>
      <c r="G5" s="66">
        <v>6.7599999999999993E-2</v>
      </c>
      <c r="H5" s="55">
        <v>84.486824226379397</v>
      </c>
      <c r="I5" s="55">
        <v>240059912.42899999</v>
      </c>
      <c r="J5" s="29">
        <v>2616845</v>
      </c>
      <c r="K5" s="55">
        <v>9454000</v>
      </c>
      <c r="L5" s="55">
        <v>8629000</v>
      </c>
      <c r="M5" s="55">
        <v>803000</v>
      </c>
      <c r="N5" s="55">
        <v>50135000</v>
      </c>
      <c r="O5" s="55">
        <v>6108000</v>
      </c>
      <c r="P5" s="55">
        <v>28425000</v>
      </c>
      <c r="Q5" s="66">
        <v>10.745952677459528</v>
      </c>
      <c r="R5" s="31"/>
      <c r="S5" s="51">
        <f t="shared" si="0"/>
        <v>-8.8662189048083206E-3</v>
      </c>
      <c r="T5" s="51">
        <f t="shared" si="1"/>
        <v>0.12856818411971854</v>
      </c>
      <c r="U5" s="31"/>
      <c r="V5" s="51">
        <f t="shared" si="2"/>
        <v>0.11840794121928611</v>
      </c>
      <c r="W5" s="31"/>
      <c r="X5" s="32"/>
    </row>
    <row r="6" spans="1:24" x14ac:dyDescent="0.3">
      <c r="A6" s="28">
        <v>2018</v>
      </c>
      <c r="B6" s="55">
        <v>145563000</v>
      </c>
      <c r="C6" s="55">
        <v>78692000</v>
      </c>
      <c r="D6" s="55">
        <v>12611000</v>
      </c>
      <c r="E6" s="55">
        <v>217685096.62900001</v>
      </c>
      <c r="F6" s="66">
        <v>0.17579999999999998</v>
      </c>
      <c r="G6" s="66">
        <v>9.5000000000000001E-2</v>
      </c>
      <c r="H6" s="55">
        <v>85.345791568756098</v>
      </c>
      <c r="I6" s="55">
        <v>233941096.62900001</v>
      </c>
      <c r="J6" s="29">
        <v>2550625</v>
      </c>
      <c r="K6" s="55">
        <v>15834000</v>
      </c>
      <c r="L6" s="55">
        <v>8169000</v>
      </c>
      <c r="M6" s="55">
        <v>1000000</v>
      </c>
      <c r="N6" s="55">
        <v>53166000</v>
      </c>
      <c r="O6" s="55">
        <v>6729000</v>
      </c>
      <c r="P6" s="55">
        <v>32090000</v>
      </c>
      <c r="Q6" s="66">
        <v>8.1690000000000005</v>
      </c>
      <c r="R6" s="31"/>
      <c r="S6" s="51">
        <f t="shared" si="0"/>
        <v>6.0153313484311743E-2</v>
      </c>
      <c r="T6" s="51">
        <f t="shared" si="1"/>
        <v>0.14741477711122725</v>
      </c>
      <c r="U6" s="31"/>
      <c r="V6" s="51">
        <f t="shared" si="2"/>
        <v>0.13717128141401569</v>
      </c>
      <c r="W6" s="31"/>
      <c r="X6" s="32"/>
    </row>
    <row r="7" spans="1:24" x14ac:dyDescent="0.3">
      <c r="A7" s="28">
        <v>2019</v>
      </c>
      <c r="B7" s="55">
        <v>118370000</v>
      </c>
      <c r="C7" s="55">
        <v>55551000</v>
      </c>
      <c r="D7" s="55">
        <v>11732000</v>
      </c>
      <c r="E7" s="55">
        <v>239894384.63999999</v>
      </c>
      <c r="F7" s="66">
        <v>0.16200000000000001</v>
      </c>
      <c r="G7" s="66">
        <v>7.5999999999999998E-2</v>
      </c>
      <c r="H7" s="55">
        <v>94.918402588367499</v>
      </c>
      <c r="I7" s="55">
        <v>257698384.63999999</v>
      </c>
      <c r="J7" s="29">
        <v>2527375</v>
      </c>
      <c r="K7" s="55">
        <v>11344000</v>
      </c>
      <c r="L7" s="55">
        <v>9157000</v>
      </c>
      <c r="M7" s="55">
        <v>915000</v>
      </c>
      <c r="N7" s="55">
        <v>50486000</v>
      </c>
      <c r="O7" s="55">
        <v>5866000</v>
      </c>
      <c r="P7" s="55">
        <v>29148000</v>
      </c>
      <c r="Q7" s="66">
        <v>10.007650273224044</v>
      </c>
      <c r="R7" s="31"/>
      <c r="S7" s="51">
        <f t="shared" si="0"/>
        <v>-0.29407055355055156</v>
      </c>
      <c r="T7" s="51">
        <f t="shared" si="1"/>
        <v>0.12150346930271523</v>
      </c>
      <c r="U7" s="51">
        <v>6.3E-3</v>
      </c>
      <c r="V7" s="51">
        <f t="shared" si="2"/>
        <v>0.11310897443427607</v>
      </c>
      <c r="W7" s="31"/>
      <c r="X7" s="32"/>
    </row>
    <row r="8" spans="1:24" x14ac:dyDescent="0.3">
      <c r="A8" s="28">
        <v>2020</v>
      </c>
      <c r="B8" s="55">
        <v>132059000</v>
      </c>
      <c r="C8" s="55">
        <v>56666000</v>
      </c>
      <c r="D8" s="55">
        <v>8072000</v>
      </c>
      <c r="E8" s="55">
        <v>234191615.44800001</v>
      </c>
      <c r="F8" s="66">
        <v>0.17430000000000001</v>
      </c>
      <c r="G8" s="66">
        <v>7.4800000000000005E-2</v>
      </c>
      <c r="H8" s="55">
        <v>94.927372598648105</v>
      </c>
      <c r="I8" s="55">
        <v>260642615.44800001</v>
      </c>
      <c r="J8" s="29">
        <v>2467061</v>
      </c>
      <c r="K8" s="55">
        <v>11404000</v>
      </c>
      <c r="L8" s="55">
        <v>10152000</v>
      </c>
      <c r="M8" s="55">
        <v>921000</v>
      </c>
      <c r="N8" s="55">
        <v>49898000</v>
      </c>
      <c r="O8" s="55">
        <v>6471000</v>
      </c>
      <c r="P8" s="55">
        <v>37855000</v>
      </c>
      <c r="Q8" s="66">
        <v>11.022801302931596</v>
      </c>
      <c r="R8" s="31"/>
      <c r="S8" s="51">
        <f t="shared" si="0"/>
        <v>2.0071645874961686E-2</v>
      </c>
      <c r="T8" s="51">
        <f t="shared" si="1"/>
        <v>0.16164114128332377</v>
      </c>
      <c r="U8" s="51">
        <v>6.8999999999999999E-3</v>
      </c>
      <c r="V8" s="51">
        <f t="shared" si="2"/>
        <v>0.14523718592576942</v>
      </c>
      <c r="W8" s="31"/>
      <c r="X8" s="32"/>
    </row>
    <row r="9" spans="1:24" x14ac:dyDescent="0.3">
      <c r="A9" s="28">
        <v>2021</v>
      </c>
      <c r="B9" s="55">
        <v>131795000</v>
      </c>
      <c r="C9" s="55">
        <v>67822000</v>
      </c>
      <c r="D9" s="55">
        <v>24021000</v>
      </c>
      <c r="E9" s="55">
        <v>214128757.36000001</v>
      </c>
      <c r="F9" s="66">
        <v>0.38539999999999996</v>
      </c>
      <c r="G9" s="66">
        <v>0.19829999999999998</v>
      </c>
      <c r="H9" s="55">
        <v>87.958807311058095</v>
      </c>
      <c r="I9" s="55">
        <v>216929757.36000001</v>
      </c>
      <c r="J9" s="29">
        <v>2434421</v>
      </c>
      <c r="K9" s="55">
        <v>28224000</v>
      </c>
      <c r="L9" s="55">
        <v>11689000</v>
      </c>
      <c r="M9" s="55">
        <v>905000</v>
      </c>
      <c r="N9" s="55">
        <v>52877000</v>
      </c>
      <c r="O9" s="55">
        <v>6216000</v>
      </c>
      <c r="P9" s="55">
        <v>31025000</v>
      </c>
      <c r="Q9" s="66">
        <v>12.916022099447513</v>
      </c>
      <c r="R9" s="31"/>
      <c r="S9" s="51">
        <f t="shared" si="0"/>
        <v>0.19687290438711047</v>
      </c>
      <c r="T9" s="51">
        <f t="shared" si="1"/>
        <v>0.14488945988623</v>
      </c>
      <c r="U9" s="51">
        <v>6.7000000000000002E-3</v>
      </c>
      <c r="V9" s="51">
        <f t="shared" si="2"/>
        <v>0.14301864519450544</v>
      </c>
      <c r="W9" s="31"/>
      <c r="X9" s="32"/>
    </row>
    <row r="10" spans="1:24" x14ac:dyDescent="0.3">
      <c r="A10" s="28">
        <v>2022</v>
      </c>
      <c r="B10" s="55">
        <v>117453000</v>
      </c>
      <c r="C10" s="55">
        <v>59423000</v>
      </c>
      <c r="D10" s="55">
        <v>6955000</v>
      </c>
      <c r="E10" s="55">
        <v>217630164.68399999</v>
      </c>
      <c r="F10" s="66">
        <v>0.1409</v>
      </c>
      <c r="G10" s="66">
        <v>7.1300000000000002E-2</v>
      </c>
      <c r="H10" s="55">
        <v>90.538856798410393</v>
      </c>
      <c r="I10" s="55">
        <v>226813164.68399999</v>
      </c>
      <c r="J10" s="29">
        <v>2403721</v>
      </c>
      <c r="K10" s="55">
        <v>18726000</v>
      </c>
      <c r="L10" s="55">
        <v>9197000</v>
      </c>
      <c r="M10" s="55">
        <v>1031000</v>
      </c>
      <c r="N10" s="55">
        <v>51828000</v>
      </c>
      <c r="O10" s="55">
        <v>7188000</v>
      </c>
      <c r="P10" s="55">
        <v>27909000</v>
      </c>
      <c r="Q10" s="66">
        <v>8.9204655674102806</v>
      </c>
      <c r="R10" s="31"/>
      <c r="S10" s="51">
        <f t="shared" si="0"/>
        <v>-0.12383887234230784</v>
      </c>
      <c r="T10" s="51">
        <f t="shared" si="1"/>
        <v>0.12824049478859698</v>
      </c>
      <c r="U10" s="51">
        <v>6.8999999999999999E-3</v>
      </c>
      <c r="V10" s="51">
        <f t="shared" si="2"/>
        <v>0.12304841316809498</v>
      </c>
      <c r="W10" s="31"/>
      <c r="X10" s="32"/>
    </row>
    <row r="11" spans="1:24" x14ac:dyDescent="0.3">
      <c r="A11" s="28">
        <v>2023</v>
      </c>
      <c r="B11" s="55">
        <v>99945000</v>
      </c>
      <c r="C11" s="55">
        <v>46750000</v>
      </c>
      <c r="D11" s="55">
        <v>14854000</v>
      </c>
      <c r="E11" s="55">
        <v>230092909.801</v>
      </c>
      <c r="F11" s="66">
        <v>0.1996</v>
      </c>
      <c r="G11" s="66">
        <v>9.3399999999999997E-2</v>
      </c>
      <c r="H11" s="55">
        <v>101.029703650475</v>
      </c>
      <c r="I11" s="55">
        <v>242367909.801</v>
      </c>
      <c r="J11" s="29">
        <v>2277478</v>
      </c>
      <c r="K11" s="55">
        <v>14073000</v>
      </c>
      <c r="L11" s="55">
        <v>10030000</v>
      </c>
      <c r="M11" s="55">
        <v>1120000</v>
      </c>
      <c r="N11" s="55">
        <v>54107000</v>
      </c>
      <c r="O11" s="55">
        <v>8293000</v>
      </c>
      <c r="P11" s="55">
        <v>26348000</v>
      </c>
      <c r="Q11" s="66">
        <v>8.9553571428571423</v>
      </c>
      <c r="R11" s="33">
        <v>0.15</v>
      </c>
      <c r="S11" s="51">
        <f t="shared" si="0"/>
        <v>-0.21326758999040774</v>
      </c>
      <c r="T11" s="51">
        <f t="shared" si="1"/>
        <v>0.11451026466998719</v>
      </c>
      <c r="U11" s="51">
        <v>5.8999999999999999E-3</v>
      </c>
      <c r="V11" s="51">
        <f t="shared" si="2"/>
        <v>0.10871076134474007</v>
      </c>
      <c r="W11" s="51">
        <f>U11+0.7%</f>
        <v>1.2899999999999998E-2</v>
      </c>
      <c r="X11" s="57">
        <f>R11*P11</f>
        <v>3952200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05593-FA81-460E-B498-6BBA7B2DB4BD}">
  <sheetPr codeName="Sheet7"/>
  <dimension ref="A1:X11"/>
  <sheetViews>
    <sheetView topLeftCell="E1" workbookViewId="0">
      <selection activeCell="L17" sqref="L17"/>
    </sheetView>
  </sheetViews>
  <sheetFormatPr defaultRowHeight="14.4" x14ac:dyDescent="0.3"/>
  <cols>
    <col min="1" max="1" width="5" bestFit="1" customWidth="1"/>
    <col min="2" max="3" width="14.77734375" bestFit="1" customWidth="1"/>
    <col min="4" max="4" width="13.77734375" bestFit="1" customWidth="1"/>
    <col min="5" max="5" width="15.77734375" bestFit="1" customWidth="1"/>
    <col min="6" max="6" width="7.88671875" bestFit="1" customWidth="1"/>
    <col min="7" max="7" width="6.88671875" bestFit="1" customWidth="1"/>
    <col min="8" max="8" width="8.5546875" bestFit="1" customWidth="1"/>
    <col min="9" max="9" width="15.77734375" bestFit="1" customWidth="1"/>
    <col min="10" max="10" width="25" bestFit="1" customWidth="1"/>
    <col min="11" max="12" width="13.77734375" bestFit="1" customWidth="1"/>
    <col min="13" max="13" width="14.44140625" bestFit="1" customWidth="1"/>
    <col min="14" max="14" width="14.77734375" bestFit="1" customWidth="1"/>
    <col min="15" max="15" width="13.77734375" bestFit="1" customWidth="1"/>
    <col min="16" max="16" width="14.77734375" bestFit="1" customWidth="1"/>
    <col min="17" max="17" width="8.88671875" bestFit="1" customWidth="1"/>
    <col min="18" max="18" width="6.88671875" bestFit="1" customWidth="1"/>
    <col min="19" max="19" width="7.88671875" bestFit="1" customWidth="1"/>
    <col min="20" max="20" width="6.88671875" bestFit="1" customWidth="1"/>
    <col min="21" max="21" width="6.6640625" bestFit="1" customWidth="1"/>
    <col min="22" max="22" width="6.88671875" bestFit="1" customWidth="1"/>
    <col min="23" max="23" width="5.88671875" bestFit="1" customWidth="1"/>
    <col min="24" max="24" width="13.77734375" bestFit="1" customWidth="1"/>
  </cols>
  <sheetData>
    <row r="1" spans="1:24" ht="15" thickBot="1" x14ac:dyDescent="0.35">
      <c r="A1" s="25" t="s">
        <v>185</v>
      </c>
      <c r="B1" s="26" t="s">
        <v>172</v>
      </c>
      <c r="C1" s="26" t="s">
        <v>173</v>
      </c>
      <c r="D1" s="26" t="s">
        <v>174</v>
      </c>
      <c r="E1" s="26" t="s">
        <v>175</v>
      </c>
      <c r="F1" s="26" t="s">
        <v>176</v>
      </c>
      <c r="G1" s="26" t="s">
        <v>177</v>
      </c>
      <c r="H1" s="26" t="s">
        <v>178</v>
      </c>
      <c r="I1" s="26" t="s">
        <v>179</v>
      </c>
      <c r="J1" s="26" t="s">
        <v>180</v>
      </c>
      <c r="K1" s="26" t="s">
        <v>181</v>
      </c>
      <c r="L1" s="26" t="s">
        <v>182</v>
      </c>
      <c r="M1" s="26" t="s">
        <v>199</v>
      </c>
      <c r="N1" s="26" t="s">
        <v>183</v>
      </c>
      <c r="O1" s="26" t="s">
        <v>184</v>
      </c>
      <c r="P1" s="26" t="s">
        <v>186</v>
      </c>
      <c r="Q1" s="26" t="s">
        <v>188</v>
      </c>
      <c r="R1" s="26" t="s">
        <v>187</v>
      </c>
      <c r="S1" s="26" t="s">
        <v>200</v>
      </c>
      <c r="T1" s="26" t="s">
        <v>202</v>
      </c>
      <c r="U1" s="26" t="s">
        <v>207</v>
      </c>
      <c r="V1" s="26" t="s">
        <v>205</v>
      </c>
      <c r="W1" s="26" t="s">
        <v>206</v>
      </c>
      <c r="X1" s="27" t="s">
        <v>208</v>
      </c>
    </row>
    <row r="2" spans="1:24" x14ac:dyDescent="0.3">
      <c r="A2" s="28">
        <v>2014</v>
      </c>
      <c r="B2" s="55">
        <v>36307600</v>
      </c>
      <c r="C2" s="55">
        <v>15373200</v>
      </c>
      <c r="D2" s="55">
        <v>2390500</v>
      </c>
      <c r="E2" s="55">
        <v>76815520.695999995</v>
      </c>
      <c r="F2" s="66">
        <v>0.19519999999999998</v>
      </c>
      <c r="G2" s="66">
        <v>8.2599999999999993E-2</v>
      </c>
      <c r="H2" s="55">
        <v>68.989999999999995</v>
      </c>
      <c r="I2" s="55">
        <v>80010020.695999995</v>
      </c>
      <c r="J2" s="29">
        <v>1111000</v>
      </c>
      <c r="K2" s="55">
        <v>4827000</v>
      </c>
      <c r="L2" s="55">
        <v>2659800</v>
      </c>
      <c r="M2" s="55">
        <v>148800</v>
      </c>
      <c r="N2" s="55">
        <v>19615600</v>
      </c>
      <c r="O2" s="55">
        <v>1847700</v>
      </c>
      <c r="P2" s="55">
        <v>8021500</v>
      </c>
      <c r="Q2" s="66">
        <v>17.875</v>
      </c>
      <c r="R2" s="31"/>
      <c r="S2" s="34" t="s">
        <v>201</v>
      </c>
      <c r="T2" s="51">
        <f>P2/E2</f>
        <v>0.10442551098163294</v>
      </c>
      <c r="U2" s="34"/>
      <c r="V2" s="51">
        <f>P2/I2</f>
        <v>0.10025619203971817</v>
      </c>
      <c r="W2" s="31"/>
      <c r="X2" s="32"/>
    </row>
    <row r="3" spans="1:24" x14ac:dyDescent="0.3">
      <c r="A3" s="28">
        <v>2015</v>
      </c>
      <c r="B3" s="55">
        <v>35568900</v>
      </c>
      <c r="C3" s="55">
        <v>14571300</v>
      </c>
      <c r="D3" s="55">
        <v>2408400</v>
      </c>
      <c r="E3" s="55">
        <v>93366532.386000007</v>
      </c>
      <c r="F3" s="66">
        <v>0.19149999999999998</v>
      </c>
      <c r="G3" s="66">
        <v>7.8399999999999997E-2</v>
      </c>
      <c r="H3" s="55">
        <v>84.26</v>
      </c>
      <c r="I3" s="55">
        <v>96893232.386000007</v>
      </c>
      <c r="J3" s="29">
        <v>1105000</v>
      </c>
      <c r="K3" s="55">
        <v>4451800</v>
      </c>
      <c r="L3" s="55">
        <v>2522700</v>
      </c>
      <c r="M3" s="55">
        <v>161200</v>
      </c>
      <c r="N3" s="55">
        <v>19958700</v>
      </c>
      <c r="O3" s="55">
        <v>1654400</v>
      </c>
      <c r="P3" s="55">
        <v>7978500</v>
      </c>
      <c r="Q3" s="66">
        <v>15.649503722084367</v>
      </c>
      <c r="R3" s="31"/>
      <c r="S3" s="51">
        <f t="shared" ref="S3:S11" si="0">C3/C2 -1</f>
        <v>-5.2162204355631903E-2</v>
      </c>
      <c r="T3" s="51">
        <f t="shared" ref="T3:T11" si="1">P3/E3</f>
        <v>8.5453532396543713E-2</v>
      </c>
      <c r="U3" s="31"/>
      <c r="V3" s="51">
        <f t="shared" ref="V3:V11" si="2">P3/I3</f>
        <v>8.234321225052664E-2</v>
      </c>
      <c r="W3" s="31"/>
      <c r="X3" s="32"/>
    </row>
    <row r="4" spans="1:24" x14ac:dyDescent="0.3">
      <c r="A4" s="28">
        <v>2016</v>
      </c>
      <c r="B4" s="55">
        <v>38805900</v>
      </c>
      <c r="C4" s="55">
        <v>14007700</v>
      </c>
      <c r="D4" s="55">
        <v>2737600</v>
      </c>
      <c r="E4" s="55">
        <v>81195395.685000002</v>
      </c>
      <c r="F4" s="66">
        <v>0.2409</v>
      </c>
      <c r="G4" s="66">
        <v>8.6899999999999991E-2</v>
      </c>
      <c r="H4" s="55">
        <v>73.55</v>
      </c>
      <c r="I4" s="55">
        <v>85461995.685000002</v>
      </c>
      <c r="J4" s="29">
        <v>1101000</v>
      </c>
      <c r="K4" s="55">
        <v>6038600</v>
      </c>
      <c r="L4" s="55">
        <v>3458800</v>
      </c>
      <c r="M4" s="55">
        <v>185200</v>
      </c>
      <c r="N4" s="55">
        <v>21222100</v>
      </c>
      <c r="O4" s="55">
        <v>1752400</v>
      </c>
      <c r="P4" s="55">
        <v>10305200</v>
      </c>
      <c r="Q4" s="66">
        <v>18.676025917926566</v>
      </c>
      <c r="R4" s="31"/>
      <c r="S4" s="51">
        <f t="shared" si="0"/>
        <v>-3.867877265583719E-2</v>
      </c>
      <c r="T4" s="51">
        <f t="shared" si="1"/>
        <v>0.12691852675956325</v>
      </c>
      <c r="U4" s="31"/>
      <c r="V4" s="51">
        <f t="shared" si="2"/>
        <v>0.12058225316880511</v>
      </c>
      <c r="W4" s="31"/>
      <c r="X4" s="32"/>
    </row>
    <row r="5" spans="1:24" x14ac:dyDescent="0.3">
      <c r="A5" s="28">
        <v>2017</v>
      </c>
      <c r="B5" s="55">
        <v>44981000</v>
      </c>
      <c r="C5" s="55">
        <v>11592200</v>
      </c>
      <c r="D5" s="55">
        <v>-204100</v>
      </c>
      <c r="E5" s="55">
        <v>92998458.283000007</v>
      </c>
      <c r="F5" s="66">
        <v>0.19879999999999998</v>
      </c>
      <c r="G5" s="66">
        <v>5.1200000000000002E-2</v>
      </c>
      <c r="H5" s="55">
        <v>84.46</v>
      </c>
      <c r="I5" s="55">
        <v>98611458.283000007</v>
      </c>
      <c r="J5" s="29">
        <v>1100000</v>
      </c>
      <c r="K5" s="55">
        <v>8034100</v>
      </c>
      <c r="L5" s="55">
        <v>2003300</v>
      </c>
      <c r="M5" s="55">
        <v>225000</v>
      </c>
      <c r="N5" s="55">
        <v>19973800</v>
      </c>
      <c r="O5" s="55">
        <v>2297900</v>
      </c>
      <c r="P5" s="55">
        <v>13647100</v>
      </c>
      <c r="Q5" s="66">
        <v>8.9035555555555561</v>
      </c>
      <c r="R5" s="31"/>
      <c r="S5" s="51">
        <f t="shared" si="0"/>
        <v>-0.17244087180622092</v>
      </c>
      <c r="T5" s="51">
        <f t="shared" si="1"/>
        <v>0.14674544344026691</v>
      </c>
      <c r="U5" s="31"/>
      <c r="V5" s="51">
        <f t="shared" si="2"/>
        <v>0.13839263953317557</v>
      </c>
      <c r="W5" s="31"/>
      <c r="X5" s="32"/>
    </row>
    <row r="6" spans="1:24" x14ac:dyDescent="0.3">
      <c r="A6" s="28">
        <v>2018</v>
      </c>
      <c r="B6" s="55">
        <v>43908400</v>
      </c>
      <c r="C6" s="55">
        <v>9828700</v>
      </c>
      <c r="D6" s="55">
        <v>3232000</v>
      </c>
      <c r="E6" s="55">
        <v>122584772.642</v>
      </c>
      <c r="F6" s="66">
        <v>0.37439999999999996</v>
      </c>
      <c r="G6" s="66">
        <v>8.3800000000000013E-2</v>
      </c>
      <c r="H6" s="55">
        <v>115.72</v>
      </c>
      <c r="I6" s="55">
        <v>125474472.642</v>
      </c>
      <c r="J6" s="29">
        <v>1058000</v>
      </c>
      <c r="K6" s="55">
        <v>7408900</v>
      </c>
      <c r="L6" s="55">
        <v>3534500</v>
      </c>
      <c r="M6" s="55">
        <v>242500</v>
      </c>
      <c r="N6" s="55">
        <v>21493300</v>
      </c>
      <c r="O6" s="55">
        <v>1748100</v>
      </c>
      <c r="P6" s="55">
        <v>10298600</v>
      </c>
      <c r="Q6" s="66">
        <v>14.575257731958763</v>
      </c>
      <c r="R6" s="31"/>
      <c r="S6" s="51">
        <f t="shared" si="0"/>
        <v>-0.15212815513880018</v>
      </c>
      <c r="T6" s="51">
        <f t="shared" si="1"/>
        <v>8.4012065920098564E-2</v>
      </c>
      <c r="U6" s="31"/>
      <c r="V6" s="51">
        <f t="shared" si="2"/>
        <v>8.2077252712459345E-2</v>
      </c>
      <c r="W6" s="31"/>
      <c r="X6" s="32"/>
    </row>
    <row r="7" spans="1:24" x14ac:dyDescent="0.3">
      <c r="A7" s="28">
        <v>2019</v>
      </c>
      <c r="B7" s="55">
        <v>39286100</v>
      </c>
      <c r="C7" s="55">
        <v>2606900</v>
      </c>
      <c r="D7" s="55">
        <v>8318400</v>
      </c>
      <c r="E7" s="55">
        <v>126189980.2</v>
      </c>
      <c r="F7" s="66">
        <v>2.02</v>
      </c>
      <c r="G7" s="66">
        <v>0.13400000000000001</v>
      </c>
      <c r="H7" s="55">
        <v>131.43</v>
      </c>
      <c r="I7" s="55">
        <v>139068680.19999999</v>
      </c>
      <c r="J7" s="29">
        <v>958000</v>
      </c>
      <c r="K7" s="55">
        <v>2438500</v>
      </c>
      <c r="L7" s="55">
        <v>5031600</v>
      </c>
      <c r="M7" s="55">
        <v>400600</v>
      </c>
      <c r="N7" s="55">
        <v>22319500</v>
      </c>
      <c r="O7" s="55">
        <v>1730400</v>
      </c>
      <c r="P7" s="55">
        <v>15317199.999999985</v>
      </c>
      <c r="Q7" s="66">
        <v>12.560159760359461</v>
      </c>
      <c r="R7" s="31"/>
      <c r="S7" s="51">
        <f t="shared" si="0"/>
        <v>-0.73476655101895472</v>
      </c>
      <c r="T7" s="51">
        <f t="shared" si="1"/>
        <v>0.12138206199670983</v>
      </c>
      <c r="U7" s="51">
        <v>6.3E-3</v>
      </c>
      <c r="V7" s="51">
        <f t="shared" si="2"/>
        <v>0.11014126241776175</v>
      </c>
      <c r="W7" s="31"/>
      <c r="X7" s="32"/>
    </row>
    <row r="8" spans="1:24" x14ac:dyDescent="0.3">
      <c r="A8" s="28">
        <v>2020</v>
      </c>
      <c r="B8" s="55">
        <v>46633100</v>
      </c>
      <c r="C8" s="55">
        <v>5641600</v>
      </c>
      <c r="D8" s="55">
        <v>6193700</v>
      </c>
      <c r="E8" s="55">
        <v>161509233.50299999</v>
      </c>
      <c r="F8" s="66">
        <v>1.2815000000000001</v>
      </c>
      <c r="G8" s="66">
        <v>0.155</v>
      </c>
      <c r="H8" s="55">
        <v>168.84</v>
      </c>
      <c r="I8" s="55">
        <v>174423233.50299999</v>
      </c>
      <c r="J8" s="29">
        <v>954000</v>
      </c>
      <c r="K8" s="55">
        <v>3681300</v>
      </c>
      <c r="L8" s="55">
        <v>6058000</v>
      </c>
      <c r="M8" s="55">
        <v>359600</v>
      </c>
      <c r="N8" s="55">
        <v>24539800</v>
      </c>
      <c r="O8" s="55">
        <v>1303900</v>
      </c>
      <c r="P8" s="55">
        <v>16595300</v>
      </c>
      <c r="Q8" s="66">
        <v>16.846496106785317</v>
      </c>
      <c r="R8" s="31"/>
      <c r="S8" s="51">
        <f t="shared" si="0"/>
        <v>1.1641029575357704</v>
      </c>
      <c r="T8" s="51">
        <f t="shared" si="1"/>
        <v>0.10275140089555157</v>
      </c>
      <c r="U8" s="51">
        <v>6.8999999999999999E-3</v>
      </c>
      <c r="V8" s="51">
        <f t="shared" si="2"/>
        <v>9.51438616674571E-2</v>
      </c>
      <c r="W8" s="31"/>
      <c r="X8" s="32"/>
    </row>
    <row r="9" spans="1:24" x14ac:dyDescent="0.3">
      <c r="A9" s="28">
        <v>2021</v>
      </c>
      <c r="B9" s="55">
        <v>48806000</v>
      </c>
      <c r="C9" s="55">
        <v>8979200</v>
      </c>
      <c r="D9" s="55">
        <v>5581700</v>
      </c>
      <c r="E9" s="55">
        <v>264229951.96200001</v>
      </c>
      <c r="F9" s="66">
        <v>0.6855</v>
      </c>
      <c r="G9" s="66">
        <v>0.12609999999999999</v>
      </c>
      <c r="H9" s="55">
        <v>276.22000000000003</v>
      </c>
      <c r="I9" s="55">
        <v>277206051.96200001</v>
      </c>
      <c r="J9" s="29">
        <v>957000</v>
      </c>
      <c r="K9" s="55">
        <v>3908600</v>
      </c>
      <c r="L9" s="55">
        <v>5951900</v>
      </c>
      <c r="M9" s="55">
        <v>339800</v>
      </c>
      <c r="N9" s="55">
        <v>28318400</v>
      </c>
      <c r="O9" s="55">
        <v>1850700</v>
      </c>
      <c r="P9" s="55">
        <v>16884700</v>
      </c>
      <c r="Q9" s="66">
        <v>17.515891701000587</v>
      </c>
      <c r="R9" s="31"/>
      <c r="S9" s="51">
        <f t="shared" si="0"/>
        <v>0.59160521837776514</v>
      </c>
      <c r="T9" s="51">
        <f t="shared" si="1"/>
        <v>6.3901536803928488E-2</v>
      </c>
      <c r="U9" s="51">
        <v>6.7000000000000002E-3</v>
      </c>
      <c r="V9" s="51">
        <f t="shared" si="2"/>
        <v>6.0910286339327796E-2</v>
      </c>
      <c r="W9" s="31"/>
      <c r="X9" s="32"/>
    </row>
    <row r="10" spans="1:24" x14ac:dyDescent="0.3">
      <c r="A10" s="28">
        <v>2022</v>
      </c>
      <c r="B10" s="55">
        <v>49489800</v>
      </c>
      <c r="C10" s="55">
        <v>10649800</v>
      </c>
      <c r="D10" s="55">
        <v>6244800</v>
      </c>
      <c r="E10" s="55">
        <v>347613079.45599997</v>
      </c>
      <c r="F10" s="66">
        <v>0.6391</v>
      </c>
      <c r="G10" s="66">
        <v>0.13750000000000001</v>
      </c>
      <c r="H10" s="55">
        <v>365.84</v>
      </c>
      <c r="I10" s="55">
        <v>361639879.45599997</v>
      </c>
      <c r="J10" s="29">
        <v>950000</v>
      </c>
      <c r="K10" s="55">
        <v>2211800</v>
      </c>
      <c r="L10" s="55">
        <v>7127300</v>
      </c>
      <c r="M10" s="55">
        <v>331600</v>
      </c>
      <c r="N10" s="55">
        <v>28541400</v>
      </c>
      <c r="O10" s="55">
        <v>1744100</v>
      </c>
      <c r="P10" s="55">
        <v>16238600</v>
      </c>
      <c r="Q10" s="66">
        <v>21.493667068757539</v>
      </c>
      <c r="R10" s="31"/>
      <c r="S10" s="51">
        <f t="shared" si="0"/>
        <v>0.18605220955096224</v>
      </c>
      <c r="T10" s="51">
        <f t="shared" si="1"/>
        <v>4.6714582850026054E-2</v>
      </c>
      <c r="U10" s="51">
        <v>6.8999999999999999E-3</v>
      </c>
      <c r="V10" s="51">
        <f t="shared" si="2"/>
        <v>4.4902680601561586E-2</v>
      </c>
      <c r="W10" s="31"/>
      <c r="X10" s="32"/>
    </row>
    <row r="11" spans="1:24" x14ac:dyDescent="0.3">
      <c r="A11" s="28">
        <v>2023</v>
      </c>
      <c r="B11" s="55">
        <v>64006300</v>
      </c>
      <c r="C11" s="55">
        <v>10771900</v>
      </c>
      <c r="D11" s="55">
        <v>5240400</v>
      </c>
      <c r="E11" s="55">
        <v>553370158.36899996</v>
      </c>
      <c r="F11" s="66">
        <v>0.60850000000000004</v>
      </c>
      <c r="G11" s="66">
        <v>0.1024</v>
      </c>
      <c r="H11" s="55">
        <v>582.91999999999996</v>
      </c>
      <c r="I11" s="55">
        <v>575667758.36899996</v>
      </c>
      <c r="J11" s="29">
        <v>949000</v>
      </c>
      <c r="K11" s="55">
        <v>2927700</v>
      </c>
      <c r="L11" s="55">
        <v>6457900</v>
      </c>
      <c r="M11" s="55">
        <v>485900</v>
      </c>
      <c r="N11" s="55">
        <v>34124100</v>
      </c>
      <c r="O11" s="55">
        <v>1549500</v>
      </c>
      <c r="P11" s="55">
        <v>25225300</v>
      </c>
      <c r="Q11" s="66">
        <v>13.290594772586951</v>
      </c>
      <c r="R11" s="33">
        <f>8.5% + 21%</f>
        <v>0.29499999999999998</v>
      </c>
      <c r="S11" s="51">
        <f t="shared" si="0"/>
        <v>1.1465004037634507E-2</v>
      </c>
      <c r="T11" s="51">
        <f t="shared" si="1"/>
        <v>4.5584857836116252E-2</v>
      </c>
      <c r="U11" s="51">
        <v>5.8999999999999999E-3</v>
      </c>
      <c r="V11" s="51">
        <f t="shared" si="2"/>
        <v>4.3819198892550655E-2</v>
      </c>
      <c r="W11" s="51">
        <f>3.94%+U11</f>
        <v>4.53E-2</v>
      </c>
      <c r="X11" s="57">
        <f>R11*P11</f>
        <v>7441463.5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1D640-FACA-47DD-A6E4-D0E6DE97DB38}">
  <dimension ref="A1:AD1238"/>
  <sheetViews>
    <sheetView topLeftCell="A24" workbookViewId="0">
      <selection activeCell="G32" sqref="G32"/>
    </sheetView>
  </sheetViews>
  <sheetFormatPr defaultRowHeight="14.4" x14ac:dyDescent="0.3"/>
  <cols>
    <col min="1" max="3" width="8.88671875" style="35"/>
    <col min="4" max="6" width="8.88671875" style="35" customWidth="1"/>
    <col min="7" max="7" width="40.5546875" style="35" bestFit="1" customWidth="1"/>
    <col min="8" max="10" width="8.88671875" style="35"/>
    <col min="11" max="11" width="10.5546875" style="35" customWidth="1"/>
    <col min="12" max="12" width="13.5546875" style="35" customWidth="1"/>
    <col min="13" max="13" width="9.6640625" style="35" customWidth="1"/>
    <col min="14" max="14" width="10.5546875" style="35" bestFit="1" customWidth="1"/>
    <col min="15" max="15" width="13.5546875" style="35" bestFit="1" customWidth="1"/>
    <col min="16" max="16" width="9.6640625" style="35" bestFit="1" customWidth="1"/>
    <col min="17" max="18" width="10.5546875" style="35" bestFit="1" customWidth="1"/>
    <col min="19" max="19" width="14.44140625" style="35" bestFit="1" customWidth="1"/>
    <col min="20" max="20" width="10.5546875" style="35" bestFit="1" customWidth="1"/>
    <col min="21" max="21" width="12.44140625" style="35" bestFit="1" customWidth="1"/>
    <col min="22" max="22" width="13.44140625" style="35" bestFit="1" customWidth="1"/>
    <col min="23" max="23" width="8.88671875" style="35"/>
    <col min="24" max="24" width="10.5546875" style="35" bestFit="1" customWidth="1"/>
    <col min="25" max="25" width="22.77734375" style="35" bestFit="1" customWidth="1"/>
    <col min="26" max="26" width="18.21875" style="35" bestFit="1" customWidth="1"/>
    <col min="27" max="27" width="15.88671875" style="35" bestFit="1" customWidth="1"/>
    <col min="28" max="28" width="11.109375" style="35" bestFit="1" customWidth="1"/>
    <col min="29" max="29" width="19" style="35" bestFit="1" customWidth="1"/>
    <col min="30" max="30" width="17.88671875" style="35" bestFit="1" customWidth="1"/>
    <col min="31" max="16384" width="8.88671875" style="35"/>
  </cols>
  <sheetData>
    <row r="1" spans="1:30" ht="15" thickBot="1" x14ac:dyDescent="0.35">
      <c r="A1" s="36" t="s">
        <v>202</v>
      </c>
      <c r="B1" s="36" t="s">
        <v>200</v>
      </c>
      <c r="C1" s="36" t="s">
        <v>205</v>
      </c>
      <c r="E1" s="45"/>
      <c r="F1" s="37"/>
      <c r="G1" s="49" t="s">
        <v>203</v>
      </c>
      <c r="H1" s="37"/>
      <c r="I1" s="38"/>
      <c r="N1" s="36" t="s">
        <v>223</v>
      </c>
      <c r="O1" s="36" t="s">
        <v>224</v>
      </c>
      <c r="P1" s="25" t="s">
        <v>225</v>
      </c>
      <c r="Q1" s="36" t="s">
        <v>461</v>
      </c>
      <c r="R1" s="36" t="s">
        <v>462</v>
      </c>
      <c r="S1" s="36" t="s">
        <v>453</v>
      </c>
      <c r="T1" s="36" t="s">
        <v>454</v>
      </c>
      <c r="U1" s="36" t="s">
        <v>463</v>
      </c>
      <c r="V1" s="36" t="s">
        <v>464</v>
      </c>
      <c r="X1" s="36" t="s">
        <v>223</v>
      </c>
      <c r="Y1" s="36" t="s">
        <v>473</v>
      </c>
      <c r="Z1" s="36" t="s">
        <v>474</v>
      </c>
      <c r="AA1" s="36" t="s">
        <v>475</v>
      </c>
      <c r="AB1" s="36" t="s">
        <v>478</v>
      </c>
      <c r="AC1" s="36" t="s">
        <v>476</v>
      </c>
      <c r="AD1" s="36" t="s">
        <v>477</v>
      </c>
    </row>
    <row r="2" spans="1:30" x14ac:dyDescent="0.3">
      <c r="A2" s="59" cm="1">
        <f t="array" ref="A2:A11">'JOHNSON &amp; JOHNSON'!AA2:AA11</f>
        <v>6.4092277574088155E-2</v>
      </c>
      <c r="B2" s="62">
        <f>('JOHNSON &amp; JOHNSON'!V11 / 'JOHNSON &amp; JOHNSON'!V2)^(1/10) - 1</f>
        <v>1.3692090244024291E-2</v>
      </c>
      <c r="C2" s="59" cm="1">
        <f t="array" ref="C2:C11">'JOHNSON &amp; JOHNSON'!X2:X11/'JOHNSON &amp; JOHNSON'!I2:I11</f>
        <v>6.7391358466454318E-2</v>
      </c>
      <c r="E2" s="39"/>
      <c r="F2" s="40"/>
      <c r="G2" s="46">
        <f>AVERAGE(A2:A51)</f>
        <v>0.12584781207593759</v>
      </c>
      <c r="H2" s="40"/>
      <c r="I2" s="41"/>
      <c r="N2" s="69" t="s">
        <v>226</v>
      </c>
      <c r="O2" s="69">
        <v>4769.83</v>
      </c>
      <c r="P2" s="67">
        <v>156.74</v>
      </c>
      <c r="Q2" s="69">
        <v>28.79</v>
      </c>
      <c r="R2" s="69">
        <v>582.91999999999996</v>
      </c>
      <c r="S2" s="75">
        <f>LN(O2/O3)</f>
        <v>-2.8304729998547477E-3</v>
      </c>
      <c r="T2" s="75">
        <f>LN(P2/P3)</f>
        <v>1.0213201449503495E-3</v>
      </c>
      <c r="U2" s="75">
        <f>LN(Q2/Q3)</f>
        <v>0</v>
      </c>
      <c r="V2" s="75">
        <f>LN(R2/R3)</f>
        <v>3.5574077060119432E-3</v>
      </c>
      <c r="X2" s="70" t="s">
        <v>226</v>
      </c>
      <c r="Y2" s="69">
        <v>11137.79</v>
      </c>
      <c r="Z2" s="69">
        <v>244.5</v>
      </c>
      <c r="AA2" s="79">
        <v>84.87</v>
      </c>
      <c r="AB2" s="75">
        <f>LN(Y2/Y3)</f>
        <v>7.2303780494203055E-3</v>
      </c>
      <c r="AC2" s="75">
        <f t="shared" ref="AC2:AD17" si="0">LN(Z2/Z3)</f>
        <v>8.4198053635654892E-3</v>
      </c>
      <c r="AD2" s="81">
        <f t="shared" si="0"/>
        <v>9.827798004785903E-3</v>
      </c>
    </row>
    <row r="3" spans="1:30" x14ac:dyDescent="0.3">
      <c r="A3" s="60">
        <v>6.9878855621977348E-2</v>
      </c>
      <c r="B3" s="63">
        <f>('ROCHE HOLDING AG'!T11/'ROCHE HOLDING AG'!T2)^(1/10) - 1</f>
        <v>2.8265158584268146E-2</v>
      </c>
      <c r="C3" s="60">
        <v>7.4748183658842712E-2</v>
      </c>
      <c r="E3" s="39"/>
      <c r="F3" s="40"/>
      <c r="G3" s="47" t="s">
        <v>219</v>
      </c>
      <c r="H3" s="40"/>
      <c r="I3" s="41"/>
      <c r="N3" s="70" t="s">
        <v>227</v>
      </c>
      <c r="O3" s="70">
        <v>4783.3500000000004</v>
      </c>
      <c r="P3" s="68">
        <v>156.58000000000001</v>
      </c>
      <c r="Q3" s="70">
        <v>28.79</v>
      </c>
      <c r="R3" s="70">
        <v>580.85</v>
      </c>
      <c r="S3" s="76">
        <f t="shared" ref="S3:S66" si="1">LN(O3/O4)</f>
        <v>3.7010203319937546E-4</v>
      </c>
      <c r="T3" s="76">
        <f t="shared" ref="T3:T66" si="2">LN(P3/P4)</f>
        <v>1.469977575917968E-3</v>
      </c>
      <c r="U3" s="76">
        <f t="shared" ref="U3:U66" si="3">LN(Q3/Q4)</f>
        <v>6.2717975620656024E-3</v>
      </c>
      <c r="V3" s="76">
        <f t="shared" ref="V3:V66" si="4">LN(R3/R4)</f>
        <v>-1.1356207559274009E-3</v>
      </c>
      <c r="X3" s="70" t="s">
        <v>227</v>
      </c>
      <c r="Y3" s="70">
        <v>11057.55</v>
      </c>
      <c r="Z3" s="70">
        <v>242.45</v>
      </c>
      <c r="AA3" s="80">
        <v>84.04</v>
      </c>
      <c r="AB3" s="76">
        <f t="shared" ref="AB3:AD66" si="5">LN(Y3/Y4)</f>
        <v>-5.0903227560966362E-3</v>
      </c>
      <c r="AC3" s="76">
        <f t="shared" si="0"/>
        <v>-5.1424570797992102E-3</v>
      </c>
      <c r="AD3" s="73">
        <f t="shared" si="0"/>
        <v>-1.9020452714813149E-3</v>
      </c>
    </row>
    <row r="4" spans="1:30" x14ac:dyDescent="0.3">
      <c r="A4" s="60">
        <v>8.6544961466626408E-2</v>
      </c>
      <c r="B4" s="63">
        <f>('PFIZER INC'!T11/'PFIZER INC'!T2)^(1/10) - 1</f>
        <v>8.994176718196889E-2</v>
      </c>
      <c r="C4" s="60">
        <v>9.0828285860904787E-2</v>
      </c>
      <c r="E4" s="39"/>
      <c r="F4" s="40"/>
      <c r="G4" s="46">
        <f>MEDIAN(A2:A11)</f>
        <v>8.1429149824137834E-2</v>
      </c>
      <c r="H4" s="40"/>
      <c r="I4" s="41"/>
      <c r="N4" s="70" t="s">
        <v>228</v>
      </c>
      <c r="O4" s="70">
        <v>4781.58</v>
      </c>
      <c r="P4" s="68">
        <v>156.35</v>
      </c>
      <c r="Q4" s="70">
        <v>28.61</v>
      </c>
      <c r="R4" s="70">
        <v>581.51</v>
      </c>
      <c r="S4" s="76">
        <f t="shared" si="1"/>
        <v>1.429419277681746E-3</v>
      </c>
      <c r="T4" s="76">
        <f t="shared" si="2"/>
        <v>1.3440432117054792E-3</v>
      </c>
      <c r="U4" s="76">
        <f t="shared" si="3"/>
        <v>7.0151111959222212E-3</v>
      </c>
      <c r="V4" s="76">
        <f t="shared" si="4"/>
        <v>1.8817059577397526E-2</v>
      </c>
      <c r="X4" s="70" t="s">
        <v>228</v>
      </c>
      <c r="Y4" s="70">
        <v>11113.98</v>
      </c>
      <c r="Z4" s="70">
        <v>243.7</v>
      </c>
      <c r="AA4" s="80">
        <v>84.2</v>
      </c>
      <c r="AB4" s="76">
        <f t="shared" si="5"/>
        <v>-3.5128142335444069E-3</v>
      </c>
      <c r="AC4" s="76">
        <f t="shared" si="0"/>
        <v>-2.45901763253435E-3</v>
      </c>
      <c r="AD4" s="73">
        <f t="shared" si="0"/>
        <v>-7.5722084482006194E-3</v>
      </c>
    </row>
    <row r="5" spans="1:30" x14ac:dyDescent="0.3">
      <c r="A5" s="60">
        <v>9.2127413963828939E-2</v>
      </c>
      <c r="B5" s="63">
        <f>('NOVARTIS AG'!T11/'NOVARTIS AG'!T2)^(1/10) - 1</f>
        <v>3.577241590819491E-2</v>
      </c>
      <c r="C5" s="60">
        <v>8.8296667508711985E-2</v>
      </c>
      <c r="E5" s="39"/>
      <c r="F5" s="40"/>
      <c r="G5" s="47"/>
      <c r="H5" s="40"/>
      <c r="I5" s="41"/>
      <c r="N5" s="70" t="s">
        <v>229</v>
      </c>
      <c r="O5" s="70">
        <v>4774.75</v>
      </c>
      <c r="P5" s="68">
        <v>156.13999999999999</v>
      </c>
      <c r="Q5" s="70">
        <v>28.41</v>
      </c>
      <c r="R5" s="70">
        <v>570.66999999999996</v>
      </c>
      <c r="S5" s="76">
        <f t="shared" si="1"/>
        <v>4.2227363999498384E-3</v>
      </c>
      <c r="T5" s="76">
        <f t="shared" si="2"/>
        <v>4.3645768900712201E-3</v>
      </c>
      <c r="U5" s="76">
        <f t="shared" si="3"/>
        <v>3.520506989362662E-4</v>
      </c>
      <c r="V5" s="76">
        <f t="shared" si="4"/>
        <v>4.9077174840927518E-4</v>
      </c>
      <c r="X5" s="70" t="s">
        <v>230</v>
      </c>
      <c r="Y5" s="70">
        <v>11153.09</v>
      </c>
      <c r="Z5" s="70">
        <v>244.3</v>
      </c>
      <c r="AA5" s="80">
        <v>84.84</v>
      </c>
      <c r="AB5" s="76">
        <f t="shared" si="5"/>
        <v>1.8388486758703685E-3</v>
      </c>
      <c r="AC5" s="76">
        <f t="shared" si="0"/>
        <v>-2.8612322810321234E-3</v>
      </c>
      <c r="AD5" s="73">
        <f t="shared" si="0"/>
        <v>6.5038956870907627E-3</v>
      </c>
    </row>
    <row r="6" spans="1:30" ht="15" thickBot="1" x14ac:dyDescent="0.35">
      <c r="A6" s="60">
        <v>8.6622933945440614E-2</v>
      </c>
      <c r="B6" s="64">
        <f>('ELI LILLY AND COMPANY'!T11 / 'ELI LILLY AND COMPANY'!T2)^(1/10) - 1</f>
        <v>-7.9547461983276557E-2</v>
      </c>
      <c r="C6" s="60">
        <v>8.412100265130848E-2</v>
      </c>
      <c r="E6" s="42"/>
      <c r="F6" s="43"/>
      <c r="G6" s="50"/>
      <c r="H6" s="43"/>
      <c r="I6" s="44"/>
      <c r="N6" s="70" t="s">
        <v>230</v>
      </c>
      <c r="O6" s="70">
        <v>4754.63</v>
      </c>
      <c r="P6" s="68">
        <v>155.46</v>
      </c>
      <c r="Q6" s="70">
        <v>28.4</v>
      </c>
      <c r="R6" s="70">
        <v>570.39</v>
      </c>
      <c r="S6" s="76">
        <f t="shared" si="1"/>
        <v>1.6587067997896167E-3</v>
      </c>
      <c r="T6" s="76">
        <f t="shared" si="2"/>
        <v>3.9961380926262302E-3</v>
      </c>
      <c r="U6" s="76">
        <f t="shared" si="3"/>
        <v>3.1740460433520661E-3</v>
      </c>
      <c r="V6" s="76">
        <f t="shared" si="4"/>
        <v>-2.8186539901935022E-3</v>
      </c>
      <c r="X6" s="70" t="s">
        <v>231</v>
      </c>
      <c r="Y6" s="70">
        <v>11132.6</v>
      </c>
      <c r="Z6" s="70">
        <v>245</v>
      </c>
      <c r="AA6" s="80">
        <v>84.29</v>
      </c>
      <c r="AB6" s="76">
        <f t="shared" si="5"/>
        <v>-1.1024587380416772E-3</v>
      </c>
      <c r="AC6" s="76">
        <f t="shared" si="0"/>
        <v>6.1412680220824288E-3</v>
      </c>
      <c r="AD6" s="73">
        <f t="shared" si="0"/>
        <v>-3.6710326027866668E-3</v>
      </c>
    </row>
    <row r="7" spans="1:30" ht="15" thickBot="1" x14ac:dyDescent="0.35">
      <c r="A7" s="60">
        <v>7.2141680133365416E-2</v>
      </c>
      <c r="C7" s="60">
        <v>7.0595393792276015E-2</v>
      </c>
      <c r="N7" s="70" t="s">
        <v>231</v>
      </c>
      <c r="O7" s="70">
        <v>4746.75</v>
      </c>
      <c r="P7" s="68">
        <v>154.84</v>
      </c>
      <c r="Q7" s="70">
        <v>28.31</v>
      </c>
      <c r="R7" s="70">
        <v>572</v>
      </c>
      <c r="S7" s="76">
        <f t="shared" si="1"/>
        <v>1.024879009249407E-2</v>
      </c>
      <c r="T7" s="76">
        <f t="shared" si="2"/>
        <v>1.0191253698630935E-2</v>
      </c>
      <c r="U7" s="76">
        <f t="shared" si="3"/>
        <v>2.4312960188483074E-2</v>
      </c>
      <c r="V7" s="76">
        <f t="shared" si="4"/>
        <v>3.1342773489419864E-3</v>
      </c>
      <c r="X7" s="70" t="s">
        <v>232</v>
      </c>
      <c r="Y7" s="70">
        <v>11144.88</v>
      </c>
      <c r="Z7" s="70">
        <v>243.5</v>
      </c>
      <c r="AA7" s="80">
        <v>84.6</v>
      </c>
      <c r="AB7" s="76">
        <f t="shared" si="5"/>
        <v>-1.3906764586727263E-4</v>
      </c>
      <c r="AC7" s="76">
        <f t="shared" si="0"/>
        <v>-2.2561798105121141E-3</v>
      </c>
      <c r="AD7" s="73">
        <f t="shared" si="0"/>
        <v>-2.3637867974398658E-4</v>
      </c>
    </row>
    <row r="8" spans="1:30" x14ac:dyDescent="0.3">
      <c r="A8" s="60">
        <v>8.5119924296995317E-2</v>
      </c>
      <c r="C8" s="60">
        <v>8.3097980363037227E-2</v>
      </c>
      <c r="E8" s="45"/>
      <c r="F8" s="37"/>
      <c r="G8" s="49" t="s">
        <v>460</v>
      </c>
      <c r="H8" s="37"/>
      <c r="I8" s="38"/>
      <c r="N8" s="70" t="s">
        <v>232</v>
      </c>
      <c r="O8" s="70">
        <v>4698.3500000000004</v>
      </c>
      <c r="P8" s="68">
        <v>153.27000000000001</v>
      </c>
      <c r="Q8" s="70">
        <v>27.63</v>
      </c>
      <c r="R8" s="70">
        <v>570.21</v>
      </c>
      <c r="S8" s="76">
        <f t="shared" si="1"/>
        <v>-1.4793144174519959E-2</v>
      </c>
      <c r="T8" s="76">
        <f t="shared" si="2"/>
        <v>-2.0599314246118283E-2</v>
      </c>
      <c r="U8" s="76">
        <f t="shared" si="3"/>
        <v>-1.9000392354516577E-2</v>
      </c>
      <c r="V8" s="76">
        <f t="shared" si="4"/>
        <v>-1.6695749634629956E-2</v>
      </c>
      <c r="X8" s="70" t="s">
        <v>233</v>
      </c>
      <c r="Y8" s="70">
        <v>11146.43</v>
      </c>
      <c r="Z8" s="70">
        <v>244.05</v>
      </c>
      <c r="AA8" s="80">
        <v>84.62</v>
      </c>
      <c r="AB8" s="76">
        <f t="shared" si="5"/>
        <v>-8.4027476636326605E-4</v>
      </c>
      <c r="AC8" s="76">
        <f t="shared" si="0"/>
        <v>-4.7010817288997064E-3</v>
      </c>
      <c r="AD8" s="73">
        <f t="shared" si="0"/>
        <v>-7.5347660451429077E-3</v>
      </c>
    </row>
    <row r="9" spans="1:30" x14ac:dyDescent="0.3">
      <c r="A9" s="60">
        <v>7.4942537485751651E-2</v>
      </c>
      <c r="C9" s="60">
        <v>7.4587617337735293E-2</v>
      </c>
      <c r="E9" s="39"/>
      <c r="F9" s="40"/>
      <c r="G9" s="46">
        <f>AVERAGE(B2:B5)</f>
        <v>4.1917857979614059E-2</v>
      </c>
      <c r="H9" s="40"/>
      <c r="I9" s="41"/>
      <c r="N9" s="70" t="s">
        <v>233</v>
      </c>
      <c r="O9" s="70">
        <v>4768.37</v>
      </c>
      <c r="P9" s="68">
        <v>156.46</v>
      </c>
      <c r="Q9" s="70">
        <v>28.16</v>
      </c>
      <c r="R9" s="70">
        <v>579.80999999999995</v>
      </c>
      <c r="S9" s="76">
        <f t="shared" si="1"/>
        <v>5.8492552349014293E-3</v>
      </c>
      <c r="T9" s="76">
        <f t="shared" si="2"/>
        <v>6.5405811877499182E-3</v>
      </c>
      <c r="U9" s="76">
        <f t="shared" si="3"/>
        <v>3.9845908547199778E-2</v>
      </c>
      <c r="V9" s="76">
        <f t="shared" si="4"/>
        <v>8.6238864460060863E-5</v>
      </c>
      <c r="X9" s="70" t="s">
        <v>234</v>
      </c>
      <c r="Y9" s="70">
        <v>11155.8</v>
      </c>
      <c r="Z9" s="70">
        <v>245.2</v>
      </c>
      <c r="AA9" s="80">
        <v>85.26</v>
      </c>
      <c r="AB9" s="76">
        <f t="shared" si="5"/>
        <v>-3.229866834053526E-3</v>
      </c>
      <c r="AC9" s="76">
        <f t="shared" si="0"/>
        <v>3.4725803458924608E-3</v>
      </c>
      <c r="AD9" s="73">
        <f t="shared" si="0"/>
        <v>5.5278000211525253E-3</v>
      </c>
    </row>
    <row r="10" spans="1:30" x14ac:dyDescent="0.3">
      <c r="A10" s="60">
        <v>8.5870147642978331E-2</v>
      </c>
      <c r="C10" s="60">
        <v>8.2970613145257735E-2</v>
      </c>
      <c r="E10" s="39"/>
      <c r="F10" s="40"/>
      <c r="G10" s="47" t="s">
        <v>222</v>
      </c>
      <c r="H10" s="40"/>
      <c r="I10" s="41"/>
      <c r="N10" s="70" t="s">
        <v>234</v>
      </c>
      <c r="O10" s="70">
        <v>4740.5600000000004</v>
      </c>
      <c r="P10" s="68">
        <v>155.44</v>
      </c>
      <c r="Q10" s="70">
        <v>27.06</v>
      </c>
      <c r="R10" s="70">
        <v>579.76</v>
      </c>
      <c r="S10" s="76">
        <f t="shared" si="1"/>
        <v>4.5180974872495441E-3</v>
      </c>
      <c r="T10" s="76">
        <f t="shared" si="2"/>
        <v>1.8029624974182919E-3</v>
      </c>
      <c r="U10" s="76">
        <f t="shared" si="3"/>
        <v>1.6018222916801047E-2</v>
      </c>
      <c r="V10" s="76">
        <f t="shared" si="4"/>
        <v>1.3405305796291426E-2</v>
      </c>
      <c r="X10" s="70" t="s">
        <v>235</v>
      </c>
      <c r="Y10" s="70">
        <v>11191.89</v>
      </c>
      <c r="Z10" s="70">
        <v>244.35</v>
      </c>
      <c r="AA10" s="80">
        <v>84.79</v>
      </c>
      <c r="AB10" s="76">
        <f t="shared" si="5"/>
        <v>-1.6123679048323559E-3</v>
      </c>
      <c r="AC10" s="76">
        <f t="shared" si="0"/>
        <v>-6.3233255059831541E-3</v>
      </c>
      <c r="AD10" s="73">
        <f t="shared" si="0"/>
        <v>-9.2739996727590132E-3</v>
      </c>
    </row>
    <row r="11" spans="1:30" x14ac:dyDescent="0.3">
      <c r="A11" s="60">
        <v>7.773837535128035E-2</v>
      </c>
      <c r="C11" s="60">
        <v>7.6440783681797186E-2</v>
      </c>
      <c r="E11" s="39"/>
      <c r="F11" s="40"/>
      <c r="G11" s="46">
        <f>('JOHNSON &amp; JOHNSON'!V11 / 'JOHNSON &amp; JOHNSON'!V2)^(1/10) - 1</f>
        <v>1.3692090244024291E-2</v>
      </c>
      <c r="H11" s="40"/>
      <c r="I11" s="41"/>
      <c r="N11" s="70" t="s">
        <v>235</v>
      </c>
      <c r="O11" s="70">
        <v>4719.1899999999996</v>
      </c>
      <c r="P11" s="68">
        <v>155.16</v>
      </c>
      <c r="Q11" s="70">
        <v>26.63</v>
      </c>
      <c r="R11" s="70">
        <v>572.04</v>
      </c>
      <c r="S11" s="76">
        <f t="shared" si="1"/>
        <v>-7.6281368101049259E-5</v>
      </c>
      <c r="T11" s="76">
        <f t="shared" si="2"/>
        <v>-1.096059429638257E-2</v>
      </c>
      <c r="U11" s="76">
        <f t="shared" si="3"/>
        <v>1.8954320293319744E-2</v>
      </c>
      <c r="V11" s="76">
        <f t="shared" si="4"/>
        <v>-2.8453990970606991E-3</v>
      </c>
      <c r="X11" s="70" t="s">
        <v>236</v>
      </c>
      <c r="Y11" s="70">
        <v>11209.95</v>
      </c>
      <c r="Z11" s="70">
        <v>245.9</v>
      </c>
      <c r="AA11" s="80">
        <v>85.58</v>
      </c>
      <c r="AB11" s="76">
        <f t="shared" si="5"/>
        <v>1.8786675918506615E-3</v>
      </c>
      <c r="AC11" s="76">
        <f t="shared" si="0"/>
        <v>-2.7080182515770712E-2</v>
      </c>
      <c r="AD11" s="73">
        <f t="shared" si="0"/>
        <v>-1.3117606400398267E-2</v>
      </c>
    </row>
    <row r="12" spans="1:30" x14ac:dyDescent="0.3">
      <c r="A12" s="60" cm="1">
        <f t="array" ref="A12:A21" xml:space="preserve"> 'PFIZER INC'!T2:T11</f>
        <v>0.18689991577784967</v>
      </c>
      <c r="C12" s="60" cm="1">
        <f t="array" ref="C12:C21">'ROCHE HOLDING AG'!P2:P11/'ROCHE HOLDING AG'!I2:I11</f>
        <v>0.12627639855990955</v>
      </c>
      <c r="E12" s="39"/>
      <c r="F12" s="40"/>
      <c r="G12" s="47"/>
      <c r="H12" s="40"/>
      <c r="I12" s="41"/>
      <c r="N12" s="70" t="s">
        <v>236</v>
      </c>
      <c r="O12" s="70">
        <v>4719.55</v>
      </c>
      <c r="P12" s="68">
        <v>156.87</v>
      </c>
      <c r="Q12" s="70">
        <v>26.13</v>
      </c>
      <c r="R12" s="70">
        <v>573.66999999999996</v>
      </c>
      <c r="S12" s="76">
        <f t="shared" si="1"/>
        <v>2.6435733742609306E-3</v>
      </c>
      <c r="T12" s="76">
        <f t="shared" si="2"/>
        <v>6.9084903438118295E-3</v>
      </c>
      <c r="U12" s="76">
        <f t="shared" si="3"/>
        <v>-2.0080235218041562E-2</v>
      </c>
      <c r="V12" s="76">
        <f t="shared" si="4"/>
        <v>-4.0699965703870418E-2</v>
      </c>
      <c r="X12" s="70" t="s">
        <v>237</v>
      </c>
      <c r="Y12" s="70">
        <v>11188.91</v>
      </c>
      <c r="Z12" s="70">
        <v>252.65</v>
      </c>
      <c r="AA12" s="80">
        <v>86.71</v>
      </c>
      <c r="AB12" s="76">
        <f t="shared" si="5"/>
        <v>3.3742002180913427E-3</v>
      </c>
      <c r="AC12" s="76">
        <f t="shared" si="0"/>
        <v>-4.1473348673185771E-3</v>
      </c>
      <c r="AD12" s="73">
        <f t="shared" si="0"/>
        <v>9.0362060639372997E-3</v>
      </c>
    </row>
    <row r="13" spans="1:30" ht="15" thickBot="1" x14ac:dyDescent="0.35">
      <c r="A13" s="60">
        <v>0.19521290032125391</v>
      </c>
      <c r="C13" s="60">
        <v>0.11234466095804965</v>
      </c>
      <c r="E13" s="42"/>
      <c r="F13" s="43"/>
      <c r="G13" s="48"/>
      <c r="H13" s="43"/>
      <c r="I13" s="44"/>
      <c r="N13" s="70" t="s">
        <v>237</v>
      </c>
      <c r="O13" s="70">
        <v>4707.09</v>
      </c>
      <c r="P13" s="68">
        <v>155.79</v>
      </c>
      <c r="Q13" s="70">
        <v>26.66</v>
      </c>
      <c r="R13" s="70">
        <v>597.5</v>
      </c>
      <c r="S13" s="76">
        <f t="shared" si="1"/>
        <v>1.3558420429298217E-2</v>
      </c>
      <c r="T13" s="76">
        <f t="shared" si="2"/>
        <v>4.6323186482795965E-3</v>
      </c>
      <c r="U13" s="76">
        <f t="shared" si="3"/>
        <v>-6.954285775115869E-2</v>
      </c>
      <c r="V13" s="76">
        <f t="shared" si="4"/>
        <v>2.1552777162250656E-2</v>
      </c>
      <c r="X13" s="71">
        <v>45272</v>
      </c>
      <c r="Y13" s="70">
        <v>11151.22</v>
      </c>
      <c r="Z13" s="70">
        <v>253.7</v>
      </c>
      <c r="AA13" s="80">
        <v>85.93</v>
      </c>
      <c r="AB13" s="76">
        <f t="shared" si="5"/>
        <v>1.8723991830367774E-3</v>
      </c>
      <c r="AC13" s="76">
        <f t="shared" si="0"/>
        <v>-2.3622058228378296E-3</v>
      </c>
      <c r="AD13" s="73">
        <f t="shared" si="0"/>
        <v>4.0814003364609205E-3</v>
      </c>
    </row>
    <row r="14" spans="1:30" ht="15" thickBot="1" x14ac:dyDescent="0.35">
      <c r="A14" s="60">
        <v>0.2135259425344388</v>
      </c>
      <c r="C14" s="60">
        <v>0.12734184797976697</v>
      </c>
      <c r="N14" s="71">
        <v>45272</v>
      </c>
      <c r="O14" s="70">
        <v>4643.7</v>
      </c>
      <c r="P14" s="68">
        <v>155.07</v>
      </c>
      <c r="Q14" s="70">
        <v>28.58</v>
      </c>
      <c r="R14" s="70">
        <v>584.76</v>
      </c>
      <c r="S14" s="76">
        <f t="shared" si="1"/>
        <v>4.5887580600857377E-3</v>
      </c>
      <c r="T14" s="76">
        <f t="shared" si="2"/>
        <v>6.4489085244542259E-5</v>
      </c>
      <c r="U14" s="76">
        <f t="shared" si="3"/>
        <v>-2.0971695907236478E-3</v>
      </c>
      <c r="V14" s="76">
        <f t="shared" si="4"/>
        <v>1.2320330100520358E-3</v>
      </c>
      <c r="X14" s="71">
        <v>45242</v>
      </c>
      <c r="Y14" s="70">
        <v>11130.36</v>
      </c>
      <c r="Z14" s="70">
        <v>254.3</v>
      </c>
      <c r="AA14" s="80">
        <v>85.58</v>
      </c>
      <c r="AB14" s="76">
        <f t="shared" si="5"/>
        <v>5.2778842396797006E-3</v>
      </c>
      <c r="AC14" s="76">
        <f t="shared" si="0"/>
        <v>3.9401154204443314E-3</v>
      </c>
      <c r="AD14" s="73">
        <f t="shared" si="0"/>
        <v>1.0099909695519818E-2</v>
      </c>
    </row>
    <row r="15" spans="1:30" x14ac:dyDescent="0.3">
      <c r="A15" s="60">
        <v>0.20144344317502844</v>
      </c>
      <c r="C15" s="60">
        <v>0.10574827455229649</v>
      </c>
      <c r="E15" s="45"/>
      <c r="F15" s="37"/>
      <c r="G15" s="49" t="s">
        <v>209</v>
      </c>
      <c r="H15" s="37"/>
      <c r="I15" s="38"/>
      <c r="N15" s="71">
        <v>45242</v>
      </c>
      <c r="O15" s="70">
        <v>4622.4399999999996</v>
      </c>
      <c r="P15" s="68">
        <v>155.06</v>
      </c>
      <c r="Q15" s="70">
        <v>28.64</v>
      </c>
      <c r="R15" s="70">
        <v>584.04</v>
      </c>
      <c r="S15" s="76">
        <f t="shared" si="1"/>
        <v>3.9168516750811289E-3</v>
      </c>
      <c r="T15" s="76">
        <f t="shared" si="2"/>
        <v>4.1359759101433219E-3</v>
      </c>
      <c r="U15" s="76">
        <f t="shared" si="3"/>
        <v>-4.8763593667769294E-3</v>
      </c>
      <c r="V15" s="76">
        <f t="shared" si="4"/>
        <v>-2.3704888862110467E-2</v>
      </c>
      <c r="X15" s="71">
        <v>45150</v>
      </c>
      <c r="Y15" s="70">
        <v>11071.77</v>
      </c>
      <c r="Z15" s="70">
        <v>253.3</v>
      </c>
      <c r="AA15" s="80">
        <v>84.72</v>
      </c>
      <c r="AB15" s="76">
        <f t="shared" si="5"/>
        <v>9.4075658871815484E-3</v>
      </c>
      <c r="AC15" s="76">
        <f t="shared" si="0"/>
        <v>1.5316062700583225E-2</v>
      </c>
      <c r="AD15" s="73">
        <f t="shared" si="0"/>
        <v>5.5631320606799152E-3</v>
      </c>
    </row>
    <row r="16" spans="1:30" x14ac:dyDescent="0.3">
      <c r="A16" s="60">
        <v>0.16542634951795934</v>
      </c>
      <c r="C16" s="60">
        <v>0.10625785940318917</v>
      </c>
      <c r="E16" s="39"/>
      <c r="F16" s="40"/>
      <c r="G16" s="46">
        <f>AVERAGE(C2:C51)</f>
        <v>0.11544400417841316</v>
      </c>
      <c r="H16" s="40"/>
      <c r="I16" s="41"/>
      <c r="N16" s="71">
        <v>45150</v>
      </c>
      <c r="O16" s="70">
        <v>4604.37</v>
      </c>
      <c r="P16" s="68">
        <v>154.41999999999999</v>
      </c>
      <c r="Q16" s="70">
        <v>28.78</v>
      </c>
      <c r="R16" s="70">
        <v>598.04999999999995</v>
      </c>
      <c r="S16" s="76">
        <f t="shared" si="1"/>
        <v>4.0870746210065929E-3</v>
      </c>
      <c r="T16" s="76">
        <f t="shared" si="2"/>
        <v>-6.3262750528775081E-3</v>
      </c>
      <c r="U16" s="76">
        <f t="shared" si="3"/>
        <v>5.2255823491981551E-3</v>
      </c>
      <c r="V16" s="76">
        <f t="shared" si="4"/>
        <v>1.6488336315938625E-2</v>
      </c>
      <c r="X16" s="71">
        <v>45119</v>
      </c>
      <c r="Y16" s="70">
        <v>10968.1</v>
      </c>
      <c r="Z16" s="70">
        <v>249.45</v>
      </c>
      <c r="AA16" s="80">
        <v>84.25</v>
      </c>
      <c r="AB16" s="76">
        <f t="shared" si="5"/>
        <v>-3.05147503109907E-3</v>
      </c>
      <c r="AC16" s="76">
        <f t="shared" si="0"/>
        <v>-2.0024035525329966E-3</v>
      </c>
      <c r="AD16" s="73">
        <f t="shared" si="0"/>
        <v>-7.5677315174052847E-3</v>
      </c>
    </row>
    <row r="17" spans="1:30" x14ac:dyDescent="0.3">
      <c r="A17" s="60">
        <v>0.24051442026690081</v>
      </c>
      <c r="C17" s="60">
        <v>6.9466150511263702E-2</v>
      </c>
      <c r="E17" s="39"/>
      <c r="F17" s="40"/>
      <c r="G17" s="47" t="s">
        <v>220</v>
      </c>
      <c r="H17" s="40"/>
      <c r="I17" s="41"/>
      <c r="N17" s="71">
        <v>45119</v>
      </c>
      <c r="O17" s="70">
        <v>4585.59</v>
      </c>
      <c r="P17" s="68">
        <v>155.4</v>
      </c>
      <c r="Q17" s="70">
        <v>28.63</v>
      </c>
      <c r="R17" s="70">
        <v>588.27</v>
      </c>
      <c r="S17" s="76">
        <f t="shared" si="1"/>
        <v>7.9366104133129379E-3</v>
      </c>
      <c r="T17" s="76">
        <f t="shared" si="2"/>
        <v>-7.8200513892445252E-3</v>
      </c>
      <c r="U17" s="76">
        <f t="shared" si="3"/>
        <v>-5.5729855140608554E-3</v>
      </c>
      <c r="V17" s="76">
        <f t="shared" si="4"/>
        <v>-1.6645156367054268E-3</v>
      </c>
      <c r="X17" s="71">
        <v>45089</v>
      </c>
      <c r="Y17" s="70">
        <v>11001.62</v>
      </c>
      <c r="Z17" s="70">
        <v>249.95</v>
      </c>
      <c r="AA17" s="80">
        <v>84.89</v>
      </c>
      <c r="AB17" s="76">
        <f t="shared" si="5"/>
        <v>3.3514808237346868E-3</v>
      </c>
      <c r="AC17" s="76">
        <f t="shared" si="0"/>
        <v>-3.9928182413633299E-3</v>
      </c>
      <c r="AD17" s="73">
        <f t="shared" si="0"/>
        <v>-2.0005890756110236E-3</v>
      </c>
    </row>
    <row r="18" spans="1:30" x14ac:dyDescent="0.3">
      <c r="A18" s="60">
        <v>0.1946974932419159</v>
      </c>
      <c r="C18" s="60">
        <v>6.9999131535661327E-2</v>
      </c>
      <c r="E18" s="39"/>
      <c r="F18" s="40"/>
      <c r="G18" s="46">
        <f>AVERAGE(C2:C11)</f>
        <v>7.9307788646632585E-2</v>
      </c>
      <c r="H18" s="40"/>
      <c r="I18" s="41"/>
      <c r="N18" s="71">
        <v>45089</v>
      </c>
      <c r="O18" s="70">
        <v>4549.34</v>
      </c>
      <c r="P18" s="68">
        <v>156.62</v>
      </c>
      <c r="Q18" s="70">
        <v>28.79</v>
      </c>
      <c r="R18" s="70">
        <v>589.25</v>
      </c>
      <c r="S18" s="76">
        <f t="shared" si="1"/>
        <v>-3.9137791113844191E-3</v>
      </c>
      <c r="T18" s="76">
        <f t="shared" si="2"/>
        <v>-1.2247511661564783E-2</v>
      </c>
      <c r="U18" s="76">
        <f t="shared" si="3"/>
        <v>-1.0366367883025833E-2</v>
      </c>
      <c r="V18" s="76">
        <f t="shared" si="4"/>
        <v>1.8685244097902981E-3</v>
      </c>
      <c r="X18" s="71">
        <v>45058</v>
      </c>
      <c r="Y18" s="70">
        <v>10964.81</v>
      </c>
      <c r="Z18" s="70">
        <v>250.95</v>
      </c>
      <c r="AA18" s="80">
        <v>85.06</v>
      </c>
      <c r="AB18" s="76">
        <f t="shared" si="5"/>
        <v>1.1287913687580838E-3</v>
      </c>
      <c r="AC18" s="76">
        <f t="shared" si="5"/>
        <v>1.8703410974450246E-2</v>
      </c>
      <c r="AD18" s="73">
        <f t="shared" si="5"/>
        <v>-1.2616989800477008E-2</v>
      </c>
    </row>
    <row r="19" spans="1:30" x14ac:dyDescent="0.3">
      <c r="A19" s="60">
        <v>0.11596677197770668</v>
      </c>
      <c r="C19" s="60">
        <v>0.11387769929773073</v>
      </c>
      <c r="E19" s="39"/>
      <c r="F19" s="40"/>
      <c r="G19" s="47" t="s">
        <v>482</v>
      </c>
      <c r="H19" s="40"/>
      <c r="I19" s="41"/>
      <c r="N19" s="71">
        <v>45058</v>
      </c>
      <c r="O19" s="70">
        <v>4567.18</v>
      </c>
      <c r="P19" s="68">
        <v>158.55000000000001</v>
      </c>
      <c r="Q19" s="70">
        <v>29.09</v>
      </c>
      <c r="R19" s="70">
        <v>588.15</v>
      </c>
      <c r="S19" s="76">
        <f t="shared" si="1"/>
        <v>-5.691170958779145E-4</v>
      </c>
      <c r="T19" s="76">
        <f t="shared" si="2"/>
        <v>-2.0791993125060778E-3</v>
      </c>
      <c r="U19" s="76">
        <f t="shared" si="3"/>
        <v>-6.510216586000539E-3</v>
      </c>
      <c r="V19" s="76">
        <f t="shared" si="4"/>
        <v>4.2084520680632214E-3</v>
      </c>
      <c r="X19" s="71">
        <v>45028</v>
      </c>
      <c r="Y19" s="70">
        <v>10952.44</v>
      </c>
      <c r="Z19" s="70">
        <v>246.3</v>
      </c>
      <c r="AA19" s="80">
        <v>86.14</v>
      </c>
      <c r="AB19" s="76">
        <f t="shared" si="5"/>
        <v>5.9597791766488935E-3</v>
      </c>
      <c r="AC19" s="76">
        <f t="shared" si="5"/>
        <v>2.7579438885197944E-2</v>
      </c>
      <c r="AD19" s="73">
        <f t="shared" si="5"/>
        <v>8.8619982961486588E-3</v>
      </c>
    </row>
    <row r="20" spans="1:30" ht="15" thickBot="1" x14ac:dyDescent="0.35">
      <c r="A20" s="60">
        <v>0.12456790886878939</v>
      </c>
      <c r="C20" s="60">
        <v>0.12018175896407232</v>
      </c>
      <c r="E20" s="42"/>
      <c r="F20" s="43"/>
      <c r="G20" s="48">
        <f>G16/(1-G16)</f>
        <v>0.13051067962202587</v>
      </c>
      <c r="H20" s="43"/>
      <c r="I20" s="44"/>
      <c r="N20" s="71">
        <v>45028</v>
      </c>
      <c r="O20" s="70">
        <v>4569.78</v>
      </c>
      <c r="P20" s="68">
        <v>158.88</v>
      </c>
      <c r="Q20" s="70">
        <v>29.28</v>
      </c>
      <c r="R20" s="70">
        <v>585.67999999999995</v>
      </c>
      <c r="S20" s="76">
        <f t="shared" si="1"/>
        <v>-5.4231665551195962E-3</v>
      </c>
      <c r="T20" s="76">
        <f t="shared" si="2"/>
        <v>3.1519915145960813E-3</v>
      </c>
      <c r="U20" s="76">
        <f t="shared" si="3"/>
        <v>1.2717133064856124E-2</v>
      </c>
      <c r="V20" s="76">
        <f t="shared" si="4"/>
        <v>2.8040917050239562E-3</v>
      </c>
      <c r="X20" s="71">
        <v>44938</v>
      </c>
      <c r="Y20" s="70">
        <v>10887.36</v>
      </c>
      <c r="Z20" s="70">
        <v>239.6</v>
      </c>
      <c r="AA20" s="80">
        <v>85.38</v>
      </c>
      <c r="AB20" s="76">
        <f t="shared" si="5"/>
        <v>3.0393258877804766E-3</v>
      </c>
      <c r="AC20" s="76">
        <f t="shared" si="5"/>
        <v>1.4927219248998555E-2</v>
      </c>
      <c r="AD20" s="73">
        <f t="shared" si="5"/>
        <v>3.0498557364817083E-3</v>
      </c>
    </row>
    <row r="21" spans="1:30" ht="15" thickBot="1" x14ac:dyDescent="0.35">
      <c r="A21" s="60">
        <v>0.44222374567794082</v>
      </c>
      <c r="C21" s="60">
        <v>0.16029905535912797</v>
      </c>
      <c r="N21" s="71">
        <v>44938</v>
      </c>
      <c r="O21" s="70">
        <v>4594.63</v>
      </c>
      <c r="P21" s="68">
        <v>158.38</v>
      </c>
      <c r="Q21" s="70">
        <v>28.91</v>
      </c>
      <c r="R21" s="70">
        <v>584.04</v>
      </c>
      <c r="S21" s="76">
        <f t="shared" si="1"/>
        <v>5.8565417006152948E-3</v>
      </c>
      <c r="T21" s="76">
        <f t="shared" si="2"/>
        <v>2.3768049601377066E-2</v>
      </c>
      <c r="U21" s="76">
        <f t="shared" si="3"/>
        <v>-5.2555036969362888E-2</v>
      </c>
      <c r="V21" s="76">
        <f t="shared" si="4"/>
        <v>-1.1914223377511851E-2</v>
      </c>
      <c r="X21" s="70" t="s">
        <v>238</v>
      </c>
      <c r="Y21" s="70">
        <v>10854.32</v>
      </c>
      <c r="Z21" s="70">
        <v>236.05</v>
      </c>
      <c r="AA21" s="80">
        <v>85.12</v>
      </c>
      <c r="AB21" s="76">
        <f t="shared" si="5"/>
        <v>4.7503921775532438E-3</v>
      </c>
      <c r="AC21" s="76">
        <f t="shared" si="5"/>
        <v>-1.4816385396473836E-3</v>
      </c>
      <c r="AD21" s="73">
        <f t="shared" si="5"/>
        <v>3.2948958968524846E-3</v>
      </c>
    </row>
    <row r="22" spans="1:30" x14ac:dyDescent="0.3">
      <c r="A22" s="60" cm="1">
        <f t="array" ref="A22:A31">'NOVARTIS AG'!T2:T11</f>
        <v>8.0575128891098302E-2</v>
      </c>
      <c r="C22" s="60" cm="1">
        <f t="array" ref="C22:C31">'NOVARTIS AG'!P2:P11/'NOVARTIS AG'!I2:I11</f>
        <v>7.8447459327470562E-2</v>
      </c>
      <c r="E22" s="45"/>
      <c r="F22" s="37"/>
      <c r="G22" s="49" t="s">
        <v>455</v>
      </c>
      <c r="H22" s="37"/>
      <c r="I22" s="38"/>
      <c r="N22" s="70" t="s">
        <v>238</v>
      </c>
      <c r="O22" s="70">
        <v>4567.8</v>
      </c>
      <c r="P22" s="68">
        <v>154.66</v>
      </c>
      <c r="Q22" s="70">
        <v>30.47</v>
      </c>
      <c r="R22" s="70">
        <v>591.04</v>
      </c>
      <c r="S22" s="76">
        <f t="shared" si="1"/>
        <v>3.7769911916856066E-3</v>
      </c>
      <c r="T22" s="76">
        <f t="shared" si="2"/>
        <v>1.662521585723779E-2</v>
      </c>
      <c r="U22" s="76">
        <f t="shared" si="3"/>
        <v>1.2882093915978637E-2</v>
      </c>
      <c r="V22" s="76">
        <f t="shared" si="4"/>
        <v>-1.3864234193056357E-3</v>
      </c>
      <c r="X22" s="70" t="s">
        <v>239</v>
      </c>
      <c r="Y22" s="70">
        <v>10802.88</v>
      </c>
      <c r="Z22" s="70">
        <v>236.4</v>
      </c>
      <c r="AA22" s="80">
        <v>84.84</v>
      </c>
      <c r="AB22" s="76">
        <f t="shared" si="5"/>
        <v>3.9418951524310521E-3</v>
      </c>
      <c r="AC22" s="76">
        <f t="shared" si="5"/>
        <v>2.1172991183137494E-3</v>
      </c>
      <c r="AD22" s="73">
        <f t="shared" si="5"/>
        <v>-5.1728307210526904E-3</v>
      </c>
    </row>
    <row r="23" spans="1:30" x14ac:dyDescent="0.3">
      <c r="A23" s="60">
        <v>9.3508782761580478E-2</v>
      </c>
      <c r="C23" s="60">
        <v>8.732097745012371E-2</v>
      </c>
      <c r="E23" s="39"/>
      <c r="F23" s="40"/>
      <c r="G23" s="74">
        <f>SLOPE(T2:T366,S2:S366)</f>
        <v>0.33162150375484817</v>
      </c>
      <c r="H23" s="40"/>
      <c r="I23" s="41"/>
      <c r="N23" s="70" t="s">
        <v>239</v>
      </c>
      <c r="O23" s="70">
        <v>4550.58</v>
      </c>
      <c r="P23" s="68">
        <v>152.11000000000001</v>
      </c>
      <c r="Q23" s="70">
        <v>30.08</v>
      </c>
      <c r="R23" s="70">
        <v>591.86</v>
      </c>
      <c r="S23" s="76">
        <f t="shared" si="1"/>
        <v>-9.4668376742538802E-4</v>
      </c>
      <c r="T23" s="76">
        <f t="shared" si="2"/>
        <v>3.1606005108037803E-3</v>
      </c>
      <c r="U23" s="76">
        <f t="shared" si="3"/>
        <v>1.3050210305970564E-2</v>
      </c>
      <c r="V23" s="76">
        <f t="shared" si="4"/>
        <v>4.3938959353601655E-4</v>
      </c>
      <c r="X23" s="70" t="s">
        <v>240</v>
      </c>
      <c r="Y23" s="70">
        <v>10760.38</v>
      </c>
      <c r="Z23" s="70">
        <v>235.9</v>
      </c>
      <c r="AA23" s="80">
        <v>85.28</v>
      </c>
      <c r="AB23" s="76">
        <f t="shared" si="5"/>
        <v>-5.623365253016213E-3</v>
      </c>
      <c r="AC23" s="76">
        <f t="shared" si="5"/>
        <v>-4.2301247511104013E-3</v>
      </c>
      <c r="AD23" s="73">
        <f t="shared" si="5"/>
        <v>-8.0584377688182763E-3</v>
      </c>
    </row>
    <row r="24" spans="1:30" x14ac:dyDescent="0.3">
      <c r="A24" s="60">
        <v>0.12361983972268509</v>
      </c>
      <c r="C24" s="60">
        <v>0.11401612298645813</v>
      </c>
      <c r="E24" s="39"/>
      <c r="F24" s="40"/>
      <c r="G24" s="47" t="s">
        <v>456</v>
      </c>
      <c r="H24" s="40"/>
      <c r="I24" s="41"/>
      <c r="N24" s="70" t="s">
        <v>240</v>
      </c>
      <c r="O24" s="70">
        <v>4554.8900000000003</v>
      </c>
      <c r="P24" s="68">
        <v>151.63</v>
      </c>
      <c r="Q24" s="70">
        <v>29.69</v>
      </c>
      <c r="R24" s="70">
        <v>591.6</v>
      </c>
      <c r="S24" s="76">
        <f t="shared" si="1"/>
        <v>9.7964714182290037E-4</v>
      </c>
      <c r="T24" s="76">
        <f t="shared" si="2"/>
        <v>2.310918462645833E-3</v>
      </c>
      <c r="U24" s="76">
        <f t="shared" si="3"/>
        <v>-1.5042904422680973E-2</v>
      </c>
      <c r="V24" s="76">
        <f t="shared" si="4"/>
        <v>1.1833019208661539E-4</v>
      </c>
      <c r="X24" s="70" t="s">
        <v>241</v>
      </c>
      <c r="Y24" s="70">
        <v>10821.06</v>
      </c>
      <c r="Z24" s="70">
        <v>236.9</v>
      </c>
      <c r="AA24" s="80">
        <v>85.97</v>
      </c>
      <c r="AB24" s="76">
        <f t="shared" si="5"/>
        <v>-5.3878874593358819E-3</v>
      </c>
      <c r="AC24" s="76">
        <f t="shared" si="5"/>
        <v>-7.5694221800446104E-3</v>
      </c>
      <c r="AD24" s="73">
        <f t="shared" si="5"/>
        <v>-9.4930094698008147E-3</v>
      </c>
    </row>
    <row r="25" spans="1:30" x14ac:dyDescent="0.3">
      <c r="A25" s="60">
        <v>0.12856818411971854</v>
      </c>
      <c r="C25" s="60">
        <v>0.11840794121928611</v>
      </c>
      <c r="E25" s="39"/>
      <c r="F25" s="40"/>
      <c r="G25" s="46">
        <f>SUM(S2:S366)   -3.88%</f>
        <v>0.15317039614820319</v>
      </c>
      <c r="H25" s="40"/>
      <c r="I25" s="41"/>
      <c r="N25" s="70" t="s">
        <v>241</v>
      </c>
      <c r="O25" s="70">
        <v>4550.43</v>
      </c>
      <c r="P25" s="68">
        <v>151.28</v>
      </c>
      <c r="Q25" s="70">
        <v>30.14</v>
      </c>
      <c r="R25" s="70">
        <v>591.53</v>
      </c>
      <c r="S25" s="76">
        <f t="shared" si="1"/>
        <v>-1.9561422168003027E-3</v>
      </c>
      <c r="T25" s="76">
        <f t="shared" si="2"/>
        <v>-8.0321716972642666E-3</v>
      </c>
      <c r="U25" s="76">
        <f t="shared" si="3"/>
        <v>-1.1873490415016548E-2</v>
      </c>
      <c r="V25" s="76">
        <f t="shared" si="4"/>
        <v>-1.6048909400558229E-2</v>
      </c>
      <c r="X25" s="70" t="s">
        <v>242</v>
      </c>
      <c r="Y25" s="70">
        <v>10879.52</v>
      </c>
      <c r="Z25" s="70">
        <v>238.7</v>
      </c>
      <c r="AA25" s="80">
        <v>86.79</v>
      </c>
      <c r="AB25" s="76">
        <f t="shared" si="5"/>
        <v>2.5677452107395389E-3</v>
      </c>
      <c r="AC25" s="76">
        <f t="shared" si="5"/>
        <v>1.4673516939497444E-3</v>
      </c>
      <c r="AD25" s="73">
        <f t="shared" si="5"/>
        <v>6.2413517446844296E-3</v>
      </c>
    </row>
    <row r="26" spans="1:30" x14ac:dyDescent="0.3">
      <c r="A26" s="60">
        <v>0.14741477711122725</v>
      </c>
      <c r="C26" s="60">
        <v>0.13717128141401569</v>
      </c>
      <c r="E26" s="39"/>
      <c r="F26" s="40"/>
      <c r="G26" s="47" t="s">
        <v>457</v>
      </c>
      <c r="H26" s="40"/>
      <c r="I26" s="41"/>
      <c r="N26" s="70" t="s">
        <v>242</v>
      </c>
      <c r="O26" s="70">
        <v>4559.34</v>
      </c>
      <c r="P26" s="68">
        <v>152.5</v>
      </c>
      <c r="Q26" s="70">
        <v>30.5</v>
      </c>
      <c r="R26" s="70">
        <v>601.1</v>
      </c>
      <c r="S26" s="76">
        <f t="shared" si="1"/>
        <v>5.9675559803246874E-4</v>
      </c>
      <c r="T26" s="76">
        <f t="shared" si="2"/>
        <v>1.1077523272965495E-2</v>
      </c>
      <c r="U26" s="76">
        <f t="shared" si="3"/>
        <v>5.9191228391949763E-3</v>
      </c>
      <c r="V26" s="76">
        <f t="shared" si="4"/>
        <v>1.0048655434001403E-2</v>
      </c>
      <c r="X26" s="70" t="s">
        <v>468</v>
      </c>
      <c r="Y26" s="70">
        <v>10851.62</v>
      </c>
      <c r="Z26" s="70">
        <v>238.35</v>
      </c>
      <c r="AA26" s="80">
        <v>86.25</v>
      </c>
      <c r="AB26" s="76">
        <f t="shared" si="5"/>
        <v>1.773657643696438E-3</v>
      </c>
      <c r="AC26" s="76">
        <f t="shared" si="5"/>
        <v>7.3692301065483683E-3</v>
      </c>
      <c r="AD26" s="73">
        <f t="shared" si="5"/>
        <v>2.9027596579614102E-3</v>
      </c>
    </row>
    <row r="27" spans="1:30" ht="15" thickBot="1" x14ac:dyDescent="0.35">
      <c r="A27" s="60">
        <v>0.12150346930271523</v>
      </c>
      <c r="C27" s="60">
        <v>0.11310897443427607</v>
      </c>
      <c r="E27" s="42"/>
      <c r="F27" s="43"/>
      <c r="G27" s="48">
        <f>3.88% + G25*G23</f>
        <v>8.9594597101392948E-2</v>
      </c>
      <c r="H27" s="43"/>
      <c r="I27" s="44"/>
      <c r="N27" s="70" t="s">
        <v>243</v>
      </c>
      <c r="O27" s="70">
        <v>4556.62</v>
      </c>
      <c r="P27" s="68">
        <v>150.82</v>
      </c>
      <c r="Q27" s="70">
        <v>30.32</v>
      </c>
      <c r="R27" s="70">
        <v>595.09</v>
      </c>
      <c r="S27" s="76">
        <f t="shared" si="1"/>
        <v>4.0528664649777243E-3</v>
      </c>
      <c r="T27" s="76">
        <f t="shared" si="2"/>
        <v>-1.9871504187532456E-3</v>
      </c>
      <c r="U27" s="76">
        <f t="shared" si="3"/>
        <v>6.5984825884752435E-4</v>
      </c>
      <c r="V27" s="76">
        <f t="shared" si="4"/>
        <v>4.193019471650062E-3</v>
      </c>
      <c r="X27" s="70" t="s">
        <v>243</v>
      </c>
      <c r="Y27" s="70">
        <v>10832.39</v>
      </c>
      <c r="Z27" s="70">
        <v>236.6</v>
      </c>
      <c r="AA27" s="80">
        <v>86</v>
      </c>
      <c r="AB27" s="76">
        <f t="shared" si="5"/>
        <v>4.6413113017549166E-3</v>
      </c>
      <c r="AC27" s="76">
        <f t="shared" si="5"/>
        <v>-4.2176359442034688E-3</v>
      </c>
      <c r="AD27" s="73">
        <f t="shared" si="5"/>
        <v>1.0872849265714924E-2</v>
      </c>
    </row>
    <row r="28" spans="1:30" ht="15" thickBot="1" x14ac:dyDescent="0.35">
      <c r="A28" s="60">
        <v>0.16164114128332377</v>
      </c>
      <c r="C28" s="60">
        <v>0.14523718592576942</v>
      </c>
      <c r="N28" s="70" t="s">
        <v>244</v>
      </c>
      <c r="O28" s="70">
        <v>4538.1899999999996</v>
      </c>
      <c r="P28" s="68">
        <v>151.12</v>
      </c>
      <c r="Q28" s="70">
        <v>30.3</v>
      </c>
      <c r="R28" s="70">
        <v>592.6</v>
      </c>
      <c r="S28" s="76">
        <f t="shared" si="1"/>
        <v>-2.0229887908321687E-3</v>
      </c>
      <c r="T28" s="76">
        <f t="shared" si="2"/>
        <v>8.0391091690308718E-3</v>
      </c>
      <c r="U28" s="76">
        <f t="shared" si="3"/>
        <v>1.0617219840871855E-2</v>
      </c>
      <c r="V28" s="76">
        <f t="shared" si="4"/>
        <v>-8.4019986791426769E-3</v>
      </c>
      <c r="X28" s="70" t="s">
        <v>244</v>
      </c>
      <c r="Y28" s="70">
        <v>10782.23</v>
      </c>
      <c r="Z28" s="70">
        <v>237.6</v>
      </c>
      <c r="AA28" s="80">
        <v>85.07</v>
      </c>
      <c r="AB28" s="76">
        <f t="shared" si="5"/>
        <v>3.8991802218077813E-3</v>
      </c>
      <c r="AC28" s="76">
        <f t="shared" si="5"/>
        <v>1.8957351648991973E-3</v>
      </c>
      <c r="AD28" s="73">
        <f t="shared" si="5"/>
        <v>9.3298580518045501E-3</v>
      </c>
    </row>
    <row r="29" spans="1:30" x14ac:dyDescent="0.3">
      <c r="A29" s="60">
        <v>0.14488945988623</v>
      </c>
      <c r="C29" s="60">
        <v>0.14301864519450544</v>
      </c>
      <c r="E29" s="45"/>
      <c r="F29" s="37"/>
      <c r="G29" s="49" t="s">
        <v>458</v>
      </c>
      <c r="H29" s="37"/>
      <c r="I29" s="38"/>
      <c r="N29" s="70" t="s">
        <v>245</v>
      </c>
      <c r="O29" s="70">
        <v>4547.38</v>
      </c>
      <c r="P29" s="68">
        <v>149.91</v>
      </c>
      <c r="Q29" s="70">
        <v>29.98</v>
      </c>
      <c r="R29" s="70">
        <v>597.6</v>
      </c>
      <c r="S29" s="76">
        <f t="shared" si="1"/>
        <v>7.3631338909269815E-3</v>
      </c>
      <c r="T29" s="76">
        <f t="shared" si="2"/>
        <v>8.0080084359585458E-4</v>
      </c>
      <c r="U29" s="76">
        <f t="shared" si="3"/>
        <v>2.003339568175104E-3</v>
      </c>
      <c r="V29" s="76">
        <f t="shared" si="4"/>
        <v>9.9049838224578701E-3</v>
      </c>
      <c r="X29" s="70" t="s">
        <v>245</v>
      </c>
      <c r="Y29" s="70">
        <v>10740.27</v>
      </c>
      <c r="Z29" s="70">
        <v>237.15</v>
      </c>
      <c r="AA29" s="80">
        <v>84.28</v>
      </c>
      <c r="AB29" s="76">
        <f t="shared" si="5"/>
        <v>2.700482937253516E-4</v>
      </c>
      <c r="AC29" s="76">
        <f t="shared" si="5"/>
        <v>-1.8957351648990896E-3</v>
      </c>
      <c r="AD29" s="73">
        <f t="shared" si="5"/>
        <v>2.1380219570859872E-3</v>
      </c>
    </row>
    <row r="30" spans="1:30" x14ac:dyDescent="0.3">
      <c r="A30" s="60">
        <v>0.12824049478859698</v>
      </c>
      <c r="C30" s="60">
        <v>0.12304841316809498</v>
      </c>
      <c r="E30" s="39"/>
      <c r="F30" s="40"/>
      <c r="G30" s="46">
        <f>1-G16</f>
        <v>0.88455599582158684</v>
      </c>
      <c r="H30" s="40"/>
      <c r="I30" s="41"/>
      <c r="N30" s="70" t="s">
        <v>246</v>
      </c>
      <c r="O30" s="70">
        <v>4514.0200000000004</v>
      </c>
      <c r="P30" s="68">
        <v>149.79</v>
      </c>
      <c r="Q30" s="70">
        <v>29.92</v>
      </c>
      <c r="R30" s="70">
        <v>591.71</v>
      </c>
      <c r="S30" s="76">
        <f t="shared" si="1"/>
        <v>1.2812755985166719E-3</v>
      </c>
      <c r="T30" s="76">
        <f t="shared" si="2"/>
        <v>-2.0674254587886281E-3</v>
      </c>
      <c r="U30" s="76">
        <f t="shared" si="3"/>
        <v>5.0259780785915148E-3</v>
      </c>
      <c r="V30" s="76">
        <f t="shared" si="4"/>
        <v>5.0150046655221079E-3</v>
      </c>
      <c r="X30" s="70" t="s">
        <v>246</v>
      </c>
      <c r="Y30" s="70">
        <v>10737.37</v>
      </c>
      <c r="Z30" s="70">
        <v>237.6</v>
      </c>
      <c r="AA30" s="80">
        <v>84.1</v>
      </c>
      <c r="AB30" s="76">
        <f t="shared" si="5"/>
        <v>8.8212040055985798E-3</v>
      </c>
      <c r="AC30" s="76">
        <f t="shared" si="5"/>
        <v>3.1615581187289911E-3</v>
      </c>
      <c r="AD30" s="73">
        <f t="shared" si="5"/>
        <v>1.0398707220898517E-2</v>
      </c>
    </row>
    <row r="31" spans="1:30" x14ac:dyDescent="0.3">
      <c r="A31" s="60">
        <v>0.11451026466998719</v>
      </c>
      <c r="C31" s="60">
        <v>0.10871076134474007</v>
      </c>
      <c r="E31" s="39"/>
      <c r="F31" s="40"/>
      <c r="G31" s="47" t="s">
        <v>459</v>
      </c>
      <c r="H31" s="40"/>
      <c r="I31" s="41"/>
      <c r="N31" s="70" t="s">
        <v>247</v>
      </c>
      <c r="O31" s="70">
        <v>4508.24</v>
      </c>
      <c r="P31" s="68">
        <v>150.1</v>
      </c>
      <c r="Q31" s="70">
        <v>29.77</v>
      </c>
      <c r="R31" s="70">
        <v>588.75</v>
      </c>
      <c r="S31" s="76">
        <f t="shared" si="1"/>
        <v>1.1896413835666805E-3</v>
      </c>
      <c r="T31" s="76">
        <f t="shared" si="2"/>
        <v>8.6986162404246066E-3</v>
      </c>
      <c r="U31" s="76">
        <f t="shared" si="3"/>
        <v>-1.4009568691062424E-2</v>
      </c>
      <c r="V31" s="76">
        <f t="shared" si="4"/>
        <v>3.5675152634833155E-4</v>
      </c>
      <c r="X31" s="70" t="s">
        <v>247</v>
      </c>
      <c r="Y31" s="70">
        <v>10643.07</v>
      </c>
      <c r="Z31" s="70">
        <v>236.85</v>
      </c>
      <c r="AA31" s="80">
        <v>83.23</v>
      </c>
      <c r="AB31" s="76">
        <f t="shared" si="5"/>
        <v>-6.0998931134805057E-3</v>
      </c>
      <c r="AC31" s="76">
        <f t="shared" si="5"/>
        <v>-4.8436443017138894E-3</v>
      </c>
      <c r="AD31" s="73">
        <f t="shared" si="5"/>
        <v>-4.6748661704151453E-3</v>
      </c>
    </row>
    <row r="32" spans="1:30" x14ac:dyDescent="0.3">
      <c r="A32" s="60" cm="1">
        <f t="array" ref="A32:A41">'NOVARTIS AG'!T2:T11</f>
        <v>8.0575128891098302E-2</v>
      </c>
      <c r="C32" s="60" cm="1">
        <f t="array" ref="C32:C41">'PFIZER INC'!P2:P11/'PFIZER INC'!I2:I11</f>
        <v>0.18636815557271041</v>
      </c>
      <c r="E32" s="39"/>
      <c r="F32" s="40"/>
      <c r="G32" s="46">
        <f>'JOHNSON &amp; JOHNSON'!AC11*(1-'JOHNSON &amp; JOHNSON'!Z11)*Cálculos!G16 +Cálculos!G30*Cálculos!G27</f>
        <v>8.2912167431753975E-2</v>
      </c>
      <c r="H32" s="40"/>
      <c r="I32" s="41"/>
      <c r="N32" s="70" t="s">
        <v>248</v>
      </c>
      <c r="O32" s="70">
        <v>4502.88</v>
      </c>
      <c r="P32" s="68">
        <v>148.80000000000001</v>
      </c>
      <c r="Q32" s="70">
        <v>30.19</v>
      </c>
      <c r="R32" s="70">
        <v>588.54</v>
      </c>
      <c r="S32" s="76">
        <f t="shared" si="1"/>
        <v>1.5958076771483444E-3</v>
      </c>
      <c r="T32" s="76">
        <f t="shared" si="2"/>
        <v>7.6907887679721438E-3</v>
      </c>
      <c r="U32" s="76">
        <f t="shared" si="3"/>
        <v>3.1289348126769104E-2</v>
      </c>
      <c r="V32" s="76">
        <f t="shared" si="4"/>
        <v>-3.7157422946497716E-2</v>
      </c>
      <c r="X32" s="70" t="s">
        <v>248</v>
      </c>
      <c r="Y32" s="70">
        <v>10708.19</v>
      </c>
      <c r="Z32" s="70">
        <v>238</v>
      </c>
      <c r="AA32" s="80">
        <v>83.62</v>
      </c>
      <c r="AB32" s="76">
        <f t="shared" si="5"/>
        <v>-7.0388615260988439E-4</v>
      </c>
      <c r="AC32" s="76">
        <f t="shared" si="5"/>
        <v>-6.700192569819562E-3</v>
      </c>
      <c r="AD32" s="73">
        <f t="shared" si="5"/>
        <v>-1.1178615633563257E-2</v>
      </c>
    </row>
    <row r="33" spans="1:30" x14ac:dyDescent="0.3">
      <c r="A33" s="60">
        <v>9.3508782761580478E-2</v>
      </c>
      <c r="C33" s="60">
        <v>0.18103209984088545</v>
      </c>
      <c r="E33" s="39"/>
      <c r="F33" s="40"/>
      <c r="G33" s="47"/>
      <c r="H33" s="40"/>
      <c r="I33" s="41"/>
      <c r="N33" s="70" t="s">
        <v>249</v>
      </c>
      <c r="O33" s="70">
        <v>4495.7</v>
      </c>
      <c r="P33" s="68">
        <v>147.66</v>
      </c>
      <c r="Q33" s="70">
        <v>29.26</v>
      </c>
      <c r="R33" s="70">
        <v>610.82000000000005</v>
      </c>
      <c r="S33" s="76">
        <f t="shared" si="1"/>
        <v>1.8895282757298078E-2</v>
      </c>
      <c r="T33" s="76">
        <f t="shared" si="2"/>
        <v>2.0319008502289352E-4</v>
      </c>
      <c r="U33" s="76">
        <f t="shared" si="3"/>
        <v>9.6154586994419734E-3</v>
      </c>
      <c r="V33" s="76">
        <f t="shared" si="4"/>
        <v>-3.0894240488830893E-3</v>
      </c>
      <c r="X33" s="70" t="s">
        <v>249</v>
      </c>
      <c r="Y33" s="70">
        <v>10715.73</v>
      </c>
      <c r="Z33" s="70">
        <v>239.6</v>
      </c>
      <c r="AA33" s="80">
        <v>84.56</v>
      </c>
      <c r="AB33" s="76">
        <f t="shared" si="5"/>
        <v>1.1765769265615655E-2</v>
      </c>
      <c r="AC33" s="76">
        <f t="shared" si="5"/>
        <v>3.553886880454524E-3</v>
      </c>
      <c r="AD33" s="73">
        <f t="shared" si="5"/>
        <v>-7.09303729939272E-4</v>
      </c>
    </row>
    <row r="34" spans="1:30" ht="15" thickBot="1" x14ac:dyDescent="0.35">
      <c r="A34" s="60">
        <v>0.12361983972268509</v>
      </c>
      <c r="C34" s="60">
        <v>0.19014515169260268</v>
      </c>
      <c r="E34" s="42"/>
      <c r="F34" s="43"/>
      <c r="G34" s="48"/>
      <c r="H34" s="43"/>
      <c r="I34" s="44"/>
      <c r="N34" s="70" t="s">
        <v>250</v>
      </c>
      <c r="O34" s="70">
        <v>4411.55</v>
      </c>
      <c r="P34" s="68">
        <v>147.63</v>
      </c>
      <c r="Q34" s="70">
        <v>28.98</v>
      </c>
      <c r="R34" s="70">
        <v>612.71</v>
      </c>
      <c r="S34" s="76">
        <f t="shared" si="1"/>
        <v>-8.3609108519786131E-4</v>
      </c>
      <c r="T34" s="76">
        <f t="shared" si="2"/>
        <v>2.5773210143003192E-3</v>
      </c>
      <c r="U34" s="76">
        <f t="shared" si="3"/>
        <v>-1.7106130428599511E-2</v>
      </c>
      <c r="V34" s="76">
        <f t="shared" si="4"/>
        <v>2.4786054308004287E-2</v>
      </c>
      <c r="X34" s="70" t="s">
        <v>250</v>
      </c>
      <c r="Y34" s="70">
        <v>10590.39</v>
      </c>
      <c r="Z34" s="70">
        <v>238.75</v>
      </c>
      <c r="AA34" s="80">
        <v>84.62</v>
      </c>
      <c r="AB34" s="76">
        <f t="shared" si="5"/>
        <v>3.3141457401816418E-3</v>
      </c>
      <c r="AC34" s="76">
        <f t="shared" si="5"/>
        <v>8.4122472946519238E-3</v>
      </c>
      <c r="AD34" s="73">
        <f t="shared" si="5"/>
        <v>9.0219035493049431E-3</v>
      </c>
    </row>
    <row r="35" spans="1:30" ht="15" thickBot="1" x14ac:dyDescent="0.35">
      <c r="A35" s="60">
        <v>0.12856818411971854</v>
      </c>
      <c r="C35" s="60">
        <v>0.1816698341265148</v>
      </c>
      <c r="N35" s="71">
        <v>45210</v>
      </c>
      <c r="O35" s="70">
        <v>4415.24</v>
      </c>
      <c r="P35" s="68">
        <v>147.25</v>
      </c>
      <c r="Q35" s="70">
        <v>29.48</v>
      </c>
      <c r="R35" s="70">
        <v>597.71</v>
      </c>
      <c r="S35" s="76">
        <f t="shared" si="1"/>
        <v>1.5495728650985885E-2</v>
      </c>
      <c r="T35" s="76">
        <f t="shared" si="2"/>
        <v>-1.1538332294466075E-3</v>
      </c>
      <c r="U35" s="76">
        <f t="shared" si="3"/>
        <v>-6.7613509780437954E-3</v>
      </c>
      <c r="V35" s="76">
        <f t="shared" si="4"/>
        <v>1.0748360458766421E-2</v>
      </c>
      <c r="X35" s="71">
        <v>45210</v>
      </c>
      <c r="Y35" s="70">
        <v>10555.35</v>
      </c>
      <c r="Z35" s="70">
        <v>236.75</v>
      </c>
      <c r="AA35" s="80">
        <v>83.86</v>
      </c>
      <c r="AB35" s="76">
        <f t="shared" si="5"/>
        <v>-8.4565185463323696E-3</v>
      </c>
      <c r="AC35" s="76">
        <f t="shared" si="5"/>
        <v>-5.6860214266294873E-3</v>
      </c>
      <c r="AD35" s="73">
        <f t="shared" si="5"/>
        <v>-5.2331232651931158E-3</v>
      </c>
    </row>
    <row r="36" spans="1:30" x14ac:dyDescent="0.3">
      <c r="A36" s="60">
        <v>0.14741477711122725</v>
      </c>
      <c r="C36" s="60">
        <v>0.15165788666573429</v>
      </c>
      <c r="E36" s="45"/>
      <c r="F36" s="37"/>
      <c r="G36" s="49" t="s">
        <v>465</v>
      </c>
      <c r="H36" s="37"/>
      <c r="I36" s="38"/>
      <c r="N36" s="71">
        <v>45180</v>
      </c>
      <c r="O36" s="70">
        <v>4347.3500000000004</v>
      </c>
      <c r="P36" s="68">
        <v>147.41999999999999</v>
      </c>
      <c r="Q36" s="70">
        <v>29.68</v>
      </c>
      <c r="R36" s="70">
        <v>591.32000000000005</v>
      </c>
      <c r="S36" s="76">
        <f t="shared" si="1"/>
        <v>-8.1167621824379983E-3</v>
      </c>
      <c r="T36" s="76">
        <f t="shared" si="2"/>
        <v>-1.9680253673395341E-2</v>
      </c>
      <c r="U36" s="76">
        <f t="shared" si="3"/>
        <v>-3.769041159279006E-2</v>
      </c>
      <c r="V36" s="76">
        <f t="shared" si="4"/>
        <v>-4.5957940756490262E-2</v>
      </c>
      <c r="X36" s="71">
        <v>45180</v>
      </c>
      <c r="Y36" s="70">
        <v>10644.99</v>
      </c>
      <c r="Z36" s="70">
        <v>238.1</v>
      </c>
      <c r="AA36" s="80">
        <v>84.3</v>
      </c>
      <c r="AB36" s="76">
        <f t="shared" si="5"/>
        <v>4.701504183993432E-3</v>
      </c>
      <c r="AC36" s="76">
        <f t="shared" si="5"/>
        <v>-2.0997375405234809E-4</v>
      </c>
      <c r="AD36" s="73">
        <f t="shared" si="5"/>
        <v>-6.8566292979179051E-3</v>
      </c>
    </row>
    <row r="37" spans="1:30" x14ac:dyDescent="0.3">
      <c r="A37" s="60">
        <v>0.12150346930271523</v>
      </c>
      <c r="C37" s="60">
        <v>0.20109441945595102</v>
      </c>
      <c r="E37" s="39"/>
      <c r="F37" s="40"/>
      <c r="G37" s="74">
        <f>SLOPE(U2:U366,S2:S366)</f>
        <v>0.50326415314934303</v>
      </c>
      <c r="H37" s="40"/>
      <c r="I37" s="41"/>
      <c r="N37" s="71">
        <v>45149</v>
      </c>
      <c r="O37" s="70">
        <v>4382.78</v>
      </c>
      <c r="P37" s="68">
        <v>150.35</v>
      </c>
      <c r="Q37" s="70">
        <v>30.82</v>
      </c>
      <c r="R37" s="70">
        <v>619.13</v>
      </c>
      <c r="S37" s="76">
        <f t="shared" si="1"/>
        <v>1.0044332873557552E-3</v>
      </c>
      <c r="T37" s="76">
        <f t="shared" si="2"/>
        <v>-3.6514563392652417E-3</v>
      </c>
      <c r="U37" s="76">
        <f t="shared" si="3"/>
        <v>-1.3855546290440807E-2</v>
      </c>
      <c r="V37" s="76">
        <f t="shared" si="4"/>
        <v>3.1502285045984825E-2</v>
      </c>
      <c r="X37" s="71">
        <v>45149</v>
      </c>
      <c r="Y37" s="70">
        <v>10595.06</v>
      </c>
      <c r="Z37" s="70">
        <v>238.15</v>
      </c>
      <c r="AA37" s="80">
        <v>84.88</v>
      </c>
      <c r="AB37" s="76">
        <f t="shared" si="5"/>
        <v>2.2706140174462391E-3</v>
      </c>
      <c r="AC37" s="76">
        <f t="shared" si="5"/>
        <v>7.3754417149263733E-3</v>
      </c>
      <c r="AD37" s="73">
        <f t="shared" si="5"/>
        <v>8.2811309633029507E-3</v>
      </c>
    </row>
    <row r="38" spans="1:30" x14ac:dyDescent="0.3">
      <c r="A38" s="60">
        <v>0.16164114128332377</v>
      </c>
      <c r="C38" s="60">
        <v>0.17154453113184001</v>
      </c>
      <c r="E38" s="39"/>
      <c r="F38" s="40"/>
      <c r="G38" s="47" t="s">
        <v>466</v>
      </c>
      <c r="H38" s="40"/>
      <c r="I38" s="41"/>
      <c r="N38" s="71">
        <v>45118</v>
      </c>
      <c r="O38" s="70">
        <v>4378.38</v>
      </c>
      <c r="P38" s="68">
        <v>150.9</v>
      </c>
      <c r="Q38" s="70">
        <v>31.25</v>
      </c>
      <c r="R38" s="70">
        <v>599.92999999999995</v>
      </c>
      <c r="S38" s="76">
        <f t="shared" si="1"/>
        <v>2.8361156932399829E-3</v>
      </c>
      <c r="T38" s="76">
        <f t="shared" si="2"/>
        <v>-5.2875205806831981E-3</v>
      </c>
      <c r="U38" s="76">
        <f t="shared" si="3"/>
        <v>2.2425125527801518E-3</v>
      </c>
      <c r="V38" s="76">
        <f t="shared" si="4"/>
        <v>7.9322994409210118E-3</v>
      </c>
      <c r="X38" s="71">
        <v>45118</v>
      </c>
      <c r="Y38" s="70">
        <v>10571.03</v>
      </c>
      <c r="Z38" s="70">
        <v>236.4</v>
      </c>
      <c r="AA38" s="80">
        <v>84.18</v>
      </c>
      <c r="AB38" s="76">
        <f t="shared" si="5"/>
        <v>-5.4095513945079453E-4</v>
      </c>
      <c r="AC38" s="76">
        <f t="shared" si="5"/>
        <v>-3.1675667916475927E-3</v>
      </c>
      <c r="AD38" s="73">
        <f t="shared" si="5"/>
        <v>-7.1250448329533884E-4</v>
      </c>
    </row>
    <row r="39" spans="1:30" x14ac:dyDescent="0.3">
      <c r="A39" s="60">
        <v>0.14488945988623</v>
      </c>
      <c r="C39" s="60">
        <v>0.11344519540412487</v>
      </c>
      <c r="E39" s="39"/>
      <c r="F39" s="40"/>
      <c r="G39" s="74">
        <f>SLOPE(V2:V366,S2:S366)</f>
        <v>0.43206223692276463</v>
      </c>
      <c r="H39" s="40"/>
      <c r="I39" s="41"/>
      <c r="N39" s="71">
        <v>45088</v>
      </c>
      <c r="O39" s="70">
        <v>4365.9799999999996</v>
      </c>
      <c r="P39" s="68">
        <v>151.69999999999999</v>
      </c>
      <c r="Q39" s="70">
        <v>31.18</v>
      </c>
      <c r="R39" s="70">
        <v>595.19000000000005</v>
      </c>
      <c r="S39" s="76">
        <f t="shared" si="1"/>
        <v>1.7514263468030517E-3</v>
      </c>
      <c r="T39" s="76">
        <f t="shared" si="2"/>
        <v>2.3759250881109032E-3</v>
      </c>
      <c r="U39" s="76">
        <f t="shared" si="3"/>
        <v>-2.5624613637001614E-3</v>
      </c>
      <c r="V39" s="76">
        <f t="shared" si="4"/>
        <v>4.7093826583536252E-2</v>
      </c>
      <c r="X39" s="71">
        <v>45088</v>
      </c>
      <c r="Y39" s="70">
        <v>10576.75</v>
      </c>
      <c r="Z39" s="70">
        <v>237.15</v>
      </c>
      <c r="AA39" s="80">
        <v>84.24</v>
      </c>
      <c r="AB39" s="76">
        <f t="shared" si="5"/>
        <v>-2.7603914259041664E-4</v>
      </c>
      <c r="AC39" s="76">
        <f t="shared" si="5"/>
        <v>-4.2158516644650343E-4</v>
      </c>
      <c r="AD39" s="73">
        <f t="shared" si="5"/>
        <v>1.0741241831412616E-2</v>
      </c>
    </row>
    <row r="40" spans="1:30" x14ac:dyDescent="0.3">
      <c r="A40" s="60">
        <v>0.12824049478859698</v>
      </c>
      <c r="C40" s="60">
        <v>0.11914276823149215</v>
      </c>
      <c r="E40" s="39"/>
      <c r="F40" s="40"/>
      <c r="G40" s="47"/>
      <c r="H40" s="40"/>
      <c r="I40" s="41"/>
      <c r="N40" s="71">
        <v>44996</v>
      </c>
      <c r="O40" s="70">
        <v>4358.34</v>
      </c>
      <c r="P40" s="68">
        <v>151.34</v>
      </c>
      <c r="Q40" s="70">
        <v>31.26</v>
      </c>
      <c r="R40" s="70">
        <v>567.80999999999995</v>
      </c>
      <c r="S40" s="76">
        <f t="shared" si="1"/>
        <v>9.3498696374369732E-3</v>
      </c>
      <c r="T40" s="76">
        <f t="shared" si="2"/>
        <v>7.2949458064227903E-3</v>
      </c>
      <c r="U40" s="76">
        <f t="shared" si="3"/>
        <v>2.4612641379964568E-2</v>
      </c>
      <c r="V40" s="76">
        <f t="shared" si="4"/>
        <v>-2.1741122863178666E-2</v>
      </c>
      <c r="X40" s="71">
        <v>44996</v>
      </c>
      <c r="Y40" s="70">
        <v>10579.67</v>
      </c>
      <c r="Z40" s="70">
        <v>237.25</v>
      </c>
      <c r="AA40" s="80">
        <v>83.34</v>
      </c>
      <c r="AB40" s="76">
        <f t="shared" si="5"/>
        <v>-1.162875957916777E-3</v>
      </c>
      <c r="AC40" s="76">
        <f t="shared" si="5"/>
        <v>-3.7862897568322292E-3</v>
      </c>
      <c r="AD40" s="73">
        <f t="shared" si="5"/>
        <v>-1.5714609098470118E-2</v>
      </c>
    </row>
    <row r="41" spans="1:30" x14ac:dyDescent="0.3">
      <c r="A41" s="60">
        <v>0.11451026466998719</v>
      </c>
      <c r="C41" s="60">
        <v>0.32417284112332706</v>
      </c>
      <c r="E41" s="39"/>
      <c r="F41" s="40"/>
      <c r="G41" s="46" t="s">
        <v>479</v>
      </c>
      <c r="H41" s="40"/>
      <c r="I41" s="41"/>
      <c r="N41" s="71">
        <v>44968</v>
      </c>
      <c r="O41" s="70">
        <v>4317.78</v>
      </c>
      <c r="P41" s="68">
        <v>150.24</v>
      </c>
      <c r="Q41" s="70">
        <v>30.5</v>
      </c>
      <c r="R41" s="70">
        <v>580.29</v>
      </c>
      <c r="S41" s="76">
        <f t="shared" si="1"/>
        <v>1.8682956430735833E-2</v>
      </c>
      <c r="T41" s="76">
        <f t="shared" si="2"/>
        <v>1.0370413750821008E-2</v>
      </c>
      <c r="U41" s="76">
        <f t="shared" si="3"/>
        <v>-3.278151152124017E-4</v>
      </c>
      <c r="V41" s="76">
        <f t="shared" si="4"/>
        <v>4.5533311454111908E-2</v>
      </c>
      <c r="X41" s="71">
        <v>44968</v>
      </c>
      <c r="Y41" s="70">
        <v>10591.98</v>
      </c>
      <c r="Z41" s="70">
        <v>238.15</v>
      </c>
      <c r="AA41" s="80">
        <v>84.66</v>
      </c>
      <c r="AB41" s="76">
        <f t="shared" si="5"/>
        <v>8.3514462307520479E-3</v>
      </c>
      <c r="AC41" s="76">
        <f t="shared" si="5"/>
        <v>1.8913528807212555E-3</v>
      </c>
      <c r="AD41" s="73">
        <f t="shared" si="5"/>
        <v>-6.47556274708688E-3</v>
      </c>
    </row>
    <row r="42" spans="1:30" x14ac:dyDescent="0.3">
      <c r="A42" s="60" cm="1">
        <f t="array" ref="A42:A51">'ELI LILLY AND COMPANY'!T2:T11</f>
        <v>0.10442551098163294</v>
      </c>
      <c r="C42" s="60" cm="1">
        <f t="array" ref="C42:C51">'ELI LILLY AND COMPANY'!P2:P11/'ELI LILLY AND COMPANY'!I2:I11</f>
        <v>0.10025619203971817</v>
      </c>
      <c r="E42" s="39"/>
      <c r="F42" s="40"/>
      <c r="G42" s="74">
        <f>SLOPE(AC2:AC366,AB2:AB366)</f>
        <v>0.8038079507403838</v>
      </c>
      <c r="H42" s="40"/>
      <c r="I42" s="41"/>
      <c r="N42" s="71">
        <v>44937</v>
      </c>
      <c r="O42" s="70">
        <v>4237.8599999999997</v>
      </c>
      <c r="P42" s="68">
        <v>148.69</v>
      </c>
      <c r="Q42" s="70">
        <v>30.51</v>
      </c>
      <c r="R42" s="70">
        <v>554.46</v>
      </c>
      <c r="S42" s="76">
        <f t="shared" si="1"/>
        <v>1.0451180679737281E-2</v>
      </c>
      <c r="T42" s="76">
        <f t="shared" si="2"/>
        <v>2.3566654007197655E-3</v>
      </c>
      <c r="U42" s="76">
        <f t="shared" si="3"/>
        <v>-1.6374655697413548E-3</v>
      </c>
      <c r="V42" s="76">
        <f t="shared" si="4"/>
        <v>9.5634215464689219E-4</v>
      </c>
      <c r="X42" s="71">
        <v>44937</v>
      </c>
      <c r="Y42" s="70">
        <v>10503.89</v>
      </c>
      <c r="Z42" s="70">
        <v>237.7</v>
      </c>
      <c r="AA42" s="80">
        <v>85.21</v>
      </c>
      <c r="AB42" s="76">
        <f t="shared" si="5"/>
        <v>1.0790220052106836E-2</v>
      </c>
      <c r="AC42" s="76">
        <f t="shared" si="5"/>
        <v>1.6329490194253074E-2</v>
      </c>
      <c r="AD42" s="73">
        <f t="shared" si="5"/>
        <v>7.894002701220617E-3</v>
      </c>
    </row>
    <row r="43" spans="1:30" x14ac:dyDescent="0.3">
      <c r="A43" s="60">
        <v>8.5453532396543713E-2</v>
      </c>
      <c r="C43" s="60">
        <v>8.234321225052664E-2</v>
      </c>
      <c r="E43" s="39"/>
      <c r="F43" s="40"/>
      <c r="G43" s="46" t="s">
        <v>467</v>
      </c>
      <c r="H43" s="40"/>
      <c r="I43" s="41"/>
      <c r="N43" s="70" t="s">
        <v>251</v>
      </c>
      <c r="O43" s="70">
        <v>4193.8</v>
      </c>
      <c r="P43" s="68">
        <v>148.34</v>
      </c>
      <c r="Q43" s="70">
        <v>30.56</v>
      </c>
      <c r="R43" s="70">
        <v>553.92999999999995</v>
      </c>
      <c r="S43" s="76">
        <f t="shared" si="1"/>
        <v>6.4540892074659807E-3</v>
      </c>
      <c r="T43" s="76">
        <f t="shared" si="2"/>
        <v>8.870288718846122E-3</v>
      </c>
      <c r="U43" s="76">
        <f t="shared" si="3"/>
        <v>3.2727868071525133E-4</v>
      </c>
      <c r="V43" s="76">
        <f t="shared" si="4"/>
        <v>-2.1043254433583736E-2</v>
      </c>
      <c r="X43" s="70" t="s">
        <v>251</v>
      </c>
      <c r="Y43" s="70">
        <v>10391.16</v>
      </c>
      <c r="Z43" s="70">
        <v>233.85</v>
      </c>
      <c r="AA43" s="80">
        <v>84.54</v>
      </c>
      <c r="AB43" s="76">
        <f t="shared" si="5"/>
        <v>8.6360654949696242E-4</v>
      </c>
      <c r="AC43" s="76">
        <f t="shared" si="5"/>
        <v>-3.1361088459090955E-2</v>
      </c>
      <c r="AD43" s="73">
        <f t="shared" si="5"/>
        <v>-1.0640185433706279E-3</v>
      </c>
    </row>
    <row r="44" spans="1:30" x14ac:dyDescent="0.3">
      <c r="A44" s="60">
        <v>0.12691852675956325</v>
      </c>
      <c r="C44" s="60">
        <v>0.12058225316880511</v>
      </c>
      <c r="E44" s="39"/>
      <c r="F44" s="40"/>
      <c r="G44" s="83">
        <f>SLOPE(AD2:AD366,AB2:AB366)</f>
        <v>0.82334622180570571</v>
      </c>
      <c r="H44" s="40"/>
      <c r="I44" s="41"/>
      <c r="N44" s="70" t="s">
        <v>252</v>
      </c>
      <c r="O44" s="70">
        <v>4166.82</v>
      </c>
      <c r="P44" s="68">
        <v>147.03</v>
      </c>
      <c r="Q44" s="70">
        <v>30.55</v>
      </c>
      <c r="R44" s="70">
        <v>565.71</v>
      </c>
      <c r="S44" s="76">
        <f t="shared" si="1"/>
        <v>1.1938544947970331E-2</v>
      </c>
      <c r="T44" s="76">
        <f t="shared" si="2"/>
        <v>9.773511826980304E-3</v>
      </c>
      <c r="U44" s="76">
        <f t="shared" si="3"/>
        <v>1.450734312396198E-2</v>
      </c>
      <c r="V44" s="76">
        <f t="shared" si="4"/>
        <v>9.7341657120572651E-3</v>
      </c>
      <c r="X44" s="70" t="s">
        <v>252</v>
      </c>
      <c r="Y44" s="70">
        <v>10382.19</v>
      </c>
      <c r="Z44" s="70">
        <v>241.3</v>
      </c>
      <c r="AA44" s="80">
        <v>84.63</v>
      </c>
      <c r="AB44" s="76">
        <f t="shared" si="5"/>
        <v>5.6486465687923988E-3</v>
      </c>
      <c r="AC44" s="76">
        <f t="shared" si="5"/>
        <v>1.4821271205486358E-2</v>
      </c>
      <c r="AD44" s="73">
        <f t="shared" si="5"/>
        <v>1.0333247119732982E-2</v>
      </c>
    </row>
    <row r="45" spans="1:30" ht="15" thickBot="1" x14ac:dyDescent="0.35">
      <c r="A45" s="60">
        <v>0.14674544344026691</v>
      </c>
      <c r="C45" s="60">
        <v>0.13839263953317557</v>
      </c>
      <c r="E45" s="42"/>
      <c r="F45" s="43"/>
      <c r="G45" s="48"/>
      <c r="H45" s="43"/>
      <c r="I45" s="44"/>
      <c r="N45" s="70" t="s">
        <v>253</v>
      </c>
      <c r="O45" s="70">
        <v>4117.37</v>
      </c>
      <c r="P45" s="68">
        <v>145.6</v>
      </c>
      <c r="Q45" s="70">
        <v>30.11</v>
      </c>
      <c r="R45" s="70">
        <v>560.23</v>
      </c>
      <c r="S45" s="76">
        <f t="shared" si="1"/>
        <v>-4.811871761208667E-3</v>
      </c>
      <c r="T45" s="76">
        <f t="shared" si="2"/>
        <v>-2.3083170182873581E-2</v>
      </c>
      <c r="U45" s="76">
        <f t="shared" si="3"/>
        <v>-3.427787850890511E-2</v>
      </c>
      <c r="V45" s="76">
        <f t="shared" si="4"/>
        <v>-1.395004586819743E-2</v>
      </c>
      <c r="X45" s="70" t="s">
        <v>253</v>
      </c>
      <c r="Y45" s="70">
        <v>10323.709999999999</v>
      </c>
      <c r="Z45" s="70">
        <v>237.75</v>
      </c>
      <c r="AA45" s="80">
        <v>83.76</v>
      </c>
      <c r="AB45" s="76">
        <f t="shared" si="5"/>
        <v>-4.2510478973575823E-3</v>
      </c>
      <c r="AC45" s="76">
        <f t="shared" si="5"/>
        <v>2.1052639354624146E-3</v>
      </c>
      <c r="AD45" s="73">
        <f t="shared" si="5"/>
        <v>-1.5753953299184532E-2</v>
      </c>
    </row>
    <row r="46" spans="1:30" ht="15" thickBot="1" x14ac:dyDescent="0.35">
      <c r="A46" s="60">
        <v>8.4012065920098564E-2</v>
      </c>
      <c r="C46" s="60">
        <v>8.2077252712459345E-2</v>
      </c>
      <c r="N46" s="70" t="s">
        <v>254</v>
      </c>
      <c r="O46" s="70">
        <v>4137.2299999999996</v>
      </c>
      <c r="P46" s="68">
        <v>149</v>
      </c>
      <c r="Q46" s="70">
        <v>31.16</v>
      </c>
      <c r="R46" s="70">
        <v>568.1</v>
      </c>
      <c r="S46" s="76">
        <f t="shared" si="1"/>
        <v>-1.1903071819740901E-2</v>
      </c>
      <c r="T46" s="76">
        <f t="shared" si="2"/>
        <v>-1.7101258498106373E-2</v>
      </c>
      <c r="U46" s="76">
        <f t="shared" si="3"/>
        <v>1.389584486015423E-2</v>
      </c>
      <c r="V46" s="76">
        <f t="shared" si="4"/>
        <v>-3.1807005011120895E-2</v>
      </c>
      <c r="X46" s="70" t="s">
        <v>254</v>
      </c>
      <c r="Y46" s="70">
        <v>10367.69</v>
      </c>
      <c r="Z46" s="70">
        <v>237.25</v>
      </c>
      <c r="AA46" s="80">
        <v>85.09</v>
      </c>
      <c r="AB46" s="76">
        <f t="shared" si="5"/>
        <v>-3.2009857546888413E-3</v>
      </c>
      <c r="AC46" s="76">
        <f t="shared" si="5"/>
        <v>-1.2636901428931381E-3</v>
      </c>
      <c r="AD46" s="73">
        <f t="shared" si="5"/>
        <v>-8.5425597019125558E-3</v>
      </c>
    </row>
    <row r="47" spans="1:30" x14ac:dyDescent="0.3">
      <c r="A47" s="60">
        <v>0.12138206199670983</v>
      </c>
      <c r="C47" s="60">
        <v>0.11014126241776175</v>
      </c>
      <c r="E47" s="45"/>
      <c r="F47" s="37"/>
      <c r="G47" s="49" t="s">
        <v>480</v>
      </c>
      <c r="H47" s="37"/>
      <c r="I47" s="38"/>
      <c r="N47" s="70" t="s">
        <v>255</v>
      </c>
      <c r="O47" s="70">
        <v>4186.7700000000004</v>
      </c>
      <c r="P47" s="68">
        <v>151.57</v>
      </c>
      <c r="Q47" s="70">
        <v>30.73</v>
      </c>
      <c r="R47" s="70">
        <v>586.46</v>
      </c>
      <c r="S47" s="76">
        <f t="shared" si="1"/>
        <v>-1.4443397939346892E-2</v>
      </c>
      <c r="T47" s="76">
        <f t="shared" si="2"/>
        <v>2.2457076809163086E-3</v>
      </c>
      <c r="U47" s="76">
        <f t="shared" si="3"/>
        <v>9.8104122335135237E-3</v>
      </c>
      <c r="V47" s="76">
        <f t="shared" si="4"/>
        <v>-1.0128257995680137E-2</v>
      </c>
      <c r="X47" s="70" t="s">
        <v>255</v>
      </c>
      <c r="Y47" s="70">
        <v>10400.93</v>
      </c>
      <c r="Z47" s="70">
        <v>237.55</v>
      </c>
      <c r="AA47" s="80">
        <v>85.82</v>
      </c>
      <c r="AB47" s="76">
        <f t="shared" si="5"/>
        <v>2.3217164941555088E-3</v>
      </c>
      <c r="AC47" s="76">
        <f t="shared" si="5"/>
        <v>1.4744605093599459E-3</v>
      </c>
      <c r="AD47" s="73">
        <f t="shared" si="5"/>
        <v>8.3075420745089262E-3</v>
      </c>
    </row>
    <row r="48" spans="1:30" x14ac:dyDescent="0.3">
      <c r="A48" s="60">
        <v>0.10275140089555157</v>
      </c>
      <c r="C48" s="60">
        <v>9.51438616674571E-2</v>
      </c>
      <c r="E48" s="39"/>
      <c r="F48" s="40"/>
      <c r="G48" s="84">
        <f>'JOHNSON &amp; JOHNSON'!AB10/Cálculos!G25</f>
        <v>4.5047869389354858E-2</v>
      </c>
      <c r="H48" s="40"/>
      <c r="I48" s="41"/>
      <c r="N48" s="70" t="s">
        <v>256</v>
      </c>
      <c r="O48" s="70">
        <v>4247.68</v>
      </c>
      <c r="P48" s="68">
        <v>151.22999999999999</v>
      </c>
      <c r="Q48" s="70">
        <v>30.43</v>
      </c>
      <c r="R48" s="70">
        <v>592.42999999999995</v>
      </c>
      <c r="S48" s="76">
        <f t="shared" si="1"/>
        <v>7.2394913997594025E-3</v>
      </c>
      <c r="T48" s="76">
        <f t="shared" si="2"/>
        <v>-1.0574318611381956E-3</v>
      </c>
      <c r="U48" s="76">
        <f t="shared" si="3"/>
        <v>-1.3383584786248985E-2</v>
      </c>
      <c r="V48" s="76">
        <f t="shared" si="4"/>
        <v>2.6997225897934608E-2</v>
      </c>
      <c r="X48" s="70" t="s">
        <v>256</v>
      </c>
      <c r="Y48" s="70">
        <v>10376.81</v>
      </c>
      <c r="Z48" s="70">
        <v>237.2</v>
      </c>
      <c r="AA48" s="80">
        <v>85.11</v>
      </c>
      <c r="AB48" s="76">
        <f t="shared" si="5"/>
        <v>4.3353764630443044E-3</v>
      </c>
      <c r="AC48" s="76">
        <f t="shared" si="5"/>
        <v>-1.4744605093600243E-3</v>
      </c>
      <c r="AD48" s="73">
        <f t="shared" si="5"/>
        <v>7.193003125741497E-3</v>
      </c>
    </row>
    <row r="49" spans="1:30" x14ac:dyDescent="0.3">
      <c r="A49" s="60">
        <v>6.3901536803928488E-2</v>
      </c>
      <c r="C49" s="60">
        <v>6.0910286339327796E-2</v>
      </c>
      <c r="E49" s="39"/>
      <c r="F49" s="40"/>
      <c r="G49" s="47" t="s">
        <v>481</v>
      </c>
      <c r="H49" s="40"/>
      <c r="I49" s="41"/>
      <c r="N49" s="70" t="s">
        <v>257</v>
      </c>
      <c r="O49" s="70">
        <v>4217.04</v>
      </c>
      <c r="P49" s="68">
        <v>151.38999999999999</v>
      </c>
      <c r="Q49" s="70">
        <v>30.84</v>
      </c>
      <c r="R49" s="70">
        <v>576.65</v>
      </c>
      <c r="S49" s="76">
        <f t="shared" si="1"/>
        <v>-1.6869643388467898E-3</v>
      </c>
      <c r="T49" s="76">
        <f t="shared" si="2"/>
        <v>-1.0578632768648101E-2</v>
      </c>
      <c r="U49" s="76">
        <f t="shared" si="3"/>
        <v>6.179886312908377E-3</v>
      </c>
      <c r="V49" s="76">
        <f t="shared" si="4"/>
        <v>-1.3760776517694136E-2</v>
      </c>
      <c r="X49" s="70" t="s">
        <v>257</v>
      </c>
      <c r="Y49" s="70">
        <v>10331.92</v>
      </c>
      <c r="Z49" s="70">
        <v>237.55</v>
      </c>
      <c r="AA49" s="80">
        <v>84.5</v>
      </c>
      <c r="AB49" s="76">
        <f t="shared" si="5"/>
        <v>-1.6131125926198658E-3</v>
      </c>
      <c r="AC49" s="76">
        <f t="shared" si="5"/>
        <v>-6.0854242985802932E-3</v>
      </c>
      <c r="AD49" s="73">
        <f t="shared" si="5"/>
        <v>-3.5440084347292105E-3</v>
      </c>
    </row>
    <row r="50" spans="1:30" x14ac:dyDescent="0.3">
      <c r="A50" s="60">
        <v>4.6714582850026054E-2</v>
      </c>
      <c r="C50" s="60">
        <v>4.4902680601561586E-2</v>
      </c>
      <c r="E50" s="39"/>
      <c r="F50" s="40"/>
      <c r="G50" s="74">
        <f>(G23+G48*G20*0.7)/(1 + 0.7*G20)</f>
        <v>0.30763244019864339</v>
      </c>
      <c r="H50" s="40"/>
      <c r="I50" s="41"/>
      <c r="N50" s="70" t="s">
        <v>258</v>
      </c>
      <c r="O50" s="70">
        <v>4224.16</v>
      </c>
      <c r="P50" s="68">
        <v>153</v>
      </c>
      <c r="Q50" s="70">
        <v>30.65</v>
      </c>
      <c r="R50" s="70">
        <v>584.64</v>
      </c>
      <c r="S50" s="76">
        <f t="shared" si="1"/>
        <v>-1.2665186185757991E-2</v>
      </c>
      <c r="T50" s="76">
        <f t="shared" si="2"/>
        <v>4.4543503493803746E-3</v>
      </c>
      <c r="U50" s="76">
        <f t="shared" si="3"/>
        <v>-1.7464868237491604E-2</v>
      </c>
      <c r="V50" s="76">
        <f t="shared" si="4"/>
        <v>-1.0481277467582838E-2</v>
      </c>
      <c r="X50" s="70" t="s">
        <v>258</v>
      </c>
      <c r="Y50" s="70">
        <v>10348.6</v>
      </c>
      <c r="Z50" s="70">
        <v>239</v>
      </c>
      <c r="AA50" s="80">
        <v>84.8</v>
      </c>
      <c r="AB50" s="76">
        <f t="shared" si="5"/>
        <v>-9.5813412126524514E-3</v>
      </c>
      <c r="AC50" s="76">
        <f t="shared" si="5"/>
        <v>2.3039071872773356E-3</v>
      </c>
      <c r="AD50" s="73">
        <f t="shared" si="5"/>
        <v>5.8979653729773274E-4</v>
      </c>
    </row>
    <row r="51" spans="1:30" ht="15" thickBot="1" x14ac:dyDescent="0.35">
      <c r="A51" s="61">
        <v>4.5584857836116252E-2</v>
      </c>
      <c r="C51" s="61">
        <v>4.3819198892550655E-2</v>
      </c>
      <c r="E51" s="39"/>
      <c r="F51" s="40"/>
      <c r="G51" s="47"/>
      <c r="H51" s="40"/>
      <c r="I51" s="41"/>
      <c r="N51" s="70" t="s">
        <v>259</v>
      </c>
      <c r="O51" s="70">
        <v>4278</v>
      </c>
      <c r="P51" s="68">
        <v>152.32</v>
      </c>
      <c r="Q51" s="70">
        <v>31.19</v>
      </c>
      <c r="R51" s="70">
        <v>590.79999999999995</v>
      </c>
      <c r="S51" s="76">
        <f t="shared" si="1"/>
        <v>-8.5190096941524674E-3</v>
      </c>
      <c r="T51" s="76">
        <f t="shared" si="2"/>
        <v>-2.6880855392991719E-3</v>
      </c>
      <c r="U51" s="76">
        <f t="shared" si="3"/>
        <v>-7.0287829308432843E-3</v>
      </c>
      <c r="V51" s="76">
        <f t="shared" si="4"/>
        <v>-2.7446549407289751E-2</v>
      </c>
      <c r="X51" s="70" t="s">
        <v>259</v>
      </c>
      <c r="Y51" s="70">
        <v>10448.23</v>
      </c>
      <c r="Z51" s="70">
        <v>238.45</v>
      </c>
      <c r="AA51" s="80">
        <v>84.75</v>
      </c>
      <c r="AB51" s="76">
        <f t="shared" si="5"/>
        <v>-2.1513189989535428E-2</v>
      </c>
      <c r="AC51" s="76">
        <f t="shared" si="5"/>
        <v>-4.5098849562812994E-2</v>
      </c>
      <c r="AD51" s="73">
        <f t="shared" si="5"/>
        <v>-2.792502570547031E-2</v>
      </c>
    </row>
    <row r="52" spans="1:30" ht="15" thickBot="1" x14ac:dyDescent="0.35">
      <c r="E52" s="42"/>
      <c r="F52" s="43"/>
      <c r="G52" s="48"/>
      <c r="H52" s="43"/>
      <c r="I52" s="44"/>
      <c r="N52" s="70" t="s">
        <v>260</v>
      </c>
      <c r="O52" s="70">
        <v>4314.6000000000004</v>
      </c>
      <c r="P52" s="68">
        <v>152.72999999999999</v>
      </c>
      <c r="Q52" s="70">
        <v>31.41</v>
      </c>
      <c r="R52" s="70">
        <v>607.24</v>
      </c>
      <c r="S52" s="76">
        <f t="shared" si="1"/>
        <v>-1.349038622382619E-2</v>
      </c>
      <c r="T52" s="76">
        <f t="shared" si="2"/>
        <v>-2.1761107387967549E-2</v>
      </c>
      <c r="U52" s="76">
        <f t="shared" si="3"/>
        <v>-4.1776648530705715E-2</v>
      </c>
      <c r="V52" s="76">
        <f t="shared" si="4"/>
        <v>-1.7605203839676663E-3</v>
      </c>
      <c r="X52" s="70" t="s">
        <v>260</v>
      </c>
      <c r="Y52" s="70">
        <v>10675.44</v>
      </c>
      <c r="Z52" s="70">
        <v>249.45</v>
      </c>
      <c r="AA52" s="80">
        <v>87.15</v>
      </c>
      <c r="AB52" s="76">
        <f t="shared" si="5"/>
        <v>-1.2897664348660869E-2</v>
      </c>
      <c r="AC52" s="76">
        <f t="shared" si="5"/>
        <v>-1.2152754408368154E-2</v>
      </c>
      <c r="AD52" s="73">
        <f t="shared" si="5"/>
        <v>-2.6356515572597728E-3</v>
      </c>
    </row>
    <row r="53" spans="1:30" x14ac:dyDescent="0.3">
      <c r="N53" s="70" t="s">
        <v>261</v>
      </c>
      <c r="O53" s="70">
        <v>4373.2</v>
      </c>
      <c r="P53" s="68">
        <v>156.09</v>
      </c>
      <c r="Q53" s="70">
        <v>32.75</v>
      </c>
      <c r="R53" s="70">
        <v>608.30999999999995</v>
      </c>
      <c r="S53" s="76">
        <f t="shared" si="1"/>
        <v>-9.8321334779938874E-5</v>
      </c>
      <c r="T53" s="76">
        <f t="shared" si="2"/>
        <v>-9.1831523475558174E-3</v>
      </c>
      <c r="U53" s="76">
        <f t="shared" si="3"/>
        <v>-1.5753127949124566E-2</v>
      </c>
      <c r="V53" s="76">
        <f t="shared" si="4"/>
        <v>-1.3600764777519534E-2</v>
      </c>
      <c r="X53" s="70" t="s">
        <v>261</v>
      </c>
      <c r="Y53" s="70">
        <v>10814.02</v>
      </c>
      <c r="Z53" s="70">
        <v>252.5</v>
      </c>
      <c r="AA53" s="80">
        <v>87.38</v>
      </c>
      <c r="AB53" s="76">
        <f t="shared" si="5"/>
        <v>-6.9124200215427015E-3</v>
      </c>
      <c r="AC53" s="76">
        <f t="shared" si="5"/>
        <v>1.3871001926802585E-3</v>
      </c>
      <c r="AD53" s="73">
        <f t="shared" si="5"/>
        <v>2.062092608355813E-3</v>
      </c>
    </row>
    <row r="54" spans="1:30" x14ac:dyDescent="0.3">
      <c r="N54" s="70" t="s">
        <v>262</v>
      </c>
      <c r="O54" s="70">
        <v>4373.63</v>
      </c>
      <c r="P54" s="68">
        <v>157.53</v>
      </c>
      <c r="Q54" s="70">
        <v>33.270000000000003</v>
      </c>
      <c r="R54" s="70">
        <v>616.64</v>
      </c>
      <c r="S54" s="76">
        <f t="shared" si="1"/>
        <v>1.0538619453747615E-2</v>
      </c>
      <c r="T54" s="76">
        <f t="shared" si="2"/>
        <v>4.3259816811904968E-3</v>
      </c>
      <c r="U54" s="76">
        <f t="shared" si="3"/>
        <v>3.5488581928962856E-2</v>
      </c>
      <c r="V54" s="76">
        <f t="shared" si="4"/>
        <v>1.2138764204994821E-2</v>
      </c>
      <c r="X54" s="70" t="s">
        <v>262</v>
      </c>
      <c r="Y54" s="70">
        <v>10889.03</v>
      </c>
      <c r="Z54" s="70">
        <v>252.15</v>
      </c>
      <c r="AA54" s="80">
        <v>87.2</v>
      </c>
      <c r="AB54" s="76">
        <f t="shared" si="5"/>
        <v>-1.0344513580720983E-3</v>
      </c>
      <c r="AC54" s="76">
        <f t="shared" si="5"/>
        <v>-1.1435455846201228E-2</v>
      </c>
      <c r="AD54" s="73">
        <f t="shared" si="5"/>
        <v>-3.6630077587370352E-3</v>
      </c>
    </row>
    <row r="55" spans="1:30" x14ac:dyDescent="0.3">
      <c r="N55" s="70" t="s">
        <v>263</v>
      </c>
      <c r="O55" s="70">
        <v>4327.78</v>
      </c>
      <c r="P55" s="68">
        <v>156.85</v>
      </c>
      <c r="Q55" s="70">
        <v>32.11</v>
      </c>
      <c r="R55" s="70">
        <v>609.20000000000005</v>
      </c>
      <c r="S55" s="76">
        <f t="shared" si="1"/>
        <v>-5.0314774496886677E-3</v>
      </c>
      <c r="T55" s="76">
        <f t="shared" si="2"/>
        <v>3.320777047454065E-3</v>
      </c>
      <c r="U55" s="76">
        <f t="shared" si="3"/>
        <v>-2.4912867707446617E-2</v>
      </c>
      <c r="V55" s="76">
        <f t="shared" si="4"/>
        <v>-2.1316725297525424E-3</v>
      </c>
      <c r="X55" s="70" t="s">
        <v>263</v>
      </c>
      <c r="Y55" s="70">
        <v>10900.3</v>
      </c>
      <c r="Z55" s="70">
        <v>255.05</v>
      </c>
      <c r="AA55" s="80">
        <v>87.52</v>
      </c>
      <c r="AB55" s="76">
        <f t="shared" si="5"/>
        <v>-7.2641768931758031E-3</v>
      </c>
      <c r="AC55" s="76">
        <f t="shared" si="5"/>
        <v>9.2565899747871043E-3</v>
      </c>
      <c r="AD55" s="73">
        <f t="shared" si="5"/>
        <v>-1.7330671061999554E-2</v>
      </c>
    </row>
    <row r="56" spans="1:30" x14ac:dyDescent="0.3">
      <c r="N56" s="71">
        <v>45270</v>
      </c>
      <c r="O56" s="70">
        <v>4349.6099999999997</v>
      </c>
      <c r="P56" s="68">
        <v>156.33000000000001</v>
      </c>
      <c r="Q56" s="70">
        <v>32.92</v>
      </c>
      <c r="R56" s="70">
        <v>610.5</v>
      </c>
      <c r="S56" s="76">
        <f t="shared" si="1"/>
        <v>-6.2659488852716012E-3</v>
      </c>
      <c r="T56" s="76">
        <f t="shared" si="2"/>
        <v>9.5996935470390218E-4</v>
      </c>
      <c r="U56" s="76">
        <f t="shared" si="3"/>
        <v>-5.7549757502857474E-3</v>
      </c>
      <c r="V56" s="76">
        <f t="shared" si="4"/>
        <v>8.5871326660402203E-3</v>
      </c>
      <c r="X56" s="71">
        <v>45270</v>
      </c>
      <c r="Y56" s="70">
        <v>10979.77</v>
      </c>
      <c r="Z56" s="70">
        <v>252.7</v>
      </c>
      <c r="AA56" s="80">
        <v>89.05</v>
      </c>
      <c r="AB56" s="76">
        <f t="shared" si="5"/>
        <v>-5.3165547994128582E-3</v>
      </c>
      <c r="AC56" s="76">
        <f t="shared" si="5"/>
        <v>-5.3280836455924198E-3</v>
      </c>
      <c r="AD56" s="73">
        <f t="shared" si="5"/>
        <v>-7.0497690282339646E-3</v>
      </c>
    </row>
    <row r="57" spans="1:30" x14ac:dyDescent="0.3">
      <c r="N57" s="71">
        <v>45240</v>
      </c>
      <c r="O57" s="70">
        <v>4376.95</v>
      </c>
      <c r="P57" s="68">
        <v>156.18</v>
      </c>
      <c r="Q57" s="70">
        <v>33.11</v>
      </c>
      <c r="R57" s="70">
        <v>605.28</v>
      </c>
      <c r="S57" s="76">
        <f t="shared" si="1"/>
        <v>4.2838286545689866E-3</v>
      </c>
      <c r="T57" s="76">
        <f t="shared" si="2"/>
        <v>-1.3861734003400876E-2</v>
      </c>
      <c r="U57" s="76">
        <f t="shared" si="3"/>
        <v>-1.8105013998061647E-3</v>
      </c>
      <c r="V57" s="76">
        <f t="shared" si="4"/>
        <v>4.3853420718115259E-2</v>
      </c>
      <c r="X57" s="71">
        <v>45240</v>
      </c>
      <c r="Y57" s="70">
        <v>11038.3</v>
      </c>
      <c r="Z57" s="70">
        <v>254.05</v>
      </c>
      <c r="AA57" s="80">
        <v>89.68</v>
      </c>
      <c r="AB57" s="76">
        <f t="shared" si="5"/>
        <v>3.3221461235679079E-3</v>
      </c>
      <c r="AC57" s="76">
        <f t="shared" si="5"/>
        <v>5.5259663018233885E-3</v>
      </c>
      <c r="AD57" s="73">
        <f t="shared" si="5"/>
        <v>6.2640025849306355E-3</v>
      </c>
    </row>
    <row r="58" spans="1:30" x14ac:dyDescent="0.3">
      <c r="N58" s="71">
        <v>45209</v>
      </c>
      <c r="O58" s="70">
        <v>4358.24</v>
      </c>
      <c r="P58" s="68">
        <v>158.36000000000001</v>
      </c>
      <c r="Q58" s="70">
        <v>33.17</v>
      </c>
      <c r="R58" s="70">
        <v>579.30999999999995</v>
      </c>
      <c r="S58" s="76">
        <f t="shared" si="1"/>
        <v>5.1944583608864153E-3</v>
      </c>
      <c r="T58" s="76">
        <f t="shared" si="2"/>
        <v>-1.1360051710797992E-3</v>
      </c>
      <c r="U58" s="76">
        <f t="shared" si="3"/>
        <v>-9.0402296348186275E-4</v>
      </c>
      <c r="V58" s="76">
        <f t="shared" si="4"/>
        <v>1.3118417254880286E-2</v>
      </c>
      <c r="X58" s="71">
        <v>45209</v>
      </c>
      <c r="Y58" s="70">
        <v>11001.69</v>
      </c>
      <c r="Z58" s="70">
        <v>252.65</v>
      </c>
      <c r="AA58" s="80">
        <v>89.12</v>
      </c>
      <c r="AB58" s="76">
        <f t="shared" si="5"/>
        <v>1.6445621339756526E-2</v>
      </c>
      <c r="AC58" s="76">
        <f t="shared" si="5"/>
        <v>7.1499808076556102E-3</v>
      </c>
      <c r="AD58" s="73">
        <f t="shared" si="5"/>
        <v>1.1170779067404853E-2</v>
      </c>
    </row>
    <row r="59" spans="1:30" x14ac:dyDescent="0.3">
      <c r="N59" s="71">
        <v>45179</v>
      </c>
      <c r="O59" s="70">
        <v>4335.66</v>
      </c>
      <c r="P59" s="68">
        <v>158.54</v>
      </c>
      <c r="Q59" s="70">
        <v>33.200000000000003</v>
      </c>
      <c r="R59" s="70">
        <v>571.76</v>
      </c>
      <c r="S59" s="76">
        <f t="shared" si="1"/>
        <v>6.2840320810455159E-3</v>
      </c>
      <c r="T59" s="76">
        <f t="shared" si="2"/>
        <v>5.6929750822068163E-3</v>
      </c>
      <c r="U59" s="76">
        <f t="shared" si="3"/>
        <v>2.1106596106384655E-3</v>
      </c>
      <c r="V59" s="76">
        <f t="shared" si="4"/>
        <v>1.1504287023234765E-2</v>
      </c>
      <c r="X59" s="71">
        <v>45179</v>
      </c>
      <c r="Y59" s="70">
        <v>10822.24</v>
      </c>
      <c r="Z59" s="70">
        <v>250.85</v>
      </c>
      <c r="AA59" s="80">
        <v>88.13</v>
      </c>
      <c r="AB59" s="76">
        <f t="shared" si="5"/>
        <v>-1.4173705490549316E-3</v>
      </c>
      <c r="AC59" s="76">
        <f t="shared" si="5"/>
        <v>1.1023260232506635E-2</v>
      </c>
      <c r="AD59" s="73">
        <f t="shared" si="5"/>
        <v>-2.8327025910247763E-3</v>
      </c>
    </row>
    <row r="60" spans="1:30" x14ac:dyDescent="0.3">
      <c r="N60" s="71">
        <v>45087</v>
      </c>
      <c r="O60" s="70">
        <v>4308.5</v>
      </c>
      <c r="P60" s="68">
        <v>157.63999999999999</v>
      </c>
      <c r="Q60" s="70">
        <v>33.130000000000003</v>
      </c>
      <c r="R60" s="70">
        <v>565.22</v>
      </c>
      <c r="S60" s="76">
        <f t="shared" si="1"/>
        <v>1.1745628333713317E-2</v>
      </c>
      <c r="T60" s="76">
        <f t="shared" si="2"/>
        <v>3.1768245791274959E-3</v>
      </c>
      <c r="U60" s="76">
        <f t="shared" si="3"/>
        <v>-1.0210298911430651E-2</v>
      </c>
      <c r="V60" s="76">
        <f t="shared" si="4"/>
        <v>4.290890457090317E-2</v>
      </c>
      <c r="X60" s="71">
        <v>45087</v>
      </c>
      <c r="Y60" s="70">
        <v>10837.59</v>
      </c>
      <c r="Z60" s="70">
        <v>248.1</v>
      </c>
      <c r="AA60" s="80">
        <v>88.38</v>
      </c>
      <c r="AB60" s="76">
        <f t="shared" si="5"/>
        <v>5.0359159817711732E-3</v>
      </c>
      <c r="AC60" s="76">
        <f t="shared" si="5"/>
        <v>5.6588671624442201E-3</v>
      </c>
      <c r="AD60" s="73">
        <f t="shared" si="5"/>
        <v>1.3097391257466551E-2</v>
      </c>
    </row>
    <row r="61" spans="1:30" x14ac:dyDescent="0.3">
      <c r="N61" s="71">
        <v>45056</v>
      </c>
      <c r="O61" s="70">
        <v>4258.1899999999996</v>
      </c>
      <c r="P61" s="68">
        <v>157.13999999999999</v>
      </c>
      <c r="Q61" s="70">
        <v>33.47</v>
      </c>
      <c r="R61" s="70">
        <v>541.48</v>
      </c>
      <c r="S61" s="76">
        <f t="shared" si="1"/>
        <v>-1.3048673867472557E-3</v>
      </c>
      <c r="T61" s="76">
        <f t="shared" si="2"/>
        <v>1.0362787035546437E-2</v>
      </c>
      <c r="U61" s="76">
        <f t="shared" si="3"/>
        <v>4.7918630176468271E-3</v>
      </c>
      <c r="V61" s="76">
        <f t="shared" si="4"/>
        <v>1.8678195069448424E-2</v>
      </c>
      <c r="X61" s="71">
        <v>45056</v>
      </c>
      <c r="Y61" s="70">
        <v>10783.15</v>
      </c>
      <c r="Z61" s="70">
        <v>246.7</v>
      </c>
      <c r="AA61" s="80">
        <v>87.23</v>
      </c>
      <c r="AB61" s="76">
        <f t="shared" si="5"/>
        <v>2.5033277787594424E-3</v>
      </c>
      <c r="AC61" s="76">
        <f t="shared" si="5"/>
        <v>1.1209737273464844E-2</v>
      </c>
      <c r="AD61" s="73">
        <f t="shared" si="5"/>
        <v>-4.2326894972185263E-3</v>
      </c>
    </row>
    <row r="62" spans="1:30" x14ac:dyDescent="0.3">
      <c r="N62" s="71">
        <v>45026</v>
      </c>
      <c r="O62" s="70">
        <v>4263.75</v>
      </c>
      <c r="P62" s="68">
        <v>155.52000000000001</v>
      </c>
      <c r="Q62" s="70">
        <v>33.31</v>
      </c>
      <c r="R62" s="70">
        <v>531.46</v>
      </c>
      <c r="S62" s="76">
        <f t="shared" si="1"/>
        <v>8.0770937870001339E-3</v>
      </c>
      <c r="T62" s="76">
        <f t="shared" si="2"/>
        <v>1.1580777206276467E-3</v>
      </c>
      <c r="U62" s="76">
        <f t="shared" si="3"/>
        <v>-1.7557362180816213E-2</v>
      </c>
      <c r="V62" s="76">
        <f t="shared" si="4"/>
        <v>1.1867834366341045E-2</v>
      </c>
      <c r="X62" s="71">
        <v>45026</v>
      </c>
      <c r="Y62" s="70">
        <v>10756.19</v>
      </c>
      <c r="Z62" s="70">
        <v>243.95</v>
      </c>
      <c r="AA62" s="80">
        <v>87.6</v>
      </c>
      <c r="AB62" s="76">
        <f t="shared" si="5"/>
        <v>-6.6729991379300686E-4</v>
      </c>
      <c r="AC62" s="76">
        <f t="shared" si="5"/>
        <v>-9.7900027281259735E-3</v>
      </c>
      <c r="AD62" s="73">
        <f t="shared" si="5"/>
        <v>5.264977253049587E-3</v>
      </c>
    </row>
    <row r="63" spans="1:30" x14ac:dyDescent="0.3">
      <c r="N63" s="71">
        <v>44995</v>
      </c>
      <c r="O63" s="70">
        <v>4229.45</v>
      </c>
      <c r="P63" s="68">
        <v>155.34</v>
      </c>
      <c r="Q63" s="70">
        <v>33.9</v>
      </c>
      <c r="R63" s="70">
        <v>525.19000000000005</v>
      </c>
      <c r="S63" s="76">
        <f t="shared" si="1"/>
        <v>-1.3839410161483797E-2</v>
      </c>
      <c r="T63" s="76">
        <f t="shared" si="2"/>
        <v>1.2238720971120007E-3</v>
      </c>
      <c r="U63" s="76">
        <f t="shared" si="3"/>
        <v>-1.1792454196756375E-3</v>
      </c>
      <c r="V63" s="76">
        <f t="shared" si="4"/>
        <v>-2.4637346510888815E-2</v>
      </c>
      <c r="X63" s="71">
        <v>44995</v>
      </c>
      <c r="Y63" s="70">
        <v>10763.37</v>
      </c>
      <c r="Z63" s="70">
        <v>246.35</v>
      </c>
      <c r="AA63" s="80">
        <v>87.14</v>
      </c>
      <c r="AB63" s="76">
        <f t="shared" si="5"/>
        <v>-9.2736510788219567E-3</v>
      </c>
      <c r="AC63" s="76">
        <f t="shared" si="5"/>
        <v>-6.877049757085924E-3</v>
      </c>
      <c r="AD63" s="73">
        <f t="shared" si="5"/>
        <v>-1.5486531324587719E-2</v>
      </c>
    </row>
    <row r="64" spans="1:30" x14ac:dyDescent="0.3">
      <c r="N64" s="71">
        <v>44967</v>
      </c>
      <c r="O64" s="70">
        <v>4288.3900000000003</v>
      </c>
      <c r="P64" s="68">
        <v>155.15</v>
      </c>
      <c r="Q64" s="70">
        <v>33.94</v>
      </c>
      <c r="R64" s="70">
        <v>538.29</v>
      </c>
      <c r="S64" s="76">
        <f t="shared" si="1"/>
        <v>7.9286976922361474E-5</v>
      </c>
      <c r="T64" s="76">
        <f t="shared" si="2"/>
        <v>-3.8597667731732886E-3</v>
      </c>
      <c r="U64" s="76">
        <f t="shared" si="3"/>
        <v>2.294840684711898E-2</v>
      </c>
      <c r="V64" s="76">
        <f t="shared" si="4"/>
        <v>2.1572975207455164E-3</v>
      </c>
      <c r="X64" s="71">
        <v>44967</v>
      </c>
      <c r="Y64" s="70">
        <v>10863.65</v>
      </c>
      <c r="Z64" s="70">
        <v>248.05</v>
      </c>
      <c r="AA64" s="80">
        <v>88.5</v>
      </c>
      <c r="AB64" s="76">
        <f t="shared" si="5"/>
        <v>-9.1492198038865685E-3</v>
      </c>
      <c r="AC64" s="76">
        <f t="shared" si="5"/>
        <v>-9.6289610565678582E-3</v>
      </c>
      <c r="AD64" s="73">
        <f t="shared" si="5"/>
        <v>-5.2966822427921393E-3</v>
      </c>
    </row>
    <row r="65" spans="14:30" x14ac:dyDescent="0.3">
      <c r="N65" s="70" t="s">
        <v>264</v>
      </c>
      <c r="O65" s="70">
        <v>4288.05</v>
      </c>
      <c r="P65" s="68">
        <v>155.75</v>
      </c>
      <c r="Q65" s="70">
        <v>33.17</v>
      </c>
      <c r="R65" s="70">
        <v>537.13</v>
      </c>
      <c r="S65" s="76">
        <f t="shared" si="1"/>
        <v>-2.7131686755154211E-3</v>
      </c>
      <c r="T65" s="76">
        <f t="shared" si="2"/>
        <v>-7.2290242205282559E-3</v>
      </c>
      <c r="U65" s="76">
        <f t="shared" si="3"/>
        <v>3.3101397837195533E-2</v>
      </c>
      <c r="V65" s="76">
        <f t="shared" si="4"/>
        <v>-1.3535959920130626E-2</v>
      </c>
      <c r="X65" s="70" t="s">
        <v>264</v>
      </c>
      <c r="Y65" s="70">
        <v>10963.5</v>
      </c>
      <c r="Z65" s="70">
        <v>250.45</v>
      </c>
      <c r="AA65" s="80">
        <v>88.97</v>
      </c>
      <c r="AB65" s="76">
        <f t="shared" si="5"/>
        <v>4.1780047238293826E-3</v>
      </c>
      <c r="AC65" s="76">
        <f t="shared" si="5"/>
        <v>2.9991025178982447E-3</v>
      </c>
      <c r="AD65" s="73">
        <f t="shared" si="5"/>
        <v>1.6873843927199439E-3</v>
      </c>
    </row>
    <row r="66" spans="14:30" x14ac:dyDescent="0.3">
      <c r="N66" s="70" t="s">
        <v>265</v>
      </c>
      <c r="O66" s="70">
        <v>4299.7</v>
      </c>
      <c r="P66" s="68">
        <v>156.88</v>
      </c>
      <c r="Q66" s="70">
        <v>32.090000000000003</v>
      </c>
      <c r="R66" s="70">
        <v>544.45000000000005</v>
      </c>
      <c r="S66" s="76">
        <f t="shared" si="1"/>
        <v>5.8757768874731896E-3</v>
      </c>
      <c r="T66" s="76">
        <f t="shared" si="2"/>
        <v>-1.4650150714153162E-3</v>
      </c>
      <c r="U66" s="76">
        <f t="shared" si="3"/>
        <v>-3.1157501420464524E-4</v>
      </c>
      <c r="V66" s="76">
        <f t="shared" si="4"/>
        <v>-9.7057085637657931E-3</v>
      </c>
      <c r="X66" s="70" t="s">
        <v>265</v>
      </c>
      <c r="Y66" s="70">
        <v>10917.79</v>
      </c>
      <c r="Z66" s="70">
        <v>249.7</v>
      </c>
      <c r="AA66" s="80">
        <v>88.82</v>
      </c>
      <c r="AB66" s="76">
        <f t="shared" si="5"/>
        <v>3.2550338142123131E-3</v>
      </c>
      <c r="AC66" s="76">
        <f t="shared" si="5"/>
        <v>-9.1688902256958516E-3</v>
      </c>
      <c r="AD66" s="73">
        <f t="shared" si="5"/>
        <v>1.3488444796196954E-2</v>
      </c>
    </row>
    <row r="67" spans="14:30" x14ac:dyDescent="0.3">
      <c r="N67" s="70" t="s">
        <v>266</v>
      </c>
      <c r="O67" s="70">
        <v>4274.51</v>
      </c>
      <c r="P67" s="68">
        <v>157.11000000000001</v>
      </c>
      <c r="Q67" s="70">
        <v>32.1</v>
      </c>
      <c r="R67" s="70">
        <v>549.76</v>
      </c>
      <c r="S67" s="76">
        <f t="shared" ref="S67:S130" si="6">LN(O67/O68)</f>
        <v>2.2929233000634007E-4</v>
      </c>
      <c r="T67" s="76">
        <f t="shared" ref="T67:T130" si="7">LN(P67/P68)</f>
        <v>-1.2083783513831329E-2</v>
      </c>
      <c r="U67" s="76">
        <f t="shared" ref="U67:U130" si="8">LN(Q67/Q68)</f>
        <v>-9.3023926623134485E-3</v>
      </c>
      <c r="V67" s="76">
        <f t="shared" ref="V67:V130" si="9">LN(R67/R68)</f>
        <v>-4.5464052357532114E-4</v>
      </c>
      <c r="X67" s="70" t="s">
        <v>266</v>
      </c>
      <c r="Y67" s="70">
        <v>10882.31</v>
      </c>
      <c r="Z67" s="70">
        <v>252</v>
      </c>
      <c r="AA67" s="80">
        <v>87.63</v>
      </c>
      <c r="AB67" s="76">
        <f t="shared" ref="AB67:AD130" si="10">LN(Y67/Y68)</f>
        <v>-6.5387636623175016E-3</v>
      </c>
      <c r="AC67" s="76">
        <f t="shared" si="10"/>
        <v>1.1574665243288571E-2</v>
      </c>
      <c r="AD67" s="73">
        <f t="shared" si="10"/>
        <v>-5.8030543460817451E-3</v>
      </c>
    </row>
    <row r="68" spans="14:30" x14ac:dyDescent="0.3">
      <c r="N68" s="70" t="s">
        <v>267</v>
      </c>
      <c r="O68" s="70">
        <v>4273.53</v>
      </c>
      <c r="P68" s="68">
        <v>159.02000000000001</v>
      </c>
      <c r="Q68" s="70">
        <v>32.4</v>
      </c>
      <c r="R68" s="70">
        <v>550.01</v>
      </c>
      <c r="S68" s="76">
        <f t="shared" si="6"/>
        <v>-1.4844128717961364E-2</v>
      </c>
      <c r="T68" s="76">
        <f t="shared" si="7"/>
        <v>-7.7675158765869922E-3</v>
      </c>
      <c r="U68" s="76">
        <f t="shared" si="8"/>
        <v>-1.7742894333169081E-2</v>
      </c>
      <c r="V68" s="76">
        <f t="shared" si="9"/>
        <v>-4.1368107620569083E-3</v>
      </c>
      <c r="X68" s="70" t="s">
        <v>267</v>
      </c>
      <c r="Y68" s="70">
        <v>10953.7</v>
      </c>
      <c r="Z68" s="70">
        <v>249.1</v>
      </c>
      <c r="AA68" s="80">
        <v>88.14</v>
      </c>
      <c r="AB68" s="76">
        <f t="shared" si="10"/>
        <v>-5.5134981502001287E-3</v>
      </c>
      <c r="AC68" s="76">
        <f t="shared" si="10"/>
        <v>-1.8048736474835471E-3</v>
      </c>
      <c r="AD68" s="73">
        <f t="shared" si="10"/>
        <v>5.3466938133468105E-3</v>
      </c>
    </row>
    <row r="69" spans="14:30" x14ac:dyDescent="0.3">
      <c r="N69" s="70" t="s">
        <v>268</v>
      </c>
      <c r="O69" s="70">
        <v>4337.4399999999996</v>
      </c>
      <c r="P69" s="68">
        <v>160.26</v>
      </c>
      <c r="Q69" s="70">
        <v>32.979999999999997</v>
      </c>
      <c r="R69" s="70">
        <v>552.29</v>
      </c>
      <c r="S69" s="76">
        <f t="shared" si="6"/>
        <v>4.0150212758186272E-3</v>
      </c>
      <c r="T69" s="76">
        <f t="shared" si="7"/>
        <v>-1.496446220146072E-3</v>
      </c>
      <c r="U69" s="76">
        <f t="shared" si="8"/>
        <v>8.8320963953335673E-3</v>
      </c>
      <c r="V69" s="76">
        <f t="shared" si="9"/>
        <v>3.1736559013564101E-3</v>
      </c>
      <c r="X69" s="70" t="s">
        <v>268</v>
      </c>
      <c r="Y69" s="70">
        <v>11014.26</v>
      </c>
      <c r="Z69" s="70">
        <v>249.55</v>
      </c>
      <c r="AA69" s="80">
        <v>87.67</v>
      </c>
      <c r="AB69" s="76">
        <f t="shared" si="10"/>
        <v>-4.5394665771447757E-5</v>
      </c>
      <c r="AC69" s="76">
        <f t="shared" si="10"/>
        <v>6.0126266968227294E-4</v>
      </c>
      <c r="AD69" s="73">
        <f t="shared" si="10"/>
        <v>6.0637449111982118E-3</v>
      </c>
    </row>
    <row r="70" spans="14:30" x14ac:dyDescent="0.3">
      <c r="N70" s="70" t="s">
        <v>269</v>
      </c>
      <c r="O70" s="70">
        <v>4320.0600000000004</v>
      </c>
      <c r="P70" s="68">
        <v>160.5</v>
      </c>
      <c r="Q70" s="70">
        <v>32.69</v>
      </c>
      <c r="R70" s="70">
        <v>550.54</v>
      </c>
      <c r="S70" s="76">
        <f t="shared" si="6"/>
        <v>-2.2982509659402743E-3</v>
      </c>
      <c r="T70" s="76">
        <f t="shared" si="7"/>
        <v>-7.2014217356277622E-3</v>
      </c>
      <c r="U70" s="76">
        <f t="shared" si="8"/>
        <v>-4.8825241945003369E-3</v>
      </c>
      <c r="V70" s="76">
        <f t="shared" si="9"/>
        <v>7.4500080671482851E-4</v>
      </c>
      <c r="X70" s="70" t="s">
        <v>269</v>
      </c>
      <c r="Y70" s="70">
        <v>11014.76</v>
      </c>
      <c r="Z70" s="70">
        <v>249.4</v>
      </c>
      <c r="AA70" s="80">
        <v>87.14</v>
      </c>
      <c r="AB70" s="76">
        <f t="shared" si="10"/>
        <v>-6.3331961270018076E-3</v>
      </c>
      <c r="AC70" s="76">
        <f t="shared" si="10"/>
        <v>-6.5940892347784779E-3</v>
      </c>
      <c r="AD70" s="73">
        <f t="shared" si="10"/>
        <v>-8.3424288184557778E-3</v>
      </c>
    </row>
    <row r="71" spans="14:30" x14ac:dyDescent="0.3">
      <c r="N71" s="70" t="s">
        <v>270</v>
      </c>
      <c r="O71" s="70">
        <v>4330</v>
      </c>
      <c r="P71" s="68">
        <v>161.66</v>
      </c>
      <c r="Q71" s="70">
        <v>32.85</v>
      </c>
      <c r="R71" s="70">
        <v>550.13</v>
      </c>
      <c r="S71" s="76">
        <f t="shared" si="6"/>
        <v>-1.653687395146802E-2</v>
      </c>
      <c r="T71" s="76">
        <f t="shared" si="7"/>
        <v>-7.702536772379631E-3</v>
      </c>
      <c r="U71" s="76">
        <f t="shared" si="8"/>
        <v>-2.3169383049849935E-2</v>
      </c>
      <c r="V71" s="76">
        <f t="shared" si="9"/>
        <v>-3.4849968417830078E-2</v>
      </c>
      <c r="X71" s="70" t="s">
        <v>270</v>
      </c>
      <c r="Y71" s="70">
        <v>11084.74</v>
      </c>
      <c r="Z71" s="70">
        <v>251.05</v>
      </c>
      <c r="AA71" s="80">
        <v>87.87</v>
      </c>
      <c r="AB71" s="76">
        <f t="shared" si="10"/>
        <v>-6.2386521780040836E-3</v>
      </c>
      <c r="AC71" s="76">
        <f t="shared" si="10"/>
        <v>-1.9915870724765077E-2</v>
      </c>
      <c r="AD71" s="73">
        <f t="shared" si="10"/>
        <v>-1.9328071505090962E-3</v>
      </c>
    </row>
    <row r="72" spans="14:30" x14ac:dyDescent="0.3">
      <c r="N72" s="70" t="s">
        <v>271</v>
      </c>
      <c r="O72" s="70">
        <v>4402.2</v>
      </c>
      <c r="P72" s="68">
        <v>162.91</v>
      </c>
      <c r="Q72" s="70">
        <v>33.619999999999997</v>
      </c>
      <c r="R72" s="70">
        <v>569.64</v>
      </c>
      <c r="S72" s="76">
        <f t="shared" si="6"/>
        <v>-9.4392046231101256E-3</v>
      </c>
      <c r="T72" s="76">
        <f t="shared" si="7"/>
        <v>4.3677593967654561E-3</v>
      </c>
      <c r="U72" s="76">
        <f t="shared" si="8"/>
        <v>-1.0945235727555182E-2</v>
      </c>
      <c r="V72" s="76">
        <f t="shared" si="9"/>
        <v>-9.2958908089603356E-3</v>
      </c>
      <c r="X72" s="70" t="s">
        <v>271</v>
      </c>
      <c r="Y72" s="70">
        <v>11154.11</v>
      </c>
      <c r="Z72" s="70">
        <v>256.10000000000002</v>
      </c>
      <c r="AA72" s="80">
        <v>88.04</v>
      </c>
      <c r="AB72" s="76">
        <f t="shared" si="10"/>
        <v>7.6867345347768545E-3</v>
      </c>
      <c r="AC72" s="76">
        <f t="shared" si="10"/>
        <v>-3.7026252960340321E-3</v>
      </c>
      <c r="AD72" s="73">
        <f t="shared" si="10"/>
        <v>9.5869257433269049E-3</v>
      </c>
    </row>
    <row r="73" spans="14:30" x14ac:dyDescent="0.3">
      <c r="N73" s="70" t="s">
        <v>272</v>
      </c>
      <c r="O73" s="70">
        <v>4443.95</v>
      </c>
      <c r="P73" s="68">
        <v>162.19999999999999</v>
      </c>
      <c r="Q73" s="70">
        <v>33.99</v>
      </c>
      <c r="R73" s="70">
        <v>574.96</v>
      </c>
      <c r="S73" s="76">
        <f t="shared" si="6"/>
        <v>-2.1534195529618974E-3</v>
      </c>
      <c r="T73" s="76">
        <f t="shared" si="7"/>
        <v>-1.6632276603464561E-3</v>
      </c>
      <c r="U73" s="76">
        <f t="shared" si="8"/>
        <v>1.0350528603277356E-2</v>
      </c>
      <c r="V73" s="76">
        <f t="shared" si="9"/>
        <v>6.4210159193328351E-3</v>
      </c>
      <c r="X73" s="70" t="s">
        <v>272</v>
      </c>
      <c r="Y73" s="70">
        <v>11068.7</v>
      </c>
      <c r="Z73" s="70">
        <v>257.05</v>
      </c>
      <c r="AA73" s="80">
        <v>87.2</v>
      </c>
      <c r="AB73" s="76">
        <f t="shared" si="10"/>
        <v>-1.9774990412540251E-3</v>
      </c>
      <c r="AC73" s="76">
        <f t="shared" si="10"/>
        <v>-3.495149189145189E-3</v>
      </c>
      <c r="AD73" s="73">
        <f t="shared" si="10"/>
        <v>-2.2933149968641187E-4</v>
      </c>
    </row>
    <row r="74" spans="14:30" x14ac:dyDescent="0.3">
      <c r="N74" s="70" t="s">
        <v>273</v>
      </c>
      <c r="O74" s="70">
        <v>4453.53</v>
      </c>
      <c r="P74" s="68">
        <v>162.47</v>
      </c>
      <c r="Q74" s="70">
        <v>33.64</v>
      </c>
      <c r="R74" s="70">
        <v>571.28</v>
      </c>
      <c r="S74" s="76">
        <f t="shared" si="6"/>
        <v>7.2103643683838804E-4</v>
      </c>
      <c r="T74" s="76">
        <f t="shared" si="7"/>
        <v>6.2978721373749156E-3</v>
      </c>
      <c r="U74" s="76">
        <f t="shared" si="8"/>
        <v>-1.270139656812793E-2</v>
      </c>
      <c r="V74" s="76">
        <f t="shared" si="9"/>
        <v>-7.6377513947446666E-3</v>
      </c>
      <c r="X74" s="70" t="s">
        <v>273</v>
      </c>
      <c r="Y74" s="70">
        <v>11090.61</v>
      </c>
      <c r="Z74" s="70">
        <v>257.95</v>
      </c>
      <c r="AA74" s="80">
        <v>87.22</v>
      </c>
      <c r="AB74" s="76">
        <f t="shared" si="10"/>
        <v>-9.6113817908521481E-3</v>
      </c>
      <c r="AC74" s="76">
        <f t="shared" si="10"/>
        <v>-1.3094737468272107E-2</v>
      </c>
      <c r="AD74" s="73">
        <f t="shared" si="10"/>
        <v>-2.5191814536627715E-3</v>
      </c>
    </row>
    <row r="75" spans="14:30" x14ac:dyDescent="0.3">
      <c r="N75" s="70" t="s">
        <v>274</v>
      </c>
      <c r="O75" s="70">
        <v>4450.32</v>
      </c>
      <c r="P75" s="68">
        <v>161.44999999999999</v>
      </c>
      <c r="Q75" s="70">
        <v>34.07</v>
      </c>
      <c r="R75" s="70">
        <v>575.66</v>
      </c>
      <c r="S75" s="76">
        <f t="shared" si="6"/>
        <v>-1.2234084667107637E-2</v>
      </c>
      <c r="T75" s="76">
        <f t="shared" si="7"/>
        <v>-1.4084306744018053E-2</v>
      </c>
      <c r="U75" s="76">
        <f t="shared" si="8"/>
        <v>-2.3453543439238504E-3</v>
      </c>
      <c r="V75" s="76">
        <f t="shared" si="9"/>
        <v>-2.7330425371235572E-2</v>
      </c>
      <c r="X75" s="70" t="s">
        <v>274</v>
      </c>
      <c r="Y75" s="70">
        <v>11197.72</v>
      </c>
      <c r="Z75" s="70">
        <v>261.35000000000002</v>
      </c>
      <c r="AA75" s="80">
        <v>87.44</v>
      </c>
      <c r="AB75" s="76">
        <f t="shared" si="10"/>
        <v>8.9164406368360209E-3</v>
      </c>
      <c r="AC75" s="76">
        <f t="shared" si="10"/>
        <v>6.9111428856929022E-3</v>
      </c>
      <c r="AD75" s="73">
        <f t="shared" si="10"/>
        <v>1.115531089594422E-2</v>
      </c>
    </row>
    <row r="76" spans="14:30" x14ac:dyDescent="0.3">
      <c r="N76" s="70" t="s">
        <v>275</v>
      </c>
      <c r="O76" s="70">
        <v>4505.1000000000004</v>
      </c>
      <c r="P76" s="68">
        <v>163.74</v>
      </c>
      <c r="Q76" s="70">
        <v>34.15</v>
      </c>
      <c r="R76" s="70">
        <v>591.61</v>
      </c>
      <c r="S76" s="76">
        <f t="shared" si="6"/>
        <v>8.394550741111827E-3</v>
      </c>
      <c r="T76" s="76">
        <f t="shared" si="7"/>
        <v>-1.5256464070521807E-3</v>
      </c>
      <c r="U76" s="76">
        <f t="shared" si="8"/>
        <v>2.0518840556841863E-3</v>
      </c>
      <c r="V76" s="76">
        <f t="shared" si="9"/>
        <v>-1.2213610149284076E-2</v>
      </c>
      <c r="X76" s="70" t="s">
        <v>275</v>
      </c>
      <c r="Y76" s="70">
        <v>11098.32</v>
      </c>
      <c r="Z76" s="70">
        <v>259.55</v>
      </c>
      <c r="AA76" s="80">
        <v>86.47</v>
      </c>
      <c r="AB76" s="76">
        <f t="shared" si="10"/>
        <v>1.1048054136675211E-2</v>
      </c>
      <c r="AC76" s="76">
        <f t="shared" si="10"/>
        <v>1.1430910091701879E-2</v>
      </c>
      <c r="AD76" s="73">
        <f t="shared" si="10"/>
        <v>1.5618033076373296E-2</v>
      </c>
    </row>
    <row r="77" spans="14:30" x14ac:dyDescent="0.3">
      <c r="N77" s="70" t="s">
        <v>276</v>
      </c>
      <c r="O77" s="70">
        <v>4467.4399999999996</v>
      </c>
      <c r="P77" s="68">
        <v>163.99</v>
      </c>
      <c r="Q77" s="70">
        <v>34.08</v>
      </c>
      <c r="R77" s="70">
        <v>598.88</v>
      </c>
      <c r="S77" s="76">
        <f t="shared" si="6"/>
        <v>1.2408533465711885E-3</v>
      </c>
      <c r="T77" s="76">
        <f t="shared" si="7"/>
        <v>2.5032830485261994E-3</v>
      </c>
      <c r="U77" s="76">
        <f t="shared" si="8"/>
        <v>-2.0518840556840823E-3</v>
      </c>
      <c r="V77" s="76">
        <f t="shared" si="9"/>
        <v>-7.0106330802070956E-4</v>
      </c>
      <c r="X77" s="70" t="s">
        <v>276</v>
      </c>
      <c r="Y77" s="70">
        <v>10976.38</v>
      </c>
      <c r="Z77" s="70">
        <v>256.60000000000002</v>
      </c>
      <c r="AA77" s="80">
        <v>85.13</v>
      </c>
      <c r="AB77" s="76">
        <f t="shared" si="10"/>
        <v>-9.7889643854030752E-4</v>
      </c>
      <c r="AC77" s="76">
        <f t="shared" si="10"/>
        <v>7.6283988509224434E-3</v>
      </c>
      <c r="AD77" s="73">
        <f t="shared" si="10"/>
        <v>1.6458973854307046E-3</v>
      </c>
    </row>
    <row r="78" spans="14:30" x14ac:dyDescent="0.3">
      <c r="N78" s="71">
        <v>45269</v>
      </c>
      <c r="O78" s="70">
        <v>4461.8999999999996</v>
      </c>
      <c r="P78" s="68">
        <v>163.58000000000001</v>
      </c>
      <c r="Q78" s="70">
        <v>34.15</v>
      </c>
      <c r="R78" s="70">
        <v>599.29999999999995</v>
      </c>
      <c r="S78" s="76">
        <f t="shared" si="6"/>
        <v>-5.7121558411206055E-3</v>
      </c>
      <c r="T78" s="76">
        <f t="shared" si="7"/>
        <v>5.6400345681990099E-3</v>
      </c>
      <c r="U78" s="76">
        <f t="shared" si="8"/>
        <v>6.1683262107189189E-3</v>
      </c>
      <c r="V78" s="76">
        <f t="shared" si="9"/>
        <v>6.2601680767898618E-3</v>
      </c>
      <c r="X78" s="71">
        <v>45269</v>
      </c>
      <c r="Y78" s="70">
        <v>10987.13</v>
      </c>
      <c r="Z78" s="70">
        <v>254.65</v>
      </c>
      <c r="AA78" s="80">
        <v>84.99</v>
      </c>
      <c r="AB78" s="76">
        <f t="shared" si="10"/>
        <v>1.3588752936897423E-3</v>
      </c>
      <c r="AC78" s="76">
        <f t="shared" si="10"/>
        <v>2.9495646199807894E-3</v>
      </c>
      <c r="AD78" s="73">
        <f t="shared" si="10"/>
        <v>1.5294625015105066E-2</v>
      </c>
    </row>
    <row r="79" spans="14:30" x14ac:dyDescent="0.3">
      <c r="N79" s="71">
        <v>45239</v>
      </c>
      <c r="O79" s="70">
        <v>4487.46</v>
      </c>
      <c r="P79" s="68">
        <v>162.66</v>
      </c>
      <c r="Q79" s="70">
        <v>33.94</v>
      </c>
      <c r="R79" s="70">
        <v>595.55999999999995</v>
      </c>
      <c r="S79" s="76">
        <f t="shared" si="6"/>
        <v>6.7010127829867268E-3</v>
      </c>
      <c r="T79" s="76">
        <f t="shared" si="7"/>
        <v>1.2994428250546477E-2</v>
      </c>
      <c r="U79" s="76">
        <f t="shared" si="8"/>
        <v>-9.0923049021541264E-3</v>
      </c>
      <c r="V79" s="76">
        <f t="shared" si="9"/>
        <v>1.5397674813147378E-2</v>
      </c>
      <c r="X79" s="71">
        <v>45239</v>
      </c>
      <c r="Y79" s="70">
        <v>10972.21</v>
      </c>
      <c r="Z79" s="70">
        <v>253.9</v>
      </c>
      <c r="AA79" s="80">
        <v>83.7</v>
      </c>
      <c r="AB79" s="76">
        <f t="shared" si="10"/>
        <v>2.1550316723162916E-3</v>
      </c>
      <c r="AC79" s="76">
        <f t="shared" si="10"/>
        <v>-1.0967599166461945E-2</v>
      </c>
      <c r="AD79" s="73">
        <f t="shared" si="10"/>
        <v>2.1528533611010927E-3</v>
      </c>
    </row>
    <row r="80" spans="14:30" x14ac:dyDescent="0.3">
      <c r="N80" s="71">
        <v>45147</v>
      </c>
      <c r="O80" s="70">
        <v>4457.49</v>
      </c>
      <c r="P80" s="68">
        <v>160.56</v>
      </c>
      <c r="Q80" s="70">
        <v>34.25</v>
      </c>
      <c r="R80" s="70">
        <v>586.46</v>
      </c>
      <c r="S80" s="76">
        <f t="shared" si="6"/>
        <v>1.4255841976643817E-3</v>
      </c>
      <c r="T80" s="76">
        <f t="shared" si="7"/>
        <v>3.3064068301837273E-3</v>
      </c>
      <c r="U80" s="76">
        <f t="shared" si="8"/>
        <v>-8.7552902134472601E-4</v>
      </c>
      <c r="V80" s="76">
        <f t="shared" si="9"/>
        <v>2.2817432236791963E-2</v>
      </c>
      <c r="X80" s="71">
        <v>45147</v>
      </c>
      <c r="Y80" s="70">
        <v>10948.59</v>
      </c>
      <c r="Z80" s="70">
        <v>256.7</v>
      </c>
      <c r="AA80" s="80">
        <v>83.52</v>
      </c>
      <c r="AB80" s="76">
        <f t="shared" si="10"/>
        <v>-4.0871407846636313E-3</v>
      </c>
      <c r="AC80" s="76">
        <f t="shared" si="10"/>
        <v>1.9479887078252835E-4</v>
      </c>
      <c r="AD80" s="73">
        <f t="shared" si="10"/>
        <v>-5.7306747089850953E-3</v>
      </c>
    </row>
    <row r="81" spans="14:30" x14ac:dyDescent="0.3">
      <c r="N81" s="71">
        <v>45116</v>
      </c>
      <c r="O81" s="70">
        <v>4451.1400000000003</v>
      </c>
      <c r="P81" s="68">
        <v>160.03</v>
      </c>
      <c r="Q81" s="70">
        <v>34.28</v>
      </c>
      <c r="R81" s="70">
        <v>573.23</v>
      </c>
      <c r="S81" s="76">
        <f t="shared" si="6"/>
        <v>-3.2164682050081963E-3</v>
      </c>
      <c r="T81" s="76">
        <f t="shared" si="7"/>
        <v>1.2702975494491214E-2</v>
      </c>
      <c r="U81" s="76">
        <f t="shared" si="8"/>
        <v>-2.6219971321634061E-3</v>
      </c>
      <c r="V81" s="76">
        <f t="shared" si="9"/>
        <v>2.3439538308707562E-2</v>
      </c>
      <c r="X81" s="71">
        <v>45116</v>
      </c>
      <c r="Y81" s="70">
        <v>10993.43</v>
      </c>
      <c r="Z81" s="70">
        <v>256.64999999999998</v>
      </c>
      <c r="AA81" s="80">
        <v>84</v>
      </c>
      <c r="AB81" s="76">
        <f t="shared" si="10"/>
        <v>6.2971713051692239E-3</v>
      </c>
      <c r="AC81" s="76">
        <f t="shared" si="10"/>
        <v>1.669815833925405E-2</v>
      </c>
      <c r="AD81" s="73">
        <f t="shared" si="10"/>
        <v>1.608098975972733E-2</v>
      </c>
    </row>
    <row r="82" spans="14:30" x14ac:dyDescent="0.3">
      <c r="N82" s="71">
        <v>45086</v>
      </c>
      <c r="O82" s="70">
        <v>4465.4799999999996</v>
      </c>
      <c r="P82" s="68">
        <v>158.01</v>
      </c>
      <c r="Q82" s="70">
        <v>34.369999999999997</v>
      </c>
      <c r="R82" s="70">
        <v>559.95000000000005</v>
      </c>
      <c r="S82" s="76">
        <f t="shared" si="6"/>
        <v>-6.9959927442528732E-3</v>
      </c>
      <c r="T82" s="76">
        <f t="shared" si="7"/>
        <v>-1.6756487327673882E-2</v>
      </c>
      <c r="U82" s="76">
        <f t="shared" si="8"/>
        <v>-2.8962597869896883E-2</v>
      </c>
      <c r="V82" s="76">
        <f t="shared" si="9"/>
        <v>3.1480878128560077E-3</v>
      </c>
      <c r="X82" s="71">
        <v>45086</v>
      </c>
      <c r="Y82" s="70">
        <v>10924.42</v>
      </c>
      <c r="Z82" s="70">
        <v>252.4</v>
      </c>
      <c r="AA82" s="80">
        <v>82.66</v>
      </c>
      <c r="AB82" s="76">
        <f t="shared" si="10"/>
        <v>-3.1512611919470813E-3</v>
      </c>
      <c r="AC82" s="76">
        <f t="shared" si="10"/>
        <v>-5.9253580435747119E-3</v>
      </c>
      <c r="AD82" s="73">
        <f t="shared" si="10"/>
        <v>-6.6317238287522213E-3</v>
      </c>
    </row>
    <row r="83" spans="14:30" x14ac:dyDescent="0.3">
      <c r="N83" s="71">
        <v>45055</v>
      </c>
      <c r="O83" s="70">
        <v>4496.83</v>
      </c>
      <c r="P83" s="68">
        <v>160.68</v>
      </c>
      <c r="Q83" s="70">
        <v>35.380000000000003</v>
      </c>
      <c r="R83" s="70">
        <v>558.19000000000005</v>
      </c>
      <c r="S83" s="76">
        <f t="shared" si="6"/>
        <v>-4.203010869610265E-3</v>
      </c>
      <c r="T83" s="76">
        <f t="shared" si="7"/>
        <v>1.2454852774561756E-3</v>
      </c>
      <c r="U83" s="76">
        <f t="shared" si="8"/>
        <v>-1.124238934893379E-2</v>
      </c>
      <c r="V83" s="76">
        <f t="shared" si="9"/>
        <v>1.9366992514523122E-3</v>
      </c>
      <c r="X83" s="71">
        <v>45055</v>
      </c>
      <c r="Y83" s="70">
        <v>10958.9</v>
      </c>
      <c r="Z83" s="70">
        <v>253.9</v>
      </c>
      <c r="AA83" s="80">
        <v>83.21</v>
      </c>
      <c r="AB83" s="76">
        <f t="shared" si="10"/>
        <v>-8.6033505578104099E-3</v>
      </c>
      <c r="AC83" s="76">
        <f t="shared" si="10"/>
        <v>-1.4661586063600372E-2</v>
      </c>
      <c r="AD83" s="73">
        <f t="shared" si="10"/>
        <v>-1.3962873783854104E-2</v>
      </c>
    </row>
    <row r="84" spans="14:30" x14ac:dyDescent="0.3">
      <c r="N84" s="71">
        <v>44935</v>
      </c>
      <c r="O84" s="70">
        <v>4515.7700000000004</v>
      </c>
      <c r="P84" s="68">
        <v>160.47999999999999</v>
      </c>
      <c r="Q84" s="70">
        <v>35.78</v>
      </c>
      <c r="R84" s="70">
        <v>557.11</v>
      </c>
      <c r="S84" s="76">
        <f t="shared" si="6"/>
        <v>1.7975431036151848E-3</v>
      </c>
      <c r="T84" s="76">
        <f t="shared" si="7"/>
        <v>-7.4497488817402381E-3</v>
      </c>
      <c r="U84" s="76">
        <f t="shared" si="8"/>
        <v>1.1242389348933806E-2</v>
      </c>
      <c r="V84" s="76">
        <f t="shared" si="9"/>
        <v>5.2370745355162255E-3</v>
      </c>
      <c r="X84" s="71">
        <v>45025</v>
      </c>
      <c r="Y84" s="70">
        <v>11053.59</v>
      </c>
      <c r="Z84" s="70">
        <v>257.64999999999998</v>
      </c>
      <c r="AA84" s="80">
        <v>84.38</v>
      </c>
      <c r="AB84" s="76">
        <f t="shared" si="10"/>
        <v>-1.94859778026242E-3</v>
      </c>
      <c r="AC84" s="76">
        <f t="shared" si="10"/>
        <v>-6.9619310395154345E-3</v>
      </c>
      <c r="AD84" s="73">
        <f t="shared" si="10"/>
        <v>-3.6671242373150096E-3</v>
      </c>
    </row>
    <row r="85" spans="14:30" x14ac:dyDescent="0.3">
      <c r="N85" s="70" t="s">
        <v>277</v>
      </c>
      <c r="O85" s="70">
        <v>4507.66</v>
      </c>
      <c r="P85" s="68">
        <v>161.68</v>
      </c>
      <c r="Q85" s="70">
        <v>35.380000000000003</v>
      </c>
      <c r="R85" s="70">
        <v>554.20000000000005</v>
      </c>
      <c r="S85" s="76">
        <f t="shared" si="6"/>
        <v>-1.5982216816604765E-3</v>
      </c>
      <c r="T85" s="76">
        <f t="shared" si="7"/>
        <v>-1.2599656556035304E-2</v>
      </c>
      <c r="U85" s="76">
        <f t="shared" si="8"/>
        <v>-1.4590606762593885E-2</v>
      </c>
      <c r="V85" s="76">
        <f t="shared" si="9"/>
        <v>1.1268593822544934E-2</v>
      </c>
      <c r="X85" s="71">
        <v>44935</v>
      </c>
      <c r="Y85" s="70">
        <v>11075.15</v>
      </c>
      <c r="Z85" s="70">
        <v>259.45</v>
      </c>
      <c r="AA85" s="80">
        <v>84.69</v>
      </c>
      <c r="AB85" s="76">
        <f t="shared" si="10"/>
        <v>-4.5763578073955702E-3</v>
      </c>
      <c r="AC85" s="76">
        <f t="shared" si="10"/>
        <v>-3.2708061867711851E-3</v>
      </c>
      <c r="AD85" s="73">
        <f t="shared" si="10"/>
        <v>4.7242235436313948E-4</v>
      </c>
    </row>
    <row r="86" spans="14:30" x14ac:dyDescent="0.3">
      <c r="N86" s="70" t="s">
        <v>278</v>
      </c>
      <c r="O86" s="70">
        <v>4514.87</v>
      </c>
      <c r="P86" s="68">
        <v>163.72999999999999</v>
      </c>
      <c r="Q86" s="70">
        <v>35.9</v>
      </c>
      <c r="R86" s="70">
        <v>547.99</v>
      </c>
      <c r="S86" s="76">
        <f t="shared" si="6"/>
        <v>3.8258021699069606E-3</v>
      </c>
      <c r="T86" s="76">
        <f t="shared" si="7"/>
        <v>-3.5361578123387556E-3</v>
      </c>
      <c r="U86" s="76">
        <f t="shared" si="8"/>
        <v>-6.93965311054048E-3</v>
      </c>
      <c r="V86" s="76">
        <f t="shared" si="9"/>
        <v>-1.0727126432725118E-2</v>
      </c>
      <c r="X86" s="70" t="s">
        <v>277</v>
      </c>
      <c r="Y86" s="70">
        <v>11125.95</v>
      </c>
      <c r="Z86" s="70">
        <v>260.3</v>
      </c>
      <c r="AA86" s="80">
        <v>84.65</v>
      </c>
      <c r="AB86" s="76">
        <f t="shared" si="10"/>
        <v>3.2165788078089563E-3</v>
      </c>
      <c r="AC86" s="76">
        <f t="shared" si="10"/>
        <v>-5.7460414752798228E-3</v>
      </c>
      <c r="AD86" s="73">
        <f t="shared" si="10"/>
        <v>-6.8283759550618649E-3</v>
      </c>
    </row>
    <row r="87" spans="14:30" x14ac:dyDescent="0.3">
      <c r="N87" s="70" t="s">
        <v>279</v>
      </c>
      <c r="O87" s="70">
        <v>4497.63</v>
      </c>
      <c r="P87" s="68">
        <v>164.31</v>
      </c>
      <c r="Q87" s="70">
        <v>36.15</v>
      </c>
      <c r="R87" s="70">
        <v>553.9</v>
      </c>
      <c r="S87" s="76">
        <f t="shared" si="6"/>
        <v>1.4404107984150809E-2</v>
      </c>
      <c r="T87" s="76">
        <f t="shared" si="7"/>
        <v>1.2172854549429041E-4</v>
      </c>
      <c r="U87" s="76">
        <f t="shared" si="8"/>
        <v>-1.6583751727762275E-3</v>
      </c>
      <c r="V87" s="76">
        <f t="shared" si="9"/>
        <v>-3.6106948786206349E-5</v>
      </c>
      <c r="X87" s="70" t="s">
        <v>278</v>
      </c>
      <c r="Y87" s="70">
        <v>11090.22</v>
      </c>
      <c r="Z87" s="70">
        <v>261.8</v>
      </c>
      <c r="AA87" s="80">
        <v>85.23</v>
      </c>
      <c r="AB87" s="76">
        <f t="shared" si="10"/>
        <v>-1.4434736693713763E-3</v>
      </c>
      <c r="AC87" s="76">
        <f t="shared" si="10"/>
        <v>2.8688936192382626E-3</v>
      </c>
      <c r="AD87" s="73">
        <f t="shared" si="10"/>
        <v>-7.1316137882367443E-3</v>
      </c>
    </row>
    <row r="88" spans="14:30" x14ac:dyDescent="0.3">
      <c r="N88" s="70" t="s">
        <v>280</v>
      </c>
      <c r="O88" s="70">
        <v>4433.3100000000004</v>
      </c>
      <c r="P88" s="68">
        <v>164.29</v>
      </c>
      <c r="Q88" s="70">
        <v>36.21</v>
      </c>
      <c r="R88" s="70">
        <v>553.91999999999996</v>
      </c>
      <c r="S88" s="76">
        <f t="shared" si="6"/>
        <v>6.2450565111568821E-3</v>
      </c>
      <c r="T88" s="76">
        <f t="shared" si="7"/>
        <v>-1.1859520617718116E-2</v>
      </c>
      <c r="U88" s="76">
        <f t="shared" si="8"/>
        <v>-4.6838493124264262E-3</v>
      </c>
      <c r="V88" s="76">
        <f t="shared" si="9"/>
        <v>4.8755384372719363E-4</v>
      </c>
      <c r="X88" s="70" t="s">
        <v>279</v>
      </c>
      <c r="Y88" s="70">
        <v>11106.24</v>
      </c>
      <c r="Z88" s="70">
        <v>261.05</v>
      </c>
      <c r="AA88" s="80">
        <v>85.84</v>
      </c>
      <c r="AB88" s="76">
        <f t="shared" si="10"/>
        <v>6.6380839079750262E-3</v>
      </c>
      <c r="AC88" s="76">
        <f t="shared" si="10"/>
        <v>7.3049152208459721E-3</v>
      </c>
      <c r="AD88" s="73">
        <f t="shared" si="10"/>
        <v>1.1656371526121835E-3</v>
      </c>
    </row>
    <row r="89" spans="14:30" x14ac:dyDescent="0.3">
      <c r="N89" s="70" t="s">
        <v>281</v>
      </c>
      <c r="O89" s="70">
        <v>4405.71</v>
      </c>
      <c r="P89" s="68">
        <v>166.25</v>
      </c>
      <c r="Q89" s="70">
        <v>36.380000000000003</v>
      </c>
      <c r="R89" s="70">
        <v>553.65</v>
      </c>
      <c r="S89" s="76">
        <f t="shared" si="6"/>
        <v>6.6955233154781116E-3</v>
      </c>
      <c r="T89" s="76">
        <f t="shared" si="7"/>
        <v>7.0018997961863588E-3</v>
      </c>
      <c r="U89" s="76">
        <f t="shared" si="8"/>
        <v>6.065637566000719E-3</v>
      </c>
      <c r="V89" s="76">
        <f t="shared" si="9"/>
        <v>1.0257431196101683E-2</v>
      </c>
      <c r="X89" s="70" t="s">
        <v>280</v>
      </c>
      <c r="Y89" s="70">
        <v>11032.76</v>
      </c>
      <c r="Z89" s="70">
        <v>259.14999999999998</v>
      </c>
      <c r="AA89" s="80">
        <v>85.74</v>
      </c>
      <c r="AB89" s="76">
        <f t="shared" si="10"/>
        <v>6.8996338226573091E-3</v>
      </c>
      <c r="AC89" s="76">
        <f t="shared" si="10"/>
        <v>-1.9291984240411416E-4</v>
      </c>
      <c r="AD89" s="73">
        <f t="shared" si="10"/>
        <v>8.1977271361383941E-3</v>
      </c>
    </row>
    <row r="90" spans="14:30" x14ac:dyDescent="0.3">
      <c r="N90" s="70" t="s">
        <v>282</v>
      </c>
      <c r="O90" s="70">
        <v>4376.3100000000004</v>
      </c>
      <c r="P90" s="68">
        <v>165.09</v>
      </c>
      <c r="Q90" s="70">
        <v>36.159999999999997</v>
      </c>
      <c r="R90" s="70">
        <v>548</v>
      </c>
      <c r="S90" s="76">
        <f t="shared" si="6"/>
        <v>-1.3549420207499292E-2</v>
      </c>
      <c r="T90" s="76">
        <f t="shared" si="7"/>
        <v>3.3978553412183175E-3</v>
      </c>
      <c r="U90" s="76">
        <f t="shared" si="8"/>
        <v>-1.3732706887583202E-2</v>
      </c>
      <c r="V90" s="76">
        <f t="shared" si="9"/>
        <v>-9.7334973443138125E-3</v>
      </c>
      <c r="X90" s="70" t="s">
        <v>281</v>
      </c>
      <c r="Y90" s="70">
        <v>10956.9</v>
      </c>
      <c r="Z90" s="70">
        <v>259.2</v>
      </c>
      <c r="AA90" s="80">
        <v>85.04</v>
      </c>
      <c r="AB90" s="76">
        <f t="shared" si="10"/>
        <v>-1.8172928621799336E-3</v>
      </c>
      <c r="AC90" s="76">
        <f t="shared" si="10"/>
        <v>-3.6584232581929007E-3</v>
      </c>
      <c r="AD90" s="73">
        <f t="shared" si="10"/>
        <v>-1.5275251192969448E-3</v>
      </c>
    </row>
    <row r="91" spans="14:30" x14ac:dyDescent="0.3">
      <c r="N91" s="70" t="s">
        <v>283</v>
      </c>
      <c r="O91" s="70">
        <v>4436.01</v>
      </c>
      <c r="P91" s="68">
        <v>164.53</v>
      </c>
      <c r="Q91" s="70">
        <v>36.659999999999997</v>
      </c>
      <c r="R91" s="70">
        <v>553.36</v>
      </c>
      <c r="S91" s="76">
        <f t="shared" si="6"/>
        <v>1.0984339030271489E-2</v>
      </c>
      <c r="T91" s="76">
        <f t="shared" si="7"/>
        <v>-9.0153386283308434E-3</v>
      </c>
      <c r="U91" s="76">
        <f t="shared" si="8"/>
        <v>-4.8979689755473651E-3</v>
      </c>
      <c r="V91" s="76">
        <f t="shared" si="9"/>
        <v>-5.4199564116992475E-4</v>
      </c>
      <c r="X91" s="70" t="s">
        <v>282</v>
      </c>
      <c r="Y91" s="70">
        <v>10976.83</v>
      </c>
      <c r="Z91" s="70">
        <v>260.14999999999998</v>
      </c>
      <c r="AA91" s="80">
        <v>85.17</v>
      </c>
      <c r="AB91" s="76">
        <f t="shared" si="10"/>
        <v>2.9065437072254007E-4</v>
      </c>
      <c r="AC91" s="76">
        <f t="shared" si="10"/>
        <v>-9.1831523475559285E-3</v>
      </c>
      <c r="AD91" s="73">
        <f t="shared" si="10"/>
        <v>-5.6199656171394483E-3</v>
      </c>
    </row>
    <row r="92" spans="14:30" x14ac:dyDescent="0.3">
      <c r="N92" s="70" t="s">
        <v>284</v>
      </c>
      <c r="O92" s="70">
        <v>4387.55</v>
      </c>
      <c r="P92" s="68">
        <v>166.02</v>
      </c>
      <c r="Q92" s="70">
        <v>36.840000000000003</v>
      </c>
      <c r="R92" s="70">
        <v>553.66</v>
      </c>
      <c r="S92" s="76">
        <f t="shared" si="6"/>
        <v>-2.7812820922299762E-3</v>
      </c>
      <c r="T92" s="76">
        <f t="shared" si="7"/>
        <v>-7.979164630445958E-3</v>
      </c>
      <c r="U92" s="76">
        <f t="shared" si="8"/>
        <v>-4.6039350109583592E-3</v>
      </c>
      <c r="V92" s="76">
        <f t="shared" si="9"/>
        <v>6.5415967480546063E-3</v>
      </c>
      <c r="X92" s="70" t="s">
        <v>283</v>
      </c>
      <c r="Y92" s="70">
        <v>10973.64</v>
      </c>
      <c r="Z92" s="70">
        <v>262.55</v>
      </c>
      <c r="AA92" s="80">
        <v>85.65</v>
      </c>
      <c r="AB92" s="76">
        <f t="shared" si="10"/>
        <v>8.9669295317814559E-3</v>
      </c>
      <c r="AC92" s="76">
        <f t="shared" si="10"/>
        <v>3.6854442423781379E-2</v>
      </c>
      <c r="AD92" s="73">
        <f t="shared" si="10"/>
        <v>-3.0310118798361021E-3</v>
      </c>
    </row>
    <row r="93" spans="14:30" x14ac:dyDescent="0.3">
      <c r="N93" s="70" t="s">
        <v>285</v>
      </c>
      <c r="O93" s="70">
        <v>4399.7700000000004</v>
      </c>
      <c r="P93" s="68">
        <v>167.35</v>
      </c>
      <c r="Q93" s="70">
        <v>37.01</v>
      </c>
      <c r="R93" s="70">
        <v>550.04999999999995</v>
      </c>
      <c r="S93" s="76">
        <f t="shared" si="6"/>
        <v>6.8556214812669266E-3</v>
      </c>
      <c r="T93" s="76">
        <f t="shared" si="7"/>
        <v>-3.0251836119202E-2</v>
      </c>
      <c r="U93" s="76">
        <f t="shared" si="8"/>
        <v>9.5019039865056696E-3</v>
      </c>
      <c r="V93" s="76">
        <f t="shared" si="9"/>
        <v>6.6029716044542471E-3</v>
      </c>
      <c r="X93" s="70" t="s">
        <v>284</v>
      </c>
      <c r="Y93" s="70">
        <v>10875.68</v>
      </c>
      <c r="Z93" s="70">
        <v>253.05</v>
      </c>
      <c r="AA93" s="80">
        <v>85.91</v>
      </c>
      <c r="AB93" s="76">
        <f t="shared" si="10"/>
        <v>2.5170308657653582E-3</v>
      </c>
      <c r="AC93" s="76">
        <f t="shared" si="10"/>
        <v>-4.9275747679870018E-3</v>
      </c>
      <c r="AD93" s="73">
        <f t="shared" si="10"/>
        <v>7.1257821523316072E-3</v>
      </c>
    </row>
    <row r="94" spans="14:30" x14ac:dyDescent="0.3">
      <c r="N94" s="70" t="s">
        <v>286</v>
      </c>
      <c r="O94" s="70">
        <v>4369.71</v>
      </c>
      <c r="P94" s="68">
        <v>172.49</v>
      </c>
      <c r="Q94" s="70">
        <v>36.659999999999997</v>
      </c>
      <c r="R94" s="70">
        <v>546.42999999999995</v>
      </c>
      <c r="S94" s="76">
        <f t="shared" si="6"/>
        <v>-1.4874022775515319E-4</v>
      </c>
      <c r="T94" s="76">
        <f t="shared" si="7"/>
        <v>-8.7735050509494521E-3</v>
      </c>
      <c r="U94" s="76">
        <f t="shared" si="8"/>
        <v>4.1000467440133314E-3</v>
      </c>
      <c r="V94" s="76">
        <f t="shared" si="9"/>
        <v>1.6179821456807325E-2</v>
      </c>
      <c r="X94" s="70" t="s">
        <v>285</v>
      </c>
      <c r="Y94" s="70">
        <v>10848.34</v>
      </c>
      <c r="Z94" s="70">
        <v>254.3</v>
      </c>
      <c r="AA94" s="80">
        <v>85.3</v>
      </c>
      <c r="AB94" s="76">
        <f t="shared" si="10"/>
        <v>8.5579650547132336E-4</v>
      </c>
      <c r="AC94" s="76">
        <f t="shared" si="10"/>
        <v>-2.9449319408616534E-3</v>
      </c>
      <c r="AD94" s="73">
        <f t="shared" si="10"/>
        <v>6.8227532044824336E-3</v>
      </c>
    </row>
    <row r="95" spans="14:30" x14ac:dyDescent="0.3">
      <c r="N95" s="70" t="s">
        <v>287</v>
      </c>
      <c r="O95" s="70">
        <v>4370.3599999999997</v>
      </c>
      <c r="P95" s="68">
        <v>174.01</v>
      </c>
      <c r="Q95" s="70">
        <v>36.51</v>
      </c>
      <c r="R95" s="70">
        <v>537.66</v>
      </c>
      <c r="S95" s="76">
        <f t="shared" si="6"/>
        <v>-7.7427623561250646E-3</v>
      </c>
      <c r="T95" s="76">
        <f t="shared" si="7"/>
        <v>9.3534169205998167E-3</v>
      </c>
      <c r="U95" s="76">
        <f t="shared" si="8"/>
        <v>2.8617038226166833E-2</v>
      </c>
      <c r="V95" s="76">
        <f t="shared" si="9"/>
        <v>-1.5832049481892718E-2</v>
      </c>
      <c r="X95" s="70" t="s">
        <v>286</v>
      </c>
      <c r="Y95" s="70">
        <v>10839.06</v>
      </c>
      <c r="Z95" s="70">
        <v>255.05</v>
      </c>
      <c r="AA95" s="80">
        <v>84.72</v>
      </c>
      <c r="AB95" s="76">
        <f t="shared" si="10"/>
        <v>-4.219312601167975E-3</v>
      </c>
      <c r="AC95" s="76">
        <f t="shared" si="10"/>
        <v>-1.1306163321723222E-2</v>
      </c>
      <c r="AD95" s="73">
        <f t="shared" si="10"/>
        <v>-5.2975578598385663E-3</v>
      </c>
    </row>
    <row r="96" spans="14:30" x14ac:dyDescent="0.3">
      <c r="N96" s="70" t="s">
        <v>288</v>
      </c>
      <c r="O96" s="70">
        <v>4404.33</v>
      </c>
      <c r="P96" s="68">
        <v>172.39</v>
      </c>
      <c r="Q96" s="70">
        <v>35.479999999999997</v>
      </c>
      <c r="R96" s="70">
        <v>546.24</v>
      </c>
      <c r="S96" s="76">
        <f t="shared" si="6"/>
        <v>-7.5841303382103969E-3</v>
      </c>
      <c r="T96" s="76">
        <f t="shared" si="7"/>
        <v>-3.1853616253969619E-3</v>
      </c>
      <c r="U96" s="76">
        <f t="shared" si="8"/>
        <v>2.5398630840066288E-3</v>
      </c>
      <c r="V96" s="76">
        <f t="shared" si="9"/>
        <v>-6.9542304652817815E-4</v>
      </c>
      <c r="X96" s="70" t="s">
        <v>287</v>
      </c>
      <c r="Y96" s="70">
        <v>10884.89</v>
      </c>
      <c r="Z96" s="70">
        <v>257.95</v>
      </c>
      <c r="AA96" s="80">
        <v>85.17</v>
      </c>
      <c r="AB96" s="76">
        <f t="shared" si="10"/>
        <v>-9.820348425810501E-3</v>
      </c>
      <c r="AC96" s="76">
        <f t="shared" si="10"/>
        <v>-1.022089700008595E-2</v>
      </c>
      <c r="AD96" s="73">
        <f t="shared" si="10"/>
        <v>-2.579738766525307E-3</v>
      </c>
    </row>
    <row r="97" spans="14:30" x14ac:dyDescent="0.3">
      <c r="N97" s="70" t="s">
        <v>289</v>
      </c>
      <c r="O97" s="70">
        <v>4437.8599999999997</v>
      </c>
      <c r="P97" s="68">
        <v>172.94</v>
      </c>
      <c r="Q97" s="70">
        <v>35.39</v>
      </c>
      <c r="R97" s="70">
        <v>546.62</v>
      </c>
      <c r="S97" s="76">
        <f t="shared" si="6"/>
        <v>-1.1618060736365813E-2</v>
      </c>
      <c r="T97" s="76">
        <f t="shared" si="7"/>
        <v>-2.8870047189972587E-3</v>
      </c>
      <c r="U97" s="76">
        <f t="shared" si="8"/>
        <v>-1.9032200558075564E-2</v>
      </c>
      <c r="V97" s="76">
        <f t="shared" si="9"/>
        <v>1.5895302490819566E-2</v>
      </c>
      <c r="X97" s="70" t="s">
        <v>288</v>
      </c>
      <c r="Y97" s="70">
        <v>10992.31</v>
      </c>
      <c r="Z97" s="70">
        <v>260.60000000000002</v>
      </c>
      <c r="AA97" s="80">
        <v>85.39</v>
      </c>
      <c r="AB97" s="76">
        <f t="shared" si="10"/>
        <v>6.4520446528403496E-4</v>
      </c>
      <c r="AC97" s="76">
        <f t="shared" si="10"/>
        <v>-6.311582585661675E-3</v>
      </c>
      <c r="AD97" s="73">
        <f t="shared" si="10"/>
        <v>-1.5212687972749727E-3</v>
      </c>
    </row>
    <row r="98" spans="14:30" x14ac:dyDescent="0.3">
      <c r="N98" s="70" t="s">
        <v>290</v>
      </c>
      <c r="O98" s="70">
        <v>4489.72</v>
      </c>
      <c r="P98" s="68">
        <v>173.44</v>
      </c>
      <c r="Q98" s="70">
        <v>36.07</v>
      </c>
      <c r="R98" s="70">
        <v>538</v>
      </c>
      <c r="S98" s="76">
        <f t="shared" si="6"/>
        <v>5.7339132747375263E-3</v>
      </c>
      <c r="T98" s="76">
        <f t="shared" si="7"/>
        <v>-2.3611402025889927E-3</v>
      </c>
      <c r="U98" s="76">
        <f t="shared" si="8"/>
        <v>8.3206217531046976E-4</v>
      </c>
      <c r="V98" s="76">
        <f t="shared" si="9"/>
        <v>1.8232113986180958E-2</v>
      </c>
      <c r="X98" s="70" t="s">
        <v>289</v>
      </c>
      <c r="Y98" s="70">
        <v>10985.22</v>
      </c>
      <c r="Z98" s="70">
        <v>262.25</v>
      </c>
      <c r="AA98" s="80">
        <v>85.52</v>
      </c>
      <c r="AB98" s="76">
        <f t="shared" si="10"/>
        <v>-1.130477164662546E-2</v>
      </c>
      <c r="AC98" s="76">
        <f t="shared" si="10"/>
        <v>-9.8653807141291724E-3</v>
      </c>
      <c r="AD98" s="73">
        <f t="shared" si="10"/>
        <v>-7.5718225348856737E-3</v>
      </c>
    </row>
    <row r="99" spans="14:30" x14ac:dyDescent="0.3">
      <c r="N99" s="71">
        <v>45238</v>
      </c>
      <c r="O99" s="70">
        <v>4464.05</v>
      </c>
      <c r="P99" s="68">
        <v>173.85</v>
      </c>
      <c r="Q99" s="70">
        <v>36.04</v>
      </c>
      <c r="R99" s="70">
        <v>528.28</v>
      </c>
      <c r="S99" s="76">
        <f t="shared" si="6"/>
        <v>-1.0702036647139679E-3</v>
      </c>
      <c r="T99" s="76">
        <f t="shared" si="7"/>
        <v>9.7104976654894485E-3</v>
      </c>
      <c r="U99" s="76">
        <f t="shared" si="8"/>
        <v>8.9186767318388104E-3</v>
      </c>
      <c r="V99" s="76">
        <f t="shared" si="9"/>
        <v>1.3224026096433899E-2</v>
      </c>
      <c r="X99" s="70" t="s">
        <v>290</v>
      </c>
      <c r="Y99" s="70">
        <v>11110.11</v>
      </c>
      <c r="Z99" s="70">
        <v>264.85000000000002</v>
      </c>
      <c r="AA99" s="80">
        <v>86.17</v>
      </c>
      <c r="AB99" s="76">
        <f t="shared" si="10"/>
        <v>2.5667221800244589E-3</v>
      </c>
      <c r="AC99" s="76">
        <f t="shared" si="10"/>
        <v>-1.1320755926031631E-3</v>
      </c>
      <c r="AD99" s="73">
        <f t="shared" si="10"/>
        <v>1.5097848521461554E-3</v>
      </c>
    </row>
    <row r="100" spans="14:30" x14ac:dyDescent="0.3">
      <c r="N100" s="71">
        <v>45207</v>
      </c>
      <c r="O100" s="70">
        <v>4468.83</v>
      </c>
      <c r="P100" s="68">
        <v>172.17</v>
      </c>
      <c r="Q100" s="70">
        <v>35.72</v>
      </c>
      <c r="R100" s="70">
        <v>521.34</v>
      </c>
      <c r="S100" s="76">
        <f t="shared" si="6"/>
        <v>2.5065629558288107E-4</v>
      </c>
      <c r="T100" s="76">
        <f t="shared" si="7"/>
        <v>-5.2137761485268512E-3</v>
      </c>
      <c r="U100" s="76">
        <f t="shared" si="8"/>
        <v>-3.3538320984315517E-3</v>
      </c>
      <c r="V100" s="76">
        <f t="shared" si="9"/>
        <v>-9.3359594446288559E-3</v>
      </c>
      <c r="X100" s="71">
        <v>45238</v>
      </c>
      <c r="Y100" s="70">
        <v>11081.63</v>
      </c>
      <c r="Z100" s="70">
        <v>265.14999999999998</v>
      </c>
      <c r="AA100" s="80">
        <v>86.04</v>
      </c>
      <c r="AB100" s="76">
        <f t="shared" si="10"/>
        <v>-6.131881235448099E-3</v>
      </c>
      <c r="AC100" s="76">
        <f t="shared" si="10"/>
        <v>-6.578352827339401E-3</v>
      </c>
      <c r="AD100" s="73">
        <f t="shared" si="10"/>
        <v>2.2107170560448689E-3</v>
      </c>
    </row>
    <row r="101" spans="14:30" x14ac:dyDescent="0.3">
      <c r="N101" s="71">
        <v>45177</v>
      </c>
      <c r="O101" s="70">
        <v>4467.71</v>
      </c>
      <c r="P101" s="68">
        <v>173.07</v>
      </c>
      <c r="Q101" s="70">
        <v>35.840000000000003</v>
      </c>
      <c r="R101" s="70">
        <v>526.23</v>
      </c>
      <c r="S101" s="76">
        <f t="shared" si="6"/>
        <v>-7.0636364040070568E-3</v>
      </c>
      <c r="T101" s="76">
        <f t="shared" si="7"/>
        <v>-6.3537908274748122E-4</v>
      </c>
      <c r="U101" s="76">
        <f t="shared" si="8"/>
        <v>5.595985504121246E-3</v>
      </c>
      <c r="V101" s="76">
        <f t="shared" si="9"/>
        <v>8.8373689113553592E-3</v>
      </c>
      <c r="X101" s="71">
        <v>45207</v>
      </c>
      <c r="Y101" s="70">
        <v>11149.79</v>
      </c>
      <c r="Z101" s="70">
        <v>266.89999999999998</v>
      </c>
      <c r="AA101" s="80">
        <v>85.85</v>
      </c>
      <c r="AB101" s="76">
        <f t="shared" si="10"/>
        <v>6.1400028173337201E-3</v>
      </c>
      <c r="AC101" s="76">
        <f t="shared" si="10"/>
        <v>4.8826388081994517E-3</v>
      </c>
      <c r="AD101" s="73">
        <f t="shared" si="10"/>
        <v>-1.0477910033645612E-3</v>
      </c>
    </row>
    <row r="102" spans="14:30" x14ac:dyDescent="0.3">
      <c r="N102" s="71">
        <v>45146</v>
      </c>
      <c r="O102" s="70">
        <v>4499.38</v>
      </c>
      <c r="P102" s="68">
        <v>173.18</v>
      </c>
      <c r="Q102" s="70">
        <v>35.64</v>
      </c>
      <c r="R102" s="70">
        <v>521.6</v>
      </c>
      <c r="S102" s="76">
        <f t="shared" si="6"/>
        <v>-4.227192022498048E-3</v>
      </c>
      <c r="T102" s="76">
        <f t="shared" si="7"/>
        <v>4.6205383749163233E-4</v>
      </c>
      <c r="U102" s="76">
        <f t="shared" si="8"/>
        <v>-1.1217051092000155E-3</v>
      </c>
      <c r="V102" s="76">
        <f t="shared" si="9"/>
        <v>0.13862761664076534</v>
      </c>
      <c r="X102" s="71">
        <v>45177</v>
      </c>
      <c r="Y102" s="70">
        <v>11081.54</v>
      </c>
      <c r="Z102" s="70">
        <v>265.60000000000002</v>
      </c>
      <c r="AA102" s="80">
        <v>85.94</v>
      </c>
      <c r="AB102" s="76">
        <f t="shared" si="10"/>
        <v>2.1880087468401518E-3</v>
      </c>
      <c r="AC102" s="76">
        <f t="shared" si="10"/>
        <v>-3.1951911405123231E-3</v>
      </c>
      <c r="AD102" s="73">
        <f t="shared" si="10"/>
        <v>7.7094179293145538E-3</v>
      </c>
    </row>
    <row r="103" spans="14:30" x14ac:dyDescent="0.3">
      <c r="N103" s="71">
        <v>45115</v>
      </c>
      <c r="O103" s="70">
        <v>4518.4399999999996</v>
      </c>
      <c r="P103" s="68">
        <v>173.1</v>
      </c>
      <c r="Q103" s="70">
        <v>35.68</v>
      </c>
      <c r="R103" s="70">
        <v>454.08</v>
      </c>
      <c r="S103" s="76">
        <f t="shared" si="6"/>
        <v>8.9835839552586446E-3</v>
      </c>
      <c r="T103" s="76">
        <f t="shared" si="7"/>
        <v>2.3734088874362277E-2</v>
      </c>
      <c r="U103" s="76">
        <f t="shared" si="8"/>
        <v>1.8670980854102789E-2</v>
      </c>
      <c r="V103" s="76">
        <f t="shared" si="9"/>
        <v>1.0159787248515234E-2</v>
      </c>
      <c r="X103" s="71">
        <v>45146</v>
      </c>
      <c r="Y103" s="70">
        <v>11057.32</v>
      </c>
      <c r="Z103" s="70">
        <v>266.45</v>
      </c>
      <c r="AA103" s="80">
        <v>85.28</v>
      </c>
      <c r="AB103" s="76">
        <f t="shared" si="10"/>
        <v>-4.5252028626206753E-3</v>
      </c>
      <c r="AC103" s="76">
        <f t="shared" si="10"/>
        <v>6.0229807522553845E-3</v>
      </c>
      <c r="AD103" s="73">
        <f t="shared" si="10"/>
        <v>1.4081203922557892E-3</v>
      </c>
    </row>
    <row r="104" spans="14:30" x14ac:dyDescent="0.3">
      <c r="N104" s="71">
        <v>45024</v>
      </c>
      <c r="O104" s="70">
        <v>4478.03</v>
      </c>
      <c r="P104" s="68">
        <v>169.04</v>
      </c>
      <c r="Q104" s="70">
        <v>35.020000000000003</v>
      </c>
      <c r="R104" s="70">
        <v>449.49</v>
      </c>
      <c r="S104" s="76">
        <f t="shared" si="6"/>
        <v>-5.3140910274567365E-3</v>
      </c>
      <c r="T104" s="76">
        <f t="shared" si="7"/>
        <v>-9.4207008552938034E-3</v>
      </c>
      <c r="U104" s="76">
        <f t="shared" si="8"/>
        <v>5.7126536829220831E-4</v>
      </c>
      <c r="V104" s="76">
        <f t="shared" si="9"/>
        <v>7.3443501882448675E-4</v>
      </c>
      <c r="X104" s="71">
        <v>45115</v>
      </c>
      <c r="Y104" s="70">
        <v>11107.47</v>
      </c>
      <c r="Z104" s="70">
        <v>264.85000000000002</v>
      </c>
      <c r="AA104" s="80">
        <v>85.16</v>
      </c>
      <c r="AB104" s="76">
        <f t="shared" si="10"/>
        <v>8.0969294186069923E-4</v>
      </c>
      <c r="AC104" s="76">
        <f t="shared" si="10"/>
        <v>-7.5485944327941673E-4</v>
      </c>
      <c r="AD104" s="73">
        <f t="shared" si="10"/>
        <v>8.7274996709259464E-3</v>
      </c>
    </row>
    <row r="105" spans="14:30" x14ac:dyDescent="0.3">
      <c r="N105" s="71">
        <v>44993</v>
      </c>
      <c r="O105" s="70">
        <v>4501.8900000000003</v>
      </c>
      <c r="P105" s="68">
        <v>170.64</v>
      </c>
      <c r="Q105" s="70">
        <v>35</v>
      </c>
      <c r="R105" s="70">
        <v>449.16</v>
      </c>
      <c r="S105" s="76">
        <f t="shared" si="6"/>
        <v>-2.5512255276715053E-3</v>
      </c>
      <c r="T105" s="76">
        <f t="shared" si="7"/>
        <v>4.2871890654278067E-3</v>
      </c>
      <c r="U105" s="76">
        <f t="shared" si="8"/>
        <v>-9.950330853168092E-3</v>
      </c>
      <c r="V105" s="76">
        <f t="shared" si="9"/>
        <v>-1.177473654453353E-2</v>
      </c>
      <c r="X105" s="71">
        <v>45024</v>
      </c>
      <c r="Y105" s="70">
        <v>11098.48</v>
      </c>
      <c r="Z105" s="70">
        <v>265.05</v>
      </c>
      <c r="AA105" s="80">
        <v>84.42</v>
      </c>
      <c r="AB105" s="76">
        <f t="shared" si="10"/>
        <v>1.0186761157583257E-3</v>
      </c>
      <c r="AC105" s="76">
        <f t="shared" si="10"/>
        <v>-7.1428875123800018E-3</v>
      </c>
      <c r="AD105" s="73">
        <f t="shared" si="10"/>
        <v>1.1846235872410113E-4</v>
      </c>
    </row>
    <row r="106" spans="14:30" x14ac:dyDescent="0.3">
      <c r="N106" s="71">
        <v>44965</v>
      </c>
      <c r="O106" s="70">
        <v>4513.3900000000003</v>
      </c>
      <c r="P106" s="68">
        <v>169.91</v>
      </c>
      <c r="Q106" s="70">
        <v>35.35</v>
      </c>
      <c r="R106" s="70">
        <v>454.48</v>
      </c>
      <c r="S106" s="76">
        <f t="shared" si="6"/>
        <v>-1.3936235197657028E-2</v>
      </c>
      <c r="T106" s="76">
        <f t="shared" si="7"/>
        <v>6.0212696678374781E-3</v>
      </c>
      <c r="U106" s="76">
        <f t="shared" si="8"/>
        <v>-7.3281049471045261E-3</v>
      </c>
      <c r="V106" s="76">
        <f t="shared" si="9"/>
        <v>3.0631270025116815E-3</v>
      </c>
      <c r="X106" s="71">
        <v>44993</v>
      </c>
      <c r="Y106" s="70">
        <v>11087.18</v>
      </c>
      <c r="Z106" s="70">
        <v>266.95</v>
      </c>
      <c r="AA106" s="80">
        <v>84.41</v>
      </c>
      <c r="AB106" s="76">
        <f t="shared" si="10"/>
        <v>-1.1257578572186719E-2</v>
      </c>
      <c r="AC106" s="76">
        <f t="shared" si="10"/>
        <v>-1.0619568827460374E-2</v>
      </c>
      <c r="AD106" s="73">
        <f t="shared" si="10"/>
        <v>-1.8893949359961627E-2</v>
      </c>
    </row>
    <row r="107" spans="14:30" x14ac:dyDescent="0.3">
      <c r="N107" s="71">
        <v>44934</v>
      </c>
      <c r="O107" s="70">
        <v>4576.7299999999996</v>
      </c>
      <c r="P107" s="68">
        <v>168.89</v>
      </c>
      <c r="Q107" s="70">
        <v>35.61</v>
      </c>
      <c r="R107" s="70">
        <v>453.09</v>
      </c>
      <c r="S107" s="76">
        <f t="shared" si="6"/>
        <v>-2.668649552448092E-3</v>
      </c>
      <c r="T107" s="76">
        <f t="shared" si="7"/>
        <v>8.0851757243888232E-3</v>
      </c>
      <c r="U107" s="76">
        <f t="shared" si="8"/>
        <v>-1.2557720485484952E-2</v>
      </c>
      <c r="V107" s="76">
        <f t="shared" si="9"/>
        <v>-3.2171373215074007E-3</v>
      </c>
      <c r="X107" s="71">
        <v>44965</v>
      </c>
      <c r="Y107" s="70">
        <v>11212.7</v>
      </c>
      <c r="Z107" s="70">
        <v>269.8</v>
      </c>
      <c r="AA107" s="80">
        <v>86.02</v>
      </c>
      <c r="AB107" s="76">
        <f t="shared" si="10"/>
        <v>-8.5739104708161176E-3</v>
      </c>
      <c r="AC107" s="76">
        <f t="shared" si="10"/>
        <v>-2.9607719630322452E-3</v>
      </c>
      <c r="AD107" s="73">
        <f t="shared" si="10"/>
        <v>-3.4814935942889722E-3</v>
      </c>
    </row>
    <row r="108" spans="14:30" x14ac:dyDescent="0.3">
      <c r="N108" s="70" t="s">
        <v>291</v>
      </c>
      <c r="O108" s="70">
        <v>4588.96</v>
      </c>
      <c r="P108" s="68">
        <v>167.53</v>
      </c>
      <c r="Q108" s="70">
        <v>36.06</v>
      </c>
      <c r="R108" s="70">
        <v>454.55</v>
      </c>
      <c r="S108" s="76">
        <f t="shared" si="6"/>
        <v>1.4676396864565879E-3</v>
      </c>
      <c r="T108" s="76">
        <f t="shared" si="7"/>
        <v>-4.0647682187932611E-2</v>
      </c>
      <c r="U108" s="76">
        <f t="shared" si="8"/>
        <v>-2.7727714027637172E-4</v>
      </c>
      <c r="V108" s="76">
        <f t="shared" si="9"/>
        <v>-8.6087516756148102E-3</v>
      </c>
      <c r="X108" s="70" t="s">
        <v>291</v>
      </c>
      <c r="Y108" s="70">
        <v>11309.25</v>
      </c>
      <c r="Z108" s="70">
        <v>270.60000000000002</v>
      </c>
      <c r="AA108" s="80">
        <v>86.32</v>
      </c>
      <c r="AB108" s="76">
        <f t="shared" si="10"/>
        <v>-7.5043126800576133E-4</v>
      </c>
      <c r="AC108" s="76">
        <f t="shared" si="10"/>
        <v>4.444451760424197E-3</v>
      </c>
      <c r="AD108" s="73">
        <f t="shared" si="10"/>
        <v>9.0772181511164594E-3</v>
      </c>
    </row>
    <row r="109" spans="14:30" x14ac:dyDescent="0.3">
      <c r="N109" s="70" t="s">
        <v>292</v>
      </c>
      <c r="O109" s="70">
        <v>4582.2299999999996</v>
      </c>
      <c r="P109" s="68">
        <v>174.48</v>
      </c>
      <c r="Q109" s="70">
        <v>36.07</v>
      </c>
      <c r="R109" s="70">
        <v>458.48</v>
      </c>
      <c r="S109" s="76">
        <f t="shared" si="6"/>
        <v>9.8294145087675765E-3</v>
      </c>
      <c r="T109" s="76">
        <f t="shared" si="7"/>
        <v>4.5380208274522164E-3</v>
      </c>
      <c r="U109" s="76">
        <f t="shared" si="8"/>
        <v>-3.597623916277866E-3</v>
      </c>
      <c r="V109" s="76">
        <f t="shared" si="9"/>
        <v>7.6412295560299758E-3</v>
      </c>
      <c r="X109" s="70" t="s">
        <v>292</v>
      </c>
      <c r="Y109" s="70">
        <v>11317.74</v>
      </c>
      <c r="Z109" s="70">
        <v>269.39999999999998</v>
      </c>
      <c r="AA109" s="80">
        <v>85.54</v>
      </c>
      <c r="AB109" s="76">
        <f t="shared" si="10"/>
        <v>-4.8891836169692249E-3</v>
      </c>
      <c r="AC109" s="76">
        <f t="shared" si="10"/>
        <v>-1.1257847052843745E-2</v>
      </c>
      <c r="AD109" s="73">
        <f t="shared" si="10"/>
        <v>-5.4794657646255957E-3</v>
      </c>
    </row>
    <row r="110" spans="14:30" x14ac:dyDescent="0.3">
      <c r="N110" s="70" t="s">
        <v>293</v>
      </c>
      <c r="O110" s="70">
        <v>4537.41</v>
      </c>
      <c r="P110" s="68">
        <v>173.69</v>
      </c>
      <c r="Q110" s="70">
        <v>36.200000000000003</v>
      </c>
      <c r="R110" s="70">
        <v>454.99</v>
      </c>
      <c r="S110" s="76">
        <f t="shared" si="6"/>
        <v>-6.4454274911412875E-3</v>
      </c>
      <c r="T110" s="76">
        <f t="shared" si="7"/>
        <v>5.6003148593694345E-3</v>
      </c>
      <c r="U110" s="76">
        <f t="shared" si="8"/>
        <v>-2.7518423526805648E-2</v>
      </c>
      <c r="V110" s="76">
        <f t="shared" si="9"/>
        <v>3.0817343723026271E-3</v>
      </c>
      <c r="X110" s="70" t="s">
        <v>293</v>
      </c>
      <c r="Y110" s="70">
        <v>11373.21</v>
      </c>
      <c r="Z110" s="70">
        <v>272.45</v>
      </c>
      <c r="AA110" s="80">
        <v>86.01</v>
      </c>
      <c r="AB110" s="76">
        <f t="shared" si="10"/>
        <v>1.6816641186391805E-2</v>
      </c>
      <c r="AC110" s="76">
        <f t="shared" si="10"/>
        <v>5.3362901494063237E-3</v>
      </c>
      <c r="AD110" s="73">
        <f t="shared" si="10"/>
        <v>1.1224249721517521E-2</v>
      </c>
    </row>
    <row r="111" spans="14:30" x14ac:dyDescent="0.3">
      <c r="N111" s="70" t="s">
        <v>294</v>
      </c>
      <c r="O111" s="70">
        <v>4566.75</v>
      </c>
      <c r="P111" s="68">
        <v>172.72</v>
      </c>
      <c r="Q111" s="70">
        <v>37.21</v>
      </c>
      <c r="R111" s="70">
        <v>453.59</v>
      </c>
      <c r="S111" s="76">
        <f t="shared" si="6"/>
        <v>-1.5545953102232801E-4</v>
      </c>
      <c r="T111" s="76">
        <f t="shared" si="7"/>
        <v>1.9124342996646858E-3</v>
      </c>
      <c r="U111" s="76">
        <f t="shared" si="8"/>
        <v>4.0393215013174418E-3</v>
      </c>
      <c r="V111" s="76">
        <f t="shared" si="9"/>
        <v>-8.6706062724877173E-3</v>
      </c>
      <c r="X111" s="70" t="s">
        <v>294</v>
      </c>
      <c r="Y111" s="70">
        <v>11183.55</v>
      </c>
      <c r="Z111" s="70">
        <v>271</v>
      </c>
      <c r="AA111" s="80">
        <v>85.05</v>
      </c>
      <c r="AB111" s="76">
        <f t="shared" si="10"/>
        <v>-4.2703687832967843E-3</v>
      </c>
      <c r="AC111" s="76">
        <f t="shared" si="10"/>
        <v>-7.902273962025641E-3</v>
      </c>
      <c r="AD111" s="73">
        <f t="shared" si="10"/>
        <v>-1.1456753791386018E-2</v>
      </c>
    </row>
    <row r="112" spans="14:30" x14ac:dyDescent="0.3">
      <c r="N112" s="70" t="s">
        <v>295</v>
      </c>
      <c r="O112" s="70">
        <v>4567.46</v>
      </c>
      <c r="P112" s="68">
        <v>172.39</v>
      </c>
      <c r="Q112" s="70">
        <v>37.06</v>
      </c>
      <c r="R112" s="70">
        <v>457.54</v>
      </c>
      <c r="S112" s="76">
        <f t="shared" si="6"/>
        <v>2.8107581456501534E-3</v>
      </c>
      <c r="T112" s="76">
        <f t="shared" si="7"/>
        <v>7.6280685481791913E-3</v>
      </c>
      <c r="U112" s="76">
        <f t="shared" si="8"/>
        <v>-1.206934323658213E-2</v>
      </c>
      <c r="V112" s="76">
        <f t="shared" si="9"/>
        <v>-3.8828223203512466E-3</v>
      </c>
      <c r="X112" s="70" t="s">
        <v>295</v>
      </c>
      <c r="Y112" s="70">
        <v>11231.41</v>
      </c>
      <c r="Z112" s="70">
        <v>273.14999999999998</v>
      </c>
      <c r="AA112" s="80">
        <v>86.03</v>
      </c>
      <c r="AB112" s="76">
        <f t="shared" si="10"/>
        <v>4.7953846375081797E-3</v>
      </c>
      <c r="AC112" s="76">
        <f t="shared" si="10"/>
        <v>-1.2805270203093448E-3</v>
      </c>
      <c r="AD112" s="73">
        <f t="shared" si="10"/>
        <v>-3.4865477719688123E-4</v>
      </c>
    </row>
    <row r="113" spans="14:30" x14ac:dyDescent="0.3">
      <c r="N113" s="70" t="s">
        <v>296</v>
      </c>
      <c r="O113" s="70">
        <v>4554.6400000000003</v>
      </c>
      <c r="P113" s="68">
        <v>171.08</v>
      </c>
      <c r="Q113" s="70">
        <v>37.51</v>
      </c>
      <c r="R113" s="70">
        <v>459.32</v>
      </c>
      <c r="S113" s="76">
        <f t="shared" si="6"/>
        <v>4.0259740353417468E-3</v>
      </c>
      <c r="T113" s="76">
        <f t="shared" si="7"/>
        <v>5.2158233521224203E-3</v>
      </c>
      <c r="U113" s="76">
        <f t="shared" si="8"/>
        <v>2.9368596733097057E-3</v>
      </c>
      <c r="V113" s="76">
        <f t="shared" si="9"/>
        <v>-5.9043325124911086E-3</v>
      </c>
      <c r="X113" s="70" t="s">
        <v>296</v>
      </c>
      <c r="Y113" s="70">
        <v>11177.68</v>
      </c>
      <c r="Z113" s="70">
        <v>273.5</v>
      </c>
      <c r="AA113" s="80">
        <v>86.06</v>
      </c>
      <c r="AB113" s="76">
        <f t="shared" si="10"/>
        <v>-2.6535570981159689E-3</v>
      </c>
      <c r="AC113" s="76">
        <f t="shared" si="10"/>
        <v>-4.0138714718349093E-3</v>
      </c>
      <c r="AD113" s="73">
        <f t="shared" si="10"/>
        <v>-5.0996865273800571E-3</v>
      </c>
    </row>
    <row r="114" spans="14:30" x14ac:dyDescent="0.3">
      <c r="N114" s="70" t="s">
        <v>297</v>
      </c>
      <c r="O114" s="70">
        <v>4536.34</v>
      </c>
      <c r="P114" s="68">
        <v>170.19</v>
      </c>
      <c r="Q114" s="70">
        <v>37.4</v>
      </c>
      <c r="R114" s="70">
        <v>462.04</v>
      </c>
      <c r="S114" s="76">
        <f t="shared" si="6"/>
        <v>3.2410230010493271E-4</v>
      </c>
      <c r="T114" s="76">
        <f t="shared" si="7"/>
        <v>1.0692130097067602E-2</v>
      </c>
      <c r="U114" s="76">
        <f t="shared" si="8"/>
        <v>1.6988409107305393E-2</v>
      </c>
      <c r="V114" s="76">
        <f t="shared" si="9"/>
        <v>-3.8450785065834944E-3</v>
      </c>
      <c r="X114" s="70" t="s">
        <v>297</v>
      </c>
      <c r="Y114" s="70">
        <v>11207.38</v>
      </c>
      <c r="Z114" s="70">
        <v>274.60000000000002</v>
      </c>
      <c r="AA114" s="80">
        <v>86.5</v>
      </c>
      <c r="AB114" s="76">
        <f t="shared" si="10"/>
        <v>5.2032829158149801E-4</v>
      </c>
      <c r="AC114" s="76">
        <f t="shared" si="10"/>
        <v>2.9175804795222803E-3</v>
      </c>
      <c r="AD114" s="73">
        <f t="shared" si="10"/>
        <v>3.4742362681862726E-3</v>
      </c>
    </row>
    <row r="115" spans="14:30" x14ac:dyDescent="0.3">
      <c r="N115" s="70" t="s">
        <v>298</v>
      </c>
      <c r="O115" s="70">
        <v>4534.87</v>
      </c>
      <c r="P115" s="68">
        <v>168.38</v>
      </c>
      <c r="Q115" s="70">
        <v>36.770000000000003</v>
      </c>
      <c r="R115" s="70">
        <v>463.82</v>
      </c>
      <c r="S115" s="76">
        <f t="shared" si="6"/>
        <v>-6.7798061818515913E-3</v>
      </c>
      <c r="T115" s="76">
        <f t="shared" si="7"/>
        <v>5.8955686246788451E-2</v>
      </c>
      <c r="U115" s="76">
        <f t="shared" si="8"/>
        <v>9.0152229214232882E-3</v>
      </c>
      <c r="V115" s="76">
        <f t="shared" si="9"/>
        <v>2.2368980823424003E-2</v>
      </c>
      <c r="X115" s="70" t="s">
        <v>298</v>
      </c>
      <c r="Y115" s="70">
        <v>11201.55</v>
      </c>
      <c r="Z115" s="70">
        <v>273.8</v>
      </c>
      <c r="AA115" s="80">
        <v>86.2</v>
      </c>
      <c r="AB115" s="76">
        <f t="shared" si="10"/>
        <v>7.2933836426928968E-3</v>
      </c>
      <c r="AC115" s="76">
        <f t="shared" si="10"/>
        <v>9.7257395672788877E-3</v>
      </c>
      <c r="AD115" s="73">
        <f t="shared" si="10"/>
        <v>2.2169695735063142E-2</v>
      </c>
    </row>
    <row r="116" spans="14:30" x14ac:dyDescent="0.3">
      <c r="N116" s="70" t="s">
        <v>299</v>
      </c>
      <c r="O116" s="70">
        <v>4565.72</v>
      </c>
      <c r="P116" s="68">
        <v>158.74</v>
      </c>
      <c r="Q116" s="70">
        <v>36.44</v>
      </c>
      <c r="R116" s="70">
        <v>453.56</v>
      </c>
      <c r="S116" s="76">
        <f t="shared" si="6"/>
        <v>2.3550834835142126E-3</v>
      </c>
      <c r="T116" s="76">
        <f t="shared" si="7"/>
        <v>-2.0138458662596072E-3</v>
      </c>
      <c r="U116" s="76">
        <f t="shared" si="8"/>
        <v>5.5035912169789092E-3</v>
      </c>
      <c r="V116" s="76">
        <f t="shared" si="9"/>
        <v>5.2168649197899221E-3</v>
      </c>
      <c r="X116" s="70" t="s">
        <v>299</v>
      </c>
      <c r="Y116" s="70">
        <v>11120.15</v>
      </c>
      <c r="Z116" s="70">
        <v>271.14999999999998</v>
      </c>
      <c r="AA116" s="80">
        <v>84.31</v>
      </c>
      <c r="AB116" s="76">
        <f t="shared" si="10"/>
        <v>1.4939009334396553E-3</v>
      </c>
      <c r="AC116" s="76">
        <f t="shared" si="10"/>
        <v>6.8461734695162623E-3</v>
      </c>
      <c r="AD116" s="73">
        <f t="shared" si="10"/>
        <v>1.0680592008025086E-3</v>
      </c>
    </row>
    <row r="117" spans="14:30" x14ac:dyDescent="0.3">
      <c r="N117" s="70" t="s">
        <v>300</v>
      </c>
      <c r="O117" s="70">
        <v>4554.9799999999996</v>
      </c>
      <c r="P117" s="68">
        <v>159.06</v>
      </c>
      <c r="Q117" s="70">
        <v>36.24</v>
      </c>
      <c r="R117" s="70">
        <v>451.2</v>
      </c>
      <c r="S117" s="76">
        <f t="shared" si="6"/>
        <v>7.0920798661324126E-3</v>
      </c>
      <c r="T117" s="76">
        <f t="shared" si="7"/>
        <v>-6.2867381279936978E-5</v>
      </c>
      <c r="U117" s="76">
        <f t="shared" si="8"/>
        <v>1.0541012997791921E-2</v>
      </c>
      <c r="V117" s="76">
        <f t="shared" si="9"/>
        <v>9.0389555017360759E-3</v>
      </c>
      <c r="X117" s="70" t="s">
        <v>300</v>
      </c>
      <c r="Y117" s="70">
        <v>11103.55</v>
      </c>
      <c r="Z117" s="70">
        <v>269.3</v>
      </c>
      <c r="AA117" s="80">
        <v>84.22</v>
      </c>
      <c r="AB117" s="76">
        <f t="shared" si="10"/>
        <v>1.1535584614788687E-2</v>
      </c>
      <c r="AC117" s="76">
        <f t="shared" si="10"/>
        <v>4.0930289699752107E-3</v>
      </c>
      <c r="AD117" s="73">
        <f t="shared" si="10"/>
        <v>4.5299469628139293E-2</v>
      </c>
    </row>
    <row r="118" spans="14:30" x14ac:dyDescent="0.3">
      <c r="N118" s="70" t="s">
        <v>301</v>
      </c>
      <c r="O118" s="70">
        <v>4522.79</v>
      </c>
      <c r="P118" s="68">
        <v>159.07</v>
      </c>
      <c r="Q118" s="70">
        <v>35.86</v>
      </c>
      <c r="R118" s="70">
        <v>447.14</v>
      </c>
      <c r="S118" s="76">
        <f t="shared" si="6"/>
        <v>3.8479435973795429E-3</v>
      </c>
      <c r="T118" s="76">
        <f t="shared" si="7"/>
        <v>-5.0166280665315064E-3</v>
      </c>
      <c r="U118" s="76">
        <f t="shared" si="8"/>
        <v>-1.274608555610574E-2</v>
      </c>
      <c r="V118" s="76">
        <f t="shared" si="9"/>
        <v>-5.1751175057334689E-3</v>
      </c>
      <c r="X118" s="70" t="s">
        <v>301</v>
      </c>
      <c r="Y118" s="70">
        <v>10976.2</v>
      </c>
      <c r="Z118" s="70">
        <v>268.2</v>
      </c>
      <c r="AA118" s="80">
        <v>80.489999999999995</v>
      </c>
      <c r="AB118" s="76">
        <f t="shared" si="10"/>
        <v>-1.2133412823614511E-2</v>
      </c>
      <c r="AC118" s="76">
        <f t="shared" si="10"/>
        <v>-1.1123585218662316E-2</v>
      </c>
      <c r="AD118" s="73">
        <f t="shared" si="10"/>
        <v>-3.7264766594823795E-4</v>
      </c>
    </row>
    <row r="119" spans="14:30" x14ac:dyDescent="0.3">
      <c r="N119" s="70" t="s">
        <v>302</v>
      </c>
      <c r="O119" s="70">
        <v>4505.42</v>
      </c>
      <c r="P119" s="68">
        <v>159.87</v>
      </c>
      <c r="Q119" s="70">
        <v>36.32</v>
      </c>
      <c r="R119" s="70">
        <v>449.46</v>
      </c>
      <c r="S119" s="76">
        <f t="shared" si="6"/>
        <v>-1.0249061954501163E-3</v>
      </c>
      <c r="T119" s="76">
        <f t="shared" si="7"/>
        <v>6.6524658542452923E-3</v>
      </c>
      <c r="U119" s="76">
        <f t="shared" si="8"/>
        <v>7.1843359579213265E-3</v>
      </c>
      <c r="V119" s="76">
        <f t="shared" si="9"/>
        <v>3.3390724193100164E-2</v>
      </c>
      <c r="X119" s="70" t="s">
        <v>302</v>
      </c>
      <c r="Y119" s="70">
        <v>11110.19</v>
      </c>
      <c r="Z119" s="70">
        <v>271.2</v>
      </c>
      <c r="AA119" s="80">
        <v>80.52</v>
      </c>
      <c r="AB119" s="76">
        <f t="shared" si="10"/>
        <v>8.0002776263410468E-3</v>
      </c>
      <c r="AC119" s="76">
        <f t="shared" si="10"/>
        <v>1.3363227812166938E-2</v>
      </c>
      <c r="AD119" s="73">
        <f t="shared" si="10"/>
        <v>4.231493557229596E-3</v>
      </c>
    </row>
    <row r="120" spans="14:30" x14ac:dyDescent="0.3">
      <c r="N120" s="70" t="s">
        <v>303</v>
      </c>
      <c r="O120" s="70">
        <v>4510.04</v>
      </c>
      <c r="P120" s="68">
        <v>158.81</v>
      </c>
      <c r="Q120" s="70">
        <v>36.06</v>
      </c>
      <c r="R120" s="70">
        <v>434.7</v>
      </c>
      <c r="S120" s="76">
        <f t="shared" si="6"/>
        <v>8.434509266769535E-3</v>
      </c>
      <c r="T120" s="76">
        <f t="shared" si="7"/>
        <v>4.6072851229974014E-3</v>
      </c>
      <c r="U120" s="76">
        <f t="shared" si="8"/>
        <v>1.9430956842319917E-3</v>
      </c>
      <c r="V120" s="76">
        <f t="shared" si="9"/>
        <v>-1.3481296373496415E-2</v>
      </c>
      <c r="X120" s="70" t="s">
        <v>303</v>
      </c>
      <c r="Y120" s="70">
        <v>11021.66</v>
      </c>
      <c r="Z120" s="70">
        <v>267.60000000000002</v>
      </c>
      <c r="AA120" s="80">
        <v>80.180000000000007</v>
      </c>
      <c r="AB120" s="76">
        <f t="shared" si="10"/>
        <v>2.386495170959345E-4</v>
      </c>
      <c r="AC120" s="76">
        <f t="shared" si="10"/>
        <v>6.1850070657468283E-3</v>
      </c>
      <c r="AD120" s="73">
        <f t="shared" si="10"/>
        <v>-5.2245422982215477E-3</v>
      </c>
    </row>
    <row r="121" spans="14:30" x14ac:dyDescent="0.3">
      <c r="N121" s="71">
        <v>45267</v>
      </c>
      <c r="O121" s="70">
        <v>4472.16</v>
      </c>
      <c r="P121" s="68">
        <v>158.08000000000001</v>
      </c>
      <c r="Q121" s="70">
        <v>35.99</v>
      </c>
      <c r="R121" s="70">
        <v>440.6</v>
      </c>
      <c r="S121" s="76">
        <f t="shared" si="6"/>
        <v>7.383817501052891E-3</v>
      </c>
      <c r="T121" s="76">
        <f t="shared" si="7"/>
        <v>-3.4732124208060361E-3</v>
      </c>
      <c r="U121" s="76">
        <f t="shared" si="8"/>
        <v>-8.3321765687068775E-4</v>
      </c>
      <c r="V121" s="76">
        <f t="shared" si="9"/>
        <v>2.750032983489129E-3</v>
      </c>
      <c r="X121" s="71">
        <v>45267</v>
      </c>
      <c r="Y121" s="70">
        <v>11019.03</v>
      </c>
      <c r="Z121" s="70">
        <v>265.95</v>
      </c>
      <c r="AA121" s="80">
        <v>80.599999999999994</v>
      </c>
      <c r="AB121" s="76">
        <f t="shared" si="10"/>
        <v>5.1352106012813713E-3</v>
      </c>
      <c r="AC121" s="76">
        <f t="shared" si="10"/>
        <v>4.1446931977908649E-3</v>
      </c>
      <c r="AD121" s="73">
        <f t="shared" si="10"/>
        <v>-6.1843116087846569E-3</v>
      </c>
    </row>
    <row r="122" spans="14:30" x14ac:dyDescent="0.3">
      <c r="N122" s="71">
        <v>45237</v>
      </c>
      <c r="O122" s="70">
        <v>4439.26</v>
      </c>
      <c r="P122" s="68">
        <v>158.63</v>
      </c>
      <c r="Q122" s="70">
        <v>36.020000000000003</v>
      </c>
      <c r="R122" s="70">
        <v>439.39</v>
      </c>
      <c r="S122" s="76">
        <f t="shared" si="6"/>
        <v>6.7195880716203853E-3</v>
      </c>
      <c r="T122" s="76">
        <f t="shared" si="7"/>
        <v>-5.5321697639929314E-3</v>
      </c>
      <c r="U122" s="76">
        <f t="shared" si="8"/>
        <v>9.4840320360015558E-3</v>
      </c>
      <c r="V122" s="76">
        <f t="shared" si="9"/>
        <v>-3.0857862620534256E-2</v>
      </c>
      <c r="X122" s="71">
        <v>45237</v>
      </c>
      <c r="Y122" s="70">
        <v>10962.59</v>
      </c>
      <c r="Z122" s="70">
        <v>264.85000000000002</v>
      </c>
      <c r="AA122" s="80">
        <v>81.099999999999994</v>
      </c>
      <c r="AB122" s="76">
        <f t="shared" si="10"/>
        <v>3.7085481579892418E-3</v>
      </c>
      <c r="AC122" s="76">
        <f t="shared" si="10"/>
        <v>-1.5091495035567161E-3</v>
      </c>
      <c r="AD122" s="73">
        <f t="shared" si="10"/>
        <v>-2.4630554323977483E-3</v>
      </c>
    </row>
    <row r="123" spans="14:30" x14ac:dyDescent="0.3">
      <c r="N123" s="71">
        <v>45206</v>
      </c>
      <c r="O123" s="70">
        <v>4409.53</v>
      </c>
      <c r="P123" s="68">
        <v>159.51</v>
      </c>
      <c r="Q123" s="70">
        <v>35.68</v>
      </c>
      <c r="R123" s="70">
        <v>453.16</v>
      </c>
      <c r="S123" s="76">
        <f t="shared" si="6"/>
        <v>2.4022317330228151E-3</v>
      </c>
      <c r="T123" s="76">
        <f t="shared" si="7"/>
        <v>1.6313217320840971E-3</v>
      </c>
      <c r="U123" s="76">
        <f t="shared" si="8"/>
        <v>4.2128976788729407E-3</v>
      </c>
      <c r="V123" s="76">
        <f t="shared" si="9"/>
        <v>2.3861086837000918E-3</v>
      </c>
      <c r="X123" s="71">
        <v>45206</v>
      </c>
      <c r="Y123" s="70">
        <v>10922.01</v>
      </c>
      <c r="Z123" s="70">
        <v>265.25</v>
      </c>
      <c r="AA123" s="80">
        <v>81.3</v>
      </c>
      <c r="AB123" s="76">
        <f t="shared" si="10"/>
        <v>4.3226377825984685E-3</v>
      </c>
      <c r="AC123" s="76">
        <f t="shared" si="10"/>
        <v>1.8851918238507303E-4</v>
      </c>
      <c r="AD123" s="73">
        <f t="shared" si="10"/>
        <v>1.0137310202335782E-2</v>
      </c>
    </row>
    <row r="124" spans="14:30" x14ac:dyDescent="0.3">
      <c r="N124" s="71">
        <v>45114</v>
      </c>
      <c r="O124" s="70">
        <v>4398.95</v>
      </c>
      <c r="P124" s="68">
        <v>159.25</v>
      </c>
      <c r="Q124" s="70">
        <v>35.53</v>
      </c>
      <c r="R124" s="70">
        <v>452.08</v>
      </c>
      <c r="S124" s="76">
        <f t="shared" si="6"/>
        <v>-2.8692926136023467E-3</v>
      </c>
      <c r="T124" s="76">
        <f t="shared" si="7"/>
        <v>-1.4648851634722206E-2</v>
      </c>
      <c r="U124" s="76">
        <f t="shared" si="8"/>
        <v>-2.810569584808961E-3</v>
      </c>
      <c r="V124" s="76">
        <f t="shared" si="9"/>
        <v>-2.4321359650619059E-2</v>
      </c>
      <c r="X124" s="71">
        <v>45114</v>
      </c>
      <c r="Y124" s="70">
        <v>10874.9</v>
      </c>
      <c r="Z124" s="70">
        <v>265.2</v>
      </c>
      <c r="AA124" s="80">
        <v>80.48</v>
      </c>
      <c r="AB124" s="76">
        <f t="shared" si="10"/>
        <v>-1.0235350323766254E-2</v>
      </c>
      <c r="AC124" s="76">
        <f t="shared" si="10"/>
        <v>-2.0526938308548105E-2</v>
      </c>
      <c r="AD124" s="73">
        <f t="shared" si="10"/>
        <v>-3.1915651325460911E-2</v>
      </c>
    </row>
    <row r="125" spans="14:30" x14ac:dyDescent="0.3">
      <c r="N125" s="71">
        <v>45084</v>
      </c>
      <c r="O125" s="70">
        <v>4411.59</v>
      </c>
      <c r="P125" s="68">
        <v>161.6</v>
      </c>
      <c r="Q125" s="70">
        <v>35.630000000000003</v>
      </c>
      <c r="R125" s="70">
        <v>463.21</v>
      </c>
      <c r="S125" s="76">
        <f t="shared" si="6"/>
        <v>-7.9540652874783013E-3</v>
      </c>
      <c r="T125" s="76">
        <f t="shared" si="7"/>
        <v>-7.459730656428222E-3</v>
      </c>
      <c r="U125" s="76">
        <f t="shared" si="8"/>
        <v>-2.3027789632772244E-2</v>
      </c>
      <c r="V125" s="76">
        <f t="shared" si="9"/>
        <v>-5.3611350161246376E-3</v>
      </c>
      <c r="X125" s="71">
        <v>45084</v>
      </c>
      <c r="Y125" s="70">
        <v>10986.78</v>
      </c>
      <c r="Z125" s="70">
        <v>270.7</v>
      </c>
      <c r="AA125" s="80">
        <v>83.09</v>
      </c>
      <c r="AB125" s="76">
        <f t="shared" si="10"/>
        <v>-1.8678041903968497E-2</v>
      </c>
      <c r="AC125" s="76">
        <f t="shared" si="10"/>
        <v>-2.2284027123259078E-2</v>
      </c>
      <c r="AD125" s="73">
        <f t="shared" si="10"/>
        <v>-1.4694727116162053E-2</v>
      </c>
    </row>
    <row r="126" spans="14:30" x14ac:dyDescent="0.3">
      <c r="N126" s="71">
        <v>45053</v>
      </c>
      <c r="O126" s="70">
        <v>4446.82</v>
      </c>
      <c r="P126" s="68">
        <v>162.81</v>
      </c>
      <c r="Q126" s="70">
        <v>36.46</v>
      </c>
      <c r="R126" s="70">
        <v>465.7</v>
      </c>
      <c r="S126" s="76">
        <f t="shared" si="6"/>
        <v>-1.9702536362673942E-3</v>
      </c>
      <c r="T126" s="76">
        <f t="shared" si="7"/>
        <v>-3.3112613036559201E-3</v>
      </c>
      <c r="U126" s="76">
        <f t="shared" si="8"/>
        <v>-5.1976590821435032E-3</v>
      </c>
      <c r="V126" s="76">
        <f t="shared" si="9"/>
        <v>9.2329588508689442E-3</v>
      </c>
      <c r="X126" s="71">
        <v>45053</v>
      </c>
      <c r="Y126" s="70">
        <v>11193.92</v>
      </c>
      <c r="Z126" s="70">
        <v>276.8</v>
      </c>
      <c r="AA126" s="80">
        <v>84.32</v>
      </c>
      <c r="AB126" s="76">
        <f t="shared" si="10"/>
        <v>-2.0900215806920453E-3</v>
      </c>
      <c r="AC126" s="76">
        <f t="shared" si="10"/>
        <v>7.4336304597837867E-3</v>
      </c>
      <c r="AD126" s="73">
        <f t="shared" si="10"/>
        <v>1.6617214506275001E-3</v>
      </c>
    </row>
    <row r="127" spans="14:30" x14ac:dyDescent="0.3">
      <c r="N127" s="71">
        <v>44992</v>
      </c>
      <c r="O127" s="70">
        <v>4455.59</v>
      </c>
      <c r="P127" s="68">
        <v>163.35</v>
      </c>
      <c r="Q127" s="70">
        <v>36.65</v>
      </c>
      <c r="R127" s="70">
        <v>461.42</v>
      </c>
      <c r="S127" s="76">
        <f t="shared" si="6"/>
        <v>1.1700018289601843E-3</v>
      </c>
      <c r="T127" s="76">
        <f t="shared" si="7"/>
        <v>-1.3196895390208485E-2</v>
      </c>
      <c r="U127" s="76">
        <f t="shared" si="8"/>
        <v>-8.1821905560359065E-4</v>
      </c>
      <c r="V127" s="76">
        <f t="shared" si="9"/>
        <v>-1.6251432476298015E-2</v>
      </c>
      <c r="X127" s="71">
        <v>45023</v>
      </c>
      <c r="Y127" s="70">
        <v>11217.34</v>
      </c>
      <c r="Z127" s="70">
        <v>274.75</v>
      </c>
      <c r="AA127" s="80">
        <v>84.18</v>
      </c>
      <c r="AB127" s="76">
        <f t="shared" si="10"/>
        <v>-1.6134431044476699E-4</v>
      </c>
      <c r="AC127" s="76">
        <f t="shared" si="10"/>
        <v>4.7428034909490022E-3</v>
      </c>
      <c r="AD127" s="73">
        <f t="shared" si="10"/>
        <v>3.0933992543828366E-3</v>
      </c>
    </row>
    <row r="128" spans="14:30" x14ac:dyDescent="0.3">
      <c r="N128" s="70" t="s">
        <v>304</v>
      </c>
      <c r="O128" s="70">
        <v>4450.38</v>
      </c>
      <c r="P128" s="68">
        <v>165.52</v>
      </c>
      <c r="Q128" s="70">
        <v>36.68</v>
      </c>
      <c r="R128" s="70">
        <v>468.98</v>
      </c>
      <c r="S128" s="76">
        <f t="shared" si="6"/>
        <v>1.2194363266362706E-2</v>
      </c>
      <c r="T128" s="76">
        <f t="shared" si="7"/>
        <v>8.6160353412425665E-3</v>
      </c>
      <c r="U128" s="76">
        <f t="shared" si="8"/>
        <v>1.5384918839479456E-2</v>
      </c>
      <c r="V128" s="76">
        <f t="shared" si="9"/>
        <v>9.6200941169053717E-3</v>
      </c>
      <c r="X128" s="71">
        <v>44992</v>
      </c>
      <c r="Y128" s="70">
        <v>11219.15</v>
      </c>
      <c r="Z128" s="70">
        <v>273.45</v>
      </c>
      <c r="AA128" s="80">
        <v>83.92</v>
      </c>
      <c r="AB128" s="76">
        <f t="shared" si="10"/>
        <v>-5.4348153102521373E-3</v>
      </c>
      <c r="AC128" s="76">
        <f t="shared" si="10"/>
        <v>-1.828320692542223E-4</v>
      </c>
      <c r="AD128" s="73">
        <f t="shared" si="10"/>
        <v>-1.631049040959167E-2</v>
      </c>
    </row>
    <row r="129" spans="14:30" x14ac:dyDescent="0.3">
      <c r="N129" s="70" t="s">
        <v>305</v>
      </c>
      <c r="O129" s="70">
        <v>4396.4399999999996</v>
      </c>
      <c r="P129" s="68">
        <v>164.1</v>
      </c>
      <c r="Q129" s="70">
        <v>36.119999999999997</v>
      </c>
      <c r="R129" s="70">
        <v>464.49</v>
      </c>
      <c r="S129" s="76">
        <f t="shared" si="6"/>
        <v>4.4635502053141703E-3</v>
      </c>
      <c r="T129" s="76">
        <f t="shared" si="7"/>
        <v>6.9712261774948093E-3</v>
      </c>
      <c r="U129" s="76">
        <f t="shared" si="8"/>
        <v>-4.6954926761943608E-3</v>
      </c>
      <c r="V129" s="76">
        <f t="shared" si="9"/>
        <v>1.2543627893728926E-2</v>
      </c>
      <c r="X129" s="70" t="s">
        <v>304</v>
      </c>
      <c r="Y129" s="70">
        <v>11280.29</v>
      </c>
      <c r="Z129" s="70">
        <v>273.5</v>
      </c>
      <c r="AA129" s="80">
        <v>85.3</v>
      </c>
      <c r="AB129" s="76">
        <f t="shared" si="10"/>
        <v>9.7796849079471344E-3</v>
      </c>
      <c r="AC129" s="76">
        <f t="shared" si="10"/>
        <v>1.0974941654008357E-3</v>
      </c>
      <c r="AD129" s="73">
        <f t="shared" si="10"/>
        <v>9.6596345396819244E-3</v>
      </c>
    </row>
    <row r="130" spans="14:30" x14ac:dyDescent="0.3">
      <c r="N130" s="70" t="s">
        <v>306</v>
      </c>
      <c r="O130" s="70">
        <v>4376.8599999999997</v>
      </c>
      <c r="P130" s="68">
        <v>162.96</v>
      </c>
      <c r="Q130" s="70">
        <v>36.29</v>
      </c>
      <c r="R130" s="70">
        <v>458.7</v>
      </c>
      <c r="S130" s="76">
        <f t="shared" si="6"/>
        <v>-3.5407246519950932E-4</v>
      </c>
      <c r="T130" s="76">
        <f t="shared" si="7"/>
        <v>-2.0229891956679161E-3</v>
      </c>
      <c r="U130" s="76">
        <f t="shared" si="8"/>
        <v>-3.5758530744830173E-3</v>
      </c>
      <c r="V130" s="76">
        <f t="shared" si="9"/>
        <v>-1.2565156650766879E-2</v>
      </c>
      <c r="X130" s="70" t="s">
        <v>305</v>
      </c>
      <c r="Y130" s="70">
        <v>11170.51</v>
      </c>
      <c r="Z130" s="70">
        <v>273.2</v>
      </c>
      <c r="AA130" s="80">
        <v>84.48</v>
      </c>
      <c r="AB130" s="76">
        <f t="shared" si="10"/>
        <v>-1.1666785791129585E-3</v>
      </c>
      <c r="AC130" s="76">
        <f t="shared" si="10"/>
        <v>-5.6574655870957604E-3</v>
      </c>
      <c r="AD130" s="73">
        <f t="shared" si="10"/>
        <v>6.7700240759734883E-3</v>
      </c>
    </row>
    <row r="131" spans="14:30" x14ac:dyDescent="0.3">
      <c r="N131" s="70" t="s">
        <v>307</v>
      </c>
      <c r="O131" s="70">
        <v>4378.41</v>
      </c>
      <c r="P131" s="68">
        <v>163.29</v>
      </c>
      <c r="Q131" s="70">
        <v>36.42</v>
      </c>
      <c r="R131" s="70">
        <v>464.5</v>
      </c>
      <c r="S131" s="76">
        <f t="shared" ref="S131:S194" si="11">LN(O131/O132)</f>
        <v>1.1390657230512101E-2</v>
      </c>
      <c r="T131" s="76">
        <f t="shared" ref="T131:T194" si="12">LN(P131/P132)</f>
        <v>-2.0800203265858596E-3</v>
      </c>
      <c r="U131" s="76">
        <f t="shared" ref="U131:U194" si="13">LN(Q131/Q132)</f>
        <v>-1.2822437309122359E-2</v>
      </c>
      <c r="V131" s="76">
        <f t="shared" ref="V131:V194" si="14">LN(R131/R132)</f>
        <v>2.5599374489673851E-2</v>
      </c>
      <c r="X131" s="70" t="s">
        <v>306</v>
      </c>
      <c r="Y131" s="70">
        <v>11183.55</v>
      </c>
      <c r="Z131" s="70">
        <v>274.75</v>
      </c>
      <c r="AA131" s="80">
        <v>83.91</v>
      </c>
      <c r="AB131" s="76">
        <f t="shared" ref="AB131:AD194" si="15">LN(Y131/Y132)</f>
        <v>3.6638609125633445E-3</v>
      </c>
      <c r="AC131" s="76">
        <f t="shared" si="15"/>
        <v>1.5035120040743933E-2</v>
      </c>
      <c r="AD131" s="73">
        <f t="shared" si="15"/>
        <v>-2.1428579628286456E-3</v>
      </c>
    </row>
    <row r="132" spans="14:30" x14ac:dyDescent="0.3">
      <c r="N132" s="70" t="s">
        <v>308</v>
      </c>
      <c r="O132" s="70">
        <v>4328.82</v>
      </c>
      <c r="P132" s="68">
        <v>163.63</v>
      </c>
      <c r="Q132" s="70">
        <v>36.89</v>
      </c>
      <c r="R132" s="70">
        <v>452.76</v>
      </c>
      <c r="S132" s="76">
        <f t="shared" si="11"/>
        <v>-4.4968757892660969E-3</v>
      </c>
      <c r="T132" s="76">
        <f t="shared" si="12"/>
        <v>-1.1242560152406574E-2</v>
      </c>
      <c r="U132" s="76">
        <f t="shared" si="13"/>
        <v>-3.7509384578015899E-2</v>
      </c>
      <c r="V132" s="76">
        <f t="shared" si="14"/>
        <v>-1.3339381648847513E-2</v>
      </c>
      <c r="X132" s="70" t="s">
        <v>307</v>
      </c>
      <c r="Y132" s="70">
        <v>11142.65</v>
      </c>
      <c r="Z132" s="70">
        <v>270.64999999999998</v>
      </c>
      <c r="AA132" s="80">
        <v>84.09</v>
      </c>
      <c r="AB132" s="76">
        <f t="shared" si="15"/>
        <v>6.7311208912254608E-5</v>
      </c>
      <c r="AC132" s="76">
        <f t="shared" si="15"/>
        <v>-8.6453219419729138E-3</v>
      </c>
      <c r="AD132" s="73">
        <f t="shared" si="15"/>
        <v>-2.2569350911816133E-3</v>
      </c>
    </row>
    <row r="133" spans="14:30" x14ac:dyDescent="0.3">
      <c r="N133" s="70" t="s">
        <v>309</v>
      </c>
      <c r="O133" s="70">
        <v>4348.33</v>
      </c>
      <c r="P133" s="68">
        <v>165.48</v>
      </c>
      <c r="Q133" s="70">
        <v>38.299999999999997</v>
      </c>
      <c r="R133" s="70">
        <v>458.84</v>
      </c>
      <c r="S133" s="76">
        <f t="shared" si="11"/>
        <v>-7.688274822307147E-3</v>
      </c>
      <c r="T133" s="76">
        <f t="shared" si="12"/>
        <v>-8.4566601234336918E-4</v>
      </c>
      <c r="U133" s="76">
        <f t="shared" si="13"/>
        <v>-1.1164597340060553E-2</v>
      </c>
      <c r="V133" s="76">
        <f t="shared" si="14"/>
        <v>2.5313154527935818E-3</v>
      </c>
      <c r="X133" s="70" t="s">
        <v>308</v>
      </c>
      <c r="Y133" s="70">
        <v>11141.9</v>
      </c>
      <c r="Z133" s="70">
        <v>273</v>
      </c>
      <c r="AA133" s="80">
        <v>84.28</v>
      </c>
      <c r="AB133" s="76">
        <f t="shared" si="15"/>
        <v>-7.0938520772605923E-3</v>
      </c>
      <c r="AC133" s="76">
        <f t="shared" si="15"/>
        <v>-1.2739025777429714E-2</v>
      </c>
      <c r="AD133" s="73">
        <f t="shared" si="15"/>
        <v>-1.9737482838321319E-2</v>
      </c>
    </row>
    <row r="134" spans="14:30" x14ac:dyDescent="0.3">
      <c r="N134" s="70" t="s">
        <v>310</v>
      </c>
      <c r="O134" s="70">
        <v>4381.8900000000003</v>
      </c>
      <c r="P134" s="68">
        <v>165.62</v>
      </c>
      <c r="Q134" s="70">
        <v>38.729999999999997</v>
      </c>
      <c r="R134" s="70">
        <v>457.68</v>
      </c>
      <c r="S134" s="76">
        <f t="shared" si="11"/>
        <v>3.7038857650539521E-3</v>
      </c>
      <c r="T134" s="76">
        <f t="shared" si="12"/>
        <v>1.0561554926883659E-2</v>
      </c>
      <c r="U134" s="76">
        <f t="shared" si="13"/>
        <v>-4.379757097739796E-3</v>
      </c>
      <c r="V134" s="76">
        <f t="shared" si="14"/>
        <v>1.027812447723921E-2</v>
      </c>
      <c r="X134" s="70" t="s">
        <v>309</v>
      </c>
      <c r="Y134" s="70">
        <v>11221.22</v>
      </c>
      <c r="Z134" s="70">
        <v>276.5</v>
      </c>
      <c r="AA134" s="80">
        <v>85.96</v>
      </c>
      <c r="AB134" s="76">
        <f t="shared" si="15"/>
        <v>3.3743042392707944E-3</v>
      </c>
      <c r="AC134" s="76">
        <f t="shared" si="15"/>
        <v>5.9853266557201006E-3</v>
      </c>
      <c r="AD134" s="73">
        <f t="shared" si="15"/>
        <v>7.0044647808117384E-3</v>
      </c>
    </row>
    <row r="135" spans="14:30" x14ac:dyDescent="0.3">
      <c r="N135" s="70" t="s">
        <v>311</v>
      </c>
      <c r="O135" s="70">
        <v>4365.6899999999996</v>
      </c>
      <c r="P135" s="68">
        <v>163.88</v>
      </c>
      <c r="Q135" s="70">
        <v>38.9</v>
      </c>
      <c r="R135" s="70">
        <v>453</v>
      </c>
      <c r="S135" s="76">
        <f t="shared" si="11"/>
        <v>-5.2590818461865788E-3</v>
      </c>
      <c r="T135" s="76">
        <f t="shared" si="12"/>
        <v>-1.5243440651739155E-3</v>
      </c>
      <c r="U135" s="76">
        <f t="shared" si="13"/>
        <v>-1.1247562336512543E-2</v>
      </c>
      <c r="V135" s="76">
        <f t="shared" si="14"/>
        <v>2.3205712386141922E-3</v>
      </c>
      <c r="X135" s="70" t="s">
        <v>310</v>
      </c>
      <c r="Y135" s="70">
        <v>11183.42</v>
      </c>
      <c r="Z135" s="70">
        <v>274.85000000000002</v>
      </c>
      <c r="AA135" s="80">
        <v>85.36</v>
      </c>
      <c r="AB135" s="76">
        <f t="shared" si="15"/>
        <v>8.7399651402609354E-4</v>
      </c>
      <c r="AC135" s="76">
        <f t="shared" si="15"/>
        <v>3.6449830769389401E-3</v>
      </c>
      <c r="AD135" s="73">
        <f t="shared" si="15"/>
        <v>-5.0248425913760426E-3</v>
      </c>
    </row>
    <row r="136" spans="14:30" x14ac:dyDescent="0.3">
      <c r="N136" s="70" t="s">
        <v>312</v>
      </c>
      <c r="O136" s="70">
        <v>4388.71</v>
      </c>
      <c r="P136" s="68">
        <v>164.13</v>
      </c>
      <c r="Q136" s="70">
        <v>39.340000000000003</v>
      </c>
      <c r="R136" s="70">
        <v>451.95</v>
      </c>
      <c r="S136" s="76">
        <f t="shared" si="11"/>
        <v>-4.7463803686906532E-3</v>
      </c>
      <c r="T136" s="76">
        <f t="shared" si="12"/>
        <v>-6.0908760562527824E-4</v>
      </c>
      <c r="U136" s="76">
        <f t="shared" si="13"/>
        <v>-1.81365172767592E-2</v>
      </c>
      <c r="V136" s="76">
        <f t="shared" si="14"/>
        <v>9.4258528609806221E-3</v>
      </c>
      <c r="X136" s="70" t="s">
        <v>311</v>
      </c>
      <c r="Y136" s="70">
        <v>11173.65</v>
      </c>
      <c r="Z136" s="70">
        <v>273.85000000000002</v>
      </c>
      <c r="AA136" s="80">
        <v>85.79</v>
      </c>
      <c r="AB136" s="76">
        <f t="shared" si="15"/>
        <v>-3.7749781760212197E-3</v>
      </c>
      <c r="AC136" s="76">
        <f t="shared" si="15"/>
        <v>-6.3700279097731634E-3</v>
      </c>
      <c r="AD136" s="73">
        <f t="shared" si="15"/>
        <v>-1.6305617402577628E-3</v>
      </c>
    </row>
    <row r="137" spans="14:30" x14ac:dyDescent="0.3">
      <c r="N137" s="70" t="s">
        <v>313</v>
      </c>
      <c r="O137" s="70">
        <v>4409.59</v>
      </c>
      <c r="P137" s="68">
        <v>164.23</v>
      </c>
      <c r="Q137" s="70">
        <v>40.06</v>
      </c>
      <c r="R137" s="70">
        <v>447.71</v>
      </c>
      <c r="S137" s="76">
        <f t="shared" si="11"/>
        <v>-3.6783763376504303E-3</v>
      </c>
      <c r="T137" s="76">
        <f t="shared" si="12"/>
        <v>3.0491546980685614E-3</v>
      </c>
      <c r="U137" s="76">
        <f t="shared" si="13"/>
        <v>7.7684891373312418E-3</v>
      </c>
      <c r="V137" s="76">
        <f t="shared" si="14"/>
        <v>-1.3797299748149947E-2</v>
      </c>
      <c r="X137" s="70" t="s">
        <v>312</v>
      </c>
      <c r="Y137" s="70">
        <v>11215.91</v>
      </c>
      <c r="Z137" s="70">
        <v>275.60000000000002</v>
      </c>
      <c r="AA137" s="80">
        <v>85.93</v>
      </c>
      <c r="AB137" s="76">
        <f t="shared" si="15"/>
        <v>-8.0568577532753784E-3</v>
      </c>
      <c r="AC137" s="76">
        <f t="shared" si="15"/>
        <v>-1.9936572076929338E-3</v>
      </c>
      <c r="AD137" s="73">
        <f t="shared" si="15"/>
        <v>-2.0925373829420459E-3</v>
      </c>
    </row>
    <row r="138" spans="14:30" x14ac:dyDescent="0.3">
      <c r="N138" s="70" t="s">
        <v>314</v>
      </c>
      <c r="O138" s="70">
        <v>4425.84</v>
      </c>
      <c r="P138" s="68">
        <v>163.72999999999999</v>
      </c>
      <c r="Q138" s="70">
        <v>39.75</v>
      </c>
      <c r="R138" s="70">
        <v>453.93</v>
      </c>
      <c r="S138" s="76">
        <f t="shared" si="11"/>
        <v>1.2104580063652602E-2</v>
      </c>
      <c r="T138" s="76">
        <f t="shared" si="12"/>
        <v>1.3342138956188843E-2</v>
      </c>
      <c r="U138" s="76">
        <f t="shared" si="13"/>
        <v>9.8597689162883244E-3</v>
      </c>
      <c r="V138" s="76">
        <f t="shared" si="14"/>
        <v>1.377496411052221E-2</v>
      </c>
      <c r="X138" s="70" t="s">
        <v>469</v>
      </c>
      <c r="Y138" s="70">
        <v>11306.64</v>
      </c>
      <c r="Z138" s="70">
        <v>276.14999999999998</v>
      </c>
      <c r="AA138" s="80">
        <v>86.11</v>
      </c>
      <c r="AB138" s="76">
        <f t="shared" si="15"/>
        <v>-7.0172015665295557E-3</v>
      </c>
      <c r="AC138" s="76">
        <f t="shared" si="15"/>
        <v>-1.3309548990172211E-2</v>
      </c>
      <c r="AD138" s="73">
        <f t="shared" si="15"/>
        <v>1.0457213524836032E-3</v>
      </c>
    </row>
    <row r="139" spans="14:30" x14ac:dyDescent="0.3">
      <c r="N139" s="70" t="s">
        <v>315</v>
      </c>
      <c r="O139" s="70">
        <v>4372.59</v>
      </c>
      <c r="P139" s="68">
        <v>161.56</v>
      </c>
      <c r="Q139" s="70">
        <v>39.36</v>
      </c>
      <c r="R139" s="70">
        <v>447.72</v>
      </c>
      <c r="S139" s="76">
        <f t="shared" si="11"/>
        <v>8.1907206921961594E-4</v>
      </c>
      <c r="T139" s="76">
        <f t="shared" si="12"/>
        <v>5.0884379106398061E-3</v>
      </c>
      <c r="U139" s="76">
        <f t="shared" si="13"/>
        <v>-2.3104995666308914E-2</v>
      </c>
      <c r="V139" s="76">
        <f t="shared" si="14"/>
        <v>4.4770848422136548E-3</v>
      </c>
      <c r="X139" s="70" t="s">
        <v>313</v>
      </c>
      <c r="Y139" s="70">
        <v>11386.26</v>
      </c>
      <c r="Z139" s="70">
        <v>279.85000000000002</v>
      </c>
      <c r="AA139" s="80">
        <v>86.02</v>
      </c>
      <c r="AB139" s="76">
        <f t="shared" si="15"/>
        <v>7.3542284880862372E-3</v>
      </c>
      <c r="AC139" s="76">
        <f t="shared" si="15"/>
        <v>1.5666116744399456E-2</v>
      </c>
      <c r="AD139" s="73">
        <f t="shared" si="15"/>
        <v>4.3106025854611806E-3</v>
      </c>
    </row>
    <row r="140" spans="14:30" x14ac:dyDescent="0.3">
      <c r="N140" s="70" t="s">
        <v>316</v>
      </c>
      <c r="O140" s="70">
        <v>4369.01</v>
      </c>
      <c r="P140" s="68">
        <v>160.74</v>
      </c>
      <c r="Q140" s="70">
        <v>40.28</v>
      </c>
      <c r="R140" s="70">
        <v>445.72</v>
      </c>
      <c r="S140" s="76">
        <f t="shared" si="11"/>
        <v>6.9086648833658285E-3</v>
      </c>
      <c r="T140" s="76">
        <f t="shared" si="12"/>
        <v>5.2395329446637941E-3</v>
      </c>
      <c r="U140" s="76">
        <f t="shared" si="13"/>
        <v>9.4787439545437387E-3</v>
      </c>
      <c r="V140" s="76">
        <f t="shared" si="14"/>
        <v>9.2028333262974063E-4</v>
      </c>
      <c r="X140" s="70" t="s">
        <v>314</v>
      </c>
      <c r="Y140" s="70">
        <v>11302.83</v>
      </c>
      <c r="Z140" s="70">
        <v>275.5</v>
      </c>
      <c r="AA140" s="80">
        <v>85.65</v>
      </c>
      <c r="AB140" s="76">
        <f t="shared" si="15"/>
        <v>2.172611348409599E-3</v>
      </c>
      <c r="AC140" s="76">
        <f t="shared" si="15"/>
        <v>3.4542348680876036E-3</v>
      </c>
      <c r="AD140" s="73">
        <f t="shared" si="15"/>
        <v>7.8532900834634451E-3</v>
      </c>
    </row>
    <row r="141" spans="14:30" x14ac:dyDescent="0.3">
      <c r="N141" s="71">
        <v>45266</v>
      </c>
      <c r="O141" s="70">
        <v>4338.93</v>
      </c>
      <c r="P141" s="68">
        <v>159.9</v>
      </c>
      <c r="Q141" s="70">
        <v>39.9</v>
      </c>
      <c r="R141" s="70">
        <v>445.31</v>
      </c>
      <c r="S141" s="76">
        <f t="shared" si="11"/>
        <v>9.2779026656844323E-3</v>
      </c>
      <c r="T141" s="76">
        <f t="shared" si="12"/>
        <v>-6.8769344087461759E-4</v>
      </c>
      <c r="U141" s="76">
        <f t="shared" si="13"/>
        <v>2.358420454519998E-2</v>
      </c>
      <c r="V141" s="76">
        <f t="shared" si="14"/>
        <v>-1.6379652509375892E-3</v>
      </c>
      <c r="X141" s="70" t="s">
        <v>315</v>
      </c>
      <c r="Y141" s="70">
        <v>11278.3</v>
      </c>
      <c r="Z141" s="70">
        <v>274.55</v>
      </c>
      <c r="AA141" s="80">
        <v>84.98</v>
      </c>
      <c r="AB141" s="76">
        <f t="shared" si="15"/>
        <v>-4.3325672922087952E-3</v>
      </c>
      <c r="AC141" s="76">
        <f t="shared" si="15"/>
        <v>-2.0727064445860935E-2</v>
      </c>
      <c r="AD141" s="73">
        <f t="shared" si="15"/>
        <v>-3.6412796443526258E-3</v>
      </c>
    </row>
    <row r="142" spans="14:30" x14ac:dyDescent="0.3">
      <c r="N142" s="71">
        <v>45175</v>
      </c>
      <c r="O142" s="70">
        <v>4298.8599999999997</v>
      </c>
      <c r="P142" s="68">
        <v>160.01</v>
      </c>
      <c r="Q142" s="70">
        <v>38.97</v>
      </c>
      <c r="R142" s="70">
        <v>446.04</v>
      </c>
      <c r="S142" s="76">
        <f t="shared" si="11"/>
        <v>1.1474737636884458E-3</v>
      </c>
      <c r="T142" s="76">
        <f t="shared" si="12"/>
        <v>-1.5611830691411614E-3</v>
      </c>
      <c r="U142" s="76">
        <f t="shared" si="13"/>
        <v>-3.0745604542456837E-3</v>
      </c>
      <c r="V142" s="76">
        <f t="shared" si="14"/>
        <v>8.5230463833896612E-4</v>
      </c>
      <c r="X142" s="70" t="s">
        <v>316</v>
      </c>
      <c r="Y142" s="70">
        <v>11327.27</v>
      </c>
      <c r="Z142" s="70">
        <v>280.3</v>
      </c>
      <c r="AA142" s="80">
        <v>85.29</v>
      </c>
      <c r="AB142" s="76">
        <f t="shared" si="15"/>
        <v>2.2997537150486256E-3</v>
      </c>
      <c r="AC142" s="76">
        <f t="shared" si="15"/>
        <v>8.9229951490137711E-4</v>
      </c>
      <c r="AD142" s="73">
        <f t="shared" si="15"/>
        <v>-9.4521971026668428E-3</v>
      </c>
    </row>
    <row r="143" spans="14:30" x14ac:dyDescent="0.3">
      <c r="N143" s="71">
        <v>45144</v>
      </c>
      <c r="O143" s="70">
        <v>4293.93</v>
      </c>
      <c r="P143" s="68">
        <v>160.26</v>
      </c>
      <c r="Q143" s="70">
        <v>39.090000000000003</v>
      </c>
      <c r="R143" s="70">
        <v>445.66</v>
      </c>
      <c r="S143" s="76">
        <f t="shared" si="11"/>
        <v>6.16953524709693E-3</v>
      </c>
      <c r="T143" s="76">
        <f t="shared" si="12"/>
        <v>1.0916728027690222E-2</v>
      </c>
      <c r="U143" s="76">
        <f t="shared" si="13"/>
        <v>5.1295316372077021E-3</v>
      </c>
      <c r="V143" s="76">
        <f t="shared" si="14"/>
        <v>2.1065822134212809E-2</v>
      </c>
      <c r="X143" s="71">
        <v>45266</v>
      </c>
      <c r="Y143" s="70">
        <v>11301.25</v>
      </c>
      <c r="Z143" s="70">
        <v>280.05</v>
      </c>
      <c r="AA143" s="80">
        <v>86.1</v>
      </c>
      <c r="AB143" s="76">
        <f t="shared" si="15"/>
        <v>4.1523986907508982E-3</v>
      </c>
      <c r="AC143" s="76">
        <f t="shared" si="15"/>
        <v>-7.2934593521093837E-3</v>
      </c>
      <c r="AD143" s="73">
        <f t="shared" si="15"/>
        <v>7.46098121780617E-3</v>
      </c>
    </row>
    <row r="144" spans="14:30" x14ac:dyDescent="0.3">
      <c r="N144" s="71">
        <v>45113</v>
      </c>
      <c r="O144" s="70">
        <v>4267.5200000000004</v>
      </c>
      <c r="P144" s="68">
        <v>158.52000000000001</v>
      </c>
      <c r="Q144" s="70">
        <v>38.89</v>
      </c>
      <c r="R144" s="70">
        <v>436.37</v>
      </c>
      <c r="S144" s="76">
        <f t="shared" si="11"/>
        <v>-3.8192757067673886E-3</v>
      </c>
      <c r="T144" s="76">
        <f t="shared" si="12"/>
        <v>2.1471432309630532E-3</v>
      </c>
      <c r="U144" s="76">
        <f t="shared" si="13"/>
        <v>1.3461243908794926E-2</v>
      </c>
      <c r="V144" s="76">
        <f t="shared" si="14"/>
        <v>-1.5237263781719305E-2</v>
      </c>
      <c r="X144" s="71">
        <v>45175</v>
      </c>
      <c r="Y144" s="70">
        <v>11254.42</v>
      </c>
      <c r="Z144" s="70">
        <v>282.10000000000002</v>
      </c>
      <c r="AA144" s="80">
        <v>85.46</v>
      </c>
      <c r="AB144" s="76">
        <f t="shared" si="15"/>
        <v>-4.8290859565951723E-3</v>
      </c>
      <c r="AC144" s="76">
        <f t="shared" si="15"/>
        <v>-6.5365483154908562E-3</v>
      </c>
      <c r="AD144" s="73">
        <f t="shared" si="15"/>
        <v>-2.2207945542501079E-3</v>
      </c>
    </row>
    <row r="145" spans="14:30" x14ac:dyDescent="0.3">
      <c r="N145" s="71">
        <v>45083</v>
      </c>
      <c r="O145" s="70">
        <v>4283.8500000000004</v>
      </c>
      <c r="P145" s="68">
        <v>158.18</v>
      </c>
      <c r="Q145" s="70">
        <v>38.369999999999997</v>
      </c>
      <c r="R145" s="70">
        <v>443.07</v>
      </c>
      <c r="S145" s="76">
        <f t="shared" si="11"/>
        <v>2.3511165774900327E-3</v>
      </c>
      <c r="T145" s="76">
        <f t="shared" si="12"/>
        <v>-8.8467620303902454E-4</v>
      </c>
      <c r="U145" s="76">
        <f t="shared" si="13"/>
        <v>-7.2708707745700075E-3</v>
      </c>
      <c r="V145" s="76">
        <f t="shared" si="14"/>
        <v>-2.6822055231478007E-3</v>
      </c>
      <c r="X145" s="71">
        <v>45144</v>
      </c>
      <c r="Y145" s="70">
        <v>11308.9</v>
      </c>
      <c r="Z145" s="70">
        <v>283.95</v>
      </c>
      <c r="AA145" s="80">
        <v>85.65</v>
      </c>
      <c r="AB145" s="76">
        <f t="shared" si="15"/>
        <v>-3.4611839023745441E-3</v>
      </c>
      <c r="AC145" s="76">
        <f t="shared" si="15"/>
        <v>-1.3641344798377175E-2</v>
      </c>
      <c r="AD145" s="73">
        <f t="shared" si="15"/>
        <v>9.6199709504856245E-3</v>
      </c>
    </row>
    <row r="146" spans="14:30" x14ac:dyDescent="0.3">
      <c r="N146" s="71">
        <v>45052</v>
      </c>
      <c r="O146" s="70">
        <v>4273.79</v>
      </c>
      <c r="P146" s="68">
        <v>158.32</v>
      </c>
      <c r="Q146" s="70">
        <v>38.65</v>
      </c>
      <c r="R146" s="70">
        <v>444.26</v>
      </c>
      <c r="S146" s="76">
        <f t="shared" si="11"/>
        <v>-2.0055732655681105E-3</v>
      </c>
      <c r="T146" s="76">
        <f t="shared" si="12"/>
        <v>8.5635970071947197E-3</v>
      </c>
      <c r="U146" s="76">
        <f t="shared" si="13"/>
        <v>7.5315250181935151E-3</v>
      </c>
      <c r="V146" s="76">
        <f t="shared" si="14"/>
        <v>4.3537667887992623E-3</v>
      </c>
      <c r="X146" s="71">
        <v>45113</v>
      </c>
      <c r="Y146" s="70">
        <v>11348.11</v>
      </c>
      <c r="Z146" s="70">
        <v>287.85000000000002</v>
      </c>
      <c r="AA146" s="80">
        <v>84.83</v>
      </c>
      <c r="AB146" s="76">
        <f t="shared" si="15"/>
        <v>-1.0532881280294924E-2</v>
      </c>
      <c r="AC146" s="76">
        <f t="shared" si="15"/>
        <v>-1.4827857878627221E-2</v>
      </c>
      <c r="AD146" s="73">
        <f t="shared" si="15"/>
        <v>-1.1253195765230583E-2</v>
      </c>
    </row>
    <row r="147" spans="14:30" x14ac:dyDescent="0.3">
      <c r="N147" s="71">
        <v>44963</v>
      </c>
      <c r="O147" s="70">
        <v>4282.37</v>
      </c>
      <c r="P147" s="68">
        <v>156.97</v>
      </c>
      <c r="Q147" s="70">
        <v>38.36</v>
      </c>
      <c r="R147" s="70">
        <v>442.33</v>
      </c>
      <c r="S147" s="76">
        <f t="shared" si="11"/>
        <v>1.442978965214366E-2</v>
      </c>
      <c r="T147" s="76">
        <f t="shared" si="12"/>
        <v>1.5601741781677917E-2</v>
      </c>
      <c r="U147" s="76">
        <f t="shared" si="13"/>
        <v>8.9029129549542483E-3</v>
      </c>
      <c r="V147" s="76">
        <f t="shared" si="14"/>
        <v>1.3290744330892553E-2</v>
      </c>
      <c r="X147" s="71">
        <v>45083</v>
      </c>
      <c r="Y147" s="70">
        <v>11468.27</v>
      </c>
      <c r="Z147" s="70">
        <v>292.14999999999998</v>
      </c>
      <c r="AA147" s="80">
        <v>85.79</v>
      </c>
      <c r="AB147" s="76">
        <f t="shared" si="15"/>
        <v>4.6558115361939557E-3</v>
      </c>
      <c r="AC147" s="76">
        <f t="shared" si="15"/>
        <v>2.3989045088871042E-3</v>
      </c>
      <c r="AD147" s="73">
        <f t="shared" si="15"/>
        <v>1.5164773976489925E-3</v>
      </c>
    </row>
    <row r="148" spans="14:30" x14ac:dyDescent="0.3">
      <c r="N148" s="71">
        <v>44932</v>
      </c>
      <c r="O148" s="70">
        <v>4221.0200000000004</v>
      </c>
      <c r="P148" s="68">
        <v>154.54</v>
      </c>
      <c r="Q148" s="70">
        <v>38.020000000000003</v>
      </c>
      <c r="R148" s="70">
        <v>436.49</v>
      </c>
      <c r="S148" s="76">
        <f t="shared" si="11"/>
        <v>9.806229149665344E-3</v>
      </c>
      <c r="T148" s="76">
        <f t="shared" si="12"/>
        <v>-3.3591762853751742E-3</v>
      </c>
      <c r="U148" s="76">
        <f t="shared" si="13"/>
        <v>0</v>
      </c>
      <c r="V148" s="76">
        <f t="shared" si="14"/>
        <v>1.6236859970798417E-2</v>
      </c>
      <c r="X148" s="71">
        <v>45052</v>
      </c>
      <c r="Y148" s="70">
        <v>11415</v>
      </c>
      <c r="Z148" s="70">
        <v>291.45</v>
      </c>
      <c r="AA148" s="80">
        <v>85.66</v>
      </c>
      <c r="AB148" s="76">
        <f t="shared" si="15"/>
        <v>-2.4804952707543097E-3</v>
      </c>
      <c r="AC148" s="76">
        <f t="shared" si="15"/>
        <v>-4.6213175955978191E-3</v>
      </c>
      <c r="AD148" s="73">
        <f t="shared" si="15"/>
        <v>1.1270370529216154E-2</v>
      </c>
    </row>
    <row r="149" spans="14:30" x14ac:dyDescent="0.3">
      <c r="N149" s="70" t="s">
        <v>317</v>
      </c>
      <c r="O149" s="70">
        <v>4179.83</v>
      </c>
      <c r="P149" s="68">
        <v>155.06</v>
      </c>
      <c r="Q149" s="70">
        <v>38.020000000000003</v>
      </c>
      <c r="R149" s="70">
        <v>429.46</v>
      </c>
      <c r="S149" s="76">
        <f t="shared" si="11"/>
        <v>-6.1273722329718457E-3</v>
      </c>
      <c r="T149" s="76">
        <f t="shared" si="12"/>
        <v>4.4598205970629492E-3</v>
      </c>
      <c r="U149" s="76">
        <f t="shared" si="13"/>
        <v>2.6924190662218558E-2</v>
      </c>
      <c r="V149" s="76">
        <f t="shared" si="14"/>
        <v>5.1826893174912649E-3</v>
      </c>
      <c r="X149" s="71">
        <v>44963</v>
      </c>
      <c r="Y149" s="70">
        <v>11443.35</v>
      </c>
      <c r="Z149" s="70">
        <v>292.8</v>
      </c>
      <c r="AA149" s="80">
        <v>84.7</v>
      </c>
      <c r="AB149" s="76">
        <f t="shared" si="15"/>
        <v>1.2935307273421915E-2</v>
      </c>
      <c r="AC149" s="76">
        <f t="shared" si="15"/>
        <v>1.0471299867295437E-2</v>
      </c>
      <c r="AD149" s="73">
        <f t="shared" si="15"/>
        <v>1.4748126494602372E-2</v>
      </c>
    </row>
    <row r="150" spans="14:30" x14ac:dyDescent="0.3">
      <c r="N150" s="70" t="s">
        <v>318</v>
      </c>
      <c r="O150" s="70">
        <v>4205.5200000000004</v>
      </c>
      <c r="P150" s="68">
        <v>154.37</v>
      </c>
      <c r="Q150" s="70">
        <v>37.01</v>
      </c>
      <c r="R150" s="70">
        <v>427.24</v>
      </c>
      <c r="S150" s="76">
        <f t="shared" si="11"/>
        <v>1.6644929182328236E-5</v>
      </c>
      <c r="T150" s="76">
        <f t="shared" si="12"/>
        <v>1.2956724558179099E-4</v>
      </c>
      <c r="U150" s="76">
        <f t="shared" si="13"/>
        <v>-1.5815903997784268E-2</v>
      </c>
      <c r="V150" s="76">
        <f t="shared" si="14"/>
        <v>3.3996492422186278E-3</v>
      </c>
      <c r="X150" s="71">
        <v>44932</v>
      </c>
      <c r="Y150" s="70">
        <v>11296.28</v>
      </c>
      <c r="Z150" s="70">
        <v>289.75</v>
      </c>
      <c r="AA150" s="80">
        <v>83.46</v>
      </c>
      <c r="AB150" s="76">
        <f t="shared" si="15"/>
        <v>6.9636426104817501E-3</v>
      </c>
      <c r="AC150" s="76">
        <f t="shared" si="15"/>
        <v>5.3637986544395186E-3</v>
      </c>
      <c r="AD150" s="73">
        <f t="shared" si="15"/>
        <v>1.0236736588992608E-2</v>
      </c>
    </row>
    <row r="151" spans="14:30" x14ac:dyDescent="0.3">
      <c r="N151" s="70" t="s">
        <v>319</v>
      </c>
      <c r="O151" s="70">
        <v>4205.45</v>
      </c>
      <c r="P151" s="68">
        <v>154.35</v>
      </c>
      <c r="Q151" s="70">
        <v>37.6</v>
      </c>
      <c r="R151" s="70">
        <v>425.79</v>
      </c>
      <c r="S151" s="76">
        <f t="shared" si="11"/>
        <v>1.296458273531355E-2</v>
      </c>
      <c r="T151" s="76">
        <f t="shared" si="12"/>
        <v>-3.8865138460455936E-4</v>
      </c>
      <c r="U151" s="76">
        <f t="shared" si="13"/>
        <v>-6.0983882490889168E-3</v>
      </c>
      <c r="V151" s="76">
        <f t="shared" si="14"/>
        <v>-3.5634781583886578E-3</v>
      </c>
      <c r="X151" s="70" t="s">
        <v>317</v>
      </c>
      <c r="Y151" s="70">
        <v>11217.89</v>
      </c>
      <c r="Z151" s="70">
        <v>288.2</v>
      </c>
      <c r="AA151" s="80">
        <v>82.61</v>
      </c>
      <c r="AB151" s="76">
        <f t="shared" si="15"/>
        <v>-5.738595698666798E-3</v>
      </c>
      <c r="AC151" s="76">
        <f t="shared" si="15"/>
        <v>1.0414859472916706E-3</v>
      </c>
      <c r="AD151" s="73">
        <f t="shared" si="15"/>
        <v>1.5748988657093151E-3</v>
      </c>
    </row>
    <row r="152" spans="14:30" x14ac:dyDescent="0.3">
      <c r="N152" s="70" t="s">
        <v>320</v>
      </c>
      <c r="O152" s="70">
        <v>4151.28</v>
      </c>
      <c r="P152" s="68">
        <v>154.41</v>
      </c>
      <c r="Q152" s="70">
        <v>37.83</v>
      </c>
      <c r="R152" s="70">
        <v>427.31</v>
      </c>
      <c r="S152" s="76">
        <f t="shared" si="11"/>
        <v>8.719564785563249E-3</v>
      </c>
      <c r="T152" s="76">
        <f t="shared" si="12"/>
        <v>-1.4466449606319608E-2</v>
      </c>
      <c r="U152" s="76">
        <f t="shared" si="13"/>
        <v>-2.0926738033252179E-2</v>
      </c>
      <c r="V152" s="76">
        <f t="shared" si="14"/>
        <v>3.6104507733629092E-3</v>
      </c>
      <c r="X152" s="70" t="s">
        <v>318</v>
      </c>
      <c r="Y152" s="70">
        <v>11282.45</v>
      </c>
      <c r="Z152" s="70">
        <v>287.89999999999998</v>
      </c>
      <c r="AA152" s="80">
        <v>82.48</v>
      </c>
      <c r="AB152" s="76">
        <f t="shared" si="15"/>
        <v>-1.3363941583951607E-2</v>
      </c>
      <c r="AC152" s="76">
        <f t="shared" si="15"/>
        <v>-9.6786099467000633E-3</v>
      </c>
      <c r="AD152" s="73">
        <f t="shared" si="15"/>
        <v>-2.147009007555738E-2</v>
      </c>
    </row>
    <row r="153" spans="14:30" x14ac:dyDescent="0.3">
      <c r="N153" s="70" t="s">
        <v>321</v>
      </c>
      <c r="O153" s="70">
        <v>4115.24</v>
      </c>
      <c r="P153" s="68">
        <v>156.66</v>
      </c>
      <c r="Q153" s="70">
        <v>38.630000000000003</v>
      </c>
      <c r="R153" s="70">
        <v>425.77</v>
      </c>
      <c r="S153" s="76">
        <f t="shared" si="11"/>
        <v>-7.3455507858671458E-3</v>
      </c>
      <c r="T153" s="76">
        <f t="shared" si="12"/>
        <v>-9.5702945384771795E-4</v>
      </c>
      <c r="U153" s="76">
        <f t="shared" si="13"/>
        <v>-2.5809532783597225E-2</v>
      </c>
      <c r="V153" s="76">
        <f t="shared" si="14"/>
        <v>6.0307846097813617E-3</v>
      </c>
      <c r="X153" s="70" t="s">
        <v>319</v>
      </c>
      <c r="Y153" s="70">
        <v>11434.24</v>
      </c>
      <c r="Z153" s="70">
        <v>290.7</v>
      </c>
      <c r="AA153" s="80">
        <v>84.27</v>
      </c>
      <c r="AB153" s="76">
        <f t="shared" si="15"/>
        <v>9.5767334882670176E-3</v>
      </c>
      <c r="AC153" s="76">
        <f t="shared" si="15"/>
        <v>1.1068947327425079E-2</v>
      </c>
      <c r="AD153" s="73">
        <f t="shared" si="15"/>
        <v>4.0428116895257831E-3</v>
      </c>
    </row>
    <row r="154" spans="14:30" x14ac:dyDescent="0.3">
      <c r="N154" s="70" t="s">
        <v>322</v>
      </c>
      <c r="O154" s="70">
        <v>4145.58</v>
      </c>
      <c r="P154" s="68">
        <v>156.81</v>
      </c>
      <c r="Q154" s="70">
        <v>39.64</v>
      </c>
      <c r="R154" s="70">
        <v>423.21</v>
      </c>
      <c r="S154" s="76">
        <f t="shared" si="11"/>
        <v>-1.1285515564489972E-2</v>
      </c>
      <c r="T154" s="76">
        <f t="shared" si="12"/>
        <v>-3.8255547520883802E-4</v>
      </c>
      <c r="U154" s="76">
        <f t="shared" si="13"/>
        <v>2.2707953662431266E-2</v>
      </c>
      <c r="V154" s="76">
        <f t="shared" si="14"/>
        <v>-2.5152982605771024E-2</v>
      </c>
      <c r="X154" s="70" t="s">
        <v>320</v>
      </c>
      <c r="Y154" s="70">
        <v>11325.26</v>
      </c>
      <c r="Z154" s="70">
        <v>287.5</v>
      </c>
      <c r="AA154" s="80">
        <v>83.93</v>
      </c>
      <c r="AB154" s="76">
        <f t="shared" si="15"/>
        <v>-5.097684146917871E-3</v>
      </c>
      <c r="AC154" s="76">
        <f t="shared" si="15"/>
        <v>-4.5115467812660744E-3</v>
      </c>
      <c r="AD154" s="73">
        <f t="shared" si="15"/>
        <v>-2.2734944701678236E-2</v>
      </c>
    </row>
    <row r="155" spans="14:30" x14ac:dyDescent="0.3">
      <c r="N155" s="70" t="s">
        <v>323</v>
      </c>
      <c r="O155" s="70">
        <v>4192.63</v>
      </c>
      <c r="P155" s="68">
        <v>156.87</v>
      </c>
      <c r="Q155" s="70">
        <v>38.75</v>
      </c>
      <c r="R155" s="70">
        <v>433.99</v>
      </c>
      <c r="S155" s="76">
        <f t="shared" si="11"/>
        <v>1.550459714410593E-4</v>
      </c>
      <c r="T155" s="76">
        <f t="shared" si="12"/>
        <v>-1.2920567356396013E-2</v>
      </c>
      <c r="U155" s="76">
        <f t="shared" si="13"/>
        <v>5.2448460486175214E-2</v>
      </c>
      <c r="V155" s="76">
        <f t="shared" si="14"/>
        <v>-1.9147748869322537E-2</v>
      </c>
      <c r="X155" s="70" t="s">
        <v>321</v>
      </c>
      <c r="Y155" s="70">
        <v>11383.14</v>
      </c>
      <c r="Z155" s="70">
        <v>288.8</v>
      </c>
      <c r="AA155" s="80">
        <v>85.86</v>
      </c>
      <c r="AB155" s="76">
        <f t="shared" si="15"/>
        <v>-8.8998157841343288E-3</v>
      </c>
      <c r="AC155" s="76">
        <f t="shared" si="15"/>
        <v>7.8213660209246506E-3</v>
      </c>
      <c r="AD155" s="73">
        <f t="shared" si="15"/>
        <v>-2.4428558649685424E-3</v>
      </c>
    </row>
    <row r="156" spans="14:30" x14ac:dyDescent="0.3">
      <c r="N156" s="70" t="s">
        <v>324</v>
      </c>
      <c r="O156" s="70">
        <v>4191.9799999999996</v>
      </c>
      <c r="P156" s="68">
        <v>158.91</v>
      </c>
      <c r="Q156" s="70">
        <v>36.770000000000003</v>
      </c>
      <c r="R156" s="70">
        <v>442.38</v>
      </c>
      <c r="S156" s="76">
        <f t="shared" si="11"/>
        <v>-1.4469557460591439E-3</v>
      </c>
      <c r="T156" s="76">
        <f t="shared" si="12"/>
        <v>2.7096018342494684E-3</v>
      </c>
      <c r="U156" s="76">
        <f t="shared" si="13"/>
        <v>7.9181301070502235E-3</v>
      </c>
      <c r="V156" s="76">
        <f t="shared" si="14"/>
        <v>1.0201503947000312E-2</v>
      </c>
      <c r="X156" s="70" t="s">
        <v>322</v>
      </c>
      <c r="Y156" s="70">
        <v>11484.9</v>
      </c>
      <c r="Z156" s="70">
        <v>286.55</v>
      </c>
      <c r="AA156" s="80">
        <v>86.07</v>
      </c>
      <c r="AB156" s="76">
        <f t="shared" si="15"/>
        <v>-5.9319224576416911E-3</v>
      </c>
      <c r="AC156" s="76">
        <f t="shared" si="15"/>
        <v>5.2360591125609002E-4</v>
      </c>
      <c r="AD156" s="73">
        <f t="shared" si="15"/>
        <v>-4.752254669569818E-3</v>
      </c>
    </row>
    <row r="157" spans="14:30" x14ac:dyDescent="0.3">
      <c r="N157" s="70" t="s">
        <v>325</v>
      </c>
      <c r="O157" s="70">
        <v>4198.05</v>
      </c>
      <c r="P157" s="68">
        <v>158.47999999999999</v>
      </c>
      <c r="Q157" s="70">
        <v>36.479999999999997</v>
      </c>
      <c r="R157" s="70">
        <v>437.89</v>
      </c>
      <c r="S157" s="76">
        <f t="shared" si="11"/>
        <v>9.4007742847056677E-3</v>
      </c>
      <c r="T157" s="76">
        <f t="shared" si="12"/>
        <v>-3.2129047703223076E-3</v>
      </c>
      <c r="U157" s="76">
        <f t="shared" si="13"/>
        <v>-7.3740604527151319E-3</v>
      </c>
      <c r="V157" s="76">
        <f t="shared" si="14"/>
        <v>9.5960526464401437E-4</v>
      </c>
      <c r="X157" s="70" t="s">
        <v>323</v>
      </c>
      <c r="Y157" s="70">
        <v>11553.23</v>
      </c>
      <c r="Z157" s="70">
        <v>286.39999999999998</v>
      </c>
      <c r="AA157" s="80">
        <v>86.48</v>
      </c>
      <c r="AB157" s="76">
        <f t="shared" si="15"/>
        <v>-1.5507439195742716E-3</v>
      </c>
      <c r="AC157" s="76">
        <f t="shared" si="15"/>
        <v>-6.4387240626778905E-3</v>
      </c>
      <c r="AD157" s="73">
        <f t="shared" si="15"/>
        <v>8.1272942422184052E-3</v>
      </c>
    </row>
    <row r="158" spans="14:30" x14ac:dyDescent="0.3">
      <c r="N158" s="70" t="s">
        <v>326</v>
      </c>
      <c r="O158" s="70">
        <v>4158.7700000000004</v>
      </c>
      <c r="P158" s="68">
        <v>158.99</v>
      </c>
      <c r="Q158" s="70">
        <v>36.75</v>
      </c>
      <c r="R158" s="70">
        <v>437.47</v>
      </c>
      <c r="S158" s="76">
        <f t="shared" si="11"/>
        <v>1.1820660164447881E-2</v>
      </c>
      <c r="T158" s="76">
        <f t="shared" si="12"/>
        <v>-2.1989767916022365E-3</v>
      </c>
      <c r="U158" s="76">
        <f t="shared" si="13"/>
        <v>-7.0499207392188748E-3</v>
      </c>
      <c r="V158" s="76">
        <f t="shared" si="14"/>
        <v>1.8761731582279501E-3</v>
      </c>
      <c r="X158" s="70" t="s">
        <v>324</v>
      </c>
      <c r="Y158" s="70">
        <v>11571.16</v>
      </c>
      <c r="Z158" s="70">
        <v>288.25</v>
      </c>
      <c r="AA158" s="80">
        <v>85.78</v>
      </c>
      <c r="AB158" s="76">
        <f t="shared" si="15"/>
        <v>1.1593884294923912E-2</v>
      </c>
      <c r="AC158" s="76">
        <f t="shared" si="15"/>
        <v>1.6968831892588441E-2</v>
      </c>
      <c r="AD158" s="73">
        <f t="shared" si="15"/>
        <v>-6.1595871428319019E-3</v>
      </c>
    </row>
    <row r="159" spans="14:30" x14ac:dyDescent="0.3">
      <c r="N159" s="70" t="s">
        <v>327</v>
      </c>
      <c r="O159" s="70">
        <v>4109.8999999999996</v>
      </c>
      <c r="P159" s="68">
        <v>159.34</v>
      </c>
      <c r="Q159" s="70">
        <v>37.01</v>
      </c>
      <c r="R159" s="70">
        <v>436.65</v>
      </c>
      <c r="S159" s="76">
        <f t="shared" si="11"/>
        <v>-6.398135861993161E-3</v>
      </c>
      <c r="T159" s="76">
        <f t="shared" si="12"/>
        <v>-1.3170687720325466E-3</v>
      </c>
      <c r="U159" s="76">
        <f t="shared" si="13"/>
        <v>-4.0447675475731278E-3</v>
      </c>
      <c r="V159" s="76">
        <f t="shared" si="14"/>
        <v>4.912999459411543E-3</v>
      </c>
      <c r="X159" s="70" t="s">
        <v>326</v>
      </c>
      <c r="Y159" s="70">
        <v>11437.78</v>
      </c>
      <c r="Z159" s="70">
        <v>283.39999999999998</v>
      </c>
      <c r="AA159" s="80">
        <v>86.31</v>
      </c>
      <c r="AB159" s="76">
        <f t="shared" si="15"/>
        <v>-7.151459305545128E-3</v>
      </c>
      <c r="AC159" s="76">
        <f t="shared" si="15"/>
        <v>3.888991997136295E-3</v>
      </c>
      <c r="AD159" s="73">
        <f t="shared" si="15"/>
        <v>-1.5634299368927945E-2</v>
      </c>
    </row>
    <row r="160" spans="14:30" x14ac:dyDescent="0.3">
      <c r="N160" s="70" t="s">
        <v>328</v>
      </c>
      <c r="O160" s="70">
        <v>4136.28</v>
      </c>
      <c r="P160" s="68">
        <v>159.55000000000001</v>
      </c>
      <c r="Q160" s="70">
        <v>37.159999999999997</v>
      </c>
      <c r="R160" s="70">
        <v>434.51</v>
      </c>
      <c r="S160" s="76">
        <f t="shared" si="11"/>
        <v>2.9538685652344835E-3</v>
      </c>
      <c r="T160" s="76">
        <f t="shared" si="12"/>
        <v>-7.6796181755621942E-3</v>
      </c>
      <c r="U160" s="76">
        <f t="shared" si="13"/>
        <v>-5.0999976331886528E-3</v>
      </c>
      <c r="V160" s="76">
        <f t="shared" si="14"/>
        <v>1.8413239170952061E-4</v>
      </c>
      <c r="X160" s="70" t="s">
        <v>327</v>
      </c>
      <c r="Y160" s="70">
        <v>11519.87</v>
      </c>
      <c r="Z160" s="70">
        <v>282.3</v>
      </c>
      <c r="AA160" s="80">
        <v>87.67</v>
      </c>
      <c r="AB160" s="76">
        <f t="shared" si="15"/>
        <v>-5.0549676176087528E-3</v>
      </c>
      <c r="AC160" s="76">
        <f t="shared" si="15"/>
        <v>-6.8837973712016966E-3</v>
      </c>
      <c r="AD160" s="73">
        <f t="shared" si="15"/>
        <v>1.1407060983113605E-4</v>
      </c>
    </row>
    <row r="161" spans="14:30" x14ac:dyDescent="0.3">
      <c r="N161" s="71">
        <v>45265</v>
      </c>
      <c r="O161" s="70">
        <v>4124.08</v>
      </c>
      <c r="P161" s="68">
        <v>160.78</v>
      </c>
      <c r="Q161" s="70">
        <v>37.35</v>
      </c>
      <c r="R161" s="70">
        <v>434.43</v>
      </c>
      <c r="S161" s="76">
        <f t="shared" si="11"/>
        <v>-1.5845521626198357E-3</v>
      </c>
      <c r="T161" s="76">
        <f t="shared" si="12"/>
        <v>-1.3052803543882531E-3</v>
      </c>
      <c r="U161" s="76">
        <f t="shared" si="13"/>
        <v>-6.1390824064928044E-3</v>
      </c>
      <c r="V161" s="76">
        <f t="shared" si="14"/>
        <v>-2.5747732562801146E-3</v>
      </c>
      <c r="X161" s="70" t="s">
        <v>328</v>
      </c>
      <c r="Y161" s="70">
        <v>11578.25</v>
      </c>
      <c r="Z161" s="70">
        <v>284.25</v>
      </c>
      <c r="AA161" s="80">
        <v>87.66</v>
      </c>
      <c r="AB161" s="76">
        <f t="shared" si="15"/>
        <v>1.1683889920874979E-3</v>
      </c>
      <c r="AC161" s="76">
        <f t="shared" si="15"/>
        <v>-1.7574696966460861E-3</v>
      </c>
      <c r="AD161" s="73">
        <f t="shared" si="15"/>
        <v>-4.5620438747431211E-4</v>
      </c>
    </row>
    <row r="162" spans="14:30" x14ac:dyDescent="0.3">
      <c r="N162" s="71">
        <v>45235</v>
      </c>
      <c r="O162" s="70">
        <v>4130.62</v>
      </c>
      <c r="P162" s="68">
        <v>160.99</v>
      </c>
      <c r="Q162" s="70">
        <v>37.58</v>
      </c>
      <c r="R162" s="70">
        <v>435.55</v>
      </c>
      <c r="S162" s="76">
        <f t="shared" si="11"/>
        <v>-1.6980602174566785E-3</v>
      </c>
      <c r="T162" s="76">
        <f t="shared" si="12"/>
        <v>-4.0912529172390738E-3</v>
      </c>
      <c r="U162" s="76">
        <f t="shared" si="13"/>
        <v>-1.8977902201281056E-2</v>
      </c>
      <c r="V162" s="76">
        <f t="shared" si="14"/>
        <v>-8.4914000994187118E-4</v>
      </c>
      <c r="X162" s="71">
        <v>45265</v>
      </c>
      <c r="Y162" s="70">
        <v>11564.73</v>
      </c>
      <c r="Z162" s="70">
        <v>284.75</v>
      </c>
      <c r="AA162" s="80">
        <v>87.7</v>
      </c>
      <c r="AB162" s="76">
        <f t="shared" si="15"/>
        <v>3.6175145675578124E-3</v>
      </c>
      <c r="AC162" s="76">
        <f t="shared" si="15"/>
        <v>8.1100585560204275E-3</v>
      </c>
      <c r="AD162" s="73">
        <f t="shared" si="15"/>
        <v>-5.6996296783775918E-4</v>
      </c>
    </row>
    <row r="163" spans="14:30" x14ac:dyDescent="0.3">
      <c r="N163" s="71">
        <v>45204</v>
      </c>
      <c r="O163" s="70">
        <v>4137.6400000000003</v>
      </c>
      <c r="P163" s="68">
        <v>161.65</v>
      </c>
      <c r="Q163" s="70">
        <v>38.299999999999997</v>
      </c>
      <c r="R163" s="70">
        <v>435.92</v>
      </c>
      <c r="S163" s="76">
        <f t="shared" si="11"/>
        <v>4.4738902330266894E-3</v>
      </c>
      <c r="T163" s="76">
        <f t="shared" si="12"/>
        <v>3.7186283942341695E-3</v>
      </c>
      <c r="U163" s="76">
        <f t="shared" si="13"/>
        <v>-4.6887296109054209E-3</v>
      </c>
      <c r="V163" s="76">
        <f t="shared" si="14"/>
        <v>1.7448088131846784E-2</v>
      </c>
      <c r="X163" s="71">
        <v>45235</v>
      </c>
      <c r="Y163" s="70">
        <v>11522.97</v>
      </c>
      <c r="Z163" s="70">
        <v>282.45</v>
      </c>
      <c r="AA163" s="80">
        <v>87.75</v>
      </c>
      <c r="AB163" s="76">
        <f t="shared" si="15"/>
        <v>6.5946552046465198E-3</v>
      </c>
      <c r="AC163" s="76">
        <f t="shared" si="15"/>
        <v>7.9979098683644317E-3</v>
      </c>
      <c r="AD163" s="73">
        <f t="shared" si="15"/>
        <v>6.9758416566791876E-3</v>
      </c>
    </row>
    <row r="164" spans="14:30" x14ac:dyDescent="0.3">
      <c r="N164" s="71">
        <v>45174</v>
      </c>
      <c r="O164" s="70">
        <v>4119.17</v>
      </c>
      <c r="P164" s="68">
        <v>161.05000000000001</v>
      </c>
      <c r="Q164" s="70">
        <v>38.479999999999997</v>
      </c>
      <c r="R164" s="70">
        <v>428.38</v>
      </c>
      <c r="S164" s="76">
        <f t="shared" si="11"/>
        <v>-4.5898916638410408E-3</v>
      </c>
      <c r="T164" s="76">
        <f t="shared" si="12"/>
        <v>-7.7932111397712566E-3</v>
      </c>
      <c r="U164" s="76">
        <f t="shared" si="13"/>
        <v>-4.9254798217000699E-3</v>
      </c>
      <c r="V164" s="76">
        <f t="shared" si="14"/>
        <v>-1.0080215420175277E-2</v>
      </c>
      <c r="X164" s="71">
        <v>45204</v>
      </c>
      <c r="Y164" s="70">
        <v>11447.23</v>
      </c>
      <c r="Z164" s="70">
        <v>280.2</v>
      </c>
      <c r="AA164" s="80">
        <v>87.14</v>
      </c>
      <c r="AB164" s="76">
        <f t="shared" si="15"/>
        <v>-8.5947417008303863E-3</v>
      </c>
      <c r="AC164" s="76">
        <f t="shared" si="15"/>
        <v>-1.20611607550659E-2</v>
      </c>
      <c r="AD164" s="73">
        <f t="shared" si="15"/>
        <v>-1.6390077805756024E-2</v>
      </c>
    </row>
    <row r="165" spans="14:30" x14ac:dyDescent="0.3">
      <c r="N165" s="71">
        <v>45143</v>
      </c>
      <c r="O165" s="70">
        <v>4138.12</v>
      </c>
      <c r="P165" s="68">
        <v>162.31</v>
      </c>
      <c r="Q165" s="70">
        <v>38.67</v>
      </c>
      <c r="R165" s="70">
        <v>432.72</v>
      </c>
      <c r="S165" s="76">
        <f t="shared" si="11"/>
        <v>4.5199816586328297E-4</v>
      </c>
      <c r="T165" s="76">
        <f t="shared" si="12"/>
        <v>-2.2769941220446553E-3</v>
      </c>
      <c r="U165" s="76">
        <f t="shared" si="13"/>
        <v>4.6656383235509835E-3</v>
      </c>
      <c r="V165" s="76">
        <f t="shared" si="14"/>
        <v>1.1411695778997361E-2</v>
      </c>
      <c r="X165" s="71">
        <v>45174</v>
      </c>
      <c r="Y165" s="70">
        <v>11546.04</v>
      </c>
      <c r="Z165" s="70">
        <v>283.60000000000002</v>
      </c>
      <c r="AA165" s="80">
        <v>88.58</v>
      </c>
      <c r="AB165" s="76">
        <f t="shared" si="15"/>
        <v>-4.2530104567422029E-3</v>
      </c>
      <c r="AC165" s="76">
        <f t="shared" si="15"/>
        <v>-1.761494202169847E-3</v>
      </c>
      <c r="AD165" s="73">
        <f t="shared" si="15"/>
        <v>-2.7057513689039909E-3</v>
      </c>
    </row>
    <row r="166" spans="14:30" x14ac:dyDescent="0.3">
      <c r="N166" s="71">
        <v>45051</v>
      </c>
      <c r="O166" s="70">
        <v>4136.25</v>
      </c>
      <c r="P166" s="68">
        <v>162.68</v>
      </c>
      <c r="Q166" s="70">
        <v>38.49</v>
      </c>
      <c r="R166" s="70">
        <v>427.81</v>
      </c>
      <c r="S166" s="76">
        <f t="shared" si="11"/>
        <v>1.8306159168068423E-2</v>
      </c>
      <c r="T166" s="76">
        <f t="shared" si="12"/>
        <v>3.3865984770459828E-3</v>
      </c>
      <c r="U166" s="76">
        <f t="shared" si="13"/>
        <v>6.7779195873334643E-3</v>
      </c>
      <c r="V166" s="76">
        <f t="shared" si="14"/>
        <v>-1.4715331122545508E-3</v>
      </c>
      <c r="X166" s="71">
        <v>45143</v>
      </c>
      <c r="Y166" s="70">
        <v>11595.25</v>
      </c>
      <c r="Z166" s="70">
        <v>284.10000000000002</v>
      </c>
      <c r="AA166" s="80">
        <v>88.82</v>
      </c>
      <c r="AB166" s="76">
        <f t="shared" si="15"/>
        <v>3.5430623223978255E-3</v>
      </c>
      <c r="AC166" s="76">
        <f t="shared" si="15"/>
        <v>1.408947045336794E-3</v>
      </c>
      <c r="AD166" s="73">
        <f t="shared" si="15"/>
        <v>5.4188436955756539E-3</v>
      </c>
    </row>
    <row r="167" spans="14:30" x14ac:dyDescent="0.3">
      <c r="N167" s="71">
        <v>45021</v>
      </c>
      <c r="O167" s="70">
        <v>4061.22</v>
      </c>
      <c r="P167" s="68">
        <v>162.13</v>
      </c>
      <c r="Q167" s="70">
        <v>38.229999999999997</v>
      </c>
      <c r="R167" s="70">
        <v>428.44</v>
      </c>
      <c r="S167" s="76">
        <f t="shared" si="11"/>
        <v>-7.2449062412514361E-3</v>
      </c>
      <c r="T167" s="76">
        <f t="shared" si="12"/>
        <v>-4.5538540234917029E-3</v>
      </c>
      <c r="U167" s="76">
        <f t="shared" si="13"/>
        <v>-5.7381482433317491E-3</v>
      </c>
      <c r="V167" s="76">
        <f t="shared" si="14"/>
        <v>-6.3981233348212327E-3</v>
      </c>
      <c r="X167" s="71">
        <v>45051</v>
      </c>
      <c r="Y167" s="70">
        <v>11554.24</v>
      </c>
      <c r="Z167" s="70">
        <v>283.7</v>
      </c>
      <c r="AA167" s="80">
        <v>88.34</v>
      </c>
      <c r="AB167" s="76">
        <f t="shared" si="15"/>
        <v>8.506561987571085E-3</v>
      </c>
      <c r="AC167" s="76">
        <f t="shared" si="15"/>
        <v>6.0102708766919472E-3</v>
      </c>
      <c r="AD167" s="73">
        <f t="shared" si="15"/>
        <v>5.5621915352742453E-3</v>
      </c>
    </row>
    <row r="168" spans="14:30" x14ac:dyDescent="0.3">
      <c r="N168" s="71">
        <v>44990</v>
      </c>
      <c r="O168" s="70">
        <v>4090.75</v>
      </c>
      <c r="P168" s="68">
        <v>162.87</v>
      </c>
      <c r="Q168" s="70">
        <v>38.450000000000003</v>
      </c>
      <c r="R168" s="70">
        <v>431.19</v>
      </c>
      <c r="S168" s="76">
        <f t="shared" si="11"/>
        <v>-7.0228890905811598E-3</v>
      </c>
      <c r="T168" s="76">
        <f t="shared" si="12"/>
        <v>-1.3174938970007022E-2</v>
      </c>
      <c r="U168" s="76">
        <f t="shared" si="13"/>
        <v>-1.5740229496879907E-2</v>
      </c>
      <c r="V168" s="76">
        <f t="shared" si="14"/>
        <v>6.4639023261729531E-2</v>
      </c>
      <c r="X168" s="71">
        <v>45021</v>
      </c>
      <c r="Y168" s="70">
        <v>11456.37</v>
      </c>
      <c r="Z168" s="70">
        <v>282</v>
      </c>
      <c r="AA168" s="80">
        <v>87.85</v>
      </c>
      <c r="AB168" s="76">
        <f t="shared" si="15"/>
        <v>-4.3392442455784767E-3</v>
      </c>
      <c r="AC168" s="76">
        <f t="shared" si="15"/>
        <v>3.1965930256272726E-3</v>
      </c>
      <c r="AD168" s="73">
        <f t="shared" si="15"/>
        <v>1.9369914334006308E-3</v>
      </c>
    </row>
    <row r="169" spans="14:30" x14ac:dyDescent="0.3">
      <c r="N169" s="71">
        <v>44962</v>
      </c>
      <c r="O169" s="70">
        <v>4119.58</v>
      </c>
      <c r="P169" s="68">
        <v>165.03</v>
      </c>
      <c r="Q169" s="70">
        <v>39.06</v>
      </c>
      <c r="R169" s="70">
        <v>404.2</v>
      </c>
      <c r="S169" s="76">
        <f t="shared" si="11"/>
        <v>-1.1653897528004022E-2</v>
      </c>
      <c r="T169" s="76">
        <f t="shared" si="12"/>
        <v>8.70285138682967E-3</v>
      </c>
      <c r="U169" s="76">
        <f t="shared" si="13"/>
        <v>-3.832890855707329E-3</v>
      </c>
      <c r="V169" s="76">
        <f t="shared" si="14"/>
        <v>-3.9752647996916246E-3</v>
      </c>
      <c r="X169" s="71">
        <v>44990</v>
      </c>
      <c r="Y169" s="70">
        <v>11506.19</v>
      </c>
      <c r="Z169" s="70">
        <v>281.10000000000002</v>
      </c>
      <c r="AA169" s="80">
        <v>87.68</v>
      </c>
      <c r="AB169" s="76">
        <f t="shared" si="15"/>
        <v>7.2273960103926716E-3</v>
      </c>
      <c r="AC169" s="76">
        <f t="shared" si="15"/>
        <v>1.6021365242780753E-3</v>
      </c>
      <c r="AD169" s="73">
        <f t="shared" si="15"/>
        <v>3.0841306073088764E-3</v>
      </c>
    </row>
    <row r="170" spans="14:30" x14ac:dyDescent="0.3">
      <c r="N170" s="71">
        <v>44931</v>
      </c>
      <c r="O170" s="70">
        <v>4167.87</v>
      </c>
      <c r="P170" s="68">
        <v>163.6</v>
      </c>
      <c r="Q170" s="70">
        <v>39.21</v>
      </c>
      <c r="R170" s="70">
        <v>405.81</v>
      </c>
      <c r="S170" s="76">
        <f t="shared" si="11"/>
        <v>-3.8621384972729493E-4</v>
      </c>
      <c r="T170" s="76">
        <f t="shared" si="12"/>
        <v>-6.1106020844254618E-4</v>
      </c>
      <c r="U170" s="76">
        <f t="shared" si="13"/>
        <v>8.1946681365843294E-3</v>
      </c>
      <c r="V170" s="76">
        <f t="shared" si="14"/>
        <v>2.4824456376623141E-2</v>
      </c>
      <c r="X170" s="71">
        <v>44962</v>
      </c>
      <c r="Y170" s="70">
        <v>11423.33</v>
      </c>
      <c r="Z170" s="70">
        <v>280.64999999999998</v>
      </c>
      <c r="AA170" s="80">
        <v>87.41</v>
      </c>
      <c r="AB170" s="76">
        <f t="shared" si="15"/>
        <v>-1.2081992784858555E-3</v>
      </c>
      <c r="AC170" s="76">
        <f t="shared" si="15"/>
        <v>1.0695188185266252E-3</v>
      </c>
      <c r="AD170" s="73">
        <f t="shared" si="15"/>
        <v>1.1969299300202225E-2</v>
      </c>
    </row>
    <row r="171" spans="14:30" x14ac:dyDescent="0.3">
      <c r="N171" s="70" t="s">
        <v>329</v>
      </c>
      <c r="O171" s="70">
        <v>4169.4799999999996</v>
      </c>
      <c r="P171" s="68">
        <v>163.69999999999999</v>
      </c>
      <c r="Q171" s="70">
        <v>38.89</v>
      </c>
      <c r="R171" s="70">
        <v>395.86</v>
      </c>
      <c r="S171" s="76">
        <f t="shared" si="11"/>
        <v>8.2193596125703667E-3</v>
      </c>
      <c r="T171" s="76">
        <f t="shared" si="12"/>
        <v>4.2852835703268604E-3</v>
      </c>
      <c r="U171" s="76">
        <f t="shared" si="13"/>
        <v>3.8644901888061412E-3</v>
      </c>
      <c r="V171" s="76">
        <f t="shared" si="14"/>
        <v>1.4016840826289137E-2</v>
      </c>
      <c r="X171" s="70" t="s">
        <v>329</v>
      </c>
      <c r="Y171" s="70">
        <v>11437.14</v>
      </c>
      <c r="Z171" s="70">
        <v>280.35000000000002</v>
      </c>
      <c r="AA171" s="80">
        <v>86.37</v>
      </c>
      <c r="AB171" s="76">
        <f t="shared" si="15"/>
        <v>6.6011820024931738E-3</v>
      </c>
      <c r="AC171" s="76">
        <f t="shared" si="15"/>
        <v>1.4913581594489972E-2</v>
      </c>
      <c r="AD171" s="73">
        <f t="shared" si="15"/>
        <v>-2.4284487216402074E-3</v>
      </c>
    </row>
    <row r="172" spans="14:30" x14ac:dyDescent="0.3">
      <c r="N172" s="70" t="s">
        <v>330</v>
      </c>
      <c r="O172" s="70">
        <v>4135.3500000000004</v>
      </c>
      <c r="P172" s="68">
        <v>163</v>
      </c>
      <c r="Q172" s="70">
        <v>38.74</v>
      </c>
      <c r="R172" s="70">
        <v>390.35</v>
      </c>
      <c r="S172" s="76">
        <f t="shared" si="11"/>
        <v>1.9377167380002121E-2</v>
      </c>
      <c r="T172" s="76">
        <f t="shared" si="12"/>
        <v>2.3340100270708426E-3</v>
      </c>
      <c r="U172" s="76">
        <f t="shared" si="13"/>
        <v>2.8434813006598322E-3</v>
      </c>
      <c r="V172" s="76">
        <f t="shared" si="14"/>
        <v>3.6736801769773023E-2</v>
      </c>
      <c r="X172" s="70" t="s">
        <v>330</v>
      </c>
      <c r="Y172" s="70">
        <v>11361.89</v>
      </c>
      <c r="Z172" s="70">
        <v>276.2</v>
      </c>
      <c r="AA172" s="80">
        <v>86.58</v>
      </c>
      <c r="AB172" s="76">
        <f t="shared" si="15"/>
        <v>-2.6576552948728318E-4</v>
      </c>
      <c r="AC172" s="76">
        <f t="shared" si="15"/>
        <v>5.627681186562288E-3</v>
      </c>
      <c r="AD172" s="73">
        <f t="shared" si="15"/>
        <v>-3.343906257994671E-3</v>
      </c>
    </row>
    <row r="173" spans="14:30" x14ac:dyDescent="0.3">
      <c r="N173" s="70" t="s">
        <v>331</v>
      </c>
      <c r="O173" s="70">
        <v>4055.99</v>
      </c>
      <c r="P173" s="68">
        <v>162.62</v>
      </c>
      <c r="Q173" s="70">
        <v>38.630000000000003</v>
      </c>
      <c r="R173" s="70">
        <v>376.27</v>
      </c>
      <c r="S173" s="76">
        <f t="shared" si="11"/>
        <v>-3.8486098771117832E-3</v>
      </c>
      <c r="T173" s="76">
        <f t="shared" si="12"/>
        <v>-1.5619597602879473E-2</v>
      </c>
      <c r="U173" s="76">
        <f t="shared" si="13"/>
        <v>-1.7958409765528094E-2</v>
      </c>
      <c r="V173" s="76">
        <f t="shared" si="14"/>
        <v>-2.2520692696536837E-2</v>
      </c>
      <c r="X173" s="70" t="s">
        <v>331</v>
      </c>
      <c r="Y173" s="70">
        <v>11364.91</v>
      </c>
      <c r="Z173" s="70">
        <v>274.64999999999998</v>
      </c>
      <c r="AA173" s="80">
        <v>86.87</v>
      </c>
      <c r="AB173" s="76">
        <f t="shared" si="15"/>
        <v>-1.2956716413858638E-2</v>
      </c>
      <c r="AC173" s="76">
        <f t="shared" si="15"/>
        <v>-2.6054838331437478E-2</v>
      </c>
      <c r="AD173" s="73">
        <f t="shared" si="15"/>
        <v>-1.5874255569571973E-2</v>
      </c>
    </row>
    <row r="174" spans="14:30" x14ac:dyDescent="0.3">
      <c r="N174" s="70" t="s">
        <v>332</v>
      </c>
      <c r="O174" s="70">
        <v>4071.63</v>
      </c>
      <c r="P174" s="68">
        <v>165.18</v>
      </c>
      <c r="Q174" s="70">
        <v>39.33</v>
      </c>
      <c r="R174" s="70">
        <v>384.84</v>
      </c>
      <c r="S174" s="76">
        <f t="shared" si="11"/>
        <v>-1.5937145594967939E-2</v>
      </c>
      <c r="T174" s="76">
        <f t="shared" si="12"/>
        <v>9.122486179254697E-3</v>
      </c>
      <c r="U174" s="76">
        <f t="shared" si="13"/>
        <v>-1.4639332616924353E-2</v>
      </c>
      <c r="V174" s="76">
        <f t="shared" si="14"/>
        <v>3.8792534881602206E-3</v>
      </c>
      <c r="X174" s="70" t="s">
        <v>332</v>
      </c>
      <c r="Y174" s="70">
        <v>11513.12</v>
      </c>
      <c r="Z174" s="70">
        <v>281.89999999999998</v>
      </c>
      <c r="AA174" s="80">
        <v>88.26</v>
      </c>
      <c r="AB174" s="76">
        <f t="shared" si="15"/>
        <v>3.9964683797773706E-3</v>
      </c>
      <c r="AC174" s="76">
        <f t="shared" si="15"/>
        <v>4.0878045015143097E-3</v>
      </c>
      <c r="AD174" s="73">
        <f t="shared" si="15"/>
        <v>3.9519874144919455E-2</v>
      </c>
    </row>
    <row r="175" spans="14:30" x14ac:dyDescent="0.3">
      <c r="N175" s="70" t="s">
        <v>333</v>
      </c>
      <c r="O175" s="70">
        <v>4137.04</v>
      </c>
      <c r="P175" s="68">
        <v>163.68</v>
      </c>
      <c r="Q175" s="70">
        <v>39.909999999999997</v>
      </c>
      <c r="R175" s="70">
        <v>383.35</v>
      </c>
      <c r="S175" s="76">
        <f t="shared" si="11"/>
        <v>8.5121206122392508E-4</v>
      </c>
      <c r="T175" s="76">
        <f t="shared" si="12"/>
        <v>6.066752682237362E-3</v>
      </c>
      <c r="U175" s="76">
        <f t="shared" si="13"/>
        <v>-7.4888018485402405E-3</v>
      </c>
      <c r="V175" s="76">
        <f t="shared" si="14"/>
        <v>-4.9181066877600297E-3</v>
      </c>
      <c r="X175" s="70" t="s">
        <v>333</v>
      </c>
      <c r="Y175" s="70">
        <v>11467.2</v>
      </c>
      <c r="Z175" s="70">
        <v>280.75</v>
      </c>
      <c r="AA175" s="80">
        <v>84.84</v>
      </c>
      <c r="AB175" s="76">
        <f t="shared" si="15"/>
        <v>5.7746543136426504E-4</v>
      </c>
      <c r="AC175" s="76">
        <f t="shared" si="15"/>
        <v>-1.0679958295314433E-3</v>
      </c>
      <c r="AD175" s="73">
        <f t="shared" si="15"/>
        <v>6.7411999122197258E-3</v>
      </c>
    </row>
    <row r="176" spans="14:30" x14ac:dyDescent="0.3">
      <c r="N176" s="70" t="s">
        <v>334</v>
      </c>
      <c r="O176" s="70">
        <v>4133.5200000000004</v>
      </c>
      <c r="P176" s="68">
        <v>162.69</v>
      </c>
      <c r="Q176" s="70">
        <v>40.21</v>
      </c>
      <c r="R176" s="70">
        <v>385.24</v>
      </c>
      <c r="S176" s="76">
        <f t="shared" si="11"/>
        <v>9.0278599092536804E-4</v>
      </c>
      <c r="T176" s="76">
        <f t="shared" si="12"/>
        <v>-5.4556177857492012E-3</v>
      </c>
      <c r="U176" s="76">
        <f t="shared" si="13"/>
        <v>8.9933156729585465E-3</v>
      </c>
      <c r="V176" s="76">
        <f t="shared" si="14"/>
        <v>2.7447285787847157E-2</v>
      </c>
      <c r="X176" s="70" t="s">
        <v>334</v>
      </c>
      <c r="Y176" s="70">
        <v>11460.58</v>
      </c>
      <c r="Z176" s="70">
        <v>281.05</v>
      </c>
      <c r="AA176" s="80">
        <v>84.27</v>
      </c>
      <c r="AB176" s="76">
        <f t="shared" si="15"/>
        <v>6.1213553056063685E-3</v>
      </c>
      <c r="AC176" s="76">
        <f t="shared" si="15"/>
        <v>1.2351360815434531E-2</v>
      </c>
      <c r="AD176" s="73">
        <f t="shared" si="15"/>
        <v>8.5806747428592411E-3</v>
      </c>
    </row>
    <row r="177" spans="14:30" x14ac:dyDescent="0.3">
      <c r="N177" s="70" t="s">
        <v>335</v>
      </c>
      <c r="O177" s="70">
        <v>4129.79</v>
      </c>
      <c r="P177" s="68">
        <v>163.58000000000001</v>
      </c>
      <c r="Q177" s="70">
        <v>39.85</v>
      </c>
      <c r="R177" s="70">
        <v>374.81</v>
      </c>
      <c r="S177" s="76">
        <f t="shared" si="11"/>
        <v>-5.9703399458197028E-3</v>
      </c>
      <c r="T177" s="76">
        <f t="shared" si="12"/>
        <v>6.4395671917435067E-3</v>
      </c>
      <c r="U177" s="76">
        <f t="shared" si="13"/>
        <v>-9.7391205552596911E-3</v>
      </c>
      <c r="V177" s="76">
        <f t="shared" si="14"/>
        <v>1.1646761106975734E-2</v>
      </c>
      <c r="X177" s="70" t="s">
        <v>335</v>
      </c>
      <c r="Y177" s="70">
        <v>11390.64</v>
      </c>
      <c r="Z177" s="70">
        <v>277.60000000000002</v>
      </c>
      <c r="AA177" s="80">
        <v>83.55</v>
      </c>
      <c r="AB177" s="76">
        <f t="shared" si="15"/>
        <v>2.1461668589845611E-3</v>
      </c>
      <c r="AC177" s="76">
        <f t="shared" si="15"/>
        <v>8.6831225734608566E-3</v>
      </c>
      <c r="AD177" s="73">
        <f t="shared" si="15"/>
        <v>-9.5705235203160375E-4</v>
      </c>
    </row>
    <row r="178" spans="14:30" x14ac:dyDescent="0.3">
      <c r="N178" s="70" t="s">
        <v>336</v>
      </c>
      <c r="O178" s="70">
        <v>4154.5200000000004</v>
      </c>
      <c r="P178" s="68">
        <v>162.53</v>
      </c>
      <c r="Q178" s="70">
        <v>40.24</v>
      </c>
      <c r="R178" s="70">
        <v>370.47</v>
      </c>
      <c r="S178" s="76">
        <f t="shared" si="11"/>
        <v>-8.4242044291161936E-5</v>
      </c>
      <c r="T178" s="76">
        <f t="shared" si="12"/>
        <v>9.3961252582373585E-3</v>
      </c>
      <c r="U178" s="76">
        <f t="shared" si="13"/>
        <v>-7.6742547699380961E-3</v>
      </c>
      <c r="V178" s="76">
        <f t="shared" si="14"/>
        <v>1.5127369912497997E-3</v>
      </c>
      <c r="X178" s="70" t="s">
        <v>336</v>
      </c>
      <c r="Y178" s="70">
        <v>11366.22</v>
      </c>
      <c r="Z178" s="70">
        <v>275.2</v>
      </c>
      <c r="AA178" s="80">
        <v>83.63</v>
      </c>
      <c r="AB178" s="76">
        <f t="shared" si="15"/>
        <v>6.3717813220134207E-4</v>
      </c>
      <c r="AC178" s="76">
        <f t="shared" si="15"/>
        <v>-4.1700722200835316E-3</v>
      </c>
      <c r="AD178" s="73">
        <f t="shared" si="15"/>
        <v>5.756101754497517E-3</v>
      </c>
    </row>
    <row r="179" spans="14:30" x14ac:dyDescent="0.3">
      <c r="N179" s="70" t="s">
        <v>337</v>
      </c>
      <c r="O179" s="70">
        <v>4154.87</v>
      </c>
      <c r="P179" s="68">
        <v>161.01</v>
      </c>
      <c r="Q179" s="70">
        <v>40.549999999999997</v>
      </c>
      <c r="R179" s="70">
        <v>369.91</v>
      </c>
      <c r="S179" s="76">
        <f t="shared" si="11"/>
        <v>8.547842551524592E-4</v>
      </c>
      <c r="T179" s="76">
        <f t="shared" si="12"/>
        <v>-2.8531383093598837E-2</v>
      </c>
      <c r="U179" s="76">
        <f t="shared" si="13"/>
        <v>-1.5416921038221473E-2</v>
      </c>
      <c r="V179" s="76">
        <f t="shared" si="14"/>
        <v>-6.5745393500636091E-3</v>
      </c>
      <c r="X179" s="70" t="s">
        <v>337</v>
      </c>
      <c r="Y179" s="70">
        <v>11358.98</v>
      </c>
      <c r="Z179" s="70">
        <v>276.35000000000002</v>
      </c>
      <c r="AA179" s="80">
        <v>83.15</v>
      </c>
      <c r="AB179" s="76">
        <f t="shared" si="15"/>
        <v>4.165728007570561E-3</v>
      </c>
      <c r="AC179" s="76">
        <f t="shared" si="15"/>
        <v>-5.77306312020645E-3</v>
      </c>
      <c r="AD179" s="73">
        <f t="shared" si="15"/>
        <v>-4.2004262178730037E-3</v>
      </c>
    </row>
    <row r="180" spans="14:30" x14ac:dyDescent="0.3">
      <c r="N180" s="70" t="s">
        <v>338</v>
      </c>
      <c r="O180" s="70">
        <v>4151.32</v>
      </c>
      <c r="P180" s="68">
        <v>165.67</v>
      </c>
      <c r="Q180" s="70">
        <v>41.18</v>
      </c>
      <c r="R180" s="70">
        <v>372.35</v>
      </c>
      <c r="S180" s="76">
        <f t="shared" si="11"/>
        <v>3.3007789687629755E-3</v>
      </c>
      <c r="T180" s="76">
        <f t="shared" si="12"/>
        <v>-1.0256101770782196E-3</v>
      </c>
      <c r="U180" s="76">
        <f t="shared" si="13"/>
        <v>-2.4280684834597732E-4</v>
      </c>
      <c r="V180" s="76">
        <f t="shared" si="14"/>
        <v>-6.3714944892730848E-3</v>
      </c>
      <c r="X180" s="70" t="s">
        <v>338</v>
      </c>
      <c r="Y180" s="70">
        <v>11311.76</v>
      </c>
      <c r="Z180" s="70">
        <v>277.95</v>
      </c>
      <c r="AA180" s="80">
        <v>83.5</v>
      </c>
      <c r="AB180" s="76">
        <f t="shared" si="15"/>
        <v>-2.7455785651230727E-3</v>
      </c>
      <c r="AC180" s="76">
        <f t="shared" si="15"/>
        <v>3.4237352121400271E-3</v>
      </c>
      <c r="AD180" s="73">
        <f t="shared" si="15"/>
        <v>7.4528533456370335E-3</v>
      </c>
    </row>
    <row r="181" spans="14:30" x14ac:dyDescent="0.3">
      <c r="N181" s="70" t="s">
        <v>339</v>
      </c>
      <c r="O181" s="70">
        <v>4137.6400000000003</v>
      </c>
      <c r="P181" s="68">
        <v>165.84</v>
      </c>
      <c r="Q181" s="70">
        <v>41.19</v>
      </c>
      <c r="R181" s="70">
        <v>374.73</v>
      </c>
      <c r="S181" s="76">
        <f t="shared" si="11"/>
        <v>-2.0714988104920951E-3</v>
      </c>
      <c r="T181" s="76">
        <f t="shared" si="12"/>
        <v>-1.6267513754614177E-3</v>
      </c>
      <c r="U181" s="76">
        <f t="shared" si="13"/>
        <v>-6.7747658103005674E-3</v>
      </c>
      <c r="V181" s="76">
        <f t="shared" si="14"/>
        <v>-1.1201793458101015E-3</v>
      </c>
      <c r="X181" s="70" t="s">
        <v>339</v>
      </c>
      <c r="Y181" s="70">
        <v>11342.86</v>
      </c>
      <c r="Z181" s="70">
        <v>277</v>
      </c>
      <c r="AA181" s="80">
        <v>82.88</v>
      </c>
      <c r="AB181" s="76">
        <f t="shared" si="15"/>
        <v>7.425103167512135E-3</v>
      </c>
      <c r="AC181" s="76">
        <f t="shared" si="15"/>
        <v>1.6258697466514729E-3</v>
      </c>
      <c r="AD181" s="73">
        <f t="shared" si="15"/>
        <v>3.8684767779203319E-3</v>
      </c>
    </row>
    <row r="182" spans="14:30" x14ac:dyDescent="0.3">
      <c r="N182" s="70" t="s">
        <v>340</v>
      </c>
      <c r="O182" s="70">
        <v>4146.22</v>
      </c>
      <c r="P182" s="68">
        <v>166.11</v>
      </c>
      <c r="Q182" s="70">
        <v>41.47</v>
      </c>
      <c r="R182" s="70">
        <v>375.15</v>
      </c>
      <c r="S182" s="76">
        <f t="shared" si="11"/>
        <v>1.3175446748330008E-2</v>
      </c>
      <c r="T182" s="76">
        <f t="shared" si="12"/>
        <v>1.3271715572341315E-2</v>
      </c>
      <c r="U182" s="76">
        <f t="shared" si="13"/>
        <v>2.4142937849699485E-3</v>
      </c>
      <c r="V182" s="76">
        <f t="shared" si="14"/>
        <v>1.6393809775676352E-2</v>
      </c>
      <c r="X182" s="70" t="s">
        <v>340</v>
      </c>
      <c r="Y182" s="70">
        <v>11258.95</v>
      </c>
      <c r="Z182" s="70">
        <v>276.55</v>
      </c>
      <c r="AA182" s="80">
        <v>82.56</v>
      </c>
      <c r="AB182" s="76">
        <f t="shared" si="15"/>
        <v>2.3974109497331498E-3</v>
      </c>
      <c r="AC182" s="76">
        <f t="shared" si="15"/>
        <v>4.1670501461326375E-3</v>
      </c>
      <c r="AD182" s="73">
        <f t="shared" si="15"/>
        <v>4.1267202635203509E-3</v>
      </c>
    </row>
    <row r="183" spans="14:30" x14ac:dyDescent="0.3">
      <c r="N183" s="71">
        <v>45264</v>
      </c>
      <c r="O183" s="70">
        <v>4091.95</v>
      </c>
      <c r="P183" s="68">
        <v>163.92</v>
      </c>
      <c r="Q183" s="70">
        <v>41.37</v>
      </c>
      <c r="R183" s="70">
        <v>369.05</v>
      </c>
      <c r="S183" s="76">
        <f t="shared" si="11"/>
        <v>-4.1434586507983449E-3</v>
      </c>
      <c r="T183" s="76">
        <f t="shared" si="12"/>
        <v>-2.1329116224643374E-3</v>
      </c>
      <c r="U183" s="76">
        <f t="shared" si="13"/>
        <v>-1.0101095986503933E-2</v>
      </c>
      <c r="V183" s="76">
        <f t="shared" si="14"/>
        <v>1.3668384506906404E-2</v>
      </c>
      <c r="X183" s="71">
        <v>45264</v>
      </c>
      <c r="Y183" s="70">
        <v>11231.99</v>
      </c>
      <c r="Z183" s="70">
        <v>275.39999999999998</v>
      </c>
      <c r="AA183" s="80">
        <v>82.22</v>
      </c>
      <c r="AB183" s="76">
        <f t="shared" si="15"/>
        <v>-2.9612477183913999E-3</v>
      </c>
      <c r="AC183" s="76">
        <f t="shared" si="15"/>
        <v>6.3746687046273998E-3</v>
      </c>
      <c r="AD183" s="73">
        <f t="shared" si="15"/>
        <v>-1.2155100560617446E-3</v>
      </c>
    </row>
    <row r="184" spans="14:30" x14ac:dyDescent="0.3">
      <c r="N184" s="71">
        <v>45234</v>
      </c>
      <c r="O184" s="70">
        <v>4108.9399999999996</v>
      </c>
      <c r="P184" s="68">
        <v>164.27</v>
      </c>
      <c r="Q184" s="70">
        <v>41.79</v>
      </c>
      <c r="R184" s="70">
        <v>364.04</v>
      </c>
      <c r="S184" s="76">
        <f t="shared" si="11"/>
        <v>-4.1372345026909729E-5</v>
      </c>
      <c r="T184" s="76">
        <f t="shared" si="12"/>
        <v>-3.0433062713952424E-4</v>
      </c>
      <c r="U184" s="76">
        <f t="shared" si="13"/>
        <v>1.4367818563628255E-3</v>
      </c>
      <c r="V184" s="76">
        <f t="shared" si="14"/>
        <v>-8.0980963454152215E-3</v>
      </c>
      <c r="X184" s="71">
        <v>45234</v>
      </c>
      <c r="Y184" s="70">
        <v>11265.3</v>
      </c>
      <c r="Z184" s="70">
        <v>273.64999999999998</v>
      </c>
      <c r="AA184" s="80">
        <v>82.32</v>
      </c>
      <c r="AB184" s="76">
        <f t="shared" si="15"/>
        <v>3.1322026534843163E-3</v>
      </c>
      <c r="AC184" s="76">
        <f t="shared" si="15"/>
        <v>-3.101343359658284E-3</v>
      </c>
      <c r="AD184" s="73">
        <f t="shared" si="15"/>
        <v>-2.7900788403429056E-3</v>
      </c>
    </row>
    <row r="185" spans="14:30" x14ac:dyDescent="0.3">
      <c r="N185" s="71">
        <v>45203</v>
      </c>
      <c r="O185" s="70">
        <v>4109.1099999999997</v>
      </c>
      <c r="P185" s="68">
        <v>164.32</v>
      </c>
      <c r="Q185" s="70">
        <v>41.73</v>
      </c>
      <c r="R185" s="70">
        <v>367</v>
      </c>
      <c r="S185" s="76">
        <f t="shared" si="11"/>
        <v>9.9584504701190541E-4</v>
      </c>
      <c r="T185" s="76">
        <f t="shared" si="12"/>
        <v>-5.0384056565505988E-3</v>
      </c>
      <c r="U185" s="76">
        <f t="shared" si="13"/>
        <v>5.5268673668086342E-3</v>
      </c>
      <c r="V185" s="76">
        <f t="shared" si="14"/>
        <v>-3.5088232493917359E-3</v>
      </c>
      <c r="X185" s="71">
        <v>45081</v>
      </c>
      <c r="Y185" s="70">
        <v>11230.07</v>
      </c>
      <c r="Z185" s="70">
        <v>274.5</v>
      </c>
      <c r="AA185" s="80">
        <v>82.55</v>
      </c>
      <c r="AB185" s="76">
        <f t="shared" si="15"/>
        <v>1.0263467861538606E-2</v>
      </c>
      <c r="AC185" s="76">
        <f t="shared" si="15"/>
        <v>2.6579637804711887E-2</v>
      </c>
      <c r="AD185" s="73">
        <f t="shared" si="15"/>
        <v>1.0105400416715694E-2</v>
      </c>
    </row>
    <row r="186" spans="14:30" x14ac:dyDescent="0.3">
      <c r="N186" s="71">
        <v>45081</v>
      </c>
      <c r="O186" s="70">
        <v>4105.0200000000004</v>
      </c>
      <c r="P186" s="68">
        <v>165.15</v>
      </c>
      <c r="Q186" s="70">
        <v>41.5</v>
      </c>
      <c r="R186" s="70">
        <v>368.29</v>
      </c>
      <c r="S186" s="76">
        <f t="shared" si="11"/>
        <v>3.5727397253701647E-3</v>
      </c>
      <c r="T186" s="76">
        <f t="shared" si="12"/>
        <v>-2.7814747646009801E-3</v>
      </c>
      <c r="U186" s="76">
        <f t="shared" si="13"/>
        <v>-1.2040940648045638E-3</v>
      </c>
      <c r="V186" s="76">
        <f t="shared" si="14"/>
        <v>1.6563695729198451E-2</v>
      </c>
      <c r="X186" s="71">
        <v>45050</v>
      </c>
      <c r="Y186" s="70">
        <v>11115.4</v>
      </c>
      <c r="Z186" s="70">
        <v>267.3</v>
      </c>
      <c r="AA186" s="80">
        <v>81.72</v>
      </c>
      <c r="AB186" s="76">
        <f t="shared" si="15"/>
        <v>3.778473710600258E-3</v>
      </c>
      <c r="AC186" s="76">
        <f t="shared" si="15"/>
        <v>2.4617793092375478E-2</v>
      </c>
      <c r="AD186" s="73">
        <f t="shared" si="15"/>
        <v>1.6657797724794195E-2</v>
      </c>
    </row>
    <row r="187" spans="14:30" x14ac:dyDescent="0.3">
      <c r="N187" s="71">
        <v>45050</v>
      </c>
      <c r="O187" s="70">
        <v>4090.38</v>
      </c>
      <c r="P187" s="68">
        <v>165.61</v>
      </c>
      <c r="Q187" s="70">
        <v>41.55</v>
      </c>
      <c r="R187" s="70">
        <v>362.24</v>
      </c>
      <c r="S187" s="76">
        <f t="shared" si="11"/>
        <v>-2.4954291924703361E-3</v>
      </c>
      <c r="T187" s="76">
        <f t="shared" si="12"/>
        <v>4.3944126757065362E-2</v>
      </c>
      <c r="U187" s="76">
        <f t="shared" si="13"/>
        <v>1.5767458252701018E-2</v>
      </c>
      <c r="V187" s="76">
        <f t="shared" si="14"/>
        <v>2.126018194592089E-2</v>
      </c>
      <c r="X187" s="71">
        <v>45020</v>
      </c>
      <c r="Y187" s="70">
        <v>11073.48</v>
      </c>
      <c r="Z187" s="70">
        <v>260.8</v>
      </c>
      <c r="AA187" s="80">
        <v>80.37</v>
      </c>
      <c r="AB187" s="76">
        <f t="shared" si="15"/>
        <v>-1.7693314857296274E-3</v>
      </c>
      <c r="AC187" s="76">
        <f t="shared" si="15"/>
        <v>1.9190180519781182E-3</v>
      </c>
      <c r="AD187" s="73">
        <f t="shared" si="15"/>
        <v>4.9894078808286951E-3</v>
      </c>
    </row>
    <row r="188" spans="14:30" x14ac:dyDescent="0.3">
      <c r="N188" s="71">
        <v>45020</v>
      </c>
      <c r="O188" s="70">
        <v>4100.6000000000004</v>
      </c>
      <c r="P188" s="68">
        <v>158.49</v>
      </c>
      <c r="Q188" s="70">
        <v>40.9</v>
      </c>
      <c r="R188" s="70">
        <v>354.62</v>
      </c>
      <c r="S188" s="76">
        <f t="shared" si="11"/>
        <v>-5.8139203852082119E-3</v>
      </c>
      <c r="T188" s="76">
        <f t="shared" si="12"/>
        <v>1.0401565207647172E-2</v>
      </c>
      <c r="U188" s="76">
        <f t="shared" si="13"/>
        <v>-1.0942358420944357E-2</v>
      </c>
      <c r="V188" s="76">
        <f t="shared" si="14"/>
        <v>1.1001585387695795E-2</v>
      </c>
      <c r="X188" s="71">
        <v>44989</v>
      </c>
      <c r="Y188" s="70">
        <v>11093.09</v>
      </c>
      <c r="Z188" s="70">
        <v>260.3</v>
      </c>
      <c r="AA188" s="80">
        <v>79.97</v>
      </c>
      <c r="AB188" s="76">
        <f t="shared" si="15"/>
        <v>-1.1847205783301639E-3</v>
      </c>
      <c r="AC188" s="76">
        <f t="shared" si="15"/>
        <v>-2.4940060889024913E-3</v>
      </c>
      <c r="AD188" s="73">
        <f t="shared" si="15"/>
        <v>7.2791486067763913E-3</v>
      </c>
    </row>
    <row r="189" spans="14:30" x14ac:dyDescent="0.3">
      <c r="N189" s="71">
        <v>44989</v>
      </c>
      <c r="O189" s="70">
        <v>4124.51</v>
      </c>
      <c r="P189" s="68">
        <v>156.85</v>
      </c>
      <c r="Q189" s="70">
        <v>41.35</v>
      </c>
      <c r="R189" s="70">
        <v>350.74</v>
      </c>
      <c r="S189" s="76">
        <f t="shared" si="11"/>
        <v>3.6920936495169121E-3</v>
      </c>
      <c r="T189" s="76">
        <f t="shared" si="12"/>
        <v>1.186481771744056E-2</v>
      </c>
      <c r="U189" s="76">
        <f t="shared" si="13"/>
        <v>1.3390340059584477E-2</v>
      </c>
      <c r="V189" s="76">
        <f t="shared" si="14"/>
        <v>2.1091020355489896E-2</v>
      </c>
      <c r="X189" s="70" t="s">
        <v>341</v>
      </c>
      <c r="Y189" s="70">
        <v>11106.24</v>
      </c>
      <c r="Z189" s="70">
        <v>260.95</v>
      </c>
      <c r="AA189" s="80">
        <v>79.39</v>
      </c>
      <c r="AB189" s="76">
        <f t="shared" si="15"/>
        <v>6.6879366836747021E-3</v>
      </c>
      <c r="AC189" s="76">
        <f t="shared" si="15"/>
        <v>1.1503068753073427E-3</v>
      </c>
      <c r="AD189" s="73">
        <f t="shared" si="15"/>
        <v>4.9245632700005114E-3</v>
      </c>
    </row>
    <row r="190" spans="14:30" x14ac:dyDescent="0.3">
      <c r="N190" s="70" t="s">
        <v>341</v>
      </c>
      <c r="O190" s="70">
        <v>4109.3100000000004</v>
      </c>
      <c r="P190" s="68">
        <v>155</v>
      </c>
      <c r="Q190" s="70">
        <v>40.799999999999997</v>
      </c>
      <c r="R190" s="70">
        <v>343.42</v>
      </c>
      <c r="S190" s="76">
        <f t="shared" si="11"/>
        <v>1.4333332809426856E-2</v>
      </c>
      <c r="T190" s="76">
        <f t="shared" si="12"/>
        <v>1.0180679962132259E-2</v>
      </c>
      <c r="U190" s="76">
        <f t="shared" si="13"/>
        <v>1.0347468525424543E-2</v>
      </c>
      <c r="V190" s="76">
        <f t="shared" si="14"/>
        <v>7.9812149849804413E-3</v>
      </c>
      <c r="X190" s="70" t="s">
        <v>342</v>
      </c>
      <c r="Y190" s="70">
        <v>11032.21</v>
      </c>
      <c r="Z190" s="70">
        <v>260.64999999999998</v>
      </c>
      <c r="AA190" s="80">
        <v>79</v>
      </c>
      <c r="AB190" s="76">
        <f t="shared" si="15"/>
        <v>6.2649326187071159E-3</v>
      </c>
      <c r="AC190" s="76">
        <f t="shared" si="15"/>
        <v>6.9297678662043312E-3</v>
      </c>
      <c r="AD190" s="73">
        <f t="shared" si="15"/>
        <v>4.1859641258703778E-3</v>
      </c>
    </row>
    <row r="191" spans="14:30" x14ac:dyDescent="0.3">
      <c r="N191" s="70" t="s">
        <v>342</v>
      </c>
      <c r="O191" s="70">
        <v>4050.83</v>
      </c>
      <c r="P191" s="68">
        <v>153.43</v>
      </c>
      <c r="Q191" s="70">
        <v>40.380000000000003</v>
      </c>
      <c r="R191" s="70">
        <v>340.69</v>
      </c>
      <c r="S191" s="76">
        <f t="shared" si="11"/>
        <v>5.698994460609173E-3</v>
      </c>
      <c r="T191" s="76">
        <f t="shared" si="12"/>
        <v>7.8242163475159324E-4</v>
      </c>
      <c r="U191" s="76">
        <f t="shared" si="13"/>
        <v>3.2246090201190798E-3</v>
      </c>
      <c r="V191" s="76">
        <f t="shared" si="14"/>
        <v>1.424879256633566E-2</v>
      </c>
      <c r="X191" s="70" t="s">
        <v>343</v>
      </c>
      <c r="Y191" s="70">
        <v>10963.31</v>
      </c>
      <c r="Z191" s="70">
        <v>258.85000000000002</v>
      </c>
      <c r="AA191" s="80">
        <v>78.67</v>
      </c>
      <c r="AB191" s="76">
        <f t="shared" si="15"/>
        <v>1.1393353904310064E-2</v>
      </c>
      <c r="AC191" s="76">
        <f t="shared" si="15"/>
        <v>7.3672299096719605E-3</v>
      </c>
      <c r="AD191" s="73">
        <f t="shared" si="15"/>
        <v>-5.5774006921538851E-3</v>
      </c>
    </row>
    <row r="192" spans="14:30" x14ac:dyDescent="0.3">
      <c r="N192" s="70" t="s">
        <v>343</v>
      </c>
      <c r="O192" s="70">
        <v>4027.81</v>
      </c>
      <c r="P192" s="68">
        <v>153.31</v>
      </c>
      <c r="Q192" s="70">
        <v>40.25</v>
      </c>
      <c r="R192" s="70">
        <v>335.87</v>
      </c>
      <c r="S192" s="76">
        <f t="shared" si="11"/>
        <v>1.4136861145886559E-2</v>
      </c>
      <c r="T192" s="76">
        <f t="shared" si="12"/>
        <v>9.7664067337408372E-3</v>
      </c>
      <c r="U192" s="76">
        <f t="shared" si="13"/>
        <v>6.4805810058452609E-3</v>
      </c>
      <c r="V192" s="76">
        <f t="shared" si="14"/>
        <v>-5.2856756865103452E-3</v>
      </c>
      <c r="X192" s="70" t="s">
        <v>344</v>
      </c>
      <c r="Y192" s="70">
        <v>10839.11</v>
      </c>
      <c r="Z192" s="70">
        <v>256.95</v>
      </c>
      <c r="AA192" s="80">
        <v>79.11</v>
      </c>
      <c r="AB192" s="76">
        <f t="shared" si="15"/>
        <v>4.8914958021012674E-3</v>
      </c>
      <c r="AC192" s="76">
        <f t="shared" si="15"/>
        <v>1.9460932240072419E-4</v>
      </c>
      <c r="AD192" s="73">
        <f t="shared" si="15"/>
        <v>1.4643414393945068E-2</v>
      </c>
    </row>
    <row r="193" spans="14:30" x14ac:dyDescent="0.3">
      <c r="N193" s="70" t="s">
        <v>344</v>
      </c>
      <c r="O193" s="70">
        <v>3971.27</v>
      </c>
      <c r="P193" s="68">
        <v>151.82</v>
      </c>
      <c r="Q193" s="70">
        <v>39.99</v>
      </c>
      <c r="R193" s="70">
        <v>337.65</v>
      </c>
      <c r="S193" s="76">
        <f t="shared" si="11"/>
        <v>-1.5750808409301009E-3</v>
      </c>
      <c r="T193" s="76">
        <f t="shared" si="12"/>
        <v>-9.701177289146358E-3</v>
      </c>
      <c r="U193" s="76">
        <f t="shared" si="13"/>
        <v>-5.7349614857789329E-3</v>
      </c>
      <c r="V193" s="76">
        <f t="shared" si="14"/>
        <v>9.0740674681271845E-3</v>
      </c>
      <c r="X193" s="70" t="s">
        <v>345</v>
      </c>
      <c r="Y193" s="70">
        <v>10786.22</v>
      </c>
      <c r="Z193" s="70">
        <v>256.89999999999998</v>
      </c>
      <c r="AA193" s="80">
        <v>77.959999999999994</v>
      </c>
      <c r="AB193" s="76">
        <f t="shared" si="15"/>
        <v>1.4209216922977361E-2</v>
      </c>
      <c r="AC193" s="76">
        <f t="shared" si="15"/>
        <v>-5.8218677926088471E-3</v>
      </c>
      <c r="AD193" s="73">
        <f t="shared" si="15"/>
        <v>7.4404025761323683E-2</v>
      </c>
    </row>
    <row r="194" spans="14:30" x14ac:dyDescent="0.3">
      <c r="N194" s="70" t="s">
        <v>345</v>
      </c>
      <c r="O194" s="70">
        <v>3977.53</v>
      </c>
      <c r="P194" s="68">
        <v>153.30000000000001</v>
      </c>
      <c r="Q194" s="70">
        <v>40.22</v>
      </c>
      <c r="R194" s="70">
        <v>334.6</v>
      </c>
      <c r="S194" s="76">
        <f t="shared" si="11"/>
        <v>1.6455897389303137E-3</v>
      </c>
      <c r="T194" s="76">
        <f t="shared" si="12"/>
        <v>4.2490666968817287E-3</v>
      </c>
      <c r="U194" s="76">
        <f t="shared" si="13"/>
        <v>-4.2178452308155069E-3</v>
      </c>
      <c r="V194" s="76">
        <f t="shared" si="14"/>
        <v>-4.5622013440382676E-3</v>
      </c>
      <c r="X194" s="70" t="s">
        <v>346</v>
      </c>
      <c r="Y194" s="70">
        <v>10634.04</v>
      </c>
      <c r="Z194" s="70">
        <v>258.39999999999998</v>
      </c>
      <c r="AA194" s="80">
        <v>72.37</v>
      </c>
      <c r="AB194" s="76">
        <f t="shared" si="15"/>
        <v>-7.9147757428299943E-3</v>
      </c>
      <c r="AC194" s="76">
        <f t="shared" si="15"/>
        <v>1.9351717525308457E-4</v>
      </c>
      <c r="AD194" s="73">
        <f t="shared" si="15"/>
        <v>7.3504248840922503E-3</v>
      </c>
    </row>
    <row r="195" spans="14:30" x14ac:dyDescent="0.3">
      <c r="N195" s="70" t="s">
        <v>346</v>
      </c>
      <c r="O195" s="70">
        <v>3970.99</v>
      </c>
      <c r="P195" s="68">
        <v>152.65</v>
      </c>
      <c r="Q195" s="70">
        <v>40.39</v>
      </c>
      <c r="R195" s="70">
        <v>336.13</v>
      </c>
      <c r="S195" s="76">
        <f t="shared" ref="S195:S258" si="16">LN(O195/O196)</f>
        <v>5.623958124210314E-3</v>
      </c>
      <c r="T195" s="76">
        <f t="shared" ref="T195:T258" si="17">LN(P195/P196)</f>
        <v>1.0007325598857702E-2</v>
      </c>
      <c r="U195" s="76">
        <f t="shared" ref="U195:U258" si="18">LN(Q195/Q196)</f>
        <v>5.2128701885332104E-3</v>
      </c>
      <c r="V195" s="76">
        <f t="shared" ref="V195:V258" si="19">LN(R195/R196)</f>
        <v>1.04371657870591E-2</v>
      </c>
      <c r="X195" s="70" t="s">
        <v>347</v>
      </c>
      <c r="Y195" s="70">
        <v>10718.54</v>
      </c>
      <c r="Z195" s="70">
        <v>258.35000000000002</v>
      </c>
      <c r="AA195" s="80">
        <v>71.84</v>
      </c>
      <c r="AB195" s="76">
        <f t="shared" ref="AB195:AD258" si="20">LN(Y195/Y196)</f>
        <v>-5.9290935626659033E-3</v>
      </c>
      <c r="AC195" s="76">
        <f t="shared" si="20"/>
        <v>-1.0013563356228503E-2</v>
      </c>
      <c r="AD195" s="73">
        <f t="shared" si="20"/>
        <v>-5.2755918553675065E-3</v>
      </c>
    </row>
    <row r="196" spans="14:30" x14ac:dyDescent="0.3">
      <c r="N196" s="70" t="s">
        <v>347</v>
      </c>
      <c r="O196" s="70">
        <v>3948.72</v>
      </c>
      <c r="P196" s="68">
        <v>151.13</v>
      </c>
      <c r="Q196" s="70">
        <v>40.18</v>
      </c>
      <c r="R196" s="70">
        <v>332.64</v>
      </c>
      <c r="S196" s="76">
        <f t="shared" si="16"/>
        <v>2.9800838470393862E-3</v>
      </c>
      <c r="T196" s="76">
        <f t="shared" si="17"/>
        <v>5.2948574934827473E-4</v>
      </c>
      <c r="U196" s="76">
        <f t="shared" si="18"/>
        <v>4.2399365176446543E-3</v>
      </c>
      <c r="V196" s="76">
        <f t="shared" si="19"/>
        <v>5.0330872812765501E-3</v>
      </c>
      <c r="X196" s="70" t="s">
        <v>348</v>
      </c>
      <c r="Y196" s="70">
        <v>10782.28</v>
      </c>
      <c r="Z196" s="70">
        <v>260.95</v>
      </c>
      <c r="AA196" s="80">
        <v>72.22</v>
      </c>
      <c r="AB196" s="76">
        <f t="shared" si="20"/>
        <v>-9.5481507481556122E-4</v>
      </c>
      <c r="AC196" s="76">
        <f t="shared" si="20"/>
        <v>-6.683878602071926E-3</v>
      </c>
      <c r="AD196" s="73">
        <f t="shared" si="20"/>
        <v>-9.0972371023911938E-3</v>
      </c>
    </row>
    <row r="197" spans="14:30" x14ac:dyDescent="0.3">
      <c r="N197" s="70" t="s">
        <v>348</v>
      </c>
      <c r="O197" s="70">
        <v>3936.97</v>
      </c>
      <c r="P197" s="68">
        <v>151.05000000000001</v>
      </c>
      <c r="Q197" s="70">
        <v>40.01</v>
      </c>
      <c r="R197" s="70">
        <v>330.97</v>
      </c>
      <c r="S197" s="76">
        <f t="shared" si="16"/>
        <v>-1.6600211922495948E-2</v>
      </c>
      <c r="T197" s="76">
        <f t="shared" si="17"/>
        <v>-1.862715364307916E-2</v>
      </c>
      <c r="U197" s="76">
        <f t="shared" si="18"/>
        <v>-1.6115385331056914E-2</v>
      </c>
      <c r="V197" s="76">
        <f t="shared" si="19"/>
        <v>-3.3230118876873173E-4</v>
      </c>
      <c r="X197" s="70" t="s">
        <v>349</v>
      </c>
      <c r="Y197" s="70">
        <v>10792.58</v>
      </c>
      <c r="Z197" s="70">
        <v>262.7</v>
      </c>
      <c r="AA197" s="80">
        <v>72.88</v>
      </c>
      <c r="AB197" s="76">
        <f t="shared" si="20"/>
        <v>1.3896330303044258E-2</v>
      </c>
      <c r="AC197" s="76">
        <f t="shared" si="20"/>
        <v>4.7696360573545281E-3</v>
      </c>
      <c r="AD197" s="73">
        <f t="shared" si="20"/>
        <v>2.0602987852534013E-3</v>
      </c>
    </row>
    <row r="198" spans="14:30" x14ac:dyDescent="0.3">
      <c r="N198" s="70" t="s">
        <v>349</v>
      </c>
      <c r="O198" s="70">
        <v>4002.87</v>
      </c>
      <c r="P198" s="68">
        <v>153.88999999999999</v>
      </c>
      <c r="Q198" s="70">
        <v>40.659999999999997</v>
      </c>
      <c r="R198" s="70">
        <v>331.08</v>
      </c>
      <c r="S198" s="76">
        <f t="shared" si="16"/>
        <v>1.289863554198477E-2</v>
      </c>
      <c r="T198" s="76">
        <f t="shared" si="17"/>
        <v>0</v>
      </c>
      <c r="U198" s="76">
        <f t="shared" si="18"/>
        <v>-3.6823412175139162E-3</v>
      </c>
      <c r="V198" s="76">
        <f t="shared" si="19"/>
        <v>-7.5826324673968206E-3</v>
      </c>
      <c r="X198" s="70" t="s">
        <v>350</v>
      </c>
      <c r="Y198" s="70">
        <v>10643.64</v>
      </c>
      <c r="Z198" s="70">
        <v>261.45</v>
      </c>
      <c r="AA198" s="80">
        <v>72.73</v>
      </c>
      <c r="AB198" s="76">
        <f t="shared" si="20"/>
        <v>2.8310439994310515E-3</v>
      </c>
      <c r="AC198" s="76">
        <f t="shared" si="20"/>
        <v>-1.1467891165066822E-3</v>
      </c>
      <c r="AD198" s="73">
        <f t="shared" si="20"/>
        <v>6.4832284469550907E-3</v>
      </c>
    </row>
    <row r="199" spans="14:30" x14ac:dyDescent="0.3">
      <c r="N199" s="70" t="s">
        <v>350</v>
      </c>
      <c r="O199" s="70">
        <v>3951.57</v>
      </c>
      <c r="P199" s="68">
        <v>153.88999999999999</v>
      </c>
      <c r="Q199" s="70">
        <v>40.81</v>
      </c>
      <c r="R199" s="70">
        <v>333.6</v>
      </c>
      <c r="S199" s="76">
        <f t="shared" si="16"/>
        <v>8.878824909597214E-3</v>
      </c>
      <c r="T199" s="76">
        <f t="shared" si="17"/>
        <v>9.8606604308966485E-3</v>
      </c>
      <c r="U199" s="76">
        <f t="shared" si="18"/>
        <v>1.7550815105190808E-2</v>
      </c>
      <c r="V199" s="76">
        <f t="shared" si="19"/>
        <v>1.3337956868669815E-2</v>
      </c>
      <c r="X199" s="70" t="s">
        <v>351</v>
      </c>
      <c r="Y199" s="70">
        <v>10613.55</v>
      </c>
      <c r="Z199" s="70">
        <v>261.75</v>
      </c>
      <c r="AA199" s="80">
        <v>72.260000000000005</v>
      </c>
      <c r="AB199" s="76">
        <f t="shared" si="20"/>
        <v>-9.8957102217759694E-3</v>
      </c>
      <c r="AC199" s="76">
        <f t="shared" si="20"/>
        <v>1.7206772240793439E-3</v>
      </c>
      <c r="AD199" s="73">
        <f t="shared" si="20"/>
        <v>-9.777672058034528E-3</v>
      </c>
    </row>
    <row r="200" spans="14:30" x14ac:dyDescent="0.3">
      <c r="N200" s="70" t="s">
        <v>351</v>
      </c>
      <c r="O200" s="70">
        <v>3916.64</v>
      </c>
      <c r="P200" s="68">
        <v>152.38</v>
      </c>
      <c r="Q200" s="70">
        <v>40.1</v>
      </c>
      <c r="R200" s="70">
        <v>329.18</v>
      </c>
      <c r="S200" s="76">
        <f t="shared" si="16"/>
        <v>-1.1080586449227313E-2</v>
      </c>
      <c r="T200" s="76">
        <f t="shared" si="17"/>
        <v>-1.0769987591502724E-2</v>
      </c>
      <c r="U200" s="76">
        <f t="shared" si="18"/>
        <v>-6.7106005523257916E-3</v>
      </c>
      <c r="V200" s="76">
        <f t="shared" si="19"/>
        <v>-1.062683223080733E-3</v>
      </c>
      <c r="X200" s="70" t="s">
        <v>352</v>
      </c>
      <c r="Y200" s="70">
        <v>10719.1</v>
      </c>
      <c r="Z200" s="70">
        <v>261.3</v>
      </c>
      <c r="AA200" s="80">
        <v>72.97</v>
      </c>
      <c r="AB200" s="76">
        <f t="shared" si="20"/>
        <v>1.9091253473571487E-2</v>
      </c>
      <c r="AC200" s="76">
        <f t="shared" si="20"/>
        <v>-1.5380536747337243E-2</v>
      </c>
      <c r="AD200" s="73">
        <f t="shared" si="20"/>
        <v>1.9931455657236283E-2</v>
      </c>
    </row>
    <row r="201" spans="14:30" x14ac:dyDescent="0.3">
      <c r="N201" s="70" t="s">
        <v>352</v>
      </c>
      <c r="O201" s="70">
        <v>3960.28</v>
      </c>
      <c r="P201" s="68">
        <v>154.03</v>
      </c>
      <c r="Q201" s="70">
        <v>40.369999999999997</v>
      </c>
      <c r="R201" s="70">
        <v>329.53</v>
      </c>
      <c r="S201" s="76">
        <f t="shared" si="16"/>
        <v>1.7409551286964531E-2</v>
      </c>
      <c r="T201" s="76">
        <f t="shared" si="17"/>
        <v>-2.0753623118020589E-3</v>
      </c>
      <c r="U201" s="76">
        <f t="shared" si="18"/>
        <v>2.2318670144877068E-3</v>
      </c>
      <c r="V201" s="76">
        <f t="shared" si="19"/>
        <v>1.8209408244542985E-4</v>
      </c>
      <c r="X201" s="70" t="s">
        <v>353</v>
      </c>
      <c r="Y201" s="70">
        <v>10516.4</v>
      </c>
      <c r="Z201" s="70">
        <v>265.35000000000002</v>
      </c>
      <c r="AA201" s="80">
        <v>71.53</v>
      </c>
      <c r="AB201" s="76">
        <f t="shared" si="20"/>
        <v>-1.8869195254218915E-2</v>
      </c>
      <c r="AC201" s="76">
        <f t="shared" si="20"/>
        <v>-3.7678975577638032E-4</v>
      </c>
      <c r="AD201" s="73">
        <f t="shared" si="20"/>
        <v>8.1415385142408533E-3</v>
      </c>
    </row>
    <row r="202" spans="14:30" x14ac:dyDescent="0.3">
      <c r="N202" s="70" t="s">
        <v>353</v>
      </c>
      <c r="O202" s="70">
        <v>3891.93</v>
      </c>
      <c r="P202" s="68">
        <v>154.35</v>
      </c>
      <c r="Q202" s="70">
        <v>40.28</v>
      </c>
      <c r="R202" s="70">
        <v>329.47</v>
      </c>
      <c r="S202" s="76">
        <f t="shared" si="16"/>
        <v>-7.0053363982352087E-3</v>
      </c>
      <c r="T202" s="76">
        <f t="shared" si="17"/>
        <v>2.7897640307719264E-3</v>
      </c>
      <c r="U202" s="76">
        <f t="shared" si="18"/>
        <v>9.4787439545437387E-3</v>
      </c>
      <c r="V202" s="76">
        <f t="shared" si="19"/>
        <v>7.3110874901470314E-3</v>
      </c>
      <c r="X202" s="70" t="s">
        <v>354</v>
      </c>
      <c r="Y202" s="70">
        <v>10716.72</v>
      </c>
      <c r="Z202" s="70">
        <v>265.45</v>
      </c>
      <c r="AA202" s="80">
        <v>70.95</v>
      </c>
      <c r="AB202" s="76">
        <f t="shared" si="20"/>
        <v>7.9321144910514708E-3</v>
      </c>
      <c r="AC202" s="76">
        <f t="shared" si="20"/>
        <v>4.530874279333524E-3</v>
      </c>
      <c r="AD202" s="73">
        <f t="shared" si="20"/>
        <v>1.8339569222940333E-3</v>
      </c>
    </row>
    <row r="203" spans="14:30" x14ac:dyDescent="0.3">
      <c r="N203" s="70" t="s">
        <v>354</v>
      </c>
      <c r="O203" s="70">
        <v>3919.29</v>
      </c>
      <c r="P203" s="68">
        <v>153.91999999999999</v>
      </c>
      <c r="Q203" s="70">
        <v>39.9</v>
      </c>
      <c r="R203" s="70">
        <v>327.07</v>
      </c>
      <c r="S203" s="76">
        <f t="shared" si="16"/>
        <v>1.6342380801371525E-2</v>
      </c>
      <c r="T203" s="76">
        <f t="shared" si="17"/>
        <v>5.6029855356212518E-3</v>
      </c>
      <c r="U203" s="76">
        <f t="shared" si="18"/>
        <v>1.0030091111691661E-3</v>
      </c>
      <c r="V203" s="76">
        <f t="shared" si="19"/>
        <v>7.9194962380942386E-3</v>
      </c>
      <c r="X203" s="70" t="s">
        <v>355</v>
      </c>
      <c r="Y203" s="70">
        <v>10632.05</v>
      </c>
      <c r="Z203" s="70">
        <v>264.25</v>
      </c>
      <c r="AA203" s="80">
        <v>70.819999999999993</v>
      </c>
      <c r="AB203" s="76">
        <f t="shared" si="20"/>
        <v>-1.2451258686293293E-2</v>
      </c>
      <c r="AC203" s="76">
        <f t="shared" si="20"/>
        <v>2.2731587738683379E-3</v>
      </c>
      <c r="AD203" s="73">
        <f t="shared" si="20"/>
        <v>1.4130283543696742E-3</v>
      </c>
    </row>
    <row r="204" spans="14:30" x14ac:dyDescent="0.3">
      <c r="N204" s="70" t="s">
        <v>355</v>
      </c>
      <c r="O204" s="70">
        <v>3855.76</v>
      </c>
      <c r="P204" s="68">
        <v>153.06</v>
      </c>
      <c r="Q204" s="70">
        <v>39.86</v>
      </c>
      <c r="R204" s="70">
        <v>324.49</v>
      </c>
      <c r="S204" s="76">
        <f t="shared" si="16"/>
        <v>-1.5108816132590817E-3</v>
      </c>
      <c r="T204" s="76">
        <f t="shared" si="17"/>
        <v>9.5185672882847159E-3</v>
      </c>
      <c r="U204" s="76">
        <f t="shared" si="18"/>
        <v>1.1861337801834217E-2</v>
      </c>
      <c r="V204" s="76">
        <f t="shared" si="19"/>
        <v>2.9618590154726798E-2</v>
      </c>
      <c r="X204" s="71">
        <v>45202</v>
      </c>
      <c r="Y204" s="70">
        <v>10765.26</v>
      </c>
      <c r="Z204" s="70">
        <v>263.64999999999998</v>
      </c>
      <c r="AA204" s="80">
        <v>70.72</v>
      </c>
      <c r="AB204" s="76">
        <f t="shared" si="20"/>
        <v>-1.6910145045948434E-2</v>
      </c>
      <c r="AC204" s="76">
        <f t="shared" si="20"/>
        <v>-1.70535332660788E-3</v>
      </c>
      <c r="AD204" s="73">
        <f t="shared" si="20"/>
        <v>-1.1947573421118062E-2</v>
      </c>
    </row>
    <row r="205" spans="14:30" x14ac:dyDescent="0.3">
      <c r="N205" s="71">
        <v>45202</v>
      </c>
      <c r="O205" s="70">
        <v>3861.59</v>
      </c>
      <c r="P205" s="68">
        <v>151.61000000000001</v>
      </c>
      <c r="Q205" s="70">
        <v>39.39</v>
      </c>
      <c r="R205" s="70">
        <v>315.02</v>
      </c>
      <c r="S205" s="76">
        <f t="shared" si="16"/>
        <v>-1.4583974750190179E-2</v>
      </c>
      <c r="T205" s="76">
        <f t="shared" si="17"/>
        <v>2.4434550707582328E-3</v>
      </c>
      <c r="U205" s="76">
        <f t="shared" si="18"/>
        <v>-1.7755236116548335E-3</v>
      </c>
      <c r="V205" s="76">
        <f t="shared" si="19"/>
        <v>-5.7923468959367843E-3</v>
      </c>
      <c r="X205" s="71">
        <v>45172</v>
      </c>
      <c r="Y205" s="70">
        <v>10948.85</v>
      </c>
      <c r="Z205" s="70">
        <v>264.10000000000002</v>
      </c>
      <c r="AA205" s="80">
        <v>71.569999999999993</v>
      </c>
      <c r="AB205" s="76">
        <f t="shared" si="20"/>
        <v>-6.9545759051046156E-3</v>
      </c>
      <c r="AC205" s="76">
        <f t="shared" si="20"/>
        <v>-6.228197918970689E-3</v>
      </c>
      <c r="AD205" s="73">
        <f t="shared" si="20"/>
        <v>-4.0123133635007753E-2</v>
      </c>
    </row>
    <row r="206" spans="14:30" x14ac:dyDescent="0.3">
      <c r="N206" s="71">
        <v>45172</v>
      </c>
      <c r="O206" s="70">
        <v>3918.32</v>
      </c>
      <c r="P206" s="68">
        <v>151.24</v>
      </c>
      <c r="Q206" s="70">
        <v>39.46</v>
      </c>
      <c r="R206" s="70">
        <v>316.85000000000002</v>
      </c>
      <c r="S206" s="76">
        <f t="shared" si="16"/>
        <v>-1.8631872945282475E-2</v>
      </c>
      <c r="T206" s="76">
        <f t="shared" si="17"/>
        <v>-1.1308470280359041E-2</v>
      </c>
      <c r="U206" s="76">
        <f t="shared" si="18"/>
        <v>-1.6587462499265397E-2</v>
      </c>
      <c r="V206" s="76">
        <f t="shared" si="19"/>
        <v>1.3696014784370837E-2</v>
      </c>
      <c r="X206" s="71">
        <v>45141</v>
      </c>
      <c r="Y206" s="70">
        <v>11025.26</v>
      </c>
      <c r="Z206" s="70">
        <v>265.75</v>
      </c>
      <c r="AA206" s="80">
        <v>74.5</v>
      </c>
      <c r="AB206" s="76">
        <f t="shared" si="20"/>
        <v>-3.5148211730253631E-3</v>
      </c>
      <c r="AC206" s="76">
        <f t="shared" si="20"/>
        <v>-6.5635491140038959E-3</v>
      </c>
      <c r="AD206" s="73">
        <f t="shared" si="20"/>
        <v>-6.2889081294568196E-3</v>
      </c>
    </row>
    <row r="207" spans="14:30" x14ac:dyDescent="0.3">
      <c r="N207" s="71">
        <v>45141</v>
      </c>
      <c r="O207" s="70">
        <v>3992.01</v>
      </c>
      <c r="P207" s="68">
        <v>152.96</v>
      </c>
      <c r="Q207" s="70">
        <v>40.119999999999997</v>
      </c>
      <c r="R207" s="70">
        <v>312.54000000000002</v>
      </c>
      <c r="S207" s="76">
        <f t="shared" si="16"/>
        <v>1.4138210863556078E-3</v>
      </c>
      <c r="T207" s="76">
        <f t="shared" si="17"/>
        <v>-7.3603979906708009E-3</v>
      </c>
      <c r="U207" s="76">
        <f t="shared" si="18"/>
        <v>-5.4685694323310385E-3</v>
      </c>
      <c r="V207" s="76">
        <f t="shared" si="19"/>
        <v>6.1299676843337945E-3</v>
      </c>
      <c r="X207" s="71">
        <v>45110</v>
      </c>
      <c r="Y207" s="70">
        <v>11064.08</v>
      </c>
      <c r="Z207" s="70">
        <v>267.5</v>
      </c>
      <c r="AA207" s="80">
        <v>74.97</v>
      </c>
      <c r="AB207" s="76">
        <f t="shared" si="20"/>
        <v>-7.4890057206711096E-3</v>
      </c>
      <c r="AC207" s="76">
        <f t="shared" si="20"/>
        <v>-1.1891630284194222E-2</v>
      </c>
      <c r="AD207" s="73">
        <f t="shared" si="20"/>
        <v>-1.4661782033373548E-3</v>
      </c>
    </row>
    <row r="208" spans="14:30" x14ac:dyDescent="0.3">
      <c r="N208" s="71">
        <v>45110</v>
      </c>
      <c r="O208" s="70">
        <v>3986.37</v>
      </c>
      <c r="P208" s="68">
        <v>154.09</v>
      </c>
      <c r="Q208" s="70">
        <v>40.340000000000003</v>
      </c>
      <c r="R208" s="70">
        <v>310.63</v>
      </c>
      <c r="S208" s="76">
        <f t="shared" si="16"/>
        <v>-1.5445639173959797E-2</v>
      </c>
      <c r="T208" s="76">
        <f t="shared" si="17"/>
        <v>-9.4946619937845561E-3</v>
      </c>
      <c r="U208" s="76">
        <f t="shared" si="18"/>
        <v>-1.8907868383721219E-2</v>
      </c>
      <c r="V208" s="76">
        <f t="shared" si="19"/>
        <v>-2.6463209772278024E-2</v>
      </c>
      <c r="X208" s="71">
        <v>45080</v>
      </c>
      <c r="Y208" s="70">
        <v>11147.25</v>
      </c>
      <c r="Z208" s="70">
        <v>270.7</v>
      </c>
      <c r="AA208" s="80">
        <v>75.08</v>
      </c>
      <c r="AB208" s="76">
        <f t="shared" si="20"/>
        <v>-3.8357344719553064E-3</v>
      </c>
      <c r="AC208" s="76">
        <f t="shared" si="20"/>
        <v>-1.1569314609474968E-2</v>
      </c>
      <c r="AD208" s="73">
        <f t="shared" si="20"/>
        <v>-1.7299891200035782E-3</v>
      </c>
    </row>
    <row r="209" spans="14:30" x14ac:dyDescent="0.3">
      <c r="N209" s="71">
        <v>45080</v>
      </c>
      <c r="O209" s="70">
        <v>4048.42</v>
      </c>
      <c r="P209" s="68">
        <v>155.56</v>
      </c>
      <c r="Q209" s="70">
        <v>41.11</v>
      </c>
      <c r="R209" s="70">
        <v>318.95999999999998</v>
      </c>
      <c r="S209" s="76">
        <f t="shared" si="16"/>
        <v>6.8692352399550452E-4</v>
      </c>
      <c r="T209" s="76">
        <f t="shared" si="17"/>
        <v>9.9490451764425326E-3</v>
      </c>
      <c r="U209" s="76">
        <f t="shared" si="18"/>
        <v>-9.7252621329180602E-4</v>
      </c>
      <c r="V209" s="76">
        <f t="shared" si="19"/>
        <v>1.6630324358734531E-3</v>
      </c>
      <c r="X209" s="71">
        <v>44988</v>
      </c>
      <c r="Y209" s="70">
        <v>11190.09</v>
      </c>
      <c r="Z209" s="70">
        <v>273.85000000000002</v>
      </c>
      <c r="AA209" s="80">
        <v>75.209999999999994</v>
      </c>
      <c r="AB209" s="76">
        <f t="shared" si="20"/>
        <v>2.1927331921164973E-3</v>
      </c>
      <c r="AC209" s="76">
        <f t="shared" si="20"/>
        <v>-1.8256503930196561E-4</v>
      </c>
      <c r="AD209" s="73">
        <f t="shared" si="20"/>
        <v>-5.7010429519451762E-3</v>
      </c>
    </row>
    <row r="210" spans="14:30" x14ac:dyDescent="0.3">
      <c r="N210" s="71">
        <v>44988</v>
      </c>
      <c r="O210" s="70">
        <v>4045.64</v>
      </c>
      <c r="P210" s="68">
        <v>154.02000000000001</v>
      </c>
      <c r="Q210" s="70">
        <v>41.15</v>
      </c>
      <c r="R210" s="70">
        <v>318.43</v>
      </c>
      <c r="S210" s="76">
        <f t="shared" si="16"/>
        <v>1.6018800257414187E-2</v>
      </c>
      <c r="T210" s="76">
        <f t="shared" si="17"/>
        <v>1.0245790676840363E-2</v>
      </c>
      <c r="U210" s="76">
        <f t="shared" si="18"/>
        <v>1.2963370970840179E-2</v>
      </c>
      <c r="V210" s="76">
        <f t="shared" si="19"/>
        <v>1.0671314249161576E-2</v>
      </c>
      <c r="X210" s="71">
        <v>44960</v>
      </c>
      <c r="Y210" s="70">
        <v>11165.58</v>
      </c>
      <c r="Z210" s="70">
        <v>273.89999999999998</v>
      </c>
      <c r="AA210" s="80">
        <v>75.64</v>
      </c>
      <c r="AB210" s="76">
        <f t="shared" si="20"/>
        <v>9.8553291056662374E-3</v>
      </c>
      <c r="AC210" s="76">
        <f t="shared" si="20"/>
        <v>1.0275319764412491E-2</v>
      </c>
      <c r="AD210" s="73">
        <f t="shared" si="20"/>
        <v>1.5186118404742906E-2</v>
      </c>
    </row>
    <row r="211" spans="14:30" x14ac:dyDescent="0.3">
      <c r="N211" s="71">
        <v>44960</v>
      </c>
      <c r="O211" s="70">
        <v>3981.35</v>
      </c>
      <c r="P211" s="68">
        <v>152.44999999999999</v>
      </c>
      <c r="Q211" s="70">
        <v>40.619999999999997</v>
      </c>
      <c r="R211" s="70">
        <v>315.05</v>
      </c>
      <c r="S211" s="76">
        <f t="shared" si="16"/>
        <v>7.5535420169248321E-3</v>
      </c>
      <c r="T211" s="76">
        <f t="shared" si="17"/>
        <v>-7.8683369084695703E-4</v>
      </c>
      <c r="U211" s="76">
        <f t="shared" si="18"/>
        <v>1.0891196765450212E-2</v>
      </c>
      <c r="V211" s="76">
        <f t="shared" si="19"/>
        <v>2.7971157107192918E-3</v>
      </c>
      <c r="X211" s="71">
        <v>44929</v>
      </c>
      <c r="Y211" s="70">
        <v>11056.08</v>
      </c>
      <c r="Z211" s="70">
        <v>271.10000000000002</v>
      </c>
      <c r="AA211" s="80">
        <v>74.5</v>
      </c>
      <c r="AB211" s="76">
        <f t="shared" si="20"/>
        <v>-3.8159457311848564E-3</v>
      </c>
      <c r="AC211" s="76">
        <f t="shared" si="20"/>
        <v>-2.5787452124234715E-3</v>
      </c>
      <c r="AD211" s="73">
        <f t="shared" si="20"/>
        <v>-8.5539147603090095E-3</v>
      </c>
    </row>
    <row r="212" spans="14:30" x14ac:dyDescent="0.3">
      <c r="N212" s="71">
        <v>44929</v>
      </c>
      <c r="O212" s="70">
        <v>3951.39</v>
      </c>
      <c r="P212" s="68">
        <v>152.57</v>
      </c>
      <c r="Q212" s="70">
        <v>40.18</v>
      </c>
      <c r="R212" s="70">
        <v>314.17</v>
      </c>
      <c r="S212" s="76">
        <f t="shared" si="16"/>
        <v>-4.7364616152703798E-3</v>
      </c>
      <c r="T212" s="76">
        <f t="shared" si="17"/>
        <v>-4.5123184171474325E-3</v>
      </c>
      <c r="U212" s="76">
        <f t="shared" si="18"/>
        <v>-9.6595178315675607E-3</v>
      </c>
      <c r="V212" s="76">
        <f t="shared" si="19"/>
        <v>9.4341830859813666E-3</v>
      </c>
      <c r="X212" s="70" t="s">
        <v>356</v>
      </c>
      <c r="Y212" s="70">
        <v>11098.35</v>
      </c>
      <c r="Z212" s="70">
        <v>271.8</v>
      </c>
      <c r="AA212" s="80">
        <v>75.14</v>
      </c>
      <c r="AB212" s="76">
        <f t="shared" si="20"/>
        <v>-1.0895212595574045E-2</v>
      </c>
      <c r="AC212" s="76">
        <f t="shared" si="20"/>
        <v>-8.2440697750820659E-3</v>
      </c>
      <c r="AD212" s="73">
        <f t="shared" si="20"/>
        <v>-1.3745920904635238E-2</v>
      </c>
    </row>
    <row r="213" spans="14:30" x14ac:dyDescent="0.3">
      <c r="N213" s="70" t="s">
        <v>356</v>
      </c>
      <c r="O213" s="70">
        <v>3970.15</v>
      </c>
      <c r="P213" s="68">
        <v>153.26</v>
      </c>
      <c r="Q213" s="70">
        <v>40.57</v>
      </c>
      <c r="R213" s="70">
        <v>311.22000000000003</v>
      </c>
      <c r="S213" s="76">
        <f t="shared" si="16"/>
        <v>-3.0405976856194583E-3</v>
      </c>
      <c r="T213" s="76">
        <f t="shared" si="17"/>
        <v>-1.5345569674660421E-2</v>
      </c>
      <c r="U213" s="76">
        <f t="shared" si="18"/>
        <v>-5.1628879279532911E-3</v>
      </c>
      <c r="V213" s="76">
        <f t="shared" si="19"/>
        <v>-1.7202259054267605E-2</v>
      </c>
      <c r="X213" s="70" t="s">
        <v>357</v>
      </c>
      <c r="Y213" s="70">
        <v>11219.93</v>
      </c>
      <c r="Z213" s="70">
        <v>274.05</v>
      </c>
      <c r="AA213" s="80">
        <v>76.180000000000007</v>
      </c>
      <c r="AB213" s="76">
        <f t="shared" si="20"/>
        <v>3.4068875942343834E-3</v>
      </c>
      <c r="AC213" s="76">
        <f t="shared" si="20"/>
        <v>-6.1840866414864153E-3</v>
      </c>
      <c r="AD213" s="73">
        <f t="shared" si="20"/>
        <v>-3.9303076926878204E-3</v>
      </c>
    </row>
    <row r="214" spans="14:30" x14ac:dyDescent="0.3">
      <c r="N214" s="70" t="s">
        <v>357</v>
      </c>
      <c r="O214" s="70">
        <v>3982.24</v>
      </c>
      <c r="P214" s="68">
        <v>155.63</v>
      </c>
      <c r="Q214" s="70">
        <v>40.78</v>
      </c>
      <c r="R214" s="70">
        <v>316.62</v>
      </c>
      <c r="S214" s="76">
        <f t="shared" si="16"/>
        <v>3.0683048311681872E-3</v>
      </c>
      <c r="T214" s="76">
        <f t="shared" si="17"/>
        <v>-2.1822858468155009E-3</v>
      </c>
      <c r="U214" s="76">
        <f t="shared" si="18"/>
        <v>-2.3507686150555294E-2</v>
      </c>
      <c r="V214" s="76">
        <f t="shared" si="19"/>
        <v>-1.5730591034316694E-2</v>
      </c>
      <c r="X214" s="70" t="s">
        <v>358</v>
      </c>
      <c r="Y214" s="70">
        <v>11181.77</v>
      </c>
      <c r="Z214" s="70">
        <v>275.75</v>
      </c>
      <c r="AA214" s="80">
        <v>76.48</v>
      </c>
      <c r="AB214" s="76">
        <f t="shared" si="20"/>
        <v>-5.8833350260880553E-3</v>
      </c>
      <c r="AC214" s="76">
        <f t="shared" si="20"/>
        <v>-1.3507634461542031E-2</v>
      </c>
      <c r="AD214" s="73">
        <f t="shared" si="20"/>
        <v>2.225277441604142E-3</v>
      </c>
    </row>
    <row r="215" spans="14:30" x14ac:dyDescent="0.3">
      <c r="N215" s="70" t="s">
        <v>358</v>
      </c>
      <c r="O215" s="70">
        <v>3970.04</v>
      </c>
      <c r="P215" s="68">
        <v>155.97</v>
      </c>
      <c r="Q215" s="70">
        <v>41.75</v>
      </c>
      <c r="R215" s="70">
        <v>321.64</v>
      </c>
      <c r="S215" s="76">
        <f t="shared" si="16"/>
        <v>-1.0593457421727142E-2</v>
      </c>
      <c r="T215" s="76">
        <f t="shared" si="17"/>
        <v>-1.1221029435648573E-2</v>
      </c>
      <c r="U215" s="76">
        <f t="shared" si="18"/>
        <v>-1.308763475536776E-2</v>
      </c>
      <c r="V215" s="76">
        <f t="shared" si="19"/>
        <v>-1.8116214233031079E-2</v>
      </c>
      <c r="X215" s="70" t="s">
        <v>359</v>
      </c>
      <c r="Y215" s="70">
        <v>11247.75</v>
      </c>
      <c r="Z215" s="70">
        <v>279.5</v>
      </c>
      <c r="AA215" s="80">
        <v>76.31</v>
      </c>
      <c r="AB215" s="76">
        <f t="shared" si="20"/>
        <v>-4.6602804580394971E-3</v>
      </c>
      <c r="AC215" s="76">
        <f t="shared" si="20"/>
        <v>-7.8403822871730682E-3</v>
      </c>
      <c r="AD215" s="73">
        <f t="shared" si="20"/>
        <v>-7.4417733604951854E-3</v>
      </c>
    </row>
    <row r="216" spans="14:30" x14ac:dyDescent="0.3">
      <c r="N216" s="70" t="s">
        <v>359</v>
      </c>
      <c r="O216" s="70">
        <v>4012.32</v>
      </c>
      <c r="P216" s="68">
        <v>157.72999999999999</v>
      </c>
      <c r="Q216" s="70">
        <v>42.3</v>
      </c>
      <c r="R216" s="70">
        <v>327.52</v>
      </c>
      <c r="S216" s="76">
        <f t="shared" si="16"/>
        <v>5.3152734602749932E-3</v>
      </c>
      <c r="T216" s="76">
        <f t="shared" si="17"/>
        <v>-3.1694716756091657E-4</v>
      </c>
      <c r="U216" s="76">
        <f t="shared" si="18"/>
        <v>-1.8894667879208605E-3</v>
      </c>
      <c r="V216" s="76">
        <f t="shared" si="19"/>
        <v>-4.7213721783731398E-3</v>
      </c>
      <c r="X216" s="70" t="s">
        <v>360</v>
      </c>
      <c r="Y216" s="70">
        <v>11300.29</v>
      </c>
      <c r="Z216" s="70">
        <v>281.7</v>
      </c>
      <c r="AA216" s="80">
        <v>76.88</v>
      </c>
      <c r="AB216" s="76">
        <f t="shared" si="20"/>
        <v>1.605672005934256E-3</v>
      </c>
      <c r="AC216" s="76">
        <f t="shared" si="20"/>
        <v>-7.0972323773987379E-4</v>
      </c>
      <c r="AD216" s="73">
        <f t="shared" si="20"/>
        <v>4.6936200899848493E-3</v>
      </c>
    </row>
    <row r="217" spans="14:30" x14ac:dyDescent="0.3">
      <c r="N217" s="70" t="s">
        <v>360</v>
      </c>
      <c r="O217" s="70">
        <v>3991.05</v>
      </c>
      <c r="P217" s="68">
        <v>157.78</v>
      </c>
      <c r="Q217" s="70">
        <v>42.38</v>
      </c>
      <c r="R217" s="70">
        <v>329.07</v>
      </c>
      <c r="S217" s="76">
        <f t="shared" si="16"/>
        <v>-1.5747857327715093E-3</v>
      </c>
      <c r="T217" s="76">
        <f t="shared" si="17"/>
        <v>-1.3933753600231969E-3</v>
      </c>
      <c r="U217" s="76">
        <f t="shared" si="18"/>
        <v>-7.5223673944258447E-3</v>
      </c>
      <c r="V217" s="76">
        <f t="shared" si="19"/>
        <v>4.751905131064528E-3</v>
      </c>
      <c r="X217" s="70" t="s">
        <v>361</v>
      </c>
      <c r="Y217" s="70">
        <v>11282.16</v>
      </c>
      <c r="Z217" s="70">
        <v>281.89999999999998</v>
      </c>
      <c r="AA217" s="80">
        <v>76.52</v>
      </c>
      <c r="AB217" s="76">
        <f t="shared" si="20"/>
        <v>1.3730198477515086E-3</v>
      </c>
      <c r="AC217" s="76">
        <f t="shared" si="20"/>
        <v>6.5842394642254077E-3</v>
      </c>
      <c r="AD217" s="73">
        <f t="shared" si="20"/>
        <v>1.090609325097611E-2</v>
      </c>
    </row>
    <row r="218" spans="14:30" x14ac:dyDescent="0.3">
      <c r="N218" s="70" t="s">
        <v>361</v>
      </c>
      <c r="O218" s="70">
        <v>3997.34</v>
      </c>
      <c r="P218" s="68">
        <v>158</v>
      </c>
      <c r="Q218" s="70">
        <v>42.7</v>
      </c>
      <c r="R218" s="70">
        <v>327.51</v>
      </c>
      <c r="S218" s="76">
        <f t="shared" si="16"/>
        <v>-2.0244784414123935E-2</v>
      </c>
      <c r="T218" s="76">
        <f t="shared" si="17"/>
        <v>-1.5013316322319661E-2</v>
      </c>
      <c r="U218" s="76">
        <f t="shared" si="18"/>
        <v>-1.1873029709262843E-2</v>
      </c>
      <c r="V218" s="76">
        <f t="shared" si="19"/>
        <v>-2.7137886179853204E-3</v>
      </c>
      <c r="X218" s="70" t="s">
        <v>470</v>
      </c>
      <c r="Y218" s="70">
        <v>11266.68</v>
      </c>
      <c r="Z218" s="70">
        <v>280.05</v>
      </c>
      <c r="AA218" s="80">
        <v>75.69</v>
      </c>
      <c r="AB218" s="76">
        <f t="shared" si="20"/>
        <v>9.2261373495691463E-4</v>
      </c>
      <c r="AC218" s="76">
        <f t="shared" si="20"/>
        <v>3.0397877676240784E-3</v>
      </c>
      <c r="AD218" s="73">
        <f t="shared" si="20"/>
        <v>-5.4022135465640556E-3</v>
      </c>
    </row>
    <row r="219" spans="14:30" x14ac:dyDescent="0.3">
      <c r="N219" s="70" t="s">
        <v>362</v>
      </c>
      <c r="O219" s="70">
        <v>4079.09</v>
      </c>
      <c r="P219" s="68">
        <v>160.38999999999999</v>
      </c>
      <c r="Q219" s="70">
        <v>43.21</v>
      </c>
      <c r="R219" s="70">
        <v>328.4</v>
      </c>
      <c r="S219" s="76">
        <f t="shared" si="16"/>
        <v>-2.7712852059047503E-3</v>
      </c>
      <c r="T219" s="76">
        <f t="shared" si="17"/>
        <v>1.3495481474884509E-2</v>
      </c>
      <c r="U219" s="76">
        <f t="shared" si="18"/>
        <v>6.0353015135772656E-3</v>
      </c>
      <c r="V219" s="76">
        <f t="shared" si="19"/>
        <v>7.1202953350678168E-3</v>
      </c>
      <c r="X219" s="70" t="s">
        <v>362</v>
      </c>
      <c r="Y219" s="70">
        <v>11256.29</v>
      </c>
      <c r="Z219" s="70">
        <v>279.2</v>
      </c>
      <c r="AA219" s="80">
        <v>76.099999999999994</v>
      </c>
      <c r="AB219" s="76">
        <f t="shared" si="20"/>
        <v>5.4678728020165065E-3</v>
      </c>
      <c r="AC219" s="76">
        <f t="shared" si="20"/>
        <v>1.4066958739655753E-2</v>
      </c>
      <c r="AD219" s="73">
        <f t="shared" si="20"/>
        <v>1.1631111825449793E-2</v>
      </c>
    </row>
    <row r="220" spans="14:30" x14ac:dyDescent="0.3">
      <c r="N220" s="70" t="s">
        <v>363</v>
      </c>
      <c r="O220" s="70">
        <v>4090.41</v>
      </c>
      <c r="P220" s="68">
        <v>158.24</v>
      </c>
      <c r="Q220" s="70">
        <v>42.95</v>
      </c>
      <c r="R220" s="70">
        <v>326.07</v>
      </c>
      <c r="S220" s="76">
        <f t="shared" si="16"/>
        <v>-1.3884644172642286E-2</v>
      </c>
      <c r="T220" s="76">
        <f t="shared" si="17"/>
        <v>-7.1156749971402556E-3</v>
      </c>
      <c r="U220" s="76">
        <f t="shared" si="18"/>
        <v>-8.5777737025254583E-3</v>
      </c>
      <c r="V220" s="76">
        <f t="shared" si="19"/>
        <v>-2.7048299882605136E-2</v>
      </c>
      <c r="X220" s="70" t="s">
        <v>363</v>
      </c>
      <c r="Y220" s="70">
        <v>11194.91</v>
      </c>
      <c r="Z220" s="70">
        <v>275.3</v>
      </c>
      <c r="AA220" s="80">
        <v>75.22</v>
      </c>
      <c r="AB220" s="76">
        <f t="shared" si="20"/>
        <v>-6.9220014334561136E-3</v>
      </c>
      <c r="AC220" s="76">
        <f t="shared" si="20"/>
        <v>-6.5170397203711877E-3</v>
      </c>
      <c r="AD220" s="73">
        <f t="shared" si="20"/>
        <v>-1.6742860291584321E-2</v>
      </c>
    </row>
    <row r="221" spans="14:30" x14ac:dyDescent="0.3">
      <c r="N221" s="70" t="s">
        <v>364</v>
      </c>
      <c r="O221" s="70">
        <v>4147.6000000000004</v>
      </c>
      <c r="P221" s="68">
        <v>159.37</v>
      </c>
      <c r="Q221" s="70">
        <v>43.32</v>
      </c>
      <c r="R221" s="70">
        <v>335.01</v>
      </c>
      <c r="S221" s="76">
        <f t="shared" si="16"/>
        <v>2.7692856551893739E-3</v>
      </c>
      <c r="T221" s="76">
        <f t="shared" si="17"/>
        <v>-1.6614675462947405E-2</v>
      </c>
      <c r="U221" s="76">
        <f t="shared" si="18"/>
        <v>-9.1912411755478932E-3</v>
      </c>
      <c r="V221" s="76">
        <f t="shared" si="19"/>
        <v>-3.6776929845194886E-2</v>
      </c>
      <c r="X221" s="70" t="s">
        <v>364</v>
      </c>
      <c r="Y221" s="70">
        <v>11272.67</v>
      </c>
      <c r="Z221" s="70">
        <v>277.10000000000002</v>
      </c>
      <c r="AA221" s="80">
        <v>76.489999999999995</v>
      </c>
      <c r="AB221" s="76">
        <f t="shared" si="20"/>
        <v>3.6223777177589117E-3</v>
      </c>
      <c r="AC221" s="76">
        <f t="shared" si="20"/>
        <v>-4.680476591331654E-3</v>
      </c>
      <c r="AD221" s="73">
        <f t="shared" si="20"/>
        <v>3.5361178880604516E-3</v>
      </c>
    </row>
    <row r="222" spans="14:30" x14ac:dyDescent="0.3">
      <c r="N222" s="70" t="s">
        <v>365</v>
      </c>
      <c r="O222" s="70">
        <v>4136.13</v>
      </c>
      <c r="P222" s="68">
        <v>162.04</v>
      </c>
      <c r="Q222" s="70">
        <v>43.72</v>
      </c>
      <c r="R222" s="70">
        <v>347.56</v>
      </c>
      <c r="S222" s="76">
        <f t="shared" si="16"/>
        <v>-2.8041608128225108E-4</v>
      </c>
      <c r="T222" s="76">
        <f t="shared" si="17"/>
        <v>-4.3720627541888124E-3</v>
      </c>
      <c r="U222" s="76">
        <f t="shared" si="18"/>
        <v>-6.1566720522906841E-3</v>
      </c>
      <c r="V222" s="76">
        <f t="shared" si="19"/>
        <v>-8.1380470912310963E-3</v>
      </c>
      <c r="X222" s="70" t="s">
        <v>365</v>
      </c>
      <c r="Y222" s="70">
        <v>11231.91</v>
      </c>
      <c r="Z222" s="70">
        <v>278.39999999999998</v>
      </c>
      <c r="AA222" s="80">
        <v>76.22</v>
      </c>
      <c r="AB222" s="76">
        <f t="shared" si="20"/>
        <v>2.0114750835993757E-3</v>
      </c>
      <c r="AC222" s="76">
        <f t="shared" si="20"/>
        <v>-2.8694424279528201E-3</v>
      </c>
      <c r="AD222" s="73">
        <f t="shared" si="20"/>
        <v>0</v>
      </c>
    </row>
    <row r="223" spans="14:30" x14ac:dyDescent="0.3">
      <c r="N223" s="70" t="s">
        <v>366</v>
      </c>
      <c r="O223" s="70">
        <v>4137.29</v>
      </c>
      <c r="P223" s="68">
        <v>162.75</v>
      </c>
      <c r="Q223" s="70">
        <v>43.99</v>
      </c>
      <c r="R223" s="70">
        <v>350.4</v>
      </c>
      <c r="S223" s="76">
        <f t="shared" si="16"/>
        <v>1.1383550959928976E-2</v>
      </c>
      <c r="T223" s="76">
        <f t="shared" si="17"/>
        <v>3.6934483353515089E-3</v>
      </c>
      <c r="U223" s="76">
        <f t="shared" si="18"/>
        <v>2.5036999535988625E-3</v>
      </c>
      <c r="V223" s="76">
        <f t="shared" si="19"/>
        <v>1.5183176421390028E-2</v>
      </c>
      <c r="X223" s="70" t="s">
        <v>366</v>
      </c>
      <c r="Y223" s="70">
        <v>11209.34</v>
      </c>
      <c r="Z223" s="70">
        <v>279.2</v>
      </c>
      <c r="AA223" s="80">
        <v>76.22</v>
      </c>
      <c r="AB223" s="76">
        <f t="shared" si="20"/>
        <v>7.0618651743942209E-3</v>
      </c>
      <c r="AC223" s="76">
        <f t="shared" si="20"/>
        <v>-3.3968031230760618E-3</v>
      </c>
      <c r="AD223" s="73">
        <f t="shared" si="20"/>
        <v>8.0353458755355427E-3</v>
      </c>
    </row>
    <row r="224" spans="14:30" x14ac:dyDescent="0.3">
      <c r="N224" s="71">
        <v>45201</v>
      </c>
      <c r="O224" s="70">
        <v>4090.46</v>
      </c>
      <c r="P224" s="68">
        <v>162.15</v>
      </c>
      <c r="Q224" s="70">
        <v>43.88</v>
      </c>
      <c r="R224" s="70">
        <v>345.12</v>
      </c>
      <c r="S224" s="76">
        <f t="shared" si="16"/>
        <v>2.1928652588764841E-3</v>
      </c>
      <c r="T224" s="76">
        <f t="shared" si="17"/>
        <v>4.6360769174786506E-3</v>
      </c>
      <c r="U224" s="76">
        <f t="shared" si="18"/>
        <v>1.2382639298816531E-2</v>
      </c>
      <c r="V224" s="76">
        <f t="shared" si="19"/>
        <v>9.6956692627121963E-3</v>
      </c>
      <c r="X224" s="71">
        <v>45201</v>
      </c>
      <c r="Y224" s="70">
        <v>11130.46</v>
      </c>
      <c r="Z224" s="70">
        <v>280.14999999999998</v>
      </c>
      <c r="AA224" s="80">
        <v>75.61</v>
      </c>
      <c r="AB224" s="76">
        <f t="shared" si="20"/>
        <v>-7.810068162247572E-3</v>
      </c>
      <c r="AC224" s="76">
        <f t="shared" si="20"/>
        <v>-1.5759511644458605E-2</v>
      </c>
      <c r="AD224" s="73">
        <f t="shared" si="20"/>
        <v>-3.9598784584982958E-3</v>
      </c>
    </row>
    <row r="225" spans="14:30" x14ac:dyDescent="0.3">
      <c r="N225" s="71">
        <v>45171</v>
      </c>
      <c r="O225" s="70">
        <v>4081.5</v>
      </c>
      <c r="P225" s="68">
        <v>161.4</v>
      </c>
      <c r="Q225" s="70">
        <v>43.34</v>
      </c>
      <c r="R225" s="70">
        <v>341.79</v>
      </c>
      <c r="S225" s="76">
        <f t="shared" si="16"/>
        <v>-8.869043032445954E-3</v>
      </c>
      <c r="T225" s="76">
        <f t="shared" si="17"/>
        <v>-1.3599791159136791E-2</v>
      </c>
      <c r="U225" s="76">
        <f t="shared" si="18"/>
        <v>-1.4658989018402005E-2</v>
      </c>
      <c r="V225" s="76">
        <f t="shared" si="19"/>
        <v>3.1061385812823643E-3</v>
      </c>
      <c r="X225" s="71">
        <v>45171</v>
      </c>
      <c r="Y225" s="70">
        <v>11217.73</v>
      </c>
      <c r="Z225" s="70">
        <v>284.60000000000002</v>
      </c>
      <c r="AA225" s="80">
        <v>75.91</v>
      </c>
      <c r="AB225" s="76">
        <f t="shared" si="20"/>
        <v>-5.2058421090079585E-3</v>
      </c>
      <c r="AC225" s="76">
        <f t="shared" si="20"/>
        <v>-7.5260703537279421E-3</v>
      </c>
      <c r="AD225" s="73">
        <f t="shared" si="20"/>
        <v>-2.8939772894443594E-3</v>
      </c>
    </row>
    <row r="226" spans="14:30" x14ac:dyDescent="0.3">
      <c r="N226" s="71">
        <v>45140</v>
      </c>
      <c r="O226" s="70">
        <v>4117.8599999999997</v>
      </c>
      <c r="P226" s="68">
        <v>163.61000000000001</v>
      </c>
      <c r="Q226" s="70">
        <v>43.98</v>
      </c>
      <c r="R226" s="70">
        <v>340.73</v>
      </c>
      <c r="S226" s="76">
        <f t="shared" si="16"/>
        <v>-1.1142539811002886E-2</v>
      </c>
      <c r="T226" s="76">
        <f t="shared" si="17"/>
        <v>1.2843645690826762E-3</v>
      </c>
      <c r="U226" s="76">
        <f t="shared" si="18"/>
        <v>8.9072188763137522E-3</v>
      </c>
      <c r="V226" s="76">
        <f t="shared" si="19"/>
        <v>3.0863768419056741E-3</v>
      </c>
      <c r="X226" s="71">
        <v>45140</v>
      </c>
      <c r="Y226" s="70">
        <v>11276.28</v>
      </c>
      <c r="Z226" s="70">
        <v>286.75</v>
      </c>
      <c r="AA226" s="80">
        <v>76.13</v>
      </c>
      <c r="AB226" s="76">
        <f t="shared" si="20"/>
        <v>3.7680824143472634E-3</v>
      </c>
      <c r="AC226" s="76">
        <f t="shared" si="20"/>
        <v>7.8775024430944585E-3</v>
      </c>
      <c r="AD226" s="73">
        <f t="shared" si="20"/>
        <v>1.2823230772856646E-2</v>
      </c>
    </row>
    <row r="227" spans="14:30" x14ac:dyDescent="0.3">
      <c r="N227" s="71">
        <v>45109</v>
      </c>
      <c r="O227" s="70">
        <v>4164</v>
      </c>
      <c r="P227" s="68">
        <v>163.4</v>
      </c>
      <c r="Q227" s="70">
        <v>43.59</v>
      </c>
      <c r="R227" s="70">
        <v>339.68</v>
      </c>
      <c r="S227" s="76">
        <f t="shared" si="16"/>
        <v>1.2790383040919152E-2</v>
      </c>
      <c r="T227" s="76">
        <f t="shared" si="17"/>
        <v>2.4482800954703075E-4</v>
      </c>
      <c r="U227" s="76">
        <f t="shared" si="18"/>
        <v>-3.8923918634244095E-3</v>
      </c>
      <c r="V227" s="76">
        <f t="shared" si="19"/>
        <v>5.9645259058983009E-3</v>
      </c>
      <c r="X227" s="71">
        <v>45109</v>
      </c>
      <c r="Y227" s="70">
        <v>11233.87</v>
      </c>
      <c r="Z227" s="70">
        <v>284.5</v>
      </c>
      <c r="AA227" s="80">
        <v>75.16</v>
      </c>
      <c r="AB227" s="76">
        <f t="shared" si="20"/>
        <v>-4.3860031087745192E-3</v>
      </c>
      <c r="AC227" s="76">
        <f t="shared" si="20"/>
        <v>2.1111900874601379E-3</v>
      </c>
      <c r="AD227" s="73">
        <f t="shared" si="20"/>
        <v>1.8644298915232486E-3</v>
      </c>
    </row>
    <row r="228" spans="14:30" x14ac:dyDescent="0.3">
      <c r="N228" s="71">
        <v>45079</v>
      </c>
      <c r="O228" s="70">
        <v>4111.08</v>
      </c>
      <c r="P228" s="68">
        <v>163.36000000000001</v>
      </c>
      <c r="Q228" s="70">
        <v>43.76</v>
      </c>
      <c r="R228" s="70">
        <v>337.66</v>
      </c>
      <c r="S228" s="76">
        <f t="shared" si="16"/>
        <v>-6.1594169191690872E-3</v>
      </c>
      <c r="T228" s="76">
        <f t="shared" si="17"/>
        <v>-7.6226853226383298E-3</v>
      </c>
      <c r="U228" s="76">
        <f t="shared" si="18"/>
        <v>-6.8321832604714087E-3</v>
      </c>
      <c r="V228" s="76">
        <f t="shared" si="19"/>
        <v>-4.1965956911570847E-3</v>
      </c>
      <c r="X228" s="71">
        <v>45079</v>
      </c>
      <c r="Y228" s="70">
        <v>11283.25</v>
      </c>
      <c r="Z228" s="70">
        <v>283.89999999999998</v>
      </c>
      <c r="AA228" s="80">
        <v>75.02</v>
      </c>
      <c r="AB228" s="76">
        <f t="shared" si="20"/>
        <v>-5.8446728512035907E-3</v>
      </c>
      <c r="AC228" s="76">
        <f t="shared" si="20"/>
        <v>5.4746273600796399E-3</v>
      </c>
      <c r="AD228" s="73">
        <f t="shared" si="20"/>
        <v>-4.9198955698693319E-3</v>
      </c>
    </row>
    <row r="229" spans="14:30" x14ac:dyDescent="0.3">
      <c r="N229" s="71">
        <v>44987</v>
      </c>
      <c r="O229" s="70">
        <v>4136.4799999999996</v>
      </c>
      <c r="P229" s="68">
        <v>164.61</v>
      </c>
      <c r="Q229" s="70">
        <v>44.06</v>
      </c>
      <c r="R229" s="70">
        <v>339.08</v>
      </c>
      <c r="S229" s="76">
        <f t="shared" si="16"/>
        <v>-1.0408643989373002E-2</v>
      </c>
      <c r="T229" s="76">
        <f t="shared" si="17"/>
        <v>-5.633817718255908E-3</v>
      </c>
      <c r="U229" s="76">
        <f t="shared" si="18"/>
        <v>-6.3348628139683217E-3</v>
      </c>
      <c r="V229" s="76">
        <f t="shared" si="19"/>
        <v>2.5024447752457796E-2</v>
      </c>
      <c r="X229" s="71">
        <v>44987</v>
      </c>
      <c r="Y229" s="70">
        <v>11349.39</v>
      </c>
      <c r="Z229" s="70">
        <v>282.35000000000002</v>
      </c>
      <c r="AA229" s="80">
        <v>75.39</v>
      </c>
      <c r="AB229" s="76">
        <f t="shared" si="20"/>
        <v>1.4284683132969669E-2</v>
      </c>
      <c r="AC229" s="76">
        <f t="shared" si="20"/>
        <v>3.0566924889115346E-2</v>
      </c>
      <c r="AD229" s="73">
        <f t="shared" si="20"/>
        <v>1.6314884475143791E-2</v>
      </c>
    </row>
    <row r="230" spans="14:30" x14ac:dyDescent="0.3">
      <c r="N230" s="71">
        <v>44959</v>
      </c>
      <c r="O230" s="70">
        <v>4179.76</v>
      </c>
      <c r="P230" s="68">
        <v>165.54</v>
      </c>
      <c r="Q230" s="70">
        <v>44.34</v>
      </c>
      <c r="R230" s="70">
        <v>330.7</v>
      </c>
      <c r="S230" s="76">
        <f t="shared" si="16"/>
        <v>1.4592431217642185E-2</v>
      </c>
      <c r="T230" s="76">
        <f t="shared" si="17"/>
        <v>3.7523496185505934E-3</v>
      </c>
      <c r="U230" s="76">
        <f t="shared" si="18"/>
        <v>8.3796209954467103E-3</v>
      </c>
      <c r="V230" s="76">
        <f t="shared" si="19"/>
        <v>-3.5264396393919289E-2</v>
      </c>
      <c r="X230" s="71">
        <v>44959</v>
      </c>
      <c r="Y230" s="70">
        <v>11188.42</v>
      </c>
      <c r="Z230" s="70">
        <v>273.85000000000002</v>
      </c>
      <c r="AA230" s="80">
        <v>74.17</v>
      </c>
      <c r="AB230" s="76">
        <f t="shared" si="20"/>
        <v>-1.1174957112976478E-3</v>
      </c>
      <c r="AC230" s="76">
        <f t="shared" si="20"/>
        <v>-2.0063935593131004E-2</v>
      </c>
      <c r="AD230" s="73">
        <f t="shared" si="20"/>
        <v>-2.4768243491878568E-2</v>
      </c>
    </row>
    <row r="231" spans="14:30" x14ac:dyDescent="0.3">
      <c r="N231" s="71">
        <v>44928</v>
      </c>
      <c r="O231" s="70">
        <v>4119.21</v>
      </c>
      <c r="P231" s="68">
        <v>164.92</v>
      </c>
      <c r="Q231" s="70">
        <v>43.97</v>
      </c>
      <c r="R231" s="70">
        <v>342.57</v>
      </c>
      <c r="S231" s="76">
        <f t="shared" si="16"/>
        <v>1.0398089735210484E-2</v>
      </c>
      <c r="T231" s="76">
        <f t="shared" si="17"/>
        <v>9.1369338821378591E-3</v>
      </c>
      <c r="U231" s="76">
        <f t="shared" si="18"/>
        <v>-4.3118187761210965E-3</v>
      </c>
      <c r="V231" s="76">
        <f t="shared" si="19"/>
        <v>-4.6015924627068275E-3</v>
      </c>
      <c r="X231" s="71">
        <v>44928</v>
      </c>
      <c r="Y231" s="70">
        <v>11200.93</v>
      </c>
      <c r="Z231" s="70">
        <v>279.39999999999998</v>
      </c>
      <c r="AA231" s="80">
        <v>76.03</v>
      </c>
      <c r="AB231" s="76">
        <f t="shared" si="20"/>
        <v>-7.5467156115054824E-3</v>
      </c>
      <c r="AC231" s="76">
        <f t="shared" si="20"/>
        <v>-2.072154191932362E-2</v>
      </c>
      <c r="AD231" s="73">
        <f t="shared" si="20"/>
        <v>-2.750205762714036E-2</v>
      </c>
    </row>
    <row r="232" spans="14:30" x14ac:dyDescent="0.3">
      <c r="N232" s="70" t="s">
        <v>367</v>
      </c>
      <c r="O232" s="70">
        <v>4076.6</v>
      </c>
      <c r="P232" s="68">
        <v>163.41999999999999</v>
      </c>
      <c r="Q232" s="70">
        <v>44.16</v>
      </c>
      <c r="R232" s="70">
        <v>344.15</v>
      </c>
      <c r="S232" s="76">
        <f t="shared" si="16"/>
        <v>1.4536285322318165E-2</v>
      </c>
      <c r="T232" s="76">
        <f t="shared" si="17"/>
        <v>8.7272387241772199E-3</v>
      </c>
      <c r="U232" s="76">
        <f t="shared" si="18"/>
        <v>1.3909698670328085E-2</v>
      </c>
      <c r="V232" s="76">
        <f t="shared" si="19"/>
        <v>1.0662483254806159E-2</v>
      </c>
      <c r="X232" s="70" t="s">
        <v>367</v>
      </c>
      <c r="Y232" s="70">
        <v>11285.78</v>
      </c>
      <c r="Z232" s="70">
        <v>285.25</v>
      </c>
      <c r="AA232" s="80">
        <v>78.150000000000006</v>
      </c>
      <c r="AB232" s="76">
        <f t="shared" si="20"/>
        <v>-8.2822675718419777E-3</v>
      </c>
      <c r="AC232" s="76">
        <f t="shared" si="20"/>
        <v>-1.0288694823236693E-2</v>
      </c>
      <c r="AD232" s="73">
        <f t="shared" si="20"/>
        <v>-8.6635782043312012E-3</v>
      </c>
    </row>
    <row r="233" spans="14:30" x14ac:dyDescent="0.3">
      <c r="N233" s="70" t="s">
        <v>368</v>
      </c>
      <c r="O233" s="70">
        <v>4017.77</v>
      </c>
      <c r="P233" s="68">
        <v>162</v>
      </c>
      <c r="Q233" s="70">
        <v>43.55</v>
      </c>
      <c r="R233" s="70">
        <v>340.5</v>
      </c>
      <c r="S233" s="76">
        <f t="shared" si="16"/>
        <v>-1.3053559781991077E-2</v>
      </c>
      <c r="T233" s="76">
        <f t="shared" si="17"/>
        <v>-3.7735755498684888E-2</v>
      </c>
      <c r="U233" s="76">
        <f t="shared" si="18"/>
        <v>-5.4957775147952293E-3</v>
      </c>
      <c r="V233" s="76">
        <f t="shared" si="19"/>
        <v>-4.6879663939920118E-3</v>
      </c>
      <c r="X233" s="70" t="s">
        <v>368</v>
      </c>
      <c r="Y233" s="70">
        <v>11379.64</v>
      </c>
      <c r="Z233" s="70">
        <v>288.2</v>
      </c>
      <c r="AA233" s="80">
        <v>78.83</v>
      </c>
      <c r="AB233" s="76">
        <f t="shared" si="20"/>
        <v>4.1687384307716622E-3</v>
      </c>
      <c r="AC233" s="76">
        <f t="shared" si="20"/>
        <v>-3.9823444544261413E-3</v>
      </c>
      <c r="AD233" s="73">
        <f t="shared" si="20"/>
        <v>7.1292472550700771E-3</v>
      </c>
    </row>
    <row r="234" spans="14:30" x14ac:dyDescent="0.3">
      <c r="N234" s="70" t="s">
        <v>369</v>
      </c>
      <c r="O234" s="70">
        <v>4070.56</v>
      </c>
      <c r="P234" s="68">
        <v>168.23</v>
      </c>
      <c r="Q234" s="70">
        <v>43.79</v>
      </c>
      <c r="R234" s="70">
        <v>342.1</v>
      </c>
      <c r="S234" s="76">
        <f t="shared" si="16"/>
        <v>2.4917027916841637E-3</v>
      </c>
      <c r="T234" s="76">
        <f t="shared" si="17"/>
        <v>-3.9155246987608756E-3</v>
      </c>
      <c r="U234" s="76">
        <f t="shared" si="18"/>
        <v>-1.044989064063152E-2</v>
      </c>
      <c r="V234" s="76">
        <f t="shared" si="19"/>
        <v>-1.7128123010238805E-2</v>
      </c>
      <c r="X234" s="70" t="s">
        <v>369</v>
      </c>
      <c r="Y234" s="70">
        <v>11332.3</v>
      </c>
      <c r="Z234" s="70">
        <v>289.35000000000002</v>
      </c>
      <c r="AA234" s="80">
        <v>78.27</v>
      </c>
      <c r="AB234" s="76">
        <f t="shared" si="20"/>
        <v>1.3015534825246186E-3</v>
      </c>
      <c r="AC234" s="76">
        <f t="shared" si="20"/>
        <v>1.2103399074156901E-3</v>
      </c>
      <c r="AD234" s="73">
        <f t="shared" si="20"/>
        <v>-1.1492052595932819E-3</v>
      </c>
    </row>
    <row r="235" spans="14:30" x14ac:dyDescent="0.3">
      <c r="N235" s="70" t="s">
        <v>370</v>
      </c>
      <c r="O235" s="70">
        <v>4060.43</v>
      </c>
      <c r="P235" s="68">
        <v>168.89</v>
      </c>
      <c r="Q235" s="70">
        <v>44.25</v>
      </c>
      <c r="R235" s="70">
        <v>348.01</v>
      </c>
      <c r="S235" s="76">
        <f t="shared" si="16"/>
        <v>1.0947717569977039E-2</v>
      </c>
      <c r="T235" s="76">
        <f t="shared" si="17"/>
        <v>-3.6643067005650174E-3</v>
      </c>
      <c r="U235" s="76">
        <f t="shared" si="18"/>
        <v>-1.8361465248618342E-2</v>
      </c>
      <c r="V235" s="76">
        <f t="shared" si="19"/>
        <v>-4.9302132140977466E-3</v>
      </c>
      <c r="X235" s="70" t="s">
        <v>370</v>
      </c>
      <c r="Y235" s="70">
        <v>11317.56</v>
      </c>
      <c r="Z235" s="70">
        <v>289</v>
      </c>
      <c r="AA235" s="80">
        <v>78.36</v>
      </c>
      <c r="AB235" s="76">
        <f t="shared" si="20"/>
        <v>-7.676187101291876E-3</v>
      </c>
      <c r="AC235" s="76">
        <f t="shared" si="20"/>
        <v>-1.5791608627928451E-2</v>
      </c>
      <c r="AD235" s="73">
        <f t="shared" si="20"/>
        <v>-3.1281992946775763E-2</v>
      </c>
    </row>
    <row r="236" spans="14:30" x14ac:dyDescent="0.3">
      <c r="N236" s="70" t="s">
        <v>371</v>
      </c>
      <c r="O236" s="70">
        <v>4016.22</v>
      </c>
      <c r="P236" s="68">
        <v>169.51</v>
      </c>
      <c r="Q236" s="70">
        <v>45.07</v>
      </c>
      <c r="R236" s="70">
        <v>349.73</v>
      </c>
      <c r="S236" s="76">
        <f t="shared" si="16"/>
        <v>-1.8174643434897735E-4</v>
      </c>
      <c r="T236" s="76">
        <f t="shared" si="17"/>
        <v>7.1044049923200082E-3</v>
      </c>
      <c r="U236" s="76">
        <f t="shared" si="18"/>
        <v>8.0196464566676725E-3</v>
      </c>
      <c r="V236" s="76">
        <f t="shared" si="19"/>
        <v>9.5961202965918653E-3</v>
      </c>
      <c r="X236" s="70" t="s">
        <v>371</v>
      </c>
      <c r="Y236" s="70">
        <v>11404.77</v>
      </c>
      <c r="Z236" s="70">
        <v>293.60000000000002</v>
      </c>
      <c r="AA236" s="80">
        <v>80.849999999999994</v>
      </c>
      <c r="AB236" s="76">
        <f t="shared" si="20"/>
        <v>-1.332686865275065E-4</v>
      </c>
      <c r="AC236" s="76">
        <f t="shared" si="20"/>
        <v>-6.1120733569187818E-3</v>
      </c>
      <c r="AD236" s="73">
        <f t="shared" si="20"/>
        <v>2.8488283340959179E-3</v>
      </c>
    </row>
    <row r="237" spans="14:30" x14ac:dyDescent="0.3">
      <c r="N237" s="70" t="s">
        <v>372</v>
      </c>
      <c r="O237" s="70">
        <v>4016.95</v>
      </c>
      <c r="P237" s="68">
        <v>168.31</v>
      </c>
      <c r="Q237" s="70">
        <v>44.71</v>
      </c>
      <c r="R237" s="70">
        <v>346.39</v>
      </c>
      <c r="S237" s="76">
        <f t="shared" si="16"/>
        <v>-7.1172963252109358E-4</v>
      </c>
      <c r="T237" s="76">
        <f t="shared" si="17"/>
        <v>0</v>
      </c>
      <c r="U237" s="76">
        <f t="shared" si="18"/>
        <v>-6.0207562852803214E-3</v>
      </c>
      <c r="V237" s="76">
        <f t="shared" si="19"/>
        <v>1.2140724203387691E-2</v>
      </c>
      <c r="X237" s="70" t="s">
        <v>372</v>
      </c>
      <c r="Y237" s="70">
        <v>11406.29</v>
      </c>
      <c r="Z237" s="70">
        <v>295.39999999999998</v>
      </c>
      <c r="AA237" s="80">
        <v>80.62</v>
      </c>
      <c r="AB237" s="76">
        <f t="shared" si="20"/>
        <v>1.7534200457976558E-6</v>
      </c>
      <c r="AC237" s="76">
        <f t="shared" si="20"/>
        <v>-1.6924769440420791E-4</v>
      </c>
      <c r="AD237" s="73">
        <f t="shared" si="20"/>
        <v>-4.3319580090031302E-3</v>
      </c>
    </row>
    <row r="238" spans="14:30" x14ac:dyDescent="0.3">
      <c r="N238" s="70" t="s">
        <v>373</v>
      </c>
      <c r="O238" s="70">
        <v>4019.81</v>
      </c>
      <c r="P238" s="68">
        <v>168.31</v>
      </c>
      <c r="Q238" s="70">
        <v>44.98</v>
      </c>
      <c r="R238" s="70">
        <v>342.21</v>
      </c>
      <c r="S238" s="76">
        <f t="shared" si="16"/>
        <v>1.1811328415709267E-2</v>
      </c>
      <c r="T238" s="76">
        <f t="shared" si="17"/>
        <v>-2.5515515994058284E-3</v>
      </c>
      <c r="U238" s="76">
        <f t="shared" si="18"/>
        <v>-2.8860048891349867E-3</v>
      </c>
      <c r="V238" s="76">
        <f t="shared" si="19"/>
        <v>-1.1216483026195543E-2</v>
      </c>
      <c r="X238" s="70" t="s">
        <v>373</v>
      </c>
      <c r="Y238" s="70">
        <v>11406.27</v>
      </c>
      <c r="Z238" s="70">
        <v>295.45</v>
      </c>
      <c r="AA238" s="80">
        <v>80.97</v>
      </c>
      <c r="AB238" s="76">
        <f t="shared" si="20"/>
        <v>9.8012835924885557E-3</v>
      </c>
      <c r="AC238" s="76">
        <f t="shared" si="20"/>
        <v>3.8999625522564908E-3</v>
      </c>
      <c r="AD238" s="73">
        <f t="shared" si="20"/>
        <v>1.1177463613480489E-2</v>
      </c>
    </row>
    <row r="239" spans="14:30" x14ac:dyDescent="0.3">
      <c r="N239" s="70" t="s">
        <v>374</v>
      </c>
      <c r="O239" s="70">
        <v>3972.61</v>
      </c>
      <c r="P239" s="68">
        <v>168.74</v>
      </c>
      <c r="Q239" s="70">
        <v>45.11</v>
      </c>
      <c r="R239" s="70">
        <v>346.07</v>
      </c>
      <c r="S239" s="76">
        <f t="shared" si="16"/>
        <v>1.8741671559172491E-2</v>
      </c>
      <c r="T239" s="76">
        <f t="shared" si="17"/>
        <v>-4.6708335723809735E-3</v>
      </c>
      <c r="U239" s="76">
        <f t="shared" si="18"/>
        <v>3.3307458348689912E-3</v>
      </c>
      <c r="V239" s="76">
        <f t="shared" si="19"/>
        <v>-1.4373050989805134E-2</v>
      </c>
      <c r="X239" s="70" t="s">
        <v>374</v>
      </c>
      <c r="Y239" s="70">
        <v>11295.02</v>
      </c>
      <c r="Z239" s="70">
        <v>294.3</v>
      </c>
      <c r="AA239" s="80">
        <v>80.069999999999993</v>
      </c>
      <c r="AB239" s="76">
        <f t="shared" si="20"/>
        <v>3.196776330991876E-3</v>
      </c>
      <c r="AC239" s="76">
        <f t="shared" si="20"/>
        <v>-5.0955415115256383E-4</v>
      </c>
      <c r="AD239" s="73">
        <f t="shared" si="20"/>
        <v>-3.7460198977105473E-4</v>
      </c>
    </row>
    <row r="240" spans="14:30" x14ac:dyDescent="0.3">
      <c r="N240" s="70" t="s">
        <v>375</v>
      </c>
      <c r="O240" s="70">
        <v>3898.85</v>
      </c>
      <c r="P240" s="68">
        <v>169.53</v>
      </c>
      <c r="Q240" s="70">
        <v>44.96</v>
      </c>
      <c r="R240" s="70">
        <v>351.08</v>
      </c>
      <c r="S240" s="76">
        <f t="shared" si="16"/>
        <v>-7.6676696075208299E-3</v>
      </c>
      <c r="T240" s="76">
        <f t="shared" si="17"/>
        <v>-1.3557725558113497E-3</v>
      </c>
      <c r="U240" s="76">
        <f t="shared" si="18"/>
        <v>-8.8928418488406168E-4</v>
      </c>
      <c r="V240" s="76">
        <f t="shared" si="19"/>
        <v>-2.6454665615588077E-3</v>
      </c>
      <c r="X240" s="70" t="s">
        <v>375</v>
      </c>
      <c r="Y240" s="70">
        <v>11258.97</v>
      </c>
      <c r="Z240" s="70">
        <v>294.45</v>
      </c>
      <c r="AA240" s="80">
        <v>80.099999999999994</v>
      </c>
      <c r="AB240" s="76">
        <f t="shared" si="20"/>
        <v>-9.5158457586811494E-3</v>
      </c>
      <c r="AC240" s="76">
        <f t="shared" si="20"/>
        <v>-4.9123500155841132E-3</v>
      </c>
      <c r="AD240" s="73">
        <f t="shared" si="20"/>
        <v>-2.7428018691054699E-3</v>
      </c>
    </row>
    <row r="241" spans="14:30" x14ac:dyDescent="0.3">
      <c r="N241" s="70" t="s">
        <v>376</v>
      </c>
      <c r="O241" s="70">
        <v>3928.86</v>
      </c>
      <c r="P241" s="68">
        <v>169.76</v>
      </c>
      <c r="Q241" s="70">
        <v>45</v>
      </c>
      <c r="R241" s="70">
        <v>352.01</v>
      </c>
      <c r="S241" s="76">
        <f t="shared" si="16"/>
        <v>-1.5685001660276407E-2</v>
      </c>
      <c r="T241" s="76">
        <f t="shared" si="17"/>
        <v>-1.5199637881964347E-2</v>
      </c>
      <c r="U241" s="76">
        <f t="shared" si="18"/>
        <v>-2.3716526617316044E-2</v>
      </c>
      <c r="V241" s="76">
        <f t="shared" si="19"/>
        <v>-1.6146881279624249E-2</v>
      </c>
      <c r="X241" s="70" t="s">
        <v>376</v>
      </c>
      <c r="Y241" s="70">
        <v>11366.62</v>
      </c>
      <c r="Z241" s="70">
        <v>295.89999999999998</v>
      </c>
      <c r="AA241" s="80">
        <v>80.319999999999993</v>
      </c>
      <c r="AB241" s="76">
        <f t="shared" si="20"/>
        <v>-3.106911528803445E-3</v>
      </c>
      <c r="AC241" s="76">
        <f t="shared" si="20"/>
        <v>4.7425563145225705E-3</v>
      </c>
      <c r="AD241" s="73">
        <f t="shared" si="20"/>
        <v>-1.0157401834882162E-2</v>
      </c>
    </row>
    <row r="242" spans="14:30" x14ac:dyDescent="0.3">
      <c r="N242" s="70" t="s">
        <v>377</v>
      </c>
      <c r="O242" s="70">
        <v>3990.97</v>
      </c>
      <c r="P242" s="68">
        <v>172.36</v>
      </c>
      <c r="Q242" s="70">
        <v>46.08</v>
      </c>
      <c r="R242" s="70">
        <v>357.74</v>
      </c>
      <c r="S242" s="76">
        <f t="shared" si="16"/>
        <v>-2.0325261125498277E-3</v>
      </c>
      <c r="T242" s="76">
        <f t="shared" si="17"/>
        <v>-6.1887470148570571E-3</v>
      </c>
      <c r="U242" s="76">
        <f t="shared" si="18"/>
        <v>-3.7692101511327576E-2</v>
      </c>
      <c r="V242" s="76">
        <f t="shared" si="19"/>
        <v>-1.0787471157907944E-2</v>
      </c>
      <c r="X242" s="70" t="s">
        <v>377</v>
      </c>
      <c r="Y242" s="70">
        <v>11401.99</v>
      </c>
      <c r="Z242" s="70">
        <v>294.5</v>
      </c>
      <c r="AA242" s="80">
        <v>81.14</v>
      </c>
      <c r="AB242" s="76">
        <f t="shared" si="20"/>
        <v>-2.9774984581740589E-3</v>
      </c>
      <c r="AC242" s="76">
        <f t="shared" si="20"/>
        <v>-3.3950093688852288E-4</v>
      </c>
      <c r="AD242" s="73">
        <f t="shared" si="20"/>
        <v>-7.1227121711201144E-3</v>
      </c>
    </row>
    <row r="243" spans="14:30" x14ac:dyDescent="0.3">
      <c r="N243" s="70" t="s">
        <v>378</v>
      </c>
      <c r="O243" s="70">
        <v>3999.09</v>
      </c>
      <c r="P243" s="68">
        <v>173.43</v>
      </c>
      <c r="Q243" s="70">
        <v>47.85</v>
      </c>
      <c r="R243" s="70">
        <v>361.62</v>
      </c>
      <c r="S243" s="76">
        <f t="shared" si="16"/>
        <v>3.988850553225138E-3</v>
      </c>
      <c r="T243" s="76">
        <f t="shared" si="17"/>
        <v>-3.2812394520345678E-3</v>
      </c>
      <c r="U243" s="76">
        <f t="shared" si="18"/>
        <v>2.9300983709475365E-3</v>
      </c>
      <c r="V243" s="76">
        <f t="shared" si="19"/>
        <v>6.9373422493311417E-3</v>
      </c>
      <c r="X243" s="70" t="s">
        <v>471</v>
      </c>
      <c r="Y243" s="70">
        <v>11435.99</v>
      </c>
      <c r="Z243" s="70">
        <v>294.60000000000002</v>
      </c>
      <c r="AA243" s="80">
        <v>81.72</v>
      </c>
      <c r="AB243" s="76">
        <f t="shared" si="20"/>
        <v>1.277805088670681E-2</v>
      </c>
      <c r="AC243" s="76">
        <f t="shared" si="20"/>
        <v>9.8926271548542034E-3</v>
      </c>
      <c r="AD243" s="73">
        <f t="shared" si="20"/>
        <v>2.0147767613830296E-2</v>
      </c>
    </row>
    <row r="244" spans="14:30" x14ac:dyDescent="0.3">
      <c r="N244" s="71">
        <v>45261</v>
      </c>
      <c r="O244" s="70">
        <v>3983.17</v>
      </c>
      <c r="P244" s="68">
        <v>174</v>
      </c>
      <c r="Q244" s="70">
        <v>47.71</v>
      </c>
      <c r="R244" s="70">
        <v>359.12</v>
      </c>
      <c r="S244" s="76">
        <f t="shared" si="16"/>
        <v>3.4101315868827887E-3</v>
      </c>
      <c r="T244" s="76">
        <f t="shared" si="17"/>
        <v>-5.0447252136993723E-3</v>
      </c>
      <c r="U244" s="76">
        <f t="shared" si="18"/>
        <v>5.4644944720787453E-3</v>
      </c>
      <c r="V244" s="76">
        <f t="shared" si="19"/>
        <v>-3.5856778234025178E-3</v>
      </c>
      <c r="X244" s="70" t="s">
        <v>378</v>
      </c>
      <c r="Y244" s="70">
        <v>11290.79</v>
      </c>
      <c r="Z244" s="70">
        <v>291.7</v>
      </c>
      <c r="AA244" s="80">
        <v>80.09</v>
      </c>
      <c r="AB244" s="76">
        <f t="shared" si="20"/>
        <v>2.6308085547620947E-4</v>
      </c>
      <c r="AC244" s="76">
        <f t="shared" si="20"/>
        <v>9.4722141098887522E-3</v>
      </c>
      <c r="AD244" s="73">
        <f t="shared" si="20"/>
        <v>4.5050758211867496E-3</v>
      </c>
    </row>
    <row r="245" spans="14:30" x14ac:dyDescent="0.3">
      <c r="N245" s="71">
        <v>45231</v>
      </c>
      <c r="O245" s="70">
        <v>3969.61</v>
      </c>
      <c r="P245" s="68">
        <v>174.88</v>
      </c>
      <c r="Q245" s="70">
        <v>47.45</v>
      </c>
      <c r="R245" s="70">
        <v>360.41</v>
      </c>
      <c r="S245" s="76">
        <f t="shared" si="16"/>
        <v>1.2767544131228952E-2</v>
      </c>
      <c r="T245" s="76">
        <f t="shared" si="17"/>
        <v>-1.5998175049692076E-3</v>
      </c>
      <c r="U245" s="76">
        <f t="shared" si="18"/>
        <v>-3.5763160027797863E-3</v>
      </c>
      <c r="V245" s="76">
        <f t="shared" si="19"/>
        <v>2.1482681564155875E-2</v>
      </c>
      <c r="X245" s="71">
        <v>45261</v>
      </c>
      <c r="Y245" s="70">
        <v>11287.82</v>
      </c>
      <c r="Z245" s="70">
        <v>288.95</v>
      </c>
      <c r="AA245" s="80">
        <v>79.73</v>
      </c>
      <c r="AB245" s="76">
        <f t="shared" si="20"/>
        <v>3.7108692112153723E-3</v>
      </c>
      <c r="AC245" s="76">
        <f t="shared" si="20"/>
        <v>-2.9373671227950998E-3</v>
      </c>
      <c r="AD245" s="73">
        <f t="shared" si="20"/>
        <v>2.6373641660856714E-3</v>
      </c>
    </row>
    <row r="246" spans="14:30" x14ac:dyDescent="0.3">
      <c r="N246" s="71">
        <v>45200</v>
      </c>
      <c r="O246" s="70">
        <v>3919.25</v>
      </c>
      <c r="P246" s="68">
        <v>175.16</v>
      </c>
      <c r="Q246" s="70">
        <v>47.62</v>
      </c>
      <c r="R246" s="70">
        <v>352.75</v>
      </c>
      <c r="S246" s="76">
        <f t="shared" si="16"/>
        <v>6.9540205524518915E-3</v>
      </c>
      <c r="T246" s="76">
        <f t="shared" si="17"/>
        <v>-2.3949375648651509E-3</v>
      </c>
      <c r="U246" s="76">
        <f t="shared" si="18"/>
        <v>-1.6040339746510573E-2</v>
      </c>
      <c r="V246" s="76">
        <f t="shared" si="19"/>
        <v>8.3122685325721698E-3</v>
      </c>
      <c r="X246" s="71">
        <v>45231</v>
      </c>
      <c r="Y246" s="70">
        <v>11246.01</v>
      </c>
      <c r="Z246" s="70">
        <v>289.8</v>
      </c>
      <c r="AA246" s="80">
        <v>79.52</v>
      </c>
      <c r="AB246" s="76">
        <f t="shared" si="20"/>
        <v>7.4848083468284305E-3</v>
      </c>
      <c r="AC246" s="76">
        <f t="shared" si="20"/>
        <v>-9.4445623476630668E-3</v>
      </c>
      <c r="AD246" s="73">
        <f t="shared" si="20"/>
        <v>4.5374416139535422E-3</v>
      </c>
    </row>
    <row r="247" spans="14:30" x14ac:dyDescent="0.3">
      <c r="N247" s="71">
        <v>45170</v>
      </c>
      <c r="O247" s="70">
        <v>3892.09</v>
      </c>
      <c r="P247" s="68">
        <v>175.58</v>
      </c>
      <c r="Q247" s="70">
        <v>48.39</v>
      </c>
      <c r="R247" s="70">
        <v>349.83</v>
      </c>
      <c r="S247" s="76">
        <f t="shared" si="16"/>
        <v>-7.6792985049440666E-4</v>
      </c>
      <c r="T247" s="76">
        <f t="shared" si="17"/>
        <v>-2.6249996666995755E-2</v>
      </c>
      <c r="U247" s="76">
        <f t="shared" si="18"/>
        <v>-5.09625928839786E-2</v>
      </c>
      <c r="V247" s="76">
        <f t="shared" si="19"/>
        <v>-3.6790209146526733E-2</v>
      </c>
      <c r="X247" s="71">
        <v>45200</v>
      </c>
      <c r="Y247" s="70">
        <v>11162.15</v>
      </c>
      <c r="Z247" s="70">
        <v>292.55</v>
      </c>
      <c r="AA247" s="80">
        <v>79.16</v>
      </c>
      <c r="AB247" s="76">
        <f t="shared" si="20"/>
        <v>-4.5068796699198575E-3</v>
      </c>
      <c r="AC247" s="76">
        <f t="shared" si="20"/>
        <v>3.9386984731408737E-3</v>
      </c>
      <c r="AD247" s="73">
        <f t="shared" si="20"/>
        <v>-2.1248143478259821E-2</v>
      </c>
    </row>
    <row r="248" spans="14:30" x14ac:dyDescent="0.3">
      <c r="N248" s="71">
        <v>45078</v>
      </c>
      <c r="O248" s="70">
        <v>3895.08</v>
      </c>
      <c r="P248" s="68">
        <v>180.25</v>
      </c>
      <c r="Q248" s="70">
        <v>50.92</v>
      </c>
      <c r="R248" s="70">
        <v>362.94</v>
      </c>
      <c r="S248" s="76">
        <f t="shared" si="16"/>
        <v>2.2583841176026541E-2</v>
      </c>
      <c r="T248" s="76">
        <f t="shared" si="17"/>
        <v>8.0769134256447016E-3</v>
      </c>
      <c r="U248" s="76">
        <f t="shared" si="18"/>
        <v>2.5055993609185315E-2</v>
      </c>
      <c r="V248" s="76">
        <f t="shared" si="19"/>
        <v>1.11380089170209E-2</v>
      </c>
      <c r="X248" s="71">
        <v>45170</v>
      </c>
      <c r="Y248" s="70">
        <v>11212.57</v>
      </c>
      <c r="Z248" s="70">
        <v>291.39999999999998</v>
      </c>
      <c r="AA248" s="80">
        <v>80.86</v>
      </c>
      <c r="AB248" s="76">
        <f t="shared" si="20"/>
        <v>6.0857785256767053E-3</v>
      </c>
      <c r="AC248" s="76">
        <f t="shared" si="20"/>
        <v>-7.5214029792562533E-3</v>
      </c>
      <c r="AD248" s="73">
        <f t="shared" si="20"/>
        <v>-5.3037435458562513E-3</v>
      </c>
    </row>
    <row r="249" spans="14:30" x14ac:dyDescent="0.3">
      <c r="N249" s="71">
        <v>45047</v>
      </c>
      <c r="O249" s="70">
        <v>3808.1</v>
      </c>
      <c r="P249" s="68">
        <v>178.8</v>
      </c>
      <c r="Q249" s="70">
        <v>49.66</v>
      </c>
      <c r="R249" s="70">
        <v>358.92</v>
      </c>
      <c r="S249" s="76">
        <f t="shared" si="16"/>
        <v>-1.1713902384519219E-2</v>
      </c>
      <c r="T249" s="76">
        <f t="shared" si="17"/>
        <v>-7.4109496960532264E-3</v>
      </c>
      <c r="U249" s="76">
        <f t="shared" si="18"/>
        <v>-9.4198511953916039E-3</v>
      </c>
      <c r="V249" s="76">
        <f t="shared" si="19"/>
        <v>-1.1578755990433112E-2</v>
      </c>
      <c r="X249" s="71">
        <v>45078</v>
      </c>
      <c r="Y249" s="70">
        <v>11144.54</v>
      </c>
      <c r="Z249" s="70">
        <v>293.60000000000002</v>
      </c>
      <c r="AA249" s="80">
        <v>81.290000000000006</v>
      </c>
      <c r="AB249" s="76">
        <f t="shared" si="20"/>
        <v>7.850709160312724E-3</v>
      </c>
      <c r="AC249" s="76">
        <f t="shared" si="20"/>
        <v>9.2387312392048192E-3</v>
      </c>
      <c r="AD249" s="73">
        <f t="shared" si="20"/>
        <v>1.0138563600439557E-2</v>
      </c>
    </row>
    <row r="250" spans="14:30" x14ac:dyDescent="0.3">
      <c r="N250" s="71">
        <v>45017</v>
      </c>
      <c r="O250" s="70">
        <v>3852.97</v>
      </c>
      <c r="P250" s="68">
        <v>180.13</v>
      </c>
      <c r="Q250" s="70">
        <v>50.13</v>
      </c>
      <c r="R250" s="70">
        <v>363.1</v>
      </c>
      <c r="S250" s="76">
        <f t="shared" si="16"/>
        <v>7.5106740753847724E-3</v>
      </c>
      <c r="T250" s="76">
        <f t="shared" si="17"/>
        <v>1.0828415696143739E-2</v>
      </c>
      <c r="U250" s="76">
        <f t="shared" si="18"/>
        <v>-2.2291089660512964E-2</v>
      </c>
      <c r="V250" s="76">
        <f t="shared" si="19"/>
        <v>-5.1916775266156196E-3</v>
      </c>
      <c r="X250" s="71">
        <v>45047</v>
      </c>
      <c r="Y250" s="70">
        <v>11057.39</v>
      </c>
      <c r="Z250" s="70">
        <v>290.89999999999998</v>
      </c>
      <c r="AA250" s="80">
        <v>80.47</v>
      </c>
      <c r="AB250" s="76">
        <f t="shared" si="20"/>
        <v>-7.4674884775016818E-3</v>
      </c>
      <c r="AC250" s="76">
        <f t="shared" si="20"/>
        <v>-2.3442554748752831E-2</v>
      </c>
      <c r="AD250" s="73">
        <f t="shared" si="20"/>
        <v>-9.8925006070719086E-3</v>
      </c>
    </row>
    <row r="251" spans="14:30" x14ac:dyDescent="0.3">
      <c r="N251" s="71">
        <v>44986</v>
      </c>
      <c r="O251" s="70">
        <v>3824.14</v>
      </c>
      <c r="P251" s="68">
        <v>178.19</v>
      </c>
      <c r="Q251" s="70">
        <v>51.26</v>
      </c>
      <c r="R251" s="70">
        <v>364.99</v>
      </c>
      <c r="S251" s="76">
        <f t="shared" si="16"/>
        <v>-4.0085443908070935E-3</v>
      </c>
      <c r="T251" s="76">
        <f t="shared" si="17"/>
        <v>8.6800229341691335E-3</v>
      </c>
      <c r="U251" s="76">
        <f t="shared" si="18"/>
        <v>3.9024390739144413E-4</v>
      </c>
      <c r="V251" s="76">
        <f t="shared" si="19"/>
        <v>-2.3261234028939437E-3</v>
      </c>
      <c r="X251" s="71">
        <v>45017</v>
      </c>
      <c r="Y251" s="70">
        <v>11140.27</v>
      </c>
      <c r="Z251" s="70">
        <v>297.8</v>
      </c>
      <c r="AA251" s="80">
        <v>81.27</v>
      </c>
      <c r="AB251" s="76">
        <f t="shared" si="20"/>
        <v>1.4614904345846471E-2</v>
      </c>
      <c r="AC251" s="76">
        <f t="shared" si="20"/>
        <v>1.3522856510131668E-2</v>
      </c>
      <c r="AD251" s="73">
        <f t="shared" si="20"/>
        <v>-9.8388889993329827E-4</v>
      </c>
    </row>
    <row r="252" spans="14:30" x14ac:dyDescent="0.3">
      <c r="N252" s="70" t="s">
        <v>379</v>
      </c>
      <c r="O252" s="70">
        <v>3839.5</v>
      </c>
      <c r="P252" s="68">
        <v>176.65</v>
      </c>
      <c r="Q252" s="70">
        <v>51.24</v>
      </c>
      <c r="R252" s="70">
        <v>365.84</v>
      </c>
      <c r="S252" s="76">
        <f t="shared" si="16"/>
        <v>-2.5439680351095257E-3</v>
      </c>
      <c r="T252" s="76">
        <f t="shared" si="17"/>
        <v>-5.1382061606802245E-3</v>
      </c>
      <c r="U252" s="76">
        <f t="shared" si="18"/>
        <v>-1.7548995436782275E-3</v>
      </c>
      <c r="V252" s="76">
        <f t="shared" si="19"/>
        <v>-3.220263132728779E-3</v>
      </c>
      <c r="X252" s="71">
        <v>44986</v>
      </c>
      <c r="Y252" s="70">
        <v>10978.64</v>
      </c>
      <c r="Z252" s="70">
        <v>293.8</v>
      </c>
      <c r="AA252" s="80">
        <v>81.349999999999994</v>
      </c>
      <c r="AB252" s="76">
        <f t="shared" si="20"/>
        <v>2.2963929751236924E-2</v>
      </c>
      <c r="AC252" s="76">
        <f t="shared" si="20"/>
        <v>1.129568744781095E-2</v>
      </c>
      <c r="AD252" s="73">
        <f t="shared" si="20"/>
        <v>2.6405818687896182E-2</v>
      </c>
    </row>
    <row r="253" spans="14:30" x14ac:dyDescent="0.3">
      <c r="N253" s="70" t="s">
        <v>380</v>
      </c>
      <c r="O253" s="70">
        <v>3849.28</v>
      </c>
      <c r="P253" s="68">
        <v>177.56</v>
      </c>
      <c r="Q253" s="70">
        <v>51.33</v>
      </c>
      <c r="R253" s="70">
        <v>367.02</v>
      </c>
      <c r="S253" s="76">
        <f t="shared" si="16"/>
        <v>1.7310618960093668E-2</v>
      </c>
      <c r="T253" s="76">
        <f t="shared" si="17"/>
        <v>5.081598648848315E-3</v>
      </c>
      <c r="U253" s="76">
        <f t="shared" si="18"/>
        <v>1.0379021987775619E-2</v>
      </c>
      <c r="V253" s="76">
        <f t="shared" si="19"/>
        <v>4.9164307486402794E-3</v>
      </c>
      <c r="X253" s="70" t="s">
        <v>379</v>
      </c>
      <c r="Y253" s="70">
        <v>10729.4</v>
      </c>
      <c r="Z253" s="70">
        <v>290.5</v>
      </c>
      <c r="AA253" s="80">
        <v>79.23</v>
      </c>
      <c r="AB253" s="76">
        <f t="shared" si="20"/>
        <v>-1.1854632904199721E-2</v>
      </c>
      <c r="AC253" s="76">
        <f t="shared" si="20"/>
        <v>-8.0569562438254881E-3</v>
      </c>
      <c r="AD253" s="73">
        <f t="shared" si="20"/>
        <v>-1.3788135208570498E-2</v>
      </c>
    </row>
    <row r="254" spans="14:30" x14ac:dyDescent="0.3">
      <c r="N254" s="70" t="s">
        <v>381</v>
      </c>
      <c r="O254" s="70">
        <v>3783.22</v>
      </c>
      <c r="P254" s="68">
        <v>176.66</v>
      </c>
      <c r="Q254" s="70">
        <v>50.8</v>
      </c>
      <c r="R254" s="70">
        <v>365.22</v>
      </c>
      <c r="S254" s="76">
        <f t="shared" si="16"/>
        <v>-1.209346269904926E-2</v>
      </c>
      <c r="T254" s="76">
        <f t="shared" si="17"/>
        <v>-4.3491836185019896E-3</v>
      </c>
      <c r="U254" s="76">
        <f t="shared" si="18"/>
        <v>-6.4750545074717227E-3</v>
      </c>
      <c r="V254" s="76">
        <f t="shared" si="19"/>
        <v>9.3137933044321812E-4</v>
      </c>
      <c r="X254" s="70" t="s">
        <v>380</v>
      </c>
      <c r="Y254" s="70">
        <v>10857.35</v>
      </c>
      <c r="Z254" s="70">
        <v>292.85000000000002</v>
      </c>
      <c r="AA254" s="80">
        <v>80.33</v>
      </c>
      <c r="AB254" s="76">
        <f t="shared" si="20"/>
        <v>4.1236753186329684E-3</v>
      </c>
      <c r="AC254" s="76">
        <f t="shared" si="20"/>
        <v>1.0249403015461333E-3</v>
      </c>
      <c r="AD254" s="73">
        <f t="shared" si="20"/>
        <v>3.2418981011788275E-3</v>
      </c>
    </row>
    <row r="255" spans="14:30" x14ac:dyDescent="0.3">
      <c r="N255" s="70" t="s">
        <v>382</v>
      </c>
      <c r="O255" s="70">
        <v>3829.25</v>
      </c>
      <c r="P255" s="68">
        <v>177.43</v>
      </c>
      <c r="Q255" s="70">
        <v>51.13</v>
      </c>
      <c r="R255" s="70">
        <v>364.88</v>
      </c>
      <c r="S255" s="76">
        <f t="shared" si="16"/>
        <v>-4.0578262550561321E-3</v>
      </c>
      <c r="T255" s="76">
        <f t="shared" si="17"/>
        <v>-2.8176157522061441E-4</v>
      </c>
      <c r="U255" s="76">
        <f t="shared" si="18"/>
        <v>-1.3597723109707178E-2</v>
      </c>
      <c r="V255" s="76">
        <f t="shared" si="19"/>
        <v>-8.2426297072836011E-3</v>
      </c>
      <c r="X255" s="70" t="s">
        <v>381</v>
      </c>
      <c r="Y255" s="70">
        <v>10812.67</v>
      </c>
      <c r="Z255" s="70">
        <v>292.55</v>
      </c>
      <c r="AA255" s="80">
        <v>80.069999999999993</v>
      </c>
      <c r="AB255" s="76">
        <f t="shared" si="20"/>
        <v>-2.4524430252535327E-3</v>
      </c>
      <c r="AC255" s="76">
        <f t="shared" si="20"/>
        <v>-5.2842533257043221E-3</v>
      </c>
      <c r="AD255" s="73">
        <f t="shared" si="20"/>
        <v>-3.4908400989791845E-3</v>
      </c>
    </row>
    <row r="256" spans="14:30" x14ac:dyDescent="0.3">
      <c r="N256" s="70" t="s">
        <v>383</v>
      </c>
      <c r="O256" s="70">
        <v>3844.82</v>
      </c>
      <c r="P256" s="68">
        <v>177.48</v>
      </c>
      <c r="Q256" s="70">
        <v>51.83</v>
      </c>
      <c r="R256" s="70">
        <v>367.9</v>
      </c>
      <c r="S256" s="76">
        <f t="shared" si="16"/>
        <v>5.8509063889847814E-3</v>
      </c>
      <c r="T256" s="76">
        <f t="shared" si="17"/>
        <v>2.5387167735216321E-3</v>
      </c>
      <c r="U256" s="76">
        <f t="shared" si="18"/>
        <v>3.6725662231733699E-3</v>
      </c>
      <c r="V256" s="76">
        <f t="shared" si="19"/>
        <v>7.0648539237027838E-3</v>
      </c>
      <c r="X256" s="70" t="s">
        <v>382</v>
      </c>
      <c r="Y256" s="70">
        <v>10839.22</v>
      </c>
      <c r="Z256" s="70">
        <v>294.10000000000002</v>
      </c>
      <c r="AA256" s="80">
        <v>80.349999999999994</v>
      </c>
      <c r="AB256" s="76">
        <f t="shared" si="20"/>
        <v>3.1916641012727691E-3</v>
      </c>
      <c r="AC256" s="76">
        <f t="shared" si="20"/>
        <v>-3.7332471663679549E-3</v>
      </c>
      <c r="AD256" s="73">
        <f t="shared" si="20"/>
        <v>6.2247123080560627E-4</v>
      </c>
    </row>
    <row r="257" spans="14:30" x14ac:dyDescent="0.3">
      <c r="N257" s="70" t="s">
        <v>384</v>
      </c>
      <c r="O257" s="70">
        <v>3822.39</v>
      </c>
      <c r="P257" s="68">
        <v>177.03</v>
      </c>
      <c r="Q257" s="70">
        <v>51.64</v>
      </c>
      <c r="R257" s="70">
        <v>365.31</v>
      </c>
      <c r="S257" s="76">
        <f t="shared" si="16"/>
        <v>-1.4557129502374849E-2</v>
      </c>
      <c r="T257" s="76">
        <f t="shared" si="17"/>
        <v>-3.6649698489849883E-3</v>
      </c>
      <c r="U257" s="76">
        <f t="shared" si="18"/>
        <v>-3.8722168925260544E-4</v>
      </c>
      <c r="V257" s="76">
        <f t="shared" si="19"/>
        <v>-7.3638035257444969E-3</v>
      </c>
      <c r="X257" s="70" t="s">
        <v>383</v>
      </c>
      <c r="Y257" s="70">
        <v>10804.68</v>
      </c>
      <c r="Z257" s="70">
        <v>295.2</v>
      </c>
      <c r="AA257" s="80">
        <v>80.3</v>
      </c>
      <c r="AB257" s="76">
        <f t="shared" si="20"/>
        <v>2.7841488429243976E-3</v>
      </c>
      <c r="AC257" s="76">
        <f t="shared" si="20"/>
        <v>1.0167769050868111E-3</v>
      </c>
      <c r="AD257" s="73">
        <f t="shared" si="20"/>
        <v>2.1193051627367405E-3</v>
      </c>
    </row>
    <row r="258" spans="14:30" x14ac:dyDescent="0.3">
      <c r="N258" s="70" t="s">
        <v>385</v>
      </c>
      <c r="O258" s="70">
        <v>3878.44</v>
      </c>
      <c r="P258" s="68">
        <v>177.68</v>
      </c>
      <c r="Q258" s="70">
        <v>51.66</v>
      </c>
      <c r="R258" s="70">
        <v>368.01</v>
      </c>
      <c r="S258" s="76">
        <f t="shared" si="16"/>
        <v>1.4758594440961796E-2</v>
      </c>
      <c r="T258" s="76">
        <f t="shared" si="17"/>
        <v>1.1376944560880448E-2</v>
      </c>
      <c r="U258" s="76">
        <f t="shared" si="18"/>
        <v>6.6032479202585859E-3</v>
      </c>
      <c r="V258" s="76">
        <f t="shared" si="19"/>
        <v>2.3006580596198117E-2</v>
      </c>
      <c r="X258" s="70" t="s">
        <v>384</v>
      </c>
      <c r="Y258" s="70">
        <v>10774.64</v>
      </c>
      <c r="Z258" s="70">
        <v>294.89999999999998</v>
      </c>
      <c r="AA258" s="80">
        <v>80.13</v>
      </c>
      <c r="AB258" s="76">
        <f t="shared" si="20"/>
        <v>-6.5633209909107138E-3</v>
      </c>
      <c r="AC258" s="76">
        <f t="shared" si="20"/>
        <v>-1.0121543898005993E-2</v>
      </c>
      <c r="AD258" s="73">
        <f t="shared" si="20"/>
        <v>-1.9947644066136251E-3</v>
      </c>
    </row>
    <row r="259" spans="14:30" x14ac:dyDescent="0.3">
      <c r="N259" s="70" t="s">
        <v>386</v>
      </c>
      <c r="O259" s="70">
        <v>3821.62</v>
      </c>
      <c r="P259" s="68">
        <v>175.67</v>
      </c>
      <c r="Q259" s="70">
        <v>51.32</v>
      </c>
      <c r="R259" s="70">
        <v>359.64</v>
      </c>
      <c r="S259" s="76">
        <f t="shared" ref="S259:S322" si="21">LN(O259/O260)</f>
        <v>1.036747011419641E-3</v>
      </c>
      <c r="T259" s="76">
        <f t="shared" ref="T259:T322" si="22">LN(P259/P260)</f>
        <v>1.0821587272783434E-3</v>
      </c>
      <c r="U259" s="76">
        <f t="shared" ref="U259:U322" si="23">LN(Q259/Q260)</f>
        <v>-7.7911963427002809E-4</v>
      </c>
      <c r="V259" s="76">
        <f t="shared" ref="V259:V322" si="24">LN(R259/R260)</f>
        <v>5.1852587535026837E-3</v>
      </c>
      <c r="X259" s="70" t="s">
        <v>385</v>
      </c>
      <c r="Y259" s="70">
        <v>10845.59</v>
      </c>
      <c r="Z259" s="70">
        <v>297.89999999999998</v>
      </c>
      <c r="AA259" s="80">
        <v>80.290000000000006</v>
      </c>
      <c r="AB259" s="76">
        <f t="shared" ref="AB259:AD322" si="25">LN(Y259/Y260)</f>
        <v>1.7336114889645551E-2</v>
      </c>
      <c r="AC259" s="76">
        <f t="shared" si="25"/>
        <v>5.8917769962624177E-3</v>
      </c>
      <c r="AD259" s="73">
        <f t="shared" si="25"/>
        <v>1.3416288002822123E-2</v>
      </c>
    </row>
    <row r="260" spans="14:30" x14ac:dyDescent="0.3">
      <c r="N260" s="70" t="s">
        <v>387</v>
      </c>
      <c r="O260" s="70">
        <v>3817.66</v>
      </c>
      <c r="P260" s="68">
        <v>175.48</v>
      </c>
      <c r="Q260" s="70">
        <v>51.36</v>
      </c>
      <c r="R260" s="70">
        <v>357.78</v>
      </c>
      <c r="S260" s="76">
        <f t="shared" si="21"/>
        <v>-9.0482780342915972E-3</v>
      </c>
      <c r="T260" s="76">
        <f t="shared" si="22"/>
        <v>-1.0821587272783352E-3</v>
      </c>
      <c r="U260" s="76">
        <f t="shared" si="23"/>
        <v>-7.7851307941368666E-4</v>
      </c>
      <c r="V260" s="76">
        <f t="shared" si="24"/>
        <v>-5.8245827596571723E-3</v>
      </c>
      <c r="X260" s="70" t="s">
        <v>386</v>
      </c>
      <c r="Y260" s="70">
        <v>10659.19</v>
      </c>
      <c r="Z260" s="70">
        <v>296.14999999999998</v>
      </c>
      <c r="AA260" s="80">
        <v>79.22</v>
      </c>
      <c r="AB260" s="76">
        <f t="shared" si="25"/>
        <v>-1.064192249455319E-2</v>
      </c>
      <c r="AC260" s="76">
        <f t="shared" si="25"/>
        <v>-1.3915892266310561E-2</v>
      </c>
      <c r="AD260" s="73">
        <f t="shared" si="25"/>
        <v>-6.667949471183432E-3</v>
      </c>
    </row>
    <row r="261" spans="14:30" x14ac:dyDescent="0.3">
      <c r="N261" s="70" t="s">
        <v>388</v>
      </c>
      <c r="O261" s="70">
        <v>3852.36</v>
      </c>
      <c r="P261" s="68">
        <v>175.67</v>
      </c>
      <c r="Q261" s="70">
        <v>51.4</v>
      </c>
      <c r="R261" s="70">
        <v>359.87</v>
      </c>
      <c r="S261" s="76">
        <f t="shared" si="21"/>
        <v>-1.1200267830704025E-2</v>
      </c>
      <c r="T261" s="76">
        <f t="shared" si="22"/>
        <v>-1.0307034274963647E-2</v>
      </c>
      <c r="U261" s="76">
        <f t="shared" si="23"/>
        <v>-4.2097445378327006E-2</v>
      </c>
      <c r="V261" s="76">
        <f t="shared" si="24"/>
        <v>-3.8895371941145585E-4</v>
      </c>
      <c r="X261" s="70" t="s">
        <v>387</v>
      </c>
      <c r="Y261" s="70">
        <v>10773.23</v>
      </c>
      <c r="Z261" s="70">
        <v>300.3</v>
      </c>
      <c r="AA261" s="80">
        <v>79.75</v>
      </c>
      <c r="AB261" s="76">
        <f t="shared" si="25"/>
        <v>2.6457961470953043E-4</v>
      </c>
      <c r="AC261" s="76">
        <f t="shared" si="25"/>
        <v>-3.4904049397686022E-3</v>
      </c>
      <c r="AD261" s="73">
        <f t="shared" si="25"/>
        <v>-1.1278903382546184E-3</v>
      </c>
    </row>
    <row r="262" spans="14:30" x14ac:dyDescent="0.3">
      <c r="N262" s="70" t="s">
        <v>389</v>
      </c>
      <c r="O262" s="70">
        <v>3895.75</v>
      </c>
      <c r="P262" s="68">
        <v>177.49</v>
      </c>
      <c r="Q262" s="70">
        <v>53.61</v>
      </c>
      <c r="R262" s="70">
        <v>360.01</v>
      </c>
      <c r="S262" s="76">
        <f t="shared" si="21"/>
        <v>-2.5237460791963953E-2</v>
      </c>
      <c r="T262" s="76">
        <f t="shared" si="22"/>
        <v>-1.2708358576818521E-2</v>
      </c>
      <c r="U262" s="76">
        <f t="shared" si="23"/>
        <v>-1.6098044001810547E-2</v>
      </c>
      <c r="V262" s="76">
        <f t="shared" si="24"/>
        <v>-9.6474881314358892E-3</v>
      </c>
      <c r="X262" s="70" t="s">
        <v>388</v>
      </c>
      <c r="Y262" s="70">
        <v>10770.38</v>
      </c>
      <c r="Z262" s="70">
        <v>301.35000000000002</v>
      </c>
      <c r="AA262" s="80">
        <v>79.84</v>
      </c>
      <c r="AB262" s="76">
        <f t="shared" si="25"/>
        <v>-1.0139335252150425E-2</v>
      </c>
      <c r="AC262" s="76">
        <f t="shared" si="25"/>
        <v>-3.6435946238699739E-3</v>
      </c>
      <c r="AD262" s="73">
        <f t="shared" si="25"/>
        <v>-4.4988828692602411E-3</v>
      </c>
    </row>
    <row r="263" spans="14:30" x14ac:dyDescent="0.3">
      <c r="N263" s="70" t="s">
        <v>390</v>
      </c>
      <c r="O263" s="70">
        <v>3995.32</v>
      </c>
      <c r="P263" s="68">
        <v>179.76</v>
      </c>
      <c r="Q263" s="70">
        <v>54.48</v>
      </c>
      <c r="R263" s="70">
        <v>363.5</v>
      </c>
      <c r="S263" s="76">
        <f t="shared" si="21"/>
        <v>-6.0711580284131088E-3</v>
      </c>
      <c r="T263" s="76">
        <f t="shared" si="22"/>
        <v>3.0643253217762273E-3</v>
      </c>
      <c r="U263" s="76">
        <f t="shared" si="23"/>
        <v>2.6221865001453317E-2</v>
      </c>
      <c r="V263" s="76">
        <f t="shared" si="24"/>
        <v>1.3404432453295955E-2</v>
      </c>
      <c r="X263" s="70" t="s">
        <v>389</v>
      </c>
      <c r="Y263" s="70">
        <v>10880.14</v>
      </c>
      <c r="Z263" s="70">
        <v>302.45</v>
      </c>
      <c r="AA263" s="80">
        <v>80.2</v>
      </c>
      <c r="AB263" s="76">
        <f t="shared" si="25"/>
        <v>-2.5458674006816926E-2</v>
      </c>
      <c r="AC263" s="76">
        <f t="shared" si="25"/>
        <v>-1.6721701101454101E-2</v>
      </c>
      <c r="AD263" s="73">
        <f t="shared" si="25"/>
        <v>-1.7673326590795763E-2</v>
      </c>
    </row>
    <row r="264" spans="14:30" x14ac:dyDescent="0.3">
      <c r="N264" s="70" t="s">
        <v>391</v>
      </c>
      <c r="O264" s="70">
        <v>4019.65</v>
      </c>
      <c r="P264" s="68">
        <v>179.21</v>
      </c>
      <c r="Q264" s="70">
        <v>53.07</v>
      </c>
      <c r="R264" s="70">
        <v>358.66</v>
      </c>
      <c r="S264" s="76">
        <f t="shared" si="21"/>
        <v>7.2632622332616968E-3</v>
      </c>
      <c r="T264" s="76">
        <f t="shared" si="22"/>
        <v>7.6740328993561901E-3</v>
      </c>
      <c r="U264" s="76">
        <f t="shared" si="23"/>
        <v>1.7295879221406057E-2</v>
      </c>
      <c r="V264" s="76">
        <f t="shared" si="24"/>
        <v>-2.3667950533708498E-2</v>
      </c>
      <c r="X264" s="70" t="s">
        <v>390</v>
      </c>
      <c r="Y264" s="70">
        <v>11160.69</v>
      </c>
      <c r="Z264" s="70">
        <v>307.55</v>
      </c>
      <c r="AA264" s="80">
        <v>81.63</v>
      </c>
      <c r="AB264" s="76">
        <f t="shared" si="25"/>
        <v>2.1590056692758139E-3</v>
      </c>
      <c r="AC264" s="76">
        <f t="shared" si="25"/>
        <v>9.7592720823311621E-4</v>
      </c>
      <c r="AD264" s="73">
        <f t="shared" si="25"/>
        <v>1.5555869238637348E-2</v>
      </c>
    </row>
    <row r="265" spans="14:30" x14ac:dyDescent="0.3">
      <c r="N265" s="71">
        <v>44907</v>
      </c>
      <c r="O265" s="70">
        <v>3990.56</v>
      </c>
      <c r="P265" s="68">
        <v>177.84</v>
      </c>
      <c r="Q265" s="70">
        <v>52.16</v>
      </c>
      <c r="R265" s="70">
        <v>367.25</v>
      </c>
      <c r="S265" s="76">
        <f t="shared" si="21"/>
        <v>1.4178262831053962E-2</v>
      </c>
      <c r="T265" s="76">
        <f t="shared" si="22"/>
        <v>1.1878639588244023E-2</v>
      </c>
      <c r="U265" s="76">
        <f t="shared" si="23"/>
        <v>8.4713637147407778E-3</v>
      </c>
      <c r="V265" s="76">
        <f t="shared" si="24"/>
        <v>1.7192557935805867E-2</v>
      </c>
      <c r="X265" s="70" t="s">
        <v>391</v>
      </c>
      <c r="Y265" s="70">
        <v>11136.62</v>
      </c>
      <c r="Z265" s="70">
        <v>307.25</v>
      </c>
      <c r="AA265" s="80">
        <v>80.37</v>
      </c>
      <c r="AB265" s="76">
        <f t="shared" si="25"/>
        <v>9.2899894390295092E-3</v>
      </c>
      <c r="AC265" s="76">
        <f t="shared" si="25"/>
        <v>1.3928942936775145E-2</v>
      </c>
      <c r="AD265" s="73">
        <f t="shared" si="25"/>
        <v>-1.6162121998905235E-3</v>
      </c>
    </row>
    <row r="266" spans="14:30" x14ac:dyDescent="0.3">
      <c r="N266" s="71">
        <v>44816</v>
      </c>
      <c r="O266" s="70">
        <v>3934.38</v>
      </c>
      <c r="P266" s="68">
        <v>175.74</v>
      </c>
      <c r="Q266" s="70">
        <v>51.72</v>
      </c>
      <c r="R266" s="70">
        <v>360.99</v>
      </c>
      <c r="S266" s="76">
        <f t="shared" si="21"/>
        <v>-7.3766872148234497E-3</v>
      </c>
      <c r="T266" s="76">
        <f t="shared" si="22"/>
        <v>-8.2734081032833501E-3</v>
      </c>
      <c r="U266" s="76">
        <f t="shared" si="23"/>
        <v>-1.1594204197349304E-3</v>
      </c>
      <c r="V266" s="76">
        <f t="shared" si="24"/>
        <v>-2.9478921626711726E-2</v>
      </c>
      <c r="X266" s="71">
        <v>44907</v>
      </c>
      <c r="Y266" s="70">
        <v>11033.64</v>
      </c>
      <c r="Z266" s="70">
        <v>303</v>
      </c>
      <c r="AA266" s="80">
        <v>80.5</v>
      </c>
      <c r="AB266" s="76">
        <f t="shared" si="25"/>
        <v>-3.1363788348137008E-3</v>
      </c>
      <c r="AC266" s="76">
        <f t="shared" si="25"/>
        <v>-5.2666349516923457E-3</v>
      </c>
      <c r="AD266" s="73">
        <f t="shared" si="25"/>
        <v>-6.4388533500268066E-3</v>
      </c>
    </row>
    <row r="267" spans="14:30" x14ac:dyDescent="0.3">
      <c r="N267" s="71">
        <v>44785</v>
      </c>
      <c r="O267" s="70">
        <v>3963.51</v>
      </c>
      <c r="P267" s="68">
        <v>177.2</v>
      </c>
      <c r="Q267" s="70">
        <v>51.78</v>
      </c>
      <c r="R267" s="70">
        <v>371.79</v>
      </c>
      <c r="S267" s="76">
        <f t="shared" si="21"/>
        <v>7.493612090724109E-3</v>
      </c>
      <c r="T267" s="76">
        <f t="shared" si="22"/>
        <v>1.6931455863457859E-4</v>
      </c>
      <c r="U267" s="76">
        <f t="shared" si="23"/>
        <v>3.019245216344835E-2</v>
      </c>
      <c r="V267" s="76">
        <f t="shared" si="24"/>
        <v>-4.8402711496786573E-4</v>
      </c>
      <c r="X267" s="71">
        <v>44816</v>
      </c>
      <c r="Y267" s="70">
        <v>11068.3</v>
      </c>
      <c r="Z267" s="70">
        <v>304.60000000000002</v>
      </c>
      <c r="AA267" s="80">
        <v>81.02</v>
      </c>
      <c r="AB267" s="76">
        <f t="shared" si="25"/>
        <v>5.7781605190381797E-3</v>
      </c>
      <c r="AC267" s="76">
        <f t="shared" si="25"/>
        <v>5.4316650700634624E-3</v>
      </c>
      <c r="AD267" s="73">
        <f t="shared" si="25"/>
        <v>2.1004517514287054E-3</v>
      </c>
    </row>
    <row r="268" spans="14:30" x14ac:dyDescent="0.3">
      <c r="N268" s="71">
        <v>44754</v>
      </c>
      <c r="O268" s="70">
        <v>3933.92</v>
      </c>
      <c r="P268" s="68">
        <v>177.17</v>
      </c>
      <c r="Q268" s="70">
        <v>50.24</v>
      </c>
      <c r="R268" s="70">
        <v>371.97</v>
      </c>
      <c r="S268" s="76">
        <f t="shared" si="21"/>
        <v>-1.8640849162627044E-3</v>
      </c>
      <c r="T268" s="76">
        <f t="shared" si="22"/>
        <v>6.0577081101853957E-3</v>
      </c>
      <c r="U268" s="76">
        <f t="shared" si="23"/>
        <v>1.0605402053362079E-2</v>
      </c>
      <c r="V268" s="76">
        <f t="shared" si="24"/>
        <v>9.2639519531455359E-3</v>
      </c>
      <c r="X268" s="71">
        <v>44785</v>
      </c>
      <c r="Y268" s="70">
        <v>11004.53</v>
      </c>
      <c r="Z268" s="70">
        <v>302.95</v>
      </c>
      <c r="AA268" s="80">
        <v>80.849999999999994</v>
      </c>
      <c r="AB268" s="76">
        <f t="shared" si="25"/>
        <v>-4.924031918547287E-4</v>
      </c>
      <c r="AC268" s="76">
        <f t="shared" si="25"/>
        <v>5.7932794652596521E-3</v>
      </c>
      <c r="AD268" s="73">
        <f t="shared" si="25"/>
        <v>-5.5504305306490918E-3</v>
      </c>
    </row>
    <row r="269" spans="14:30" x14ac:dyDescent="0.3">
      <c r="N269" s="71">
        <v>44724</v>
      </c>
      <c r="O269" s="70">
        <v>3941.26</v>
      </c>
      <c r="P269" s="68">
        <v>176.1</v>
      </c>
      <c r="Q269" s="70">
        <v>49.71</v>
      </c>
      <c r="R269" s="70">
        <v>368.54</v>
      </c>
      <c r="S269" s="76">
        <f t="shared" si="21"/>
        <v>-1.4503849921748772E-2</v>
      </c>
      <c r="T269" s="76">
        <f t="shared" si="22"/>
        <v>-1.5103984157546069E-2</v>
      </c>
      <c r="U269" s="76">
        <f t="shared" si="23"/>
        <v>-2.0311331472017347E-2</v>
      </c>
      <c r="V269" s="76">
        <f t="shared" si="24"/>
        <v>-2.0329893290198151E-3</v>
      </c>
      <c r="X269" s="71">
        <v>44754</v>
      </c>
      <c r="Y269" s="70">
        <v>11009.95</v>
      </c>
      <c r="Z269" s="70">
        <v>301.2</v>
      </c>
      <c r="AA269" s="80">
        <v>81.3</v>
      </c>
      <c r="AB269" s="76">
        <f t="shared" si="25"/>
        <v>-8.985886404244154E-3</v>
      </c>
      <c r="AC269" s="76">
        <f t="shared" si="25"/>
        <v>-1.3192803484563444E-2</v>
      </c>
      <c r="AD269" s="73">
        <f t="shared" si="25"/>
        <v>5.7978328080117957E-3</v>
      </c>
    </row>
    <row r="270" spans="14:30" x14ac:dyDescent="0.3">
      <c r="N270" s="71">
        <v>44693</v>
      </c>
      <c r="O270" s="70">
        <v>3998.84</v>
      </c>
      <c r="P270" s="68">
        <v>178.78</v>
      </c>
      <c r="Q270" s="70">
        <v>50.73</v>
      </c>
      <c r="R270" s="70">
        <v>369.29</v>
      </c>
      <c r="S270" s="76">
        <f t="shared" si="21"/>
        <v>-1.8056283602075441E-2</v>
      </c>
      <c r="T270" s="76">
        <f t="shared" si="22"/>
        <v>-5.591903070277422E-4</v>
      </c>
      <c r="U270" s="76">
        <f t="shared" si="23"/>
        <v>-3.5419163356459984E-3</v>
      </c>
      <c r="V270" s="76">
        <f t="shared" si="24"/>
        <v>-1.4703577847252769E-2</v>
      </c>
      <c r="X270" s="71">
        <v>44724</v>
      </c>
      <c r="Y270" s="70">
        <v>11109.33</v>
      </c>
      <c r="Z270" s="70">
        <v>305.2</v>
      </c>
      <c r="AA270" s="80">
        <v>80.83</v>
      </c>
      <c r="AB270" s="76">
        <f t="shared" si="25"/>
        <v>-7.6524763685078415E-3</v>
      </c>
      <c r="AC270" s="76">
        <f t="shared" si="25"/>
        <v>-1.4152330554939278E-2</v>
      </c>
      <c r="AD270" s="73">
        <f t="shared" si="25"/>
        <v>-6.0438050143927771E-3</v>
      </c>
    </row>
    <row r="271" spans="14:30" x14ac:dyDescent="0.3">
      <c r="N271" s="71">
        <v>44604</v>
      </c>
      <c r="O271" s="70">
        <v>4071.7</v>
      </c>
      <c r="P271" s="68">
        <v>178.88</v>
      </c>
      <c r="Q271" s="70">
        <v>50.91</v>
      </c>
      <c r="R271" s="70">
        <v>374.76</v>
      </c>
      <c r="S271" s="76">
        <f t="shared" si="21"/>
        <v>-1.1953459028422096E-3</v>
      </c>
      <c r="T271" s="76">
        <f t="shared" si="22"/>
        <v>7.829540134884445E-4</v>
      </c>
      <c r="U271" s="76">
        <f t="shared" si="23"/>
        <v>-3.3336632500939422E-3</v>
      </c>
      <c r="V271" s="76">
        <f t="shared" si="24"/>
        <v>1.1891321052065506E-2</v>
      </c>
      <c r="X271" s="71">
        <v>44693</v>
      </c>
      <c r="Y271" s="70">
        <v>11194.67</v>
      </c>
      <c r="Z271" s="70">
        <v>309.55</v>
      </c>
      <c r="AA271" s="80">
        <v>81.319999999999993</v>
      </c>
      <c r="AB271" s="76">
        <f t="shared" si="25"/>
        <v>-3.0902790428477507E-4</v>
      </c>
      <c r="AC271" s="76">
        <f t="shared" si="25"/>
        <v>4.2084879207875577E-3</v>
      </c>
      <c r="AD271" s="73">
        <f t="shared" si="25"/>
        <v>1.949524709519174E-2</v>
      </c>
    </row>
    <row r="272" spans="14:30" x14ac:dyDescent="0.3">
      <c r="N272" s="71">
        <v>44573</v>
      </c>
      <c r="O272" s="70">
        <v>4076.57</v>
      </c>
      <c r="P272" s="68">
        <v>178.74</v>
      </c>
      <c r="Q272" s="70">
        <v>51.08</v>
      </c>
      <c r="R272" s="70">
        <v>370.33</v>
      </c>
      <c r="S272" s="76">
        <f t="shared" si="21"/>
        <v>-8.6800027027179102E-4</v>
      </c>
      <c r="T272" s="76">
        <f t="shared" si="22"/>
        <v>4.1486856611607104E-3</v>
      </c>
      <c r="U272" s="76">
        <f t="shared" si="23"/>
        <v>1.8773399888926394E-2</v>
      </c>
      <c r="V272" s="76">
        <f t="shared" si="24"/>
        <v>-2.0231727541488121E-3</v>
      </c>
      <c r="X272" s="71">
        <v>44604</v>
      </c>
      <c r="Y272" s="70">
        <v>11198.13</v>
      </c>
      <c r="Z272" s="70">
        <v>308.25</v>
      </c>
      <c r="AA272" s="80">
        <v>79.75</v>
      </c>
      <c r="AB272" s="76">
        <f t="shared" si="25"/>
        <v>-3.5718892173891422E-3</v>
      </c>
      <c r="AC272" s="76">
        <f t="shared" si="25"/>
        <v>-5.661155434738223E-3</v>
      </c>
      <c r="AD272" s="73">
        <f t="shared" si="25"/>
        <v>5.0169322512212732E-4</v>
      </c>
    </row>
    <row r="273" spans="14:30" x14ac:dyDescent="0.3">
      <c r="N273" s="70" t="s">
        <v>392</v>
      </c>
      <c r="O273" s="70">
        <v>4080.11</v>
      </c>
      <c r="P273" s="68">
        <v>178</v>
      </c>
      <c r="Q273" s="70">
        <v>50.13</v>
      </c>
      <c r="R273" s="70">
        <v>371.08</v>
      </c>
      <c r="S273" s="76">
        <f t="shared" si="21"/>
        <v>3.047858758258928E-2</v>
      </c>
      <c r="T273" s="76">
        <f t="shared" si="22"/>
        <v>1.078832231939854E-2</v>
      </c>
      <c r="U273" s="76">
        <f t="shared" si="23"/>
        <v>1.2849002311617378E-2</v>
      </c>
      <c r="V273" s="76">
        <f t="shared" si="24"/>
        <v>1.9401177220803822E-2</v>
      </c>
      <c r="X273" s="71">
        <v>44573</v>
      </c>
      <c r="Y273" s="70">
        <v>11238.2</v>
      </c>
      <c r="Z273" s="70">
        <v>310</v>
      </c>
      <c r="AA273" s="80">
        <v>79.709999999999994</v>
      </c>
      <c r="AB273" s="76">
        <f t="shared" si="25"/>
        <v>9.8749034688446393E-3</v>
      </c>
      <c r="AC273" s="76">
        <f t="shared" si="25"/>
        <v>7.1220760744131334E-3</v>
      </c>
      <c r="AD273" s="73">
        <f t="shared" si="25"/>
        <v>5.4091584180992955E-3</v>
      </c>
    </row>
    <row r="274" spans="14:30" x14ac:dyDescent="0.3">
      <c r="N274" s="70" t="s">
        <v>393</v>
      </c>
      <c r="O274" s="70">
        <v>3957.63</v>
      </c>
      <c r="P274" s="68">
        <v>176.09</v>
      </c>
      <c r="Q274" s="70">
        <v>49.49</v>
      </c>
      <c r="R274" s="70">
        <v>363.95</v>
      </c>
      <c r="S274" s="76">
        <f t="shared" si="21"/>
        <v>-1.5931188727940442E-3</v>
      </c>
      <c r="T274" s="76">
        <f t="shared" si="22"/>
        <v>-7.0171755317011628E-3</v>
      </c>
      <c r="U274" s="76">
        <f t="shared" si="23"/>
        <v>-1.6151830686878454E-3</v>
      </c>
      <c r="V274" s="76">
        <f t="shared" si="24"/>
        <v>-4.9882250008972742E-3</v>
      </c>
      <c r="X274" s="70" t="s">
        <v>392</v>
      </c>
      <c r="Y274" s="70">
        <v>11127.77</v>
      </c>
      <c r="Z274" s="70">
        <v>307.8</v>
      </c>
      <c r="AA274" s="80">
        <v>79.28</v>
      </c>
      <c r="AB274" s="76">
        <f t="shared" si="25"/>
        <v>4.499777470269529E-3</v>
      </c>
      <c r="AC274" s="76">
        <f t="shared" si="25"/>
        <v>-4.6997898678183834E-3</v>
      </c>
      <c r="AD274" s="73">
        <f t="shared" si="25"/>
        <v>4.1711493200815384E-3</v>
      </c>
    </row>
    <row r="275" spans="14:30" x14ac:dyDescent="0.3">
      <c r="N275" s="70" t="s">
        <v>394</v>
      </c>
      <c r="O275" s="70">
        <v>3963.94</v>
      </c>
      <c r="P275" s="68">
        <v>177.33</v>
      </c>
      <c r="Q275" s="70">
        <v>49.57</v>
      </c>
      <c r="R275" s="70">
        <v>365.77</v>
      </c>
      <c r="S275" s="76">
        <f t="shared" si="21"/>
        <v>-1.5564652905563017E-2</v>
      </c>
      <c r="T275" s="76">
        <f t="shared" si="22"/>
        <v>5.0765717309908661E-4</v>
      </c>
      <c r="U275" s="76">
        <f t="shared" si="23"/>
        <v>7.2889571545955859E-3</v>
      </c>
      <c r="V275" s="76">
        <f t="shared" si="24"/>
        <v>1.4226699343552131E-3</v>
      </c>
      <c r="X275" s="70" t="s">
        <v>393</v>
      </c>
      <c r="Y275" s="70">
        <v>11077.81</v>
      </c>
      <c r="Z275" s="70">
        <v>309.25</v>
      </c>
      <c r="AA275" s="80">
        <v>78.95</v>
      </c>
      <c r="AB275" s="76">
        <f t="shared" si="25"/>
        <v>-7.5854782586676798E-3</v>
      </c>
      <c r="AC275" s="76">
        <f t="shared" si="25"/>
        <v>-1.0134406692933581E-2</v>
      </c>
      <c r="AD275" s="73">
        <f t="shared" si="25"/>
        <v>2.5335698134003223E-4</v>
      </c>
    </row>
    <row r="276" spans="14:30" x14ac:dyDescent="0.3">
      <c r="N276" s="70" t="s">
        <v>395</v>
      </c>
      <c r="O276" s="70">
        <v>4026.12</v>
      </c>
      <c r="P276" s="68">
        <v>177.24</v>
      </c>
      <c r="Q276" s="70">
        <v>49.21</v>
      </c>
      <c r="R276" s="70">
        <v>365.25</v>
      </c>
      <c r="S276" s="76">
        <f t="shared" si="21"/>
        <v>-2.8311094412904197E-4</v>
      </c>
      <c r="T276" s="76">
        <f t="shared" si="22"/>
        <v>1.2985181782236795E-3</v>
      </c>
      <c r="U276" s="76">
        <f t="shared" si="23"/>
        <v>7.3424763890949825E-3</v>
      </c>
      <c r="V276" s="76">
        <f t="shared" si="24"/>
        <v>9.7116187585295013E-3</v>
      </c>
      <c r="X276" s="70" t="s">
        <v>394</v>
      </c>
      <c r="Y276" s="70">
        <v>11162.16</v>
      </c>
      <c r="Z276" s="70">
        <v>312.39999999999998</v>
      </c>
      <c r="AA276" s="80">
        <v>78.930000000000007</v>
      </c>
      <c r="AB276" s="76">
        <f t="shared" si="25"/>
        <v>-5.2574565063803953E-4</v>
      </c>
      <c r="AC276" s="76">
        <f t="shared" si="25"/>
        <v>3.2061585656329005E-3</v>
      </c>
      <c r="AD276" s="73">
        <f t="shared" si="25"/>
        <v>2.9182282969536671E-3</v>
      </c>
    </row>
    <row r="277" spans="14:30" x14ac:dyDescent="0.3">
      <c r="N277" s="70" t="s">
        <v>396</v>
      </c>
      <c r="O277" s="70">
        <v>4027.26</v>
      </c>
      <c r="P277" s="68">
        <v>177.01</v>
      </c>
      <c r="Q277" s="70">
        <v>48.85</v>
      </c>
      <c r="R277" s="70">
        <v>361.72</v>
      </c>
      <c r="S277" s="76">
        <f t="shared" si="21"/>
        <v>5.8972831306427134E-3</v>
      </c>
      <c r="T277" s="76">
        <f t="shared" si="22"/>
        <v>1.0739621754067374E-3</v>
      </c>
      <c r="U277" s="76">
        <f t="shared" si="23"/>
        <v>-4.6972413539188651E-3</v>
      </c>
      <c r="V277" s="76">
        <f t="shared" si="24"/>
        <v>2.3249387721389035E-3</v>
      </c>
      <c r="X277" s="70" t="s">
        <v>395</v>
      </c>
      <c r="Y277" s="70">
        <v>11168.03</v>
      </c>
      <c r="Z277" s="70">
        <v>311.39999999999998</v>
      </c>
      <c r="AA277" s="80">
        <v>78.7</v>
      </c>
      <c r="AB277" s="76">
        <f t="shared" si="25"/>
        <v>9.3793720726415464E-4</v>
      </c>
      <c r="AC277" s="76">
        <f t="shared" si="25"/>
        <v>9.1943546328220448E-3</v>
      </c>
      <c r="AD277" s="73">
        <f t="shared" si="25"/>
        <v>1.1244687866950046E-2</v>
      </c>
    </row>
    <row r="278" spans="14:30" x14ac:dyDescent="0.3">
      <c r="N278" s="70" t="s">
        <v>397</v>
      </c>
      <c r="O278" s="70">
        <v>4003.58</v>
      </c>
      <c r="P278" s="68">
        <v>176.82</v>
      </c>
      <c r="Q278" s="70">
        <v>49.08</v>
      </c>
      <c r="R278" s="70">
        <v>360.88</v>
      </c>
      <c r="S278" s="76">
        <f t="shared" si="21"/>
        <v>1.3488571921957369E-2</v>
      </c>
      <c r="T278" s="76">
        <f t="shared" si="22"/>
        <v>4.8187400139880661E-3</v>
      </c>
      <c r="U278" s="76">
        <f t="shared" si="23"/>
        <v>1.8507622655985455E-2</v>
      </c>
      <c r="V278" s="76">
        <f t="shared" si="24"/>
        <v>-8.0326851490429042E-4</v>
      </c>
      <c r="X278" s="70" t="s">
        <v>472</v>
      </c>
      <c r="Y278" s="70">
        <v>11157.56</v>
      </c>
      <c r="Z278" s="70">
        <v>308.55</v>
      </c>
      <c r="AA278" s="80">
        <v>77.819999999999993</v>
      </c>
      <c r="AB278" s="76">
        <f t="shared" si="25"/>
        <v>5.6714104277864903E-3</v>
      </c>
      <c r="AC278" s="76">
        <f t="shared" si="25"/>
        <v>3.8967414140574138E-3</v>
      </c>
      <c r="AD278" s="73">
        <f t="shared" si="25"/>
        <v>6.4271484955549405E-4</v>
      </c>
    </row>
    <row r="279" spans="14:30" x14ac:dyDescent="0.3">
      <c r="N279" s="70" t="s">
        <v>398</v>
      </c>
      <c r="O279" s="70">
        <v>3949.94</v>
      </c>
      <c r="P279" s="68">
        <v>175.97</v>
      </c>
      <c r="Q279" s="70">
        <v>48.18</v>
      </c>
      <c r="R279" s="70">
        <v>361.17</v>
      </c>
      <c r="S279" s="76">
        <f t="shared" si="21"/>
        <v>-3.8912128014762935E-3</v>
      </c>
      <c r="T279" s="76">
        <f t="shared" si="22"/>
        <v>-1.3061875384089228E-3</v>
      </c>
      <c r="U279" s="76">
        <f t="shared" si="23"/>
        <v>-1.0372368941551767E-3</v>
      </c>
      <c r="V279" s="76">
        <f t="shared" si="24"/>
        <v>-1.3834322387947285E-3</v>
      </c>
      <c r="X279" s="70" t="s">
        <v>396</v>
      </c>
      <c r="Y279" s="70">
        <v>11094.46</v>
      </c>
      <c r="Z279" s="70">
        <v>307.35000000000002</v>
      </c>
      <c r="AA279" s="80">
        <v>77.77</v>
      </c>
      <c r="AB279" s="76">
        <f t="shared" si="25"/>
        <v>1.8187761117309758E-3</v>
      </c>
      <c r="AC279" s="76">
        <f t="shared" si="25"/>
        <v>8.6594773613552362E-3</v>
      </c>
      <c r="AD279" s="73">
        <f t="shared" si="25"/>
        <v>-1.7715368027513011E-2</v>
      </c>
    </row>
    <row r="280" spans="14:30" x14ac:dyDescent="0.3">
      <c r="N280" s="70" t="s">
        <v>399</v>
      </c>
      <c r="O280" s="70">
        <v>3965.34</v>
      </c>
      <c r="P280" s="68">
        <v>176.2</v>
      </c>
      <c r="Q280" s="70">
        <v>48.23</v>
      </c>
      <c r="R280" s="70">
        <v>361.67</v>
      </c>
      <c r="S280" s="76">
        <f t="shared" si="21"/>
        <v>4.7472883302355929E-3</v>
      </c>
      <c r="T280" s="76">
        <f t="shared" si="22"/>
        <v>7.6340597493340543E-3</v>
      </c>
      <c r="U280" s="76">
        <f t="shared" si="23"/>
        <v>-2.071251776112267E-3</v>
      </c>
      <c r="V280" s="76">
        <f t="shared" si="24"/>
        <v>2.4915576811622782E-3</v>
      </c>
      <c r="X280" s="70" t="s">
        <v>397</v>
      </c>
      <c r="Y280" s="70">
        <v>11074.3</v>
      </c>
      <c r="Z280" s="70">
        <v>304.7</v>
      </c>
      <c r="AA280" s="80">
        <v>79.16</v>
      </c>
      <c r="AB280" s="76">
        <f t="shared" si="25"/>
        <v>-9.6934302564665971E-4</v>
      </c>
      <c r="AC280" s="76">
        <f t="shared" si="25"/>
        <v>-8.6594773613551963E-3</v>
      </c>
      <c r="AD280" s="73">
        <f t="shared" si="25"/>
        <v>7.0994212992040702E-3</v>
      </c>
    </row>
    <row r="281" spans="14:30" x14ac:dyDescent="0.3">
      <c r="N281" s="70" t="s">
        <v>400</v>
      </c>
      <c r="O281" s="70">
        <v>3946.56</v>
      </c>
      <c r="P281" s="68">
        <v>174.86</v>
      </c>
      <c r="Q281" s="70">
        <v>48.33</v>
      </c>
      <c r="R281" s="70">
        <v>360.77</v>
      </c>
      <c r="S281" s="76">
        <f t="shared" si="21"/>
        <v>-3.094109623737159E-3</v>
      </c>
      <c r="T281" s="76">
        <f t="shared" si="22"/>
        <v>8.038628496435312E-3</v>
      </c>
      <c r="U281" s="76">
        <f t="shared" si="23"/>
        <v>5.8103504406913252E-3</v>
      </c>
      <c r="V281" s="76">
        <f t="shared" si="24"/>
        <v>2.1970899186767288E-2</v>
      </c>
      <c r="X281" s="70" t="s">
        <v>398</v>
      </c>
      <c r="Y281" s="70">
        <v>11085.04</v>
      </c>
      <c r="Z281" s="70">
        <v>307.35000000000002</v>
      </c>
      <c r="AA281" s="80">
        <v>78.599999999999994</v>
      </c>
      <c r="AB281" s="76">
        <f t="shared" si="25"/>
        <v>3.5742516880680249E-3</v>
      </c>
      <c r="AC281" s="76">
        <f t="shared" si="25"/>
        <v>-2.1126196205559673E-3</v>
      </c>
      <c r="AD281" s="73">
        <f t="shared" si="25"/>
        <v>1.7324783657305921E-2</v>
      </c>
    </row>
    <row r="282" spans="14:30" x14ac:dyDescent="0.3">
      <c r="N282" s="70" t="s">
        <v>401</v>
      </c>
      <c r="O282" s="70">
        <v>3958.79</v>
      </c>
      <c r="P282" s="68">
        <v>173.46</v>
      </c>
      <c r="Q282" s="70">
        <v>48.05</v>
      </c>
      <c r="R282" s="70">
        <v>352.93</v>
      </c>
      <c r="S282" s="76">
        <f t="shared" si="21"/>
        <v>-8.2862978720850793E-3</v>
      </c>
      <c r="T282" s="76">
        <f t="shared" si="22"/>
        <v>6.187673349422486E-3</v>
      </c>
      <c r="U282" s="76">
        <f t="shared" si="23"/>
        <v>-1.0763920941351968E-2</v>
      </c>
      <c r="V282" s="76">
        <f t="shared" si="24"/>
        <v>8.4794498503612554E-3</v>
      </c>
      <c r="X282" s="70" t="s">
        <v>399</v>
      </c>
      <c r="Y282" s="70">
        <v>11045.49</v>
      </c>
      <c r="Z282" s="70">
        <v>308</v>
      </c>
      <c r="AA282" s="80">
        <v>77.25</v>
      </c>
      <c r="AB282" s="76">
        <f t="shared" si="25"/>
        <v>1.1620387578457162E-2</v>
      </c>
      <c r="AC282" s="76">
        <f t="shared" si="25"/>
        <v>3.9037134804733704E-3</v>
      </c>
      <c r="AD282" s="73">
        <f t="shared" si="25"/>
        <v>3.0225691229248172E-2</v>
      </c>
    </row>
    <row r="283" spans="14:30" x14ac:dyDescent="0.3">
      <c r="N283" s="70" t="s">
        <v>402</v>
      </c>
      <c r="O283" s="70">
        <v>3991.73</v>
      </c>
      <c r="P283" s="68">
        <v>172.39</v>
      </c>
      <c r="Q283" s="70">
        <v>48.57</v>
      </c>
      <c r="R283" s="70">
        <v>349.95</v>
      </c>
      <c r="S283" s="76">
        <f t="shared" si="21"/>
        <v>8.6753813075978112E-3</v>
      </c>
      <c r="T283" s="76">
        <f t="shared" si="22"/>
        <v>2.7882678534850527E-3</v>
      </c>
      <c r="U283" s="76">
        <f t="shared" si="23"/>
        <v>-1.3700244958599353E-2</v>
      </c>
      <c r="V283" s="76">
        <f t="shared" si="24"/>
        <v>-1.730896884116798E-2</v>
      </c>
      <c r="X283" s="70" t="s">
        <v>400</v>
      </c>
      <c r="Y283" s="70">
        <v>10917.88</v>
      </c>
      <c r="Z283" s="70">
        <v>306.8</v>
      </c>
      <c r="AA283" s="80">
        <v>74.95</v>
      </c>
      <c r="AB283" s="76">
        <f t="shared" si="25"/>
        <v>-1.7149790288591915E-3</v>
      </c>
      <c r="AC283" s="76">
        <f t="shared" si="25"/>
        <v>-1.7287772014651932E-2</v>
      </c>
      <c r="AD283" s="73">
        <f t="shared" si="25"/>
        <v>5.3383158881521264E-4</v>
      </c>
    </row>
    <row r="284" spans="14:30" x14ac:dyDescent="0.3">
      <c r="N284" s="70" t="s">
        <v>403</v>
      </c>
      <c r="O284" s="70">
        <v>3957.25</v>
      </c>
      <c r="P284" s="68">
        <v>171.91</v>
      </c>
      <c r="Q284" s="70">
        <v>49.24</v>
      </c>
      <c r="R284" s="70">
        <v>356.06</v>
      </c>
      <c r="S284" s="76">
        <f t="shared" si="21"/>
        <v>-8.9759576650217388E-3</v>
      </c>
      <c r="T284" s="76">
        <f t="shared" si="22"/>
        <v>1.5594172261017659E-2</v>
      </c>
      <c r="U284" s="76">
        <f t="shared" si="23"/>
        <v>3.3873540078878536E-2</v>
      </c>
      <c r="V284" s="76">
        <f t="shared" si="24"/>
        <v>1.0616170629524697E-2</v>
      </c>
      <c r="X284" s="70" t="s">
        <v>401</v>
      </c>
      <c r="Y284" s="70">
        <v>10936.62</v>
      </c>
      <c r="Z284" s="70">
        <v>312.14999999999998</v>
      </c>
      <c r="AA284" s="80">
        <v>74.91</v>
      </c>
      <c r="AB284" s="76">
        <f t="shared" si="25"/>
        <v>-8.1592815031551139E-3</v>
      </c>
      <c r="AC284" s="76">
        <f t="shared" si="25"/>
        <v>-8.2948314167034538E-3</v>
      </c>
      <c r="AD284" s="73">
        <f t="shared" si="25"/>
        <v>-7.8452632951875358E-3</v>
      </c>
    </row>
    <row r="285" spans="14:30" x14ac:dyDescent="0.3">
      <c r="N285" s="71">
        <v>44876</v>
      </c>
      <c r="O285" s="70">
        <v>3992.93</v>
      </c>
      <c r="P285" s="68">
        <v>169.25</v>
      </c>
      <c r="Q285" s="70">
        <v>47.6</v>
      </c>
      <c r="R285" s="70">
        <v>352.3</v>
      </c>
      <c r="S285" s="76">
        <f t="shared" si="21"/>
        <v>9.1983590448269908E-3</v>
      </c>
      <c r="T285" s="76">
        <f t="shared" si="22"/>
        <v>-3.0375895299426046E-2</v>
      </c>
      <c r="U285" s="76">
        <f t="shared" si="23"/>
        <v>4.6325625067349056E-3</v>
      </c>
      <c r="V285" s="76">
        <f t="shared" si="24"/>
        <v>-4.5554463065060918E-2</v>
      </c>
      <c r="X285" s="70" t="s">
        <v>402</v>
      </c>
      <c r="Y285" s="70">
        <v>11026.22</v>
      </c>
      <c r="Z285" s="70">
        <v>314.75</v>
      </c>
      <c r="AA285" s="80">
        <v>75.5</v>
      </c>
      <c r="AB285" s="76">
        <f t="shared" si="25"/>
        <v>2.4180734307289141E-3</v>
      </c>
      <c r="AC285" s="76">
        <f t="shared" si="25"/>
        <v>6.6943189111497185E-3</v>
      </c>
      <c r="AD285" s="73">
        <f t="shared" si="25"/>
        <v>1.0786441886003797E-2</v>
      </c>
    </row>
    <row r="286" spans="14:30" x14ac:dyDescent="0.3">
      <c r="N286" s="71">
        <v>44845</v>
      </c>
      <c r="O286" s="70">
        <v>3956.37</v>
      </c>
      <c r="P286" s="68">
        <v>174.47</v>
      </c>
      <c r="Q286" s="70">
        <v>47.38</v>
      </c>
      <c r="R286" s="70">
        <v>368.72</v>
      </c>
      <c r="S286" s="76">
        <f t="shared" si="21"/>
        <v>5.3952504280963931E-2</v>
      </c>
      <c r="T286" s="76">
        <f t="shared" si="22"/>
        <v>1.1645467708960508E-2</v>
      </c>
      <c r="U286" s="76">
        <f t="shared" si="23"/>
        <v>1.4027860210667827E-2</v>
      </c>
      <c r="V286" s="76">
        <f t="shared" si="24"/>
        <v>1.4891188977868395E-2</v>
      </c>
      <c r="X286" s="70" t="s">
        <v>403</v>
      </c>
      <c r="Y286" s="70">
        <v>10999.59</v>
      </c>
      <c r="Z286" s="70">
        <v>312.64999999999998</v>
      </c>
      <c r="AA286" s="80">
        <v>74.69</v>
      </c>
      <c r="AB286" s="76">
        <f t="shared" si="25"/>
        <v>-1.1530068430813592E-2</v>
      </c>
      <c r="AC286" s="76">
        <f t="shared" si="25"/>
        <v>-4.0585280115078448E-2</v>
      </c>
      <c r="AD286" s="73">
        <f t="shared" si="25"/>
        <v>-2.6741558923004637E-3</v>
      </c>
    </row>
    <row r="287" spans="14:30" x14ac:dyDescent="0.3">
      <c r="N287" s="71">
        <v>44815</v>
      </c>
      <c r="O287" s="70">
        <v>3748.57</v>
      </c>
      <c r="P287" s="68">
        <v>172.45</v>
      </c>
      <c r="Q287" s="70">
        <v>46.72</v>
      </c>
      <c r="R287" s="70">
        <v>363.27</v>
      </c>
      <c r="S287" s="76">
        <f t="shared" si="21"/>
        <v>-2.0996774887089925E-2</v>
      </c>
      <c r="T287" s="76">
        <f t="shared" si="22"/>
        <v>-8.027996565324335E-3</v>
      </c>
      <c r="U287" s="76">
        <f t="shared" si="23"/>
        <v>-1.3394481112115702E-2</v>
      </c>
      <c r="V287" s="76">
        <f t="shared" si="24"/>
        <v>-9.2886287004946121E-3</v>
      </c>
      <c r="X287" s="71">
        <v>44876</v>
      </c>
      <c r="Y287" s="70">
        <v>11127.15</v>
      </c>
      <c r="Z287" s="70">
        <v>325.60000000000002</v>
      </c>
      <c r="AA287" s="80">
        <v>74.89</v>
      </c>
      <c r="AB287" s="76">
        <f t="shared" si="25"/>
        <v>5.9871520745077909E-4</v>
      </c>
      <c r="AC287" s="76">
        <f t="shared" si="25"/>
        <v>-1.4937025163355665E-2</v>
      </c>
      <c r="AD287" s="73">
        <f t="shared" si="25"/>
        <v>-4.0688456428315964E-2</v>
      </c>
    </row>
    <row r="288" spans="14:30" x14ac:dyDescent="0.3">
      <c r="N288" s="71">
        <v>44784</v>
      </c>
      <c r="O288" s="70">
        <v>3828.11</v>
      </c>
      <c r="P288" s="68">
        <v>173.84</v>
      </c>
      <c r="Q288" s="70">
        <v>47.35</v>
      </c>
      <c r="R288" s="70">
        <v>366.66</v>
      </c>
      <c r="S288" s="76">
        <f t="shared" si="21"/>
        <v>5.5822675939800961E-3</v>
      </c>
      <c r="T288" s="76">
        <f t="shared" si="22"/>
        <v>4.9593550698084398E-3</v>
      </c>
      <c r="U288" s="76">
        <f t="shared" si="23"/>
        <v>5.5061553766240128E-3</v>
      </c>
      <c r="V288" s="76">
        <f t="shared" si="24"/>
        <v>4.345872118060797E-3</v>
      </c>
      <c r="X288" s="71">
        <v>44845</v>
      </c>
      <c r="Y288" s="70">
        <v>11120.49</v>
      </c>
      <c r="Z288" s="70">
        <v>330.5</v>
      </c>
      <c r="AA288" s="80">
        <v>78</v>
      </c>
      <c r="AB288" s="76">
        <f t="shared" si="25"/>
        <v>1.9629394540275649E-2</v>
      </c>
      <c r="AC288" s="76">
        <f t="shared" si="25"/>
        <v>8.2029929820116292E-3</v>
      </c>
      <c r="AD288" s="73">
        <f t="shared" si="25"/>
        <v>5.914894446808607E-3</v>
      </c>
    </row>
    <row r="289" spans="14:30" x14ac:dyDescent="0.3">
      <c r="N289" s="71">
        <v>44753</v>
      </c>
      <c r="O289" s="70">
        <v>3806.8</v>
      </c>
      <c r="P289" s="68">
        <v>172.98</v>
      </c>
      <c r="Q289" s="70">
        <v>47.09</v>
      </c>
      <c r="R289" s="70">
        <v>365.07</v>
      </c>
      <c r="S289" s="76">
        <f t="shared" si="21"/>
        <v>9.5680618026735623E-3</v>
      </c>
      <c r="T289" s="76">
        <f t="shared" si="22"/>
        <v>8.7093391485894584E-3</v>
      </c>
      <c r="U289" s="76">
        <f t="shared" si="23"/>
        <v>-2.7568674019035093E-3</v>
      </c>
      <c r="V289" s="76">
        <f t="shared" si="24"/>
        <v>2.1205533828414627E-2</v>
      </c>
      <c r="X289" s="71">
        <v>44815</v>
      </c>
      <c r="Y289" s="70">
        <v>10904.33</v>
      </c>
      <c r="Z289" s="70">
        <v>327.8</v>
      </c>
      <c r="AA289" s="80">
        <v>77.540000000000006</v>
      </c>
      <c r="AB289" s="76">
        <f t="shared" si="25"/>
        <v>7.1132492700681175E-3</v>
      </c>
      <c r="AC289" s="76">
        <f t="shared" si="25"/>
        <v>1.1043057008153756E-2</v>
      </c>
      <c r="AD289" s="73">
        <f t="shared" si="25"/>
        <v>1.1805287260470226E-2</v>
      </c>
    </row>
    <row r="290" spans="14:30" x14ac:dyDescent="0.3">
      <c r="N290" s="71">
        <v>44662</v>
      </c>
      <c r="O290" s="70">
        <v>3770.55</v>
      </c>
      <c r="P290" s="68">
        <v>171.48</v>
      </c>
      <c r="Q290" s="70">
        <v>47.22</v>
      </c>
      <c r="R290" s="70">
        <v>357.41</v>
      </c>
      <c r="S290" s="76">
        <f t="shared" si="21"/>
        <v>1.3526781457993704E-2</v>
      </c>
      <c r="T290" s="76">
        <f t="shared" si="22"/>
        <v>4.4418541763330769E-3</v>
      </c>
      <c r="U290" s="76">
        <f t="shared" si="23"/>
        <v>1.3860974663080885E-2</v>
      </c>
      <c r="V290" s="76">
        <f t="shared" si="24"/>
        <v>-1.1876260797946065E-2</v>
      </c>
      <c r="X290" s="71">
        <v>44784</v>
      </c>
      <c r="Y290" s="70">
        <v>10827.04</v>
      </c>
      <c r="Z290" s="70">
        <v>324.2</v>
      </c>
      <c r="AA290" s="80">
        <v>76.63</v>
      </c>
      <c r="AB290" s="76">
        <f t="shared" si="25"/>
        <v>7.1046758041020432E-3</v>
      </c>
      <c r="AC290" s="76">
        <f t="shared" si="25"/>
        <v>4.6278442785067551E-4</v>
      </c>
      <c r="AD290" s="73">
        <f t="shared" si="25"/>
        <v>3.1368474290444405E-3</v>
      </c>
    </row>
    <row r="291" spans="14:30" x14ac:dyDescent="0.3">
      <c r="N291" s="71">
        <v>44631</v>
      </c>
      <c r="O291" s="70">
        <v>3719.89</v>
      </c>
      <c r="P291" s="68">
        <v>170.72</v>
      </c>
      <c r="Q291" s="70">
        <v>46.57</v>
      </c>
      <c r="R291" s="70">
        <v>361.68</v>
      </c>
      <c r="S291" s="76">
        <f t="shared" si="21"/>
        <v>-1.064240923898342E-2</v>
      </c>
      <c r="T291" s="76">
        <f t="shared" si="22"/>
        <v>1.7001323162978922E-3</v>
      </c>
      <c r="U291" s="76">
        <f t="shared" si="23"/>
        <v>-1.0679298418765052E-2</v>
      </c>
      <c r="V291" s="76">
        <f t="shared" si="24"/>
        <v>1.8754735915695715E-2</v>
      </c>
      <c r="X291" s="71">
        <v>44753</v>
      </c>
      <c r="Y291" s="70">
        <v>10750.39</v>
      </c>
      <c r="Z291" s="70">
        <v>324.05</v>
      </c>
      <c r="AA291" s="80">
        <v>76.39</v>
      </c>
      <c r="AB291" s="76">
        <f t="shared" si="25"/>
        <v>-3.4710520796710958E-3</v>
      </c>
      <c r="AC291" s="76">
        <f t="shared" si="25"/>
        <v>-7.2257982162268362E-3</v>
      </c>
      <c r="AD291" s="73">
        <f t="shared" si="25"/>
        <v>-7.0441199175750912E-3</v>
      </c>
    </row>
    <row r="292" spans="14:30" x14ac:dyDescent="0.3">
      <c r="N292" s="71">
        <v>44603</v>
      </c>
      <c r="O292" s="70">
        <v>3759.69</v>
      </c>
      <c r="P292" s="68">
        <v>170.43</v>
      </c>
      <c r="Q292" s="70">
        <v>47.07</v>
      </c>
      <c r="R292" s="70">
        <v>354.96</v>
      </c>
      <c r="S292" s="76">
        <f t="shared" si="21"/>
        <v>-2.5319802827619801E-2</v>
      </c>
      <c r="T292" s="76">
        <f t="shared" si="22"/>
        <v>-1.5487035201162225E-2</v>
      </c>
      <c r="U292" s="76">
        <f t="shared" si="23"/>
        <v>-1.9773467129798061E-2</v>
      </c>
      <c r="V292" s="76">
        <f t="shared" si="24"/>
        <v>6.7275602130567594E-3</v>
      </c>
      <c r="X292" s="71">
        <v>44662</v>
      </c>
      <c r="Y292" s="70">
        <v>10787.77</v>
      </c>
      <c r="Z292" s="70">
        <v>326.39999999999998</v>
      </c>
      <c r="AA292" s="80">
        <v>76.930000000000007</v>
      </c>
      <c r="AB292" s="76">
        <f t="shared" si="25"/>
        <v>7.1801134205627341E-3</v>
      </c>
      <c r="AC292" s="76">
        <f t="shared" si="25"/>
        <v>-1.6710095635976977E-2</v>
      </c>
      <c r="AD292" s="73">
        <f t="shared" si="25"/>
        <v>-5.1981807538261455E-4</v>
      </c>
    </row>
    <row r="293" spans="14:30" x14ac:dyDescent="0.3">
      <c r="N293" s="71">
        <v>44572</v>
      </c>
      <c r="O293" s="70">
        <v>3856.1</v>
      </c>
      <c r="P293" s="68">
        <v>173.09</v>
      </c>
      <c r="Q293" s="70">
        <v>48.01</v>
      </c>
      <c r="R293" s="70">
        <v>352.58</v>
      </c>
      <c r="S293" s="76">
        <f t="shared" si="21"/>
        <v>-4.1096940897468529E-3</v>
      </c>
      <c r="T293" s="76">
        <f t="shared" si="22"/>
        <v>-5.0711801181515222E-3</v>
      </c>
      <c r="U293" s="76">
        <f t="shared" si="23"/>
        <v>3.0882318819772988E-2</v>
      </c>
      <c r="V293" s="76">
        <f t="shared" si="24"/>
        <v>-2.6615252852175562E-2</v>
      </c>
      <c r="X293" s="71">
        <v>44631</v>
      </c>
      <c r="Y293" s="70">
        <v>10710.59</v>
      </c>
      <c r="Z293" s="70">
        <v>331.9</v>
      </c>
      <c r="AA293" s="80">
        <v>76.97</v>
      </c>
      <c r="AB293" s="76">
        <f t="shared" si="25"/>
        <v>-8.8898480224745696E-3</v>
      </c>
      <c r="AC293" s="76">
        <f t="shared" si="25"/>
        <v>-5.5584909885304651E-3</v>
      </c>
      <c r="AD293" s="73">
        <f t="shared" si="25"/>
        <v>7.7982847726361544E-4</v>
      </c>
    </row>
    <row r="294" spans="14:30" x14ac:dyDescent="0.3">
      <c r="N294" s="70" t="s">
        <v>404</v>
      </c>
      <c r="O294" s="70">
        <v>3871.98</v>
      </c>
      <c r="P294" s="68">
        <v>173.97</v>
      </c>
      <c r="Q294" s="70">
        <v>46.55</v>
      </c>
      <c r="R294" s="70">
        <v>362.09</v>
      </c>
      <c r="S294" s="76">
        <f t="shared" si="21"/>
        <v>-7.4823069661265037E-3</v>
      </c>
      <c r="T294" s="76">
        <f t="shared" si="22"/>
        <v>-5.1599701691092195E-3</v>
      </c>
      <c r="U294" s="76">
        <f t="shared" si="23"/>
        <v>-1.8727936166414303E-2</v>
      </c>
      <c r="V294" s="76">
        <f t="shared" si="24"/>
        <v>6.0665846247878628E-3</v>
      </c>
      <c r="X294" s="71">
        <v>44603</v>
      </c>
      <c r="Y294" s="70">
        <v>10806.23</v>
      </c>
      <c r="Z294" s="70">
        <v>333.75</v>
      </c>
      <c r="AA294" s="80">
        <v>76.91</v>
      </c>
      <c r="AB294" s="76">
        <f t="shared" si="25"/>
        <v>2.0917215133064988E-3</v>
      </c>
      <c r="AC294" s="76">
        <f t="shared" si="25"/>
        <v>1.2815855771897471E-2</v>
      </c>
      <c r="AD294" s="73">
        <f t="shared" si="25"/>
        <v>5.3451662364722239E-3</v>
      </c>
    </row>
    <row r="295" spans="14:30" x14ac:dyDescent="0.3">
      <c r="N295" s="70" t="s">
        <v>405</v>
      </c>
      <c r="O295" s="70">
        <v>3901.06</v>
      </c>
      <c r="P295" s="68">
        <v>174.87</v>
      </c>
      <c r="Q295" s="70">
        <v>47.43</v>
      </c>
      <c r="R295" s="70">
        <v>359.9</v>
      </c>
      <c r="S295" s="76">
        <f t="shared" si="21"/>
        <v>2.4328034575769396E-2</v>
      </c>
      <c r="T295" s="76">
        <f t="shared" si="22"/>
        <v>1.4747660570560031E-2</v>
      </c>
      <c r="U295" s="76">
        <f t="shared" si="23"/>
        <v>3.6281751294855148E-2</v>
      </c>
      <c r="V295" s="76">
        <f t="shared" si="24"/>
        <v>9.9689473087538304E-3</v>
      </c>
      <c r="X295" s="71">
        <v>44572</v>
      </c>
      <c r="Y295" s="70">
        <v>10783.65</v>
      </c>
      <c r="Z295" s="70">
        <v>329.5</v>
      </c>
      <c r="AA295" s="80">
        <v>76.5</v>
      </c>
      <c r="AB295" s="76">
        <f t="shared" si="25"/>
        <v>-4.097808856418788E-3</v>
      </c>
      <c r="AC295" s="76">
        <f t="shared" si="25"/>
        <v>-9.2138707878682401E-3</v>
      </c>
      <c r="AD295" s="73">
        <f t="shared" si="25"/>
        <v>-2.3501773449536266E-3</v>
      </c>
    </row>
    <row r="296" spans="14:30" x14ac:dyDescent="0.3">
      <c r="N296" s="70" t="s">
        <v>406</v>
      </c>
      <c r="O296" s="70">
        <v>3807.3</v>
      </c>
      <c r="P296" s="68">
        <v>172.31</v>
      </c>
      <c r="Q296" s="70">
        <v>45.74</v>
      </c>
      <c r="R296" s="70">
        <v>356.33</v>
      </c>
      <c r="S296" s="76">
        <f t="shared" si="21"/>
        <v>-6.1011723843323405E-3</v>
      </c>
      <c r="T296" s="76">
        <f t="shared" si="22"/>
        <v>5.8051783820012759E-4</v>
      </c>
      <c r="U296" s="76">
        <f t="shared" si="23"/>
        <v>-6.9717057979040101E-3</v>
      </c>
      <c r="V296" s="76">
        <f t="shared" si="24"/>
        <v>-4.2845806874847328E-3</v>
      </c>
      <c r="X296" s="70" t="s">
        <v>404</v>
      </c>
      <c r="Y296" s="70">
        <v>10827.93</v>
      </c>
      <c r="Z296" s="70">
        <v>332.55</v>
      </c>
      <c r="AA296" s="80">
        <v>76.680000000000007</v>
      </c>
      <c r="AB296" s="76">
        <f t="shared" si="25"/>
        <v>5.1443843401675895E-3</v>
      </c>
      <c r="AC296" s="76">
        <f t="shared" si="25"/>
        <v>2.5592787774234445E-3</v>
      </c>
      <c r="AD296" s="73">
        <f t="shared" si="25"/>
        <v>1.0224233775859445E-2</v>
      </c>
    </row>
    <row r="297" spans="14:30" x14ac:dyDescent="0.3">
      <c r="N297" s="70" t="s">
        <v>407</v>
      </c>
      <c r="O297" s="70">
        <v>3830.6</v>
      </c>
      <c r="P297" s="68">
        <v>172.21</v>
      </c>
      <c r="Q297" s="70">
        <v>46.06</v>
      </c>
      <c r="R297" s="70">
        <v>357.86</v>
      </c>
      <c r="S297" s="76">
        <f t="shared" si="21"/>
        <v>-7.4151380567922306E-3</v>
      </c>
      <c r="T297" s="76">
        <f t="shared" si="22"/>
        <v>8.74845192414659E-3</v>
      </c>
      <c r="U297" s="76">
        <f t="shared" si="23"/>
        <v>1.0256500167189061E-2</v>
      </c>
      <c r="V297" s="76">
        <f t="shared" si="24"/>
        <v>1.8472823898241897E-2</v>
      </c>
      <c r="X297" s="70" t="s">
        <v>405</v>
      </c>
      <c r="Y297" s="70">
        <v>10772.37</v>
      </c>
      <c r="Z297" s="70">
        <v>331.7</v>
      </c>
      <c r="AA297" s="80">
        <v>75.900000000000006</v>
      </c>
      <c r="AB297" s="76">
        <f t="shared" si="25"/>
        <v>6.1222809239885566E-3</v>
      </c>
      <c r="AC297" s="76">
        <f t="shared" si="25"/>
        <v>1.9022105934610508E-2</v>
      </c>
      <c r="AD297" s="73">
        <f t="shared" si="25"/>
        <v>1.8349138668196617E-2</v>
      </c>
    </row>
    <row r="298" spans="14:30" x14ac:dyDescent="0.3">
      <c r="N298" s="70" t="s">
        <v>408</v>
      </c>
      <c r="O298" s="70">
        <v>3859.11</v>
      </c>
      <c r="P298" s="68">
        <v>170.71</v>
      </c>
      <c r="Q298" s="70">
        <v>45.59</v>
      </c>
      <c r="R298" s="70">
        <v>351.31</v>
      </c>
      <c r="S298" s="76">
        <f t="shared" si="21"/>
        <v>1.6135765325269211E-2</v>
      </c>
      <c r="T298" s="76">
        <f t="shared" si="22"/>
        <v>-1.5803802054260379E-3</v>
      </c>
      <c r="U298" s="76">
        <f t="shared" si="23"/>
        <v>1.0973335897566481E-3</v>
      </c>
      <c r="V298" s="76">
        <f t="shared" si="24"/>
        <v>9.7539424075775566E-3</v>
      </c>
      <c r="X298" s="70" t="s">
        <v>406</v>
      </c>
      <c r="Y298" s="70">
        <v>10706.62</v>
      </c>
      <c r="Z298" s="70">
        <v>325.45</v>
      </c>
      <c r="AA298" s="80">
        <v>74.52</v>
      </c>
      <c r="AB298" s="76">
        <f t="shared" si="25"/>
        <v>-1.0276142599347126E-2</v>
      </c>
      <c r="AC298" s="76">
        <f t="shared" si="25"/>
        <v>-1.5700345368527574E-2</v>
      </c>
      <c r="AD298" s="73">
        <f t="shared" si="25"/>
        <v>-1.3418316021486854E-4</v>
      </c>
    </row>
    <row r="299" spans="14:30" x14ac:dyDescent="0.3">
      <c r="N299" s="70" t="s">
        <v>409</v>
      </c>
      <c r="O299" s="70">
        <v>3797.34</v>
      </c>
      <c r="P299" s="68">
        <v>170.98</v>
      </c>
      <c r="Q299" s="70">
        <v>45.54</v>
      </c>
      <c r="R299" s="70">
        <v>347.9</v>
      </c>
      <c r="S299" s="76">
        <f t="shared" si="21"/>
        <v>1.1811917059798283E-2</v>
      </c>
      <c r="T299" s="76">
        <f t="shared" si="22"/>
        <v>1.3365325980204129E-2</v>
      </c>
      <c r="U299" s="76">
        <f t="shared" si="23"/>
        <v>1.3040299717964256E-2</v>
      </c>
      <c r="V299" s="76">
        <f t="shared" si="24"/>
        <v>2.0707319246456489E-2</v>
      </c>
      <c r="X299" s="70" t="s">
        <v>407</v>
      </c>
      <c r="Y299" s="70">
        <v>10817.21</v>
      </c>
      <c r="Z299" s="70">
        <v>330.6</v>
      </c>
      <c r="AA299" s="80">
        <v>74.53</v>
      </c>
      <c r="AB299" s="76">
        <f t="shared" si="25"/>
        <v>4.0638205487811396E-3</v>
      </c>
      <c r="AC299" s="76">
        <f t="shared" si="25"/>
        <v>-2.7186242389932733E-3</v>
      </c>
      <c r="AD299" s="73">
        <f t="shared" si="25"/>
        <v>1.011403672507287E-2</v>
      </c>
    </row>
    <row r="300" spans="14:30" x14ac:dyDescent="0.3">
      <c r="N300" s="70" t="s">
        <v>410</v>
      </c>
      <c r="O300" s="70">
        <v>3752.75</v>
      </c>
      <c r="P300" s="68">
        <v>168.71</v>
      </c>
      <c r="Q300" s="70">
        <v>44.95</v>
      </c>
      <c r="R300" s="70">
        <v>340.77</v>
      </c>
      <c r="S300" s="76">
        <f t="shared" si="21"/>
        <v>2.3447767852436571E-2</v>
      </c>
      <c r="T300" s="76">
        <f t="shared" si="22"/>
        <v>2.1569346174142384E-2</v>
      </c>
      <c r="U300" s="76">
        <f t="shared" si="23"/>
        <v>4.6445861914196182E-2</v>
      </c>
      <c r="V300" s="76">
        <f t="shared" si="24"/>
        <v>3.4937268820087443E-2</v>
      </c>
      <c r="X300" s="70" t="s">
        <v>408</v>
      </c>
      <c r="Y300" s="70">
        <v>10773.34</v>
      </c>
      <c r="Z300" s="70">
        <v>331.5</v>
      </c>
      <c r="AA300" s="80">
        <v>73.78</v>
      </c>
      <c r="AB300" s="76">
        <f t="shared" si="25"/>
        <v>1.6642349731314739E-2</v>
      </c>
      <c r="AC300" s="76">
        <f t="shared" si="25"/>
        <v>1.320902831016957E-2</v>
      </c>
      <c r="AD300" s="73">
        <f t="shared" si="25"/>
        <v>-1.7604446282657711E-3</v>
      </c>
    </row>
    <row r="301" spans="14:30" x14ac:dyDescent="0.3">
      <c r="N301" s="70" t="s">
        <v>411</v>
      </c>
      <c r="O301" s="70">
        <v>3665.78</v>
      </c>
      <c r="P301" s="68">
        <v>165.11</v>
      </c>
      <c r="Q301" s="70">
        <v>42.91</v>
      </c>
      <c r="R301" s="70">
        <v>329.07</v>
      </c>
      <c r="S301" s="76">
        <f t="shared" si="21"/>
        <v>-7.9827185160930587E-3</v>
      </c>
      <c r="T301" s="76">
        <f t="shared" si="22"/>
        <v>2.5469995576242726E-3</v>
      </c>
      <c r="U301" s="76">
        <f t="shared" si="23"/>
        <v>-4.6500897556099258E-3</v>
      </c>
      <c r="V301" s="76">
        <f t="shared" si="24"/>
        <v>-6.6832738376820572E-4</v>
      </c>
      <c r="X301" s="70" t="s">
        <v>409</v>
      </c>
      <c r="Y301" s="70">
        <v>10595.53</v>
      </c>
      <c r="Z301" s="70">
        <v>327.14999999999998</v>
      </c>
      <c r="AA301" s="80">
        <v>73.91</v>
      </c>
      <c r="AB301" s="76">
        <f t="shared" si="25"/>
        <v>1.683954377240825E-2</v>
      </c>
      <c r="AC301" s="76">
        <f t="shared" si="25"/>
        <v>8.4414590744898675E-3</v>
      </c>
      <c r="AD301" s="73">
        <f t="shared" si="25"/>
        <v>1.8434330989914104E-2</v>
      </c>
    </row>
    <row r="302" spans="14:30" x14ac:dyDescent="0.3">
      <c r="N302" s="70" t="s">
        <v>412</v>
      </c>
      <c r="O302" s="70">
        <v>3695.16</v>
      </c>
      <c r="P302" s="68">
        <v>164.69</v>
      </c>
      <c r="Q302" s="70">
        <v>43.11</v>
      </c>
      <c r="R302" s="70">
        <v>329.29</v>
      </c>
      <c r="S302" s="76">
        <f t="shared" si="21"/>
        <v>-6.694436704711702E-3</v>
      </c>
      <c r="T302" s="76">
        <f t="shared" si="22"/>
        <v>-7.9831086198676165E-3</v>
      </c>
      <c r="U302" s="76">
        <f t="shared" si="23"/>
        <v>-2.2478010610803147E-2</v>
      </c>
      <c r="V302" s="76">
        <f t="shared" si="24"/>
        <v>-1.728125857918936E-2</v>
      </c>
      <c r="X302" s="70" t="s">
        <v>410</v>
      </c>
      <c r="Y302" s="70">
        <v>10418.6</v>
      </c>
      <c r="Z302" s="70">
        <v>324.39999999999998</v>
      </c>
      <c r="AA302" s="80">
        <v>72.56</v>
      </c>
      <c r="AB302" s="76">
        <f t="shared" si="25"/>
        <v>-5.2508132062260883E-3</v>
      </c>
      <c r="AC302" s="76">
        <f t="shared" si="25"/>
        <v>5.8741860054305189E-3</v>
      </c>
      <c r="AD302" s="73">
        <f t="shared" si="25"/>
        <v>4.6967899575694437E-3</v>
      </c>
    </row>
    <row r="303" spans="14:30" x14ac:dyDescent="0.3">
      <c r="N303" s="70" t="s">
        <v>413</v>
      </c>
      <c r="O303" s="70">
        <v>3719.98</v>
      </c>
      <c r="P303" s="68">
        <v>166.01</v>
      </c>
      <c r="Q303" s="70">
        <v>44.09</v>
      </c>
      <c r="R303" s="70">
        <v>335.03</v>
      </c>
      <c r="S303" s="76">
        <f t="shared" si="21"/>
        <v>1.1362760181543908E-2</v>
      </c>
      <c r="T303" s="76">
        <f t="shared" si="22"/>
        <v>-3.4876764156409334E-3</v>
      </c>
      <c r="U303" s="76">
        <f t="shared" si="23"/>
        <v>1.0029717084235232E-2</v>
      </c>
      <c r="V303" s="76">
        <f t="shared" si="24"/>
        <v>6.7985706386230332E-3</v>
      </c>
      <c r="X303" s="70" t="s">
        <v>411</v>
      </c>
      <c r="Y303" s="70">
        <v>10473.450000000001</v>
      </c>
      <c r="Z303" s="70">
        <v>322.5</v>
      </c>
      <c r="AA303" s="80">
        <v>72.22</v>
      </c>
      <c r="AB303" s="76">
        <f t="shared" si="25"/>
        <v>-1.0201555548232609E-3</v>
      </c>
      <c r="AC303" s="76">
        <f t="shared" si="25"/>
        <v>-1.0794245130880512E-2</v>
      </c>
      <c r="AD303" s="73">
        <f t="shared" si="25"/>
        <v>-7.5867665096833476E-3</v>
      </c>
    </row>
    <row r="304" spans="14:30" x14ac:dyDescent="0.3">
      <c r="N304" s="70" t="s">
        <v>414</v>
      </c>
      <c r="O304" s="70">
        <v>3677.95</v>
      </c>
      <c r="P304" s="68">
        <v>166.59</v>
      </c>
      <c r="Q304" s="70">
        <v>43.65</v>
      </c>
      <c r="R304" s="70">
        <v>332.76</v>
      </c>
      <c r="S304" s="76">
        <f t="shared" si="21"/>
        <v>2.613555691190645E-2</v>
      </c>
      <c r="T304" s="76">
        <f t="shared" si="22"/>
        <v>1.2868324378875995E-2</v>
      </c>
      <c r="U304" s="76">
        <f t="shared" si="23"/>
        <v>1.8264292240180245E-2</v>
      </c>
      <c r="V304" s="76">
        <f t="shared" si="24"/>
        <v>4.1255798935869543E-3</v>
      </c>
      <c r="X304" s="70" t="s">
        <v>412</v>
      </c>
      <c r="Y304" s="70">
        <v>10484.14</v>
      </c>
      <c r="Z304" s="70">
        <v>326</v>
      </c>
      <c r="AA304" s="80">
        <v>72.77</v>
      </c>
      <c r="AB304" s="76">
        <f t="shared" si="25"/>
        <v>-8.9845782391987043E-3</v>
      </c>
      <c r="AC304" s="76">
        <f t="shared" si="25"/>
        <v>-7.7916519771693022E-3</v>
      </c>
      <c r="AD304" s="73">
        <f t="shared" si="25"/>
        <v>-6.5744655381816544E-3</v>
      </c>
    </row>
    <row r="305" spans="14:30" x14ac:dyDescent="0.3">
      <c r="N305" s="70" t="s">
        <v>415</v>
      </c>
      <c r="O305" s="70">
        <v>3583.07</v>
      </c>
      <c r="P305" s="68">
        <v>164.46</v>
      </c>
      <c r="Q305" s="70">
        <v>42.86</v>
      </c>
      <c r="R305" s="70">
        <v>331.39</v>
      </c>
      <c r="S305" s="76">
        <f t="shared" si="21"/>
        <v>-2.3947163771951822E-2</v>
      </c>
      <c r="T305" s="76">
        <f t="shared" si="22"/>
        <v>-4.186772294049187E-3</v>
      </c>
      <c r="U305" s="76">
        <f t="shared" si="23"/>
        <v>-2.7959011689334262E-3</v>
      </c>
      <c r="V305" s="76">
        <f t="shared" si="24"/>
        <v>-2.1401988606009185E-3</v>
      </c>
      <c r="X305" s="70" t="s">
        <v>413</v>
      </c>
      <c r="Y305" s="70">
        <v>10578.76</v>
      </c>
      <c r="Z305" s="70">
        <v>328.55</v>
      </c>
      <c r="AA305" s="80">
        <v>73.25</v>
      </c>
      <c r="AB305" s="76">
        <f t="shared" si="25"/>
        <v>7.5958248199361937E-3</v>
      </c>
      <c r="AC305" s="76">
        <f t="shared" si="25"/>
        <v>-3.3424522154317207E-3</v>
      </c>
      <c r="AD305" s="73">
        <f t="shared" si="25"/>
        <v>3.8298501196480507E-3</v>
      </c>
    </row>
    <row r="306" spans="14:30" x14ac:dyDescent="0.3">
      <c r="N306" s="70" t="s">
        <v>416</v>
      </c>
      <c r="O306" s="70">
        <v>3669.91</v>
      </c>
      <c r="P306" s="68">
        <v>165.15</v>
      </c>
      <c r="Q306" s="70">
        <v>42.98</v>
      </c>
      <c r="R306" s="70">
        <v>332.1</v>
      </c>
      <c r="S306" s="76">
        <f t="shared" si="21"/>
        <v>2.5634291446897169E-2</v>
      </c>
      <c r="T306" s="76">
        <f t="shared" si="22"/>
        <v>1.5007602315719739E-2</v>
      </c>
      <c r="U306" s="76">
        <f t="shared" si="23"/>
        <v>2.2351242197338975E-2</v>
      </c>
      <c r="V306" s="76">
        <f t="shared" si="24"/>
        <v>2.2934899015109311E-2</v>
      </c>
      <c r="X306" s="70" t="s">
        <v>414</v>
      </c>
      <c r="Y306" s="70">
        <v>10498.71</v>
      </c>
      <c r="Z306" s="70">
        <v>329.65</v>
      </c>
      <c r="AA306" s="80">
        <v>72.97</v>
      </c>
      <c r="AB306" s="76">
        <f t="shared" si="25"/>
        <v>1.6264002960598448E-2</v>
      </c>
      <c r="AC306" s="76">
        <f t="shared" si="25"/>
        <v>9.9078624693567617E-3</v>
      </c>
      <c r="AD306" s="73">
        <f t="shared" si="25"/>
        <v>1.3104539556799509E-2</v>
      </c>
    </row>
    <row r="307" spans="14:30" x14ac:dyDescent="0.3">
      <c r="N307" s="71">
        <v>44905</v>
      </c>
      <c r="O307" s="70">
        <v>3577.03</v>
      </c>
      <c r="P307" s="68">
        <v>162.69</v>
      </c>
      <c r="Q307" s="70">
        <v>42.03</v>
      </c>
      <c r="R307" s="70">
        <v>324.57</v>
      </c>
      <c r="S307" s="76">
        <f t="shared" si="21"/>
        <v>-3.2961833504644216E-3</v>
      </c>
      <c r="T307" s="76">
        <f t="shared" si="22"/>
        <v>-2.458361514438904E-4</v>
      </c>
      <c r="U307" s="76">
        <f t="shared" si="23"/>
        <v>2.6206090042386384E-3</v>
      </c>
      <c r="V307" s="76">
        <f t="shared" si="24"/>
        <v>-9.2921226113227059E-3</v>
      </c>
      <c r="X307" s="70" t="s">
        <v>415</v>
      </c>
      <c r="Y307" s="70">
        <v>10329.34</v>
      </c>
      <c r="Z307" s="70">
        <v>326.39999999999998</v>
      </c>
      <c r="AA307" s="80">
        <v>72.02</v>
      </c>
      <c r="AB307" s="76">
        <f t="shared" si="25"/>
        <v>9.8691092138393777E-3</v>
      </c>
      <c r="AC307" s="76">
        <f t="shared" si="25"/>
        <v>1.2330612457478725E-2</v>
      </c>
      <c r="AD307" s="73">
        <f t="shared" si="25"/>
        <v>5.7091292018806904E-3</v>
      </c>
    </row>
    <row r="308" spans="14:30" x14ac:dyDescent="0.3">
      <c r="N308" s="71">
        <v>44875</v>
      </c>
      <c r="O308" s="70">
        <v>3588.84</v>
      </c>
      <c r="P308" s="68">
        <v>162.72999999999999</v>
      </c>
      <c r="Q308" s="70">
        <v>41.92</v>
      </c>
      <c r="R308" s="70">
        <v>327.60000000000002</v>
      </c>
      <c r="S308" s="76">
        <f t="shared" si="21"/>
        <v>-6.5405726393698588E-3</v>
      </c>
      <c r="T308" s="76">
        <f t="shared" si="22"/>
        <v>1.4359348043773068E-2</v>
      </c>
      <c r="U308" s="76">
        <f t="shared" si="23"/>
        <v>4.0635887159222095E-3</v>
      </c>
      <c r="V308" s="76">
        <f t="shared" si="24"/>
        <v>1.1389400004692848E-2</v>
      </c>
      <c r="X308" s="70" t="s">
        <v>416</v>
      </c>
      <c r="Y308" s="70">
        <v>10227.9</v>
      </c>
      <c r="Z308" s="70">
        <v>322.39999999999998</v>
      </c>
      <c r="AA308" s="80">
        <v>71.61</v>
      </c>
      <c r="AB308" s="76">
        <f t="shared" si="25"/>
        <v>2.7982288973878683E-3</v>
      </c>
      <c r="AC308" s="76">
        <f t="shared" si="25"/>
        <v>7.7573504782187433E-4</v>
      </c>
      <c r="AD308" s="73">
        <f t="shared" si="25"/>
        <v>-2.6497470353300623E-3</v>
      </c>
    </row>
    <row r="309" spans="14:30" x14ac:dyDescent="0.3">
      <c r="N309" s="71">
        <v>44844</v>
      </c>
      <c r="O309" s="70">
        <v>3612.39</v>
      </c>
      <c r="P309" s="68">
        <v>160.41</v>
      </c>
      <c r="Q309" s="70">
        <v>41.75</v>
      </c>
      <c r="R309" s="70">
        <v>323.89</v>
      </c>
      <c r="S309" s="76">
        <f t="shared" si="21"/>
        <v>-7.5206675446196497E-3</v>
      </c>
      <c r="T309" s="76">
        <f t="shared" si="22"/>
        <v>1.310002994491189E-3</v>
      </c>
      <c r="U309" s="76">
        <f t="shared" si="23"/>
        <v>-1.3560336253179499E-2</v>
      </c>
      <c r="V309" s="76">
        <f t="shared" si="24"/>
        <v>-8.5159226507717529E-3</v>
      </c>
      <c r="X309" s="71">
        <v>44905</v>
      </c>
      <c r="Y309" s="70">
        <v>10199.32</v>
      </c>
      <c r="Z309" s="70">
        <v>322.14999999999998</v>
      </c>
      <c r="AA309" s="80">
        <v>71.8</v>
      </c>
      <c r="AB309" s="76">
        <f t="shared" si="25"/>
        <v>-8.3402145750789659E-4</v>
      </c>
      <c r="AC309" s="76">
        <f t="shared" si="25"/>
        <v>-1.3958901064572188E-3</v>
      </c>
      <c r="AD309" s="73">
        <f t="shared" si="25"/>
        <v>0</v>
      </c>
    </row>
    <row r="310" spans="14:30" x14ac:dyDescent="0.3">
      <c r="N310" s="71">
        <v>44752</v>
      </c>
      <c r="O310" s="70">
        <v>3639.66</v>
      </c>
      <c r="P310" s="68">
        <v>160.19999999999999</v>
      </c>
      <c r="Q310" s="70">
        <v>42.32</v>
      </c>
      <c r="R310" s="70">
        <v>326.66000000000003</v>
      </c>
      <c r="S310" s="76">
        <f t="shared" si="21"/>
        <v>-2.8403167167490584E-2</v>
      </c>
      <c r="T310" s="76">
        <f t="shared" si="22"/>
        <v>-1.0617590664402345E-2</v>
      </c>
      <c r="U310" s="76">
        <f t="shared" si="23"/>
        <v>-1.8031164077702756E-2</v>
      </c>
      <c r="V310" s="76">
        <f t="shared" si="24"/>
        <v>-1.9072453931638051E-2</v>
      </c>
      <c r="X310" s="71">
        <v>44875</v>
      </c>
      <c r="Y310" s="70">
        <v>10207.83</v>
      </c>
      <c r="Z310" s="70">
        <v>322.60000000000002</v>
      </c>
      <c r="AA310" s="80">
        <v>71.8</v>
      </c>
      <c r="AB310" s="76">
        <f t="shared" si="25"/>
        <v>-5.3433507607766736E-3</v>
      </c>
      <c r="AC310" s="76">
        <f t="shared" si="25"/>
        <v>5.2836175752974494E-3</v>
      </c>
      <c r="AD310" s="73">
        <f t="shared" si="25"/>
        <v>2.5101114838916865E-3</v>
      </c>
    </row>
    <row r="311" spans="14:30" x14ac:dyDescent="0.3">
      <c r="N311" s="71">
        <v>44722</v>
      </c>
      <c r="O311" s="70">
        <v>3744.52</v>
      </c>
      <c r="P311" s="68">
        <v>161.91</v>
      </c>
      <c r="Q311" s="70">
        <v>43.09</v>
      </c>
      <c r="R311" s="70">
        <v>332.95</v>
      </c>
      <c r="S311" s="76">
        <f t="shared" si="21"/>
        <v>-1.0297920383574249E-2</v>
      </c>
      <c r="T311" s="76">
        <f t="shared" si="22"/>
        <v>-1.9571293145080066E-2</v>
      </c>
      <c r="U311" s="76">
        <f t="shared" si="23"/>
        <v>-2.3622242757554951E-2</v>
      </c>
      <c r="V311" s="76">
        <f t="shared" si="24"/>
        <v>3.5202298925025004E-3</v>
      </c>
      <c r="X311" s="71">
        <v>44844</v>
      </c>
      <c r="Y311" s="70">
        <v>10262.52</v>
      </c>
      <c r="Z311" s="70">
        <v>320.89999999999998</v>
      </c>
      <c r="AA311" s="80">
        <v>71.62</v>
      </c>
      <c r="AB311" s="76">
        <f t="shared" si="25"/>
        <v>-4.4771644985918515E-3</v>
      </c>
      <c r="AC311" s="76">
        <f t="shared" si="25"/>
        <v>-1.1155988028333516E-2</v>
      </c>
      <c r="AD311" s="73">
        <f t="shared" si="25"/>
        <v>2.7929060368689146E-4</v>
      </c>
    </row>
    <row r="312" spans="14:30" x14ac:dyDescent="0.3">
      <c r="N312" s="71">
        <v>44691</v>
      </c>
      <c r="O312" s="70">
        <v>3783.28</v>
      </c>
      <c r="P312" s="68">
        <v>165.11</v>
      </c>
      <c r="Q312" s="70">
        <v>44.12</v>
      </c>
      <c r="R312" s="70">
        <v>331.78</v>
      </c>
      <c r="S312" s="76">
        <f t="shared" si="21"/>
        <v>-2.0200133350643033E-3</v>
      </c>
      <c r="T312" s="76">
        <f t="shared" si="22"/>
        <v>-3.0840891618128751E-3</v>
      </c>
      <c r="U312" s="76">
        <f t="shared" si="23"/>
        <v>-7.676714150748872E-3</v>
      </c>
      <c r="V312" s="76">
        <f t="shared" si="24"/>
        <v>5.7128331048407017E-3</v>
      </c>
      <c r="X312" s="71">
        <v>44752</v>
      </c>
      <c r="Y312" s="70">
        <v>10308.57</v>
      </c>
      <c r="Z312" s="70">
        <v>324.5</v>
      </c>
      <c r="AA312" s="80">
        <v>71.599999999999994</v>
      </c>
      <c r="AB312" s="76">
        <f t="shared" si="25"/>
        <v>-7.9769695008127667E-3</v>
      </c>
      <c r="AC312" s="76">
        <f t="shared" si="25"/>
        <v>-3.2305235387263815E-3</v>
      </c>
      <c r="AD312" s="73">
        <f t="shared" si="25"/>
        <v>0</v>
      </c>
    </row>
    <row r="313" spans="14:30" x14ac:dyDescent="0.3">
      <c r="N313" s="71">
        <v>44661</v>
      </c>
      <c r="O313" s="70">
        <v>3790.93</v>
      </c>
      <c r="P313" s="68">
        <v>165.62</v>
      </c>
      <c r="Q313" s="70">
        <v>44.46</v>
      </c>
      <c r="R313" s="70">
        <v>329.89</v>
      </c>
      <c r="S313" s="76">
        <f t="shared" si="21"/>
        <v>3.012534086530393E-2</v>
      </c>
      <c r="T313" s="76">
        <f t="shared" si="22"/>
        <v>1.4719565075547447E-2</v>
      </c>
      <c r="U313" s="76">
        <f t="shared" si="23"/>
        <v>7.2235077074601787E-3</v>
      </c>
      <c r="V313" s="76">
        <f t="shared" si="24"/>
        <v>2.5606212978415973E-2</v>
      </c>
      <c r="X313" s="71">
        <v>44722</v>
      </c>
      <c r="Y313" s="70">
        <v>10391.129999999999</v>
      </c>
      <c r="Z313" s="70">
        <v>325.55</v>
      </c>
      <c r="AA313" s="80">
        <v>71.599999999999994</v>
      </c>
      <c r="AB313" s="76">
        <f t="shared" si="25"/>
        <v>-8.2956771306162622E-3</v>
      </c>
      <c r="AC313" s="76">
        <f t="shared" si="25"/>
        <v>-7.4975487012726343E-3</v>
      </c>
      <c r="AD313" s="73">
        <f t="shared" si="25"/>
        <v>-1.0558586560494517E-2</v>
      </c>
    </row>
    <row r="314" spans="14:30" x14ac:dyDescent="0.3">
      <c r="N314" s="71">
        <v>44630</v>
      </c>
      <c r="O314" s="70">
        <v>3678.43</v>
      </c>
      <c r="P314" s="68">
        <v>163.19999999999999</v>
      </c>
      <c r="Q314" s="70">
        <v>44.14</v>
      </c>
      <c r="R314" s="70">
        <v>321.55</v>
      </c>
      <c r="S314" s="76">
        <f t="shared" si="21"/>
        <v>2.5554628797407629E-2</v>
      </c>
      <c r="T314" s="76">
        <f t="shared" si="22"/>
        <v>-9.7991188634891243E-4</v>
      </c>
      <c r="U314" s="76">
        <f t="shared" si="23"/>
        <v>8.6462427148646277E-3</v>
      </c>
      <c r="V314" s="76">
        <f t="shared" si="24"/>
        <v>-5.5822753117296623E-3</v>
      </c>
      <c r="X314" s="71">
        <v>44691</v>
      </c>
      <c r="Y314" s="70">
        <v>10477.69</v>
      </c>
      <c r="Z314" s="70">
        <v>328</v>
      </c>
      <c r="AA314" s="80">
        <v>72.36</v>
      </c>
      <c r="AB314" s="76">
        <f t="shared" si="25"/>
        <v>-1.0748795500229578E-2</v>
      </c>
      <c r="AC314" s="76">
        <f t="shared" si="25"/>
        <v>-1.4377848891077304E-2</v>
      </c>
      <c r="AD314" s="73">
        <f t="shared" si="25"/>
        <v>-8.1206144417003377E-3</v>
      </c>
    </row>
    <row r="315" spans="14:30" x14ac:dyDescent="0.3">
      <c r="N315" s="70" t="s">
        <v>417</v>
      </c>
      <c r="O315" s="70">
        <v>3585.62</v>
      </c>
      <c r="P315" s="68">
        <v>163.36000000000001</v>
      </c>
      <c r="Q315" s="70">
        <v>43.76</v>
      </c>
      <c r="R315" s="70">
        <v>323.35000000000002</v>
      </c>
      <c r="S315" s="76">
        <f t="shared" si="21"/>
        <v>-1.5181392276394085E-2</v>
      </c>
      <c r="T315" s="76">
        <f t="shared" si="22"/>
        <v>-7.1365699822032239E-3</v>
      </c>
      <c r="U315" s="76">
        <f t="shared" si="23"/>
        <v>-9.0992438551140333E-3</v>
      </c>
      <c r="V315" s="76">
        <f t="shared" si="24"/>
        <v>-2.0387629139099524E-2</v>
      </c>
      <c r="X315" s="71">
        <v>44661</v>
      </c>
      <c r="Y315" s="70">
        <v>10590.92</v>
      </c>
      <c r="Z315" s="70">
        <v>332.75</v>
      </c>
      <c r="AA315" s="80">
        <v>72.95</v>
      </c>
      <c r="AB315" s="76">
        <f t="shared" si="25"/>
        <v>2.8755483755955272E-2</v>
      </c>
      <c r="AC315" s="76">
        <f t="shared" si="25"/>
        <v>3.252940093806779E-2</v>
      </c>
      <c r="AD315" s="73">
        <f t="shared" si="25"/>
        <v>1.2969276708019152E-2</v>
      </c>
    </row>
    <row r="316" spans="14:30" x14ac:dyDescent="0.3">
      <c r="N316" s="70" t="s">
        <v>418</v>
      </c>
      <c r="O316" s="70">
        <v>3640.47</v>
      </c>
      <c r="P316" s="68">
        <v>164.53</v>
      </c>
      <c r="Q316" s="70">
        <v>44.16</v>
      </c>
      <c r="R316" s="70">
        <v>330.01</v>
      </c>
      <c r="S316" s="76">
        <f t="shared" si="21"/>
        <v>-2.1352776272162088E-2</v>
      </c>
      <c r="T316" s="76">
        <f t="shared" si="22"/>
        <v>-1.1061190476152265E-2</v>
      </c>
      <c r="U316" s="76">
        <f t="shared" si="23"/>
        <v>-6.0955149789772862E-3</v>
      </c>
      <c r="V316" s="76">
        <f t="shared" si="24"/>
        <v>-1.3155113777798566E-2</v>
      </c>
      <c r="X316" s="71">
        <v>44630</v>
      </c>
      <c r="Y316" s="70">
        <v>10290.709999999999</v>
      </c>
      <c r="Z316" s="70">
        <v>322.10000000000002</v>
      </c>
      <c r="AA316" s="80">
        <v>72.010000000000005</v>
      </c>
      <c r="AB316" s="76">
        <f t="shared" si="25"/>
        <v>2.2531099224984488E-3</v>
      </c>
      <c r="AC316" s="76">
        <f t="shared" si="25"/>
        <v>-4.1824861528411599E-3</v>
      </c>
      <c r="AD316" s="73">
        <f t="shared" si="25"/>
        <v>5.849598852681724E-3</v>
      </c>
    </row>
    <row r="317" spans="14:30" x14ac:dyDescent="0.3">
      <c r="N317" s="70" t="s">
        <v>419</v>
      </c>
      <c r="O317" s="70">
        <v>3719.04</v>
      </c>
      <c r="P317" s="68">
        <v>166.36</v>
      </c>
      <c r="Q317" s="70">
        <v>44.43</v>
      </c>
      <c r="R317" s="70">
        <v>334.38</v>
      </c>
      <c r="S317" s="76">
        <f t="shared" si="21"/>
        <v>1.9481144387776417E-2</v>
      </c>
      <c r="T317" s="76">
        <f t="shared" si="22"/>
        <v>8.5723434695016906E-3</v>
      </c>
      <c r="U317" s="76">
        <f t="shared" si="23"/>
        <v>7.6819175779707398E-3</v>
      </c>
      <c r="V317" s="76">
        <f t="shared" si="24"/>
        <v>7.2163666905908627E-2</v>
      </c>
      <c r="X317" s="70" t="s">
        <v>417</v>
      </c>
      <c r="Y317" s="70">
        <v>10267.549999999999</v>
      </c>
      <c r="Z317" s="70">
        <v>323.45</v>
      </c>
      <c r="AA317" s="80">
        <v>71.59</v>
      </c>
      <c r="AB317" s="76">
        <f t="shared" si="25"/>
        <v>1.3784299680925713E-2</v>
      </c>
      <c r="AC317" s="76">
        <f t="shared" si="25"/>
        <v>9.9426017131508636E-3</v>
      </c>
      <c r="AD317" s="73">
        <f t="shared" si="25"/>
        <v>8.1346872140914493E-3</v>
      </c>
    </row>
    <row r="318" spans="14:30" x14ac:dyDescent="0.3">
      <c r="N318" s="70" t="s">
        <v>420</v>
      </c>
      <c r="O318" s="70">
        <v>3647.29</v>
      </c>
      <c r="P318" s="68">
        <v>164.94</v>
      </c>
      <c r="Q318" s="70">
        <v>44.09</v>
      </c>
      <c r="R318" s="70">
        <v>311.10000000000002</v>
      </c>
      <c r="S318" s="76">
        <f t="shared" si="21"/>
        <v>-2.1226109775338642E-3</v>
      </c>
      <c r="T318" s="76">
        <f t="shared" si="22"/>
        <v>-4.5971530273078362E-3</v>
      </c>
      <c r="U318" s="76">
        <f t="shared" si="23"/>
        <v>5.9144849391285295E-3</v>
      </c>
      <c r="V318" s="76">
        <f t="shared" si="24"/>
        <v>1.1639316657018787E-2</v>
      </c>
      <c r="X318" s="70" t="s">
        <v>418</v>
      </c>
      <c r="Y318" s="70">
        <v>10126.99</v>
      </c>
      <c r="Z318" s="70">
        <v>320.25</v>
      </c>
      <c r="AA318" s="80">
        <v>71.010000000000005</v>
      </c>
      <c r="AB318" s="76">
        <f t="shared" si="25"/>
        <v>-9.2168091124729314E-3</v>
      </c>
      <c r="AC318" s="76">
        <f t="shared" si="25"/>
        <v>-1.6106899241552675E-2</v>
      </c>
      <c r="AD318" s="73">
        <f t="shared" si="25"/>
        <v>1.4092448780969914E-3</v>
      </c>
    </row>
    <row r="319" spans="14:30" x14ac:dyDescent="0.3">
      <c r="N319" s="70" t="s">
        <v>421</v>
      </c>
      <c r="O319" s="70">
        <v>3655.04</v>
      </c>
      <c r="P319" s="68">
        <v>165.7</v>
      </c>
      <c r="Q319" s="70">
        <v>43.83</v>
      </c>
      <c r="R319" s="70">
        <v>307.5</v>
      </c>
      <c r="S319" s="76">
        <f t="shared" si="21"/>
        <v>-1.0394376865970473E-2</v>
      </c>
      <c r="T319" s="76">
        <f t="shared" si="22"/>
        <v>-6.1368341324849422E-3</v>
      </c>
      <c r="U319" s="76">
        <f t="shared" si="23"/>
        <v>-5.6876504139412578E-3</v>
      </c>
      <c r="V319" s="76">
        <f t="shared" si="24"/>
        <v>-1.2795831820620027E-2</v>
      </c>
      <c r="X319" s="70" t="s">
        <v>419</v>
      </c>
      <c r="Y319" s="70">
        <v>10220.76</v>
      </c>
      <c r="Z319" s="70">
        <v>325.45</v>
      </c>
      <c r="AA319" s="80">
        <v>70.91</v>
      </c>
      <c r="AB319" s="76">
        <f t="shared" si="25"/>
        <v>9.2721084150244448E-3</v>
      </c>
      <c r="AC319" s="76">
        <f t="shared" si="25"/>
        <v>4.0284422031019958E-2</v>
      </c>
      <c r="AD319" s="73">
        <f t="shared" si="25"/>
        <v>5.656923584956057E-3</v>
      </c>
    </row>
    <row r="320" spans="14:30" x14ac:dyDescent="0.3">
      <c r="N320" s="70" t="s">
        <v>422</v>
      </c>
      <c r="O320" s="70">
        <v>3693.23</v>
      </c>
      <c r="P320" s="68">
        <v>166.72</v>
      </c>
      <c r="Q320" s="70">
        <v>44.08</v>
      </c>
      <c r="R320" s="70">
        <v>311.45999999999998</v>
      </c>
      <c r="S320" s="76">
        <f t="shared" si="21"/>
        <v>-1.7382826077567966E-2</v>
      </c>
      <c r="T320" s="76">
        <f t="shared" si="22"/>
        <v>3.2442203281667038E-3</v>
      </c>
      <c r="U320" s="76">
        <f t="shared" si="23"/>
        <v>-1.1054822113805457E-2</v>
      </c>
      <c r="V320" s="76">
        <f t="shared" si="24"/>
        <v>1.8961007078684422E-3</v>
      </c>
      <c r="X320" s="70" t="s">
        <v>420</v>
      </c>
      <c r="Y320" s="70">
        <v>10126.43</v>
      </c>
      <c r="Z320" s="70">
        <v>312.60000000000002</v>
      </c>
      <c r="AA320" s="80">
        <v>70.510000000000005</v>
      </c>
      <c r="AB320" s="76">
        <f t="shared" si="25"/>
        <v>5.3279859492328212E-3</v>
      </c>
      <c r="AC320" s="76">
        <f t="shared" si="25"/>
        <v>2.1666166830518658E-2</v>
      </c>
      <c r="AD320" s="73">
        <f t="shared" si="25"/>
        <v>5.5464836779153806E-3</v>
      </c>
    </row>
    <row r="321" spans="14:30" x14ac:dyDescent="0.3">
      <c r="N321" s="70" t="s">
        <v>423</v>
      </c>
      <c r="O321" s="70">
        <v>3757.99</v>
      </c>
      <c r="P321" s="68">
        <v>166.18</v>
      </c>
      <c r="Q321" s="70">
        <v>44.57</v>
      </c>
      <c r="R321" s="70">
        <v>310.87</v>
      </c>
      <c r="S321" s="76">
        <f t="shared" si="21"/>
        <v>-8.4633092689318096E-3</v>
      </c>
      <c r="T321" s="76">
        <f t="shared" si="22"/>
        <v>1.7605019735245964E-2</v>
      </c>
      <c r="U321" s="76">
        <f t="shared" si="23"/>
        <v>1.4691189757189176E-2</v>
      </c>
      <c r="V321" s="76">
        <f t="shared" si="24"/>
        <v>4.7395055822274483E-2</v>
      </c>
      <c r="X321" s="70" t="s">
        <v>421</v>
      </c>
      <c r="Y321" s="70">
        <v>10072.620000000001</v>
      </c>
      <c r="Z321" s="70">
        <v>305.89999999999998</v>
      </c>
      <c r="AA321" s="80">
        <v>70.12</v>
      </c>
      <c r="AB321" s="76">
        <f t="shared" si="25"/>
        <v>-6.448187643439629E-3</v>
      </c>
      <c r="AC321" s="76">
        <f t="shared" si="25"/>
        <v>-1.1053428534166312E-2</v>
      </c>
      <c r="AD321" s="73">
        <f t="shared" si="25"/>
        <v>-5.1209215748903329E-3</v>
      </c>
    </row>
    <row r="322" spans="14:30" x14ac:dyDescent="0.3">
      <c r="N322" s="70" t="s">
        <v>424</v>
      </c>
      <c r="O322" s="70">
        <v>3789.93</v>
      </c>
      <c r="P322" s="68">
        <v>163.28</v>
      </c>
      <c r="Q322" s="70">
        <v>43.92</v>
      </c>
      <c r="R322" s="70">
        <v>296.48</v>
      </c>
      <c r="S322" s="76">
        <f t="shared" si="21"/>
        <v>-1.7264673789774226E-2</v>
      </c>
      <c r="T322" s="76">
        <f t="shared" si="22"/>
        <v>-1.029712068624369E-2</v>
      </c>
      <c r="U322" s="76">
        <f t="shared" si="23"/>
        <v>-1.9168475051598993E-2</v>
      </c>
      <c r="V322" s="76">
        <f t="shared" si="24"/>
        <v>-1.7552815210832767E-2</v>
      </c>
      <c r="X322" s="70" t="s">
        <v>422</v>
      </c>
      <c r="Y322" s="70">
        <v>10137.780000000001</v>
      </c>
      <c r="Z322" s="70">
        <v>309.3</v>
      </c>
      <c r="AA322" s="80">
        <v>70.48</v>
      </c>
      <c r="AB322" s="76">
        <f t="shared" si="25"/>
        <v>-1.5646674582346826E-2</v>
      </c>
      <c r="AC322" s="76">
        <f t="shared" si="25"/>
        <v>-7.4086343055693492E-3</v>
      </c>
      <c r="AD322" s="73">
        <f t="shared" si="25"/>
        <v>-9.1802071174996256E-3</v>
      </c>
    </row>
    <row r="323" spans="14:30" x14ac:dyDescent="0.3">
      <c r="N323" s="70" t="s">
        <v>425</v>
      </c>
      <c r="O323" s="70">
        <v>3855.93</v>
      </c>
      <c r="P323" s="68">
        <v>164.97</v>
      </c>
      <c r="Q323" s="70">
        <v>44.77</v>
      </c>
      <c r="R323" s="70">
        <v>301.73</v>
      </c>
      <c r="S323" s="76">
        <f t="shared" ref="S323:S366" si="26">LN(O323/O324)</f>
        <v>-1.1336124553072551E-2</v>
      </c>
      <c r="T323" s="76">
        <f t="shared" ref="T323:T366" si="27">LN(P323/P324)</f>
        <v>-7.9094751966036492E-3</v>
      </c>
      <c r="U323" s="76">
        <f t="shared" ref="U323:U366" si="28">LN(Q323/Q324)</f>
        <v>-1.4854502160021606E-2</v>
      </c>
      <c r="V323" s="76">
        <f t="shared" ref="V323:V366" si="29">LN(R323/R324)</f>
        <v>-1.1074237298621233E-2</v>
      </c>
      <c r="X323" s="70" t="s">
        <v>423</v>
      </c>
      <c r="Y323" s="70">
        <v>10297.65</v>
      </c>
      <c r="Z323" s="70">
        <v>311.60000000000002</v>
      </c>
      <c r="AA323" s="80">
        <v>71.13</v>
      </c>
      <c r="AB323" s="76">
        <f t="shared" ref="AB323:AD366" si="30">LN(Y323/Y324)</f>
        <v>-1.2713027127329803E-2</v>
      </c>
      <c r="AC323" s="76">
        <f t="shared" si="30"/>
        <v>-7.1948507669475879E-3</v>
      </c>
      <c r="AD323" s="73">
        <f t="shared" si="30"/>
        <v>-9.7930273412865036E-3</v>
      </c>
    </row>
    <row r="324" spans="14:30" x14ac:dyDescent="0.3">
      <c r="N324" s="70" t="s">
        <v>426</v>
      </c>
      <c r="O324" s="70">
        <v>3899.89</v>
      </c>
      <c r="P324" s="68">
        <v>166.28</v>
      </c>
      <c r="Q324" s="70">
        <v>45.44</v>
      </c>
      <c r="R324" s="70">
        <v>305.08999999999997</v>
      </c>
      <c r="S324" s="76">
        <f t="shared" si="26"/>
        <v>6.8337454395362542E-3</v>
      </c>
      <c r="T324" s="76">
        <f t="shared" si="27"/>
        <v>-7.9070736635458803E-3</v>
      </c>
      <c r="U324" s="76">
        <f t="shared" si="28"/>
        <v>-1.2900583416254217E-2</v>
      </c>
      <c r="V324" s="76">
        <f t="shared" si="29"/>
        <v>-1.2378411417792213E-2</v>
      </c>
      <c r="X324" s="70" t="s">
        <v>424</v>
      </c>
      <c r="Y324" s="70">
        <v>10429.4</v>
      </c>
      <c r="Z324" s="70">
        <v>313.85000000000002</v>
      </c>
      <c r="AA324" s="80">
        <v>71.83</v>
      </c>
      <c r="AB324" s="76">
        <f t="shared" si="30"/>
        <v>-4.5097307170235508E-3</v>
      </c>
      <c r="AC324" s="76">
        <f t="shared" si="30"/>
        <v>-9.9866091137397941E-3</v>
      </c>
      <c r="AD324" s="73">
        <f t="shared" si="30"/>
        <v>-1.3963038772697046E-2</v>
      </c>
    </row>
    <row r="325" spans="14:30" x14ac:dyDescent="0.3">
      <c r="N325" s="70" t="s">
        <v>427</v>
      </c>
      <c r="O325" s="70">
        <v>3873.33</v>
      </c>
      <c r="P325" s="68">
        <v>167.6</v>
      </c>
      <c r="Q325" s="70">
        <v>46.03</v>
      </c>
      <c r="R325" s="70">
        <v>308.89</v>
      </c>
      <c r="S325" s="76">
        <f t="shared" si="26"/>
        <v>-7.208044914246866E-3</v>
      </c>
      <c r="T325" s="76">
        <f t="shared" si="27"/>
        <v>1.514998316360147E-2</v>
      </c>
      <c r="U325" s="76">
        <f t="shared" si="28"/>
        <v>1.9571605681979885E-3</v>
      </c>
      <c r="V325" s="76">
        <f t="shared" si="29"/>
        <v>-1.8759304291693457E-3</v>
      </c>
      <c r="X325" s="70" t="s">
        <v>425</v>
      </c>
      <c r="Y325" s="70">
        <v>10476.540000000001</v>
      </c>
      <c r="Z325" s="70">
        <v>317</v>
      </c>
      <c r="AA325" s="80">
        <v>72.84</v>
      </c>
      <c r="AB325" s="76">
        <f t="shared" si="30"/>
        <v>-1.3318960207898975E-2</v>
      </c>
      <c r="AC325" s="76">
        <f t="shared" si="30"/>
        <v>-1.5339164427481801E-2</v>
      </c>
      <c r="AD325" s="73">
        <f t="shared" si="30"/>
        <v>-1.0651473091467859E-2</v>
      </c>
    </row>
    <row r="326" spans="14:30" x14ac:dyDescent="0.3">
      <c r="N326" s="70" t="s">
        <v>428</v>
      </c>
      <c r="O326" s="70">
        <v>3901.35</v>
      </c>
      <c r="P326" s="68">
        <v>165.08</v>
      </c>
      <c r="Q326" s="70">
        <v>45.94</v>
      </c>
      <c r="R326" s="70">
        <v>309.47000000000003</v>
      </c>
      <c r="S326" s="76">
        <f t="shared" si="26"/>
        <v>-1.1382294724738607E-2</v>
      </c>
      <c r="T326" s="76">
        <f t="shared" si="27"/>
        <v>2.5474630141011688E-3</v>
      </c>
      <c r="U326" s="76">
        <f t="shared" si="28"/>
        <v>-4.560763687908957E-3</v>
      </c>
      <c r="V326" s="76">
        <f t="shared" si="29"/>
        <v>-4.5228404208345977E-4</v>
      </c>
      <c r="X326" s="70" t="s">
        <v>426</v>
      </c>
      <c r="Y326" s="70">
        <v>10617.01</v>
      </c>
      <c r="Z326" s="70">
        <v>321.89999999999998</v>
      </c>
      <c r="AA326" s="80">
        <v>73.62</v>
      </c>
      <c r="AB326" s="76">
        <f t="shared" si="30"/>
        <v>5.9921820778217286E-4</v>
      </c>
      <c r="AC326" s="76">
        <f t="shared" si="30"/>
        <v>-1.3576265294512524E-2</v>
      </c>
      <c r="AD326" s="73">
        <f t="shared" si="30"/>
        <v>1.9034676039501475E-3</v>
      </c>
    </row>
    <row r="327" spans="14:30" x14ac:dyDescent="0.3">
      <c r="N327" s="70" t="s">
        <v>429</v>
      </c>
      <c r="O327" s="70">
        <v>3946.01</v>
      </c>
      <c r="P327" s="68">
        <v>164.66</v>
      </c>
      <c r="Q327" s="70">
        <v>46.15</v>
      </c>
      <c r="R327" s="70">
        <v>309.61</v>
      </c>
      <c r="S327" s="76">
        <f t="shared" si="26"/>
        <v>3.3812717048818559E-3</v>
      </c>
      <c r="T327" s="76">
        <f t="shared" si="27"/>
        <v>2.0430785192227217E-2</v>
      </c>
      <c r="U327" s="76">
        <f t="shared" si="28"/>
        <v>-8.6636349365287876E-4</v>
      </c>
      <c r="V327" s="76">
        <f t="shared" si="29"/>
        <v>1.0160940543155078E-2</v>
      </c>
      <c r="X327" s="70" t="s">
        <v>427</v>
      </c>
      <c r="Y327" s="70">
        <v>10610.65</v>
      </c>
      <c r="Z327" s="70">
        <v>326.3</v>
      </c>
      <c r="AA327" s="80">
        <v>73.48</v>
      </c>
      <c r="AB327" s="76">
        <f t="shared" si="30"/>
        <v>-1.2740516993614738E-2</v>
      </c>
      <c r="AC327" s="76">
        <f t="shared" si="30"/>
        <v>-4.5864627104544014E-3</v>
      </c>
      <c r="AD327" s="73">
        <f t="shared" si="30"/>
        <v>-3.1252148542723524E-3</v>
      </c>
    </row>
    <row r="328" spans="14:30" x14ac:dyDescent="0.3">
      <c r="N328" s="70" t="s">
        <v>430</v>
      </c>
      <c r="O328" s="70">
        <v>3932.69</v>
      </c>
      <c r="P328" s="68">
        <v>161.33000000000001</v>
      </c>
      <c r="Q328" s="70">
        <v>46.19</v>
      </c>
      <c r="R328" s="70">
        <v>306.48</v>
      </c>
      <c r="S328" s="76">
        <f t="shared" si="26"/>
        <v>-4.4199110119582059E-2</v>
      </c>
      <c r="T328" s="76">
        <f t="shared" si="27"/>
        <v>-2.6364801999313722E-2</v>
      </c>
      <c r="U328" s="76">
        <f t="shared" si="28"/>
        <v>-3.342514464183264E-2</v>
      </c>
      <c r="V328" s="76">
        <f t="shared" si="29"/>
        <v>-2.8118307355001419E-2</v>
      </c>
      <c r="X328" s="70" t="s">
        <v>428</v>
      </c>
      <c r="Y328" s="70">
        <v>10746.7</v>
      </c>
      <c r="Z328" s="70">
        <v>327.8</v>
      </c>
      <c r="AA328" s="80">
        <v>73.709999999999994</v>
      </c>
      <c r="AB328" s="76">
        <f t="shared" si="30"/>
        <v>-7.1624245542563781E-4</v>
      </c>
      <c r="AC328" s="76">
        <f t="shared" si="30"/>
        <v>1.7852120765321028E-2</v>
      </c>
      <c r="AD328" s="73">
        <f t="shared" si="30"/>
        <v>-4.0617440081777275E-3</v>
      </c>
    </row>
    <row r="329" spans="14:30" x14ac:dyDescent="0.3">
      <c r="N329" s="71">
        <v>44904</v>
      </c>
      <c r="O329" s="70">
        <v>4110.41</v>
      </c>
      <c r="P329" s="68">
        <v>165.64</v>
      </c>
      <c r="Q329" s="70">
        <v>47.76</v>
      </c>
      <c r="R329" s="70">
        <v>315.22000000000003</v>
      </c>
      <c r="S329" s="76">
        <f t="shared" si="26"/>
        <v>1.0528639881468727E-2</v>
      </c>
      <c r="T329" s="76">
        <f t="shared" si="27"/>
        <v>-4.225139643360829E-4</v>
      </c>
      <c r="U329" s="76">
        <f t="shared" si="28"/>
        <v>-1.6736405580297597E-3</v>
      </c>
      <c r="V329" s="76">
        <f t="shared" si="29"/>
        <v>-7.8367335280754083E-3</v>
      </c>
      <c r="X329" s="70" t="s">
        <v>429</v>
      </c>
      <c r="Y329" s="70">
        <v>10754.4</v>
      </c>
      <c r="Z329" s="70">
        <v>322</v>
      </c>
      <c r="AA329" s="80">
        <v>74.010000000000005</v>
      </c>
      <c r="AB329" s="76">
        <f t="shared" si="30"/>
        <v>-1.267136793034029E-2</v>
      </c>
      <c r="AC329" s="76">
        <f t="shared" si="30"/>
        <v>-3.8744721075585223E-3</v>
      </c>
      <c r="AD329" s="73">
        <f t="shared" si="30"/>
        <v>-1.6881429837065469E-2</v>
      </c>
    </row>
    <row r="330" spans="14:30" x14ac:dyDescent="0.3">
      <c r="N330" s="71">
        <v>44813</v>
      </c>
      <c r="O330" s="70">
        <v>4067.36</v>
      </c>
      <c r="P330" s="68">
        <v>165.71</v>
      </c>
      <c r="Q330" s="70">
        <v>47.84</v>
      </c>
      <c r="R330" s="70">
        <v>317.7</v>
      </c>
      <c r="S330" s="76">
        <f t="shared" si="26"/>
        <v>1.5155971507018435E-2</v>
      </c>
      <c r="T330" s="76">
        <f t="shared" si="27"/>
        <v>1.9329513720005864E-3</v>
      </c>
      <c r="U330" s="76">
        <f t="shared" si="28"/>
        <v>1.6013827250300459E-2</v>
      </c>
      <c r="V330" s="76">
        <f t="shared" si="29"/>
        <v>6.948859294202598E-3</v>
      </c>
      <c r="X330" s="70" t="s">
        <v>430</v>
      </c>
      <c r="Y330" s="70">
        <v>10891.54</v>
      </c>
      <c r="Z330" s="70">
        <v>323.25</v>
      </c>
      <c r="AA330" s="80">
        <v>75.27</v>
      </c>
      <c r="AB330" s="76">
        <f t="shared" si="30"/>
        <v>-9.0676688568304461E-3</v>
      </c>
      <c r="AC330" s="76">
        <f t="shared" si="30"/>
        <v>1.8578732701181914E-3</v>
      </c>
      <c r="AD330" s="73">
        <f t="shared" si="30"/>
        <v>-9.1252368976444918E-3</v>
      </c>
    </row>
    <row r="331" spans="14:30" x14ac:dyDescent="0.3">
      <c r="N331" s="71">
        <v>44782</v>
      </c>
      <c r="O331" s="70">
        <v>4006.18</v>
      </c>
      <c r="P331" s="68">
        <v>165.39</v>
      </c>
      <c r="Q331" s="70">
        <v>47.08</v>
      </c>
      <c r="R331" s="70">
        <v>315.5</v>
      </c>
      <c r="S331" s="76">
        <f t="shared" si="26"/>
        <v>6.5890133889801002E-3</v>
      </c>
      <c r="T331" s="76">
        <f t="shared" si="27"/>
        <v>8.0131552429108643E-3</v>
      </c>
      <c r="U331" s="76">
        <f t="shared" si="28"/>
        <v>2.0384784822346728E-2</v>
      </c>
      <c r="V331" s="76">
        <f t="shared" si="29"/>
        <v>1.2438367984674487E-2</v>
      </c>
      <c r="X331" s="71">
        <v>44904</v>
      </c>
      <c r="Y331" s="70">
        <v>10990.75</v>
      </c>
      <c r="Z331" s="70">
        <v>322.64999999999998</v>
      </c>
      <c r="AA331" s="80">
        <v>75.959999999999994</v>
      </c>
      <c r="AB331" s="76">
        <f t="shared" si="30"/>
        <v>8.2692026037551394E-3</v>
      </c>
      <c r="AC331" s="76">
        <f t="shared" si="30"/>
        <v>-4.9466788147045923E-3</v>
      </c>
      <c r="AD331" s="73">
        <f t="shared" si="30"/>
        <v>9.7897329018947644E-3</v>
      </c>
    </row>
    <row r="332" spans="14:30" x14ac:dyDescent="0.3">
      <c r="N332" s="71">
        <v>44751</v>
      </c>
      <c r="O332" s="70">
        <v>3979.87</v>
      </c>
      <c r="P332" s="68">
        <v>164.07</v>
      </c>
      <c r="Q332" s="70">
        <v>46.13</v>
      </c>
      <c r="R332" s="70">
        <v>311.60000000000002</v>
      </c>
      <c r="S332" s="76">
        <f t="shared" si="26"/>
        <v>1.8174804228558855E-2</v>
      </c>
      <c r="T332" s="76">
        <f t="shared" si="27"/>
        <v>5.4392800261367728E-3</v>
      </c>
      <c r="U332" s="76">
        <f t="shared" si="28"/>
        <v>8.0531504981867386E-3</v>
      </c>
      <c r="V332" s="76">
        <f t="shared" si="29"/>
        <v>1.5459057579965957E-2</v>
      </c>
      <c r="X332" s="71">
        <v>44813</v>
      </c>
      <c r="Y332" s="70">
        <v>10900.24</v>
      </c>
      <c r="Z332" s="70">
        <v>324.25</v>
      </c>
      <c r="AA332" s="80">
        <v>75.22</v>
      </c>
      <c r="AB332" s="76">
        <f t="shared" si="30"/>
        <v>1.0135371421142967E-2</v>
      </c>
      <c r="AC332" s="76">
        <f t="shared" si="30"/>
        <v>1.234377567627101E-3</v>
      </c>
      <c r="AD332" s="73">
        <f t="shared" si="30"/>
        <v>7.3387479945799684E-3</v>
      </c>
    </row>
    <row r="333" spans="14:30" x14ac:dyDescent="0.3">
      <c r="N333" s="71">
        <v>44721</v>
      </c>
      <c r="O333" s="70">
        <v>3908.19</v>
      </c>
      <c r="P333" s="68">
        <v>163.18</v>
      </c>
      <c r="Q333" s="70">
        <v>45.76</v>
      </c>
      <c r="R333" s="70">
        <v>306.82</v>
      </c>
      <c r="S333" s="76">
        <f t="shared" si="26"/>
        <v>-4.1034472098145404E-3</v>
      </c>
      <c r="T333" s="76">
        <f t="shared" si="27"/>
        <v>2.7000507321428154E-3</v>
      </c>
      <c r="U333" s="76">
        <f t="shared" si="28"/>
        <v>1.3120491713833355E-3</v>
      </c>
      <c r="V333" s="76">
        <f t="shared" si="29"/>
        <v>1.8055246700646965E-2</v>
      </c>
      <c r="X333" s="71">
        <v>44782</v>
      </c>
      <c r="Y333" s="70">
        <v>10790.32</v>
      </c>
      <c r="Z333" s="70">
        <v>323.85000000000002</v>
      </c>
      <c r="AA333" s="80">
        <v>74.67</v>
      </c>
      <c r="AB333" s="76">
        <f t="shared" si="30"/>
        <v>-1.3743618883121521E-3</v>
      </c>
      <c r="AC333" s="76">
        <f t="shared" si="30"/>
        <v>1.081331687970762E-3</v>
      </c>
      <c r="AD333" s="73">
        <f t="shared" si="30"/>
        <v>-3.2089879121811487E-3</v>
      </c>
    </row>
    <row r="334" spans="14:30" x14ac:dyDescent="0.3">
      <c r="N334" s="71">
        <v>44601</v>
      </c>
      <c r="O334" s="70">
        <v>3924.26</v>
      </c>
      <c r="P334" s="68">
        <v>162.74</v>
      </c>
      <c r="Q334" s="70">
        <v>45.7</v>
      </c>
      <c r="R334" s="70">
        <v>301.33</v>
      </c>
      <c r="S334" s="76">
        <f t="shared" si="26"/>
        <v>-1.0794530441166154E-2</v>
      </c>
      <c r="T334" s="76">
        <f t="shared" si="27"/>
        <v>-1.585012455601828E-2</v>
      </c>
      <c r="U334" s="76">
        <f t="shared" si="28"/>
        <v>-2.0145812920070453E-2</v>
      </c>
      <c r="V334" s="76">
        <f t="shared" si="29"/>
        <v>-2.5555890681406592E-2</v>
      </c>
      <c r="X334" s="71">
        <v>44751</v>
      </c>
      <c r="Y334" s="70">
        <v>10805.16</v>
      </c>
      <c r="Z334" s="70">
        <v>323.5</v>
      </c>
      <c r="AA334" s="80">
        <v>74.91</v>
      </c>
      <c r="AB334" s="76">
        <f t="shared" si="30"/>
        <v>-2.6821536513925996E-3</v>
      </c>
      <c r="AC334" s="76">
        <f t="shared" si="30"/>
        <v>-1.5454756231983398E-4</v>
      </c>
      <c r="AD334" s="73">
        <f t="shared" si="30"/>
        <v>-1.7339117381777705E-3</v>
      </c>
    </row>
    <row r="335" spans="14:30" x14ac:dyDescent="0.3">
      <c r="N335" s="71">
        <v>44570</v>
      </c>
      <c r="O335" s="70">
        <v>3966.85</v>
      </c>
      <c r="P335" s="68">
        <v>165.34</v>
      </c>
      <c r="Q335" s="70">
        <v>46.63</v>
      </c>
      <c r="R335" s="70">
        <v>309.13</v>
      </c>
      <c r="S335" s="76">
        <f t="shared" si="26"/>
        <v>2.9917276491103818E-3</v>
      </c>
      <c r="T335" s="76">
        <f t="shared" si="27"/>
        <v>2.4490020315701199E-2</v>
      </c>
      <c r="U335" s="76">
        <f t="shared" si="28"/>
        <v>3.0483527330477812E-2</v>
      </c>
      <c r="V335" s="76">
        <f t="shared" si="29"/>
        <v>2.5887807837932188E-2</v>
      </c>
      <c r="X335" s="71">
        <v>44721</v>
      </c>
      <c r="Y335" s="70">
        <v>10834.18</v>
      </c>
      <c r="Z335" s="70">
        <v>323.55</v>
      </c>
      <c r="AA335" s="80">
        <v>75.040000000000006</v>
      </c>
      <c r="AB335" s="76">
        <f t="shared" si="30"/>
        <v>1.3521928085038141E-3</v>
      </c>
      <c r="AC335" s="76">
        <f t="shared" si="30"/>
        <v>1.3535795927621353E-2</v>
      </c>
      <c r="AD335" s="73">
        <f t="shared" si="30"/>
        <v>-8.0961355363956891E-3</v>
      </c>
    </row>
    <row r="336" spans="14:30" x14ac:dyDescent="0.3">
      <c r="N336" s="70" t="s">
        <v>431</v>
      </c>
      <c r="O336" s="70">
        <v>3955</v>
      </c>
      <c r="P336" s="68">
        <v>161.34</v>
      </c>
      <c r="Q336" s="70">
        <v>45.23</v>
      </c>
      <c r="R336" s="70">
        <v>301.23</v>
      </c>
      <c r="S336" s="76">
        <f t="shared" si="26"/>
        <v>-7.8477602570987508E-3</v>
      </c>
      <c r="T336" s="76">
        <f t="shared" si="27"/>
        <v>-6.7332002224761963E-3</v>
      </c>
      <c r="U336" s="76">
        <f t="shared" si="28"/>
        <v>-1.3614615212722208E-2</v>
      </c>
      <c r="V336" s="76">
        <f t="shared" si="29"/>
        <v>-1.9103939699935183E-2</v>
      </c>
      <c r="X336" s="71">
        <v>44690</v>
      </c>
      <c r="Y336" s="70">
        <v>10819.54</v>
      </c>
      <c r="Z336" s="70">
        <v>319.2</v>
      </c>
      <c r="AA336" s="80">
        <v>75.650000000000006</v>
      </c>
      <c r="AB336" s="76">
        <f t="shared" si="30"/>
        <v>-6.6481907597756781E-3</v>
      </c>
      <c r="AC336" s="76">
        <f t="shared" si="30"/>
        <v>1.5676441523629883E-3</v>
      </c>
      <c r="AD336" s="73">
        <f t="shared" si="30"/>
        <v>4.6373054285172481E-3</v>
      </c>
    </row>
    <row r="337" spans="14:30" x14ac:dyDescent="0.3">
      <c r="N337" s="70" t="s">
        <v>432</v>
      </c>
      <c r="O337" s="70">
        <v>3986.16</v>
      </c>
      <c r="P337" s="68">
        <v>162.43</v>
      </c>
      <c r="Q337" s="70">
        <v>45.85</v>
      </c>
      <c r="R337" s="70">
        <v>307.04000000000002</v>
      </c>
      <c r="S337" s="76">
        <f t="shared" si="26"/>
        <v>-1.1089367791653617E-2</v>
      </c>
      <c r="T337" s="76">
        <f t="shared" si="27"/>
        <v>-3.5030610754578206E-3</v>
      </c>
      <c r="U337" s="76">
        <f t="shared" si="28"/>
        <v>-8.2537392976601461E-3</v>
      </c>
      <c r="V337" s="76">
        <f t="shared" si="29"/>
        <v>-1.0078019159736652E-2</v>
      </c>
      <c r="X337" s="71">
        <v>44601</v>
      </c>
      <c r="Y337" s="70">
        <v>10891.71</v>
      </c>
      <c r="Z337" s="70">
        <v>318.7</v>
      </c>
      <c r="AA337" s="80">
        <v>75.3</v>
      </c>
      <c r="AB337" s="76">
        <f t="shared" si="30"/>
        <v>2.1180881041891978E-2</v>
      </c>
      <c r="AC337" s="76">
        <f t="shared" si="30"/>
        <v>1.8686212752134609E-2</v>
      </c>
      <c r="AD337" s="73">
        <f t="shared" si="30"/>
        <v>1.1218066361277096E-2</v>
      </c>
    </row>
    <row r="338" spans="14:30" x14ac:dyDescent="0.3">
      <c r="N338" s="70" t="s">
        <v>433</v>
      </c>
      <c r="O338" s="70">
        <v>4030.61</v>
      </c>
      <c r="P338" s="68">
        <v>163</v>
      </c>
      <c r="Q338" s="70">
        <v>46.23</v>
      </c>
      <c r="R338" s="70">
        <v>310.14999999999998</v>
      </c>
      <c r="S338" s="76">
        <f t="shared" si="26"/>
        <v>-6.6887235092639493E-3</v>
      </c>
      <c r="T338" s="76">
        <f t="shared" si="27"/>
        <v>-7.7612147463462199E-3</v>
      </c>
      <c r="U338" s="76">
        <f t="shared" si="28"/>
        <v>-1.2681524062630725E-2</v>
      </c>
      <c r="V338" s="76">
        <f t="shared" si="29"/>
        <v>-1.7292786807762368E-2</v>
      </c>
      <c r="X338" s="71">
        <v>44570</v>
      </c>
      <c r="Y338" s="70">
        <v>10663.44</v>
      </c>
      <c r="Z338" s="70">
        <v>312.8</v>
      </c>
      <c r="AA338" s="80">
        <v>74.459999999999994</v>
      </c>
      <c r="AB338" s="76">
        <f t="shared" si="30"/>
        <v>-1.7807498660535787E-2</v>
      </c>
      <c r="AC338" s="76">
        <f t="shared" si="30"/>
        <v>-8.277665857781849E-3</v>
      </c>
      <c r="AD338" s="73">
        <f t="shared" si="30"/>
        <v>-7.2260450917396944E-3</v>
      </c>
    </row>
    <row r="339" spans="14:30" x14ac:dyDescent="0.3">
      <c r="N339" s="70" t="s">
        <v>434</v>
      </c>
      <c r="O339" s="70">
        <v>4057.66</v>
      </c>
      <c r="P339" s="68">
        <v>164.27</v>
      </c>
      <c r="Q339" s="70">
        <v>46.82</v>
      </c>
      <c r="R339" s="70">
        <v>315.56</v>
      </c>
      <c r="S339" s="76">
        <f t="shared" si="26"/>
        <v>-3.4268526748985458E-2</v>
      </c>
      <c r="T339" s="76">
        <f t="shared" si="27"/>
        <v>-1.7260537147725189E-2</v>
      </c>
      <c r="U339" s="76">
        <f t="shared" si="28"/>
        <v>-2.2805042354104774E-2</v>
      </c>
      <c r="V339" s="76">
        <f t="shared" si="29"/>
        <v>-2.3736827621795558E-2</v>
      </c>
      <c r="X339" s="70" t="s">
        <v>431</v>
      </c>
      <c r="Y339" s="70">
        <v>10855.03</v>
      </c>
      <c r="Z339" s="70">
        <v>315.39999999999998</v>
      </c>
      <c r="AA339" s="80">
        <v>75</v>
      </c>
      <c r="AB339" s="76">
        <f t="shared" si="30"/>
        <v>-2.7525341688998048E-3</v>
      </c>
      <c r="AC339" s="76">
        <f t="shared" si="30"/>
        <v>-3.1655613645607569E-3</v>
      </c>
      <c r="AD339" s="73">
        <f t="shared" si="30"/>
        <v>-3.9992002132694667E-4</v>
      </c>
    </row>
    <row r="340" spans="14:30" x14ac:dyDescent="0.3">
      <c r="N340" s="70" t="s">
        <v>435</v>
      </c>
      <c r="O340" s="70">
        <v>4199.12</v>
      </c>
      <c r="P340" s="68">
        <v>167.13</v>
      </c>
      <c r="Q340" s="70">
        <v>47.9</v>
      </c>
      <c r="R340" s="70">
        <v>323.14</v>
      </c>
      <c r="S340" s="76">
        <f t="shared" si="26"/>
        <v>1.3993218645290096E-2</v>
      </c>
      <c r="T340" s="76">
        <f t="shared" si="27"/>
        <v>9.3174909901737983E-3</v>
      </c>
      <c r="U340" s="76">
        <f t="shared" si="28"/>
        <v>9.8605645273791547E-3</v>
      </c>
      <c r="V340" s="76">
        <f t="shared" si="29"/>
        <v>1.3302169635084439E-2</v>
      </c>
      <c r="X340" s="70" t="s">
        <v>432</v>
      </c>
      <c r="Y340" s="70">
        <v>10884.95</v>
      </c>
      <c r="Z340" s="70">
        <v>316.39999999999998</v>
      </c>
      <c r="AA340" s="80">
        <v>75.03</v>
      </c>
      <c r="AB340" s="76">
        <f t="shared" si="30"/>
        <v>-1.0825607334810196E-3</v>
      </c>
      <c r="AC340" s="76">
        <f t="shared" si="30"/>
        <v>6.3411753384472469E-3</v>
      </c>
      <c r="AD340" s="73">
        <f t="shared" si="30"/>
        <v>-1.0078324266300486E-2</v>
      </c>
    </row>
    <row r="341" spans="14:30" x14ac:dyDescent="0.3">
      <c r="N341" s="70" t="s">
        <v>436</v>
      </c>
      <c r="O341" s="70">
        <v>4140.7700000000004</v>
      </c>
      <c r="P341" s="68">
        <v>165.58</v>
      </c>
      <c r="Q341" s="70">
        <v>47.43</v>
      </c>
      <c r="R341" s="70">
        <v>318.87</v>
      </c>
      <c r="S341" s="76">
        <f t="shared" si="26"/>
        <v>2.9119072513373811E-3</v>
      </c>
      <c r="T341" s="76">
        <f t="shared" si="27"/>
        <v>-3.3161526877274108E-3</v>
      </c>
      <c r="U341" s="76">
        <f t="shared" si="28"/>
        <v>-1.2154382653358657E-2</v>
      </c>
      <c r="V341" s="76">
        <f t="shared" si="29"/>
        <v>1.1893447450371141E-2</v>
      </c>
      <c r="X341" s="70" t="s">
        <v>433</v>
      </c>
      <c r="Y341" s="70">
        <v>10896.74</v>
      </c>
      <c r="Z341" s="70">
        <v>314.39999999999998</v>
      </c>
      <c r="AA341" s="80">
        <v>75.790000000000006</v>
      </c>
      <c r="AB341" s="76">
        <f t="shared" si="30"/>
        <v>-4.1595561578376978E-3</v>
      </c>
      <c r="AC341" s="76">
        <f t="shared" si="30"/>
        <v>-7.4467586461969886E-3</v>
      </c>
      <c r="AD341" s="73">
        <f t="shared" si="30"/>
        <v>-5.0013265607589336E-3</v>
      </c>
    </row>
    <row r="342" spans="14:30" x14ac:dyDescent="0.3">
      <c r="N342" s="70" t="s">
        <v>437</v>
      </c>
      <c r="O342" s="70">
        <v>4128.7299999999996</v>
      </c>
      <c r="P342" s="68">
        <v>166.13</v>
      </c>
      <c r="Q342" s="70">
        <v>48.01</v>
      </c>
      <c r="R342" s="70">
        <v>315.10000000000002</v>
      </c>
      <c r="S342" s="76">
        <f t="shared" si="26"/>
        <v>-2.2403090640503252E-3</v>
      </c>
      <c r="T342" s="76">
        <f t="shared" si="27"/>
        <v>-8.7499059983947424E-3</v>
      </c>
      <c r="U342" s="76">
        <f t="shared" si="28"/>
        <v>-1.8368073937977399E-2</v>
      </c>
      <c r="V342" s="76">
        <f t="shared" si="29"/>
        <v>-2.5071824067223671E-2</v>
      </c>
      <c r="X342" s="70" t="s">
        <v>434</v>
      </c>
      <c r="Y342" s="70">
        <v>10942.16</v>
      </c>
      <c r="Z342" s="70">
        <v>316.75</v>
      </c>
      <c r="AA342" s="80">
        <v>76.17</v>
      </c>
      <c r="AB342" s="76">
        <f t="shared" si="30"/>
        <v>-1.1062530226636872E-2</v>
      </c>
      <c r="AC342" s="76">
        <f t="shared" si="30"/>
        <v>-8.4879478471038047E-3</v>
      </c>
      <c r="AD342" s="73">
        <f t="shared" si="30"/>
        <v>2.1027738067475889E-3</v>
      </c>
    </row>
    <row r="343" spans="14:30" x14ac:dyDescent="0.3">
      <c r="N343" s="70" t="s">
        <v>438</v>
      </c>
      <c r="O343" s="70">
        <v>4137.99</v>
      </c>
      <c r="P343" s="68">
        <v>167.59</v>
      </c>
      <c r="Q343" s="70">
        <v>48.9</v>
      </c>
      <c r="R343" s="70">
        <v>323.10000000000002</v>
      </c>
      <c r="S343" s="76">
        <f t="shared" si="26"/>
        <v>-2.1632427725287454E-2</v>
      </c>
      <c r="T343" s="76">
        <f t="shared" si="27"/>
        <v>-1.0210833743358358E-2</v>
      </c>
      <c r="U343" s="76">
        <f t="shared" si="28"/>
        <v>-5.099450112349249E-3</v>
      </c>
      <c r="V343" s="76">
        <f t="shared" si="29"/>
        <v>1.0218775565252797E-3</v>
      </c>
      <c r="X343" s="70" t="s">
        <v>435</v>
      </c>
      <c r="Y343" s="70">
        <v>11063.88</v>
      </c>
      <c r="Z343" s="70">
        <v>319.45</v>
      </c>
      <c r="AA343" s="80">
        <v>76.010000000000005</v>
      </c>
      <c r="AB343" s="76">
        <f t="shared" si="30"/>
        <v>4.6211594348805653E-3</v>
      </c>
      <c r="AC343" s="76">
        <f t="shared" si="30"/>
        <v>5.6506193358099562E-3</v>
      </c>
      <c r="AD343" s="73">
        <f t="shared" si="30"/>
        <v>-7.6016093435530658E-3</v>
      </c>
    </row>
    <row r="344" spans="14:30" x14ac:dyDescent="0.3">
      <c r="N344" s="70" t="s">
        <v>439</v>
      </c>
      <c r="O344" s="70">
        <v>4228.4799999999996</v>
      </c>
      <c r="P344" s="68">
        <v>169.31</v>
      </c>
      <c r="Q344" s="70">
        <v>49.15</v>
      </c>
      <c r="R344" s="70">
        <v>322.77</v>
      </c>
      <c r="S344" s="76">
        <f t="shared" si="26"/>
        <v>-1.2983869381359623E-2</v>
      </c>
      <c r="T344" s="76">
        <f t="shared" si="27"/>
        <v>1.5115736506652573E-2</v>
      </c>
      <c r="U344" s="76">
        <f t="shared" si="28"/>
        <v>1.1664923019149087E-2</v>
      </c>
      <c r="V344" s="76">
        <f t="shared" si="29"/>
        <v>1.8921892476052259E-2</v>
      </c>
      <c r="X344" s="70" t="s">
        <v>436</v>
      </c>
      <c r="Y344" s="70">
        <v>11012.87</v>
      </c>
      <c r="Z344" s="70">
        <v>317.64999999999998</v>
      </c>
      <c r="AA344" s="80">
        <v>76.59</v>
      </c>
      <c r="AB344" s="76">
        <f t="shared" si="30"/>
        <v>7.2733624722903954E-3</v>
      </c>
      <c r="AC344" s="76">
        <f t="shared" si="30"/>
        <v>2.8373285112938394E-3</v>
      </c>
      <c r="AD344" s="73">
        <f t="shared" si="30"/>
        <v>7.6016093435529487E-3</v>
      </c>
    </row>
    <row r="345" spans="14:30" x14ac:dyDescent="0.3">
      <c r="N345" s="70" t="s">
        <v>440</v>
      </c>
      <c r="O345" s="70">
        <v>4283.74</v>
      </c>
      <c r="P345" s="68">
        <v>166.77</v>
      </c>
      <c r="Q345" s="70">
        <v>48.58</v>
      </c>
      <c r="R345" s="70">
        <v>316.72000000000003</v>
      </c>
      <c r="S345" s="76">
        <f t="shared" si="26"/>
        <v>2.2669440331611829E-3</v>
      </c>
      <c r="T345" s="76">
        <f t="shared" si="27"/>
        <v>-4.8452315516525866E-3</v>
      </c>
      <c r="U345" s="76">
        <f t="shared" si="28"/>
        <v>-1.4103452981845425E-2</v>
      </c>
      <c r="V345" s="76">
        <f t="shared" si="29"/>
        <v>-3.1568646282932361E-4</v>
      </c>
      <c r="X345" s="70" t="s">
        <v>437</v>
      </c>
      <c r="Y345" s="70">
        <v>10933.06</v>
      </c>
      <c r="Z345" s="70">
        <v>316.75</v>
      </c>
      <c r="AA345" s="80">
        <v>76.010000000000005</v>
      </c>
      <c r="AB345" s="76">
        <f t="shared" si="30"/>
        <v>-1.387739186626263E-2</v>
      </c>
      <c r="AC345" s="76">
        <f t="shared" si="30"/>
        <v>-2.2630696591080995E-2</v>
      </c>
      <c r="AD345" s="73">
        <f t="shared" si="30"/>
        <v>-2.0573642327908811E-2</v>
      </c>
    </row>
    <row r="346" spans="14:30" x14ac:dyDescent="0.3">
      <c r="N346" s="70" t="s">
        <v>441</v>
      </c>
      <c r="O346" s="70">
        <v>4274.04</v>
      </c>
      <c r="P346" s="68">
        <v>167.58</v>
      </c>
      <c r="Q346" s="70">
        <v>49.27</v>
      </c>
      <c r="R346" s="70">
        <v>316.82</v>
      </c>
      <c r="S346" s="76">
        <f t="shared" si="26"/>
        <v>-7.26407864047862E-3</v>
      </c>
      <c r="T346" s="76">
        <f t="shared" si="27"/>
        <v>5.9674772507821998E-5</v>
      </c>
      <c r="U346" s="76">
        <f t="shared" si="28"/>
        <v>-1.1903701539540078E-2</v>
      </c>
      <c r="V346" s="76">
        <f t="shared" si="29"/>
        <v>2.0761991448429225E-2</v>
      </c>
      <c r="X346" s="70" t="s">
        <v>438</v>
      </c>
      <c r="Y346" s="70">
        <v>11085.84</v>
      </c>
      <c r="Z346" s="70">
        <v>324</v>
      </c>
      <c r="AA346" s="80">
        <v>77.59</v>
      </c>
      <c r="AB346" s="76">
        <f t="shared" si="30"/>
        <v>-6.3733886683122942E-3</v>
      </c>
      <c r="AC346" s="76">
        <f t="shared" si="30"/>
        <v>2.0081878997274451E-3</v>
      </c>
      <c r="AD346" s="73">
        <f t="shared" si="30"/>
        <v>-1.8027303362704193E-3</v>
      </c>
    </row>
    <row r="347" spans="14:30" x14ac:dyDescent="0.3">
      <c r="N347" s="70" t="s">
        <v>442</v>
      </c>
      <c r="O347" s="70">
        <v>4305.2</v>
      </c>
      <c r="P347" s="68">
        <v>167.57</v>
      </c>
      <c r="Q347" s="70">
        <v>49.86</v>
      </c>
      <c r="R347" s="70">
        <v>310.31</v>
      </c>
      <c r="S347" s="76">
        <f t="shared" si="26"/>
        <v>1.8739092755182558E-3</v>
      </c>
      <c r="T347" s="76">
        <f t="shared" si="27"/>
        <v>8.8713643017251601E-3</v>
      </c>
      <c r="U347" s="76">
        <f t="shared" si="28"/>
        <v>2.208614490810017E-3</v>
      </c>
      <c r="V347" s="76">
        <f t="shared" si="29"/>
        <v>-1.1630087034785469E-2</v>
      </c>
      <c r="X347" s="70" t="s">
        <v>439</v>
      </c>
      <c r="Y347" s="70">
        <v>11156.72</v>
      </c>
      <c r="Z347" s="70">
        <v>323.35000000000002</v>
      </c>
      <c r="AA347" s="80">
        <v>77.73</v>
      </c>
      <c r="AB347" s="76">
        <f t="shared" si="30"/>
        <v>-9.7382636767153591E-4</v>
      </c>
      <c r="AC347" s="76">
        <f t="shared" si="30"/>
        <v>1.0570594307132732E-2</v>
      </c>
      <c r="AD347" s="73">
        <f t="shared" si="30"/>
        <v>1.112559988108776E-2</v>
      </c>
    </row>
    <row r="348" spans="14:30" x14ac:dyDescent="0.3">
      <c r="N348" s="70" t="s">
        <v>443</v>
      </c>
      <c r="O348" s="70">
        <v>4297.1400000000003</v>
      </c>
      <c r="P348" s="68">
        <v>166.09</v>
      </c>
      <c r="Q348" s="70">
        <v>49.75</v>
      </c>
      <c r="R348" s="70">
        <v>313.94</v>
      </c>
      <c r="S348" s="76">
        <f t="shared" si="26"/>
        <v>3.9616294239327712E-3</v>
      </c>
      <c r="T348" s="76">
        <f t="shared" si="27"/>
        <v>4.7678052839289419E-3</v>
      </c>
      <c r="U348" s="76">
        <f t="shared" si="28"/>
        <v>-7.210125367031482E-3</v>
      </c>
      <c r="V348" s="76">
        <f t="shared" si="29"/>
        <v>1.8842395340407388E-2</v>
      </c>
      <c r="X348" s="70" t="s">
        <v>440</v>
      </c>
      <c r="Y348" s="70">
        <v>11167.59</v>
      </c>
      <c r="Z348" s="70">
        <v>319.95</v>
      </c>
      <c r="AA348" s="80">
        <v>76.87</v>
      </c>
      <c r="AB348" s="76">
        <f t="shared" si="30"/>
        <v>3.5343047888995922E-3</v>
      </c>
      <c r="AC348" s="76">
        <f t="shared" si="30"/>
        <v>1.0367670623030062E-2</v>
      </c>
      <c r="AD348" s="73">
        <f t="shared" si="30"/>
        <v>-1.5598599289174298E-3</v>
      </c>
    </row>
    <row r="349" spans="14:30" x14ac:dyDescent="0.3">
      <c r="N349" s="71">
        <v>44903</v>
      </c>
      <c r="O349" s="70">
        <v>4280.1499999999996</v>
      </c>
      <c r="P349" s="68">
        <v>165.3</v>
      </c>
      <c r="Q349" s="70">
        <v>50.11</v>
      </c>
      <c r="R349" s="70">
        <v>308.08</v>
      </c>
      <c r="S349" s="76">
        <f t="shared" si="26"/>
        <v>1.7174074409836079E-2</v>
      </c>
      <c r="T349" s="76">
        <f t="shared" si="27"/>
        <v>-1.1069779746311409E-2</v>
      </c>
      <c r="U349" s="76">
        <f t="shared" si="28"/>
        <v>3.6996089086182661E-2</v>
      </c>
      <c r="V349" s="76">
        <f t="shared" si="29"/>
        <v>2.2684600135108427E-2</v>
      </c>
      <c r="X349" s="70" t="s">
        <v>441</v>
      </c>
      <c r="Y349" s="70">
        <v>11128.19</v>
      </c>
      <c r="Z349" s="70">
        <v>316.64999999999998</v>
      </c>
      <c r="AA349" s="80">
        <v>76.989999999999995</v>
      </c>
      <c r="AB349" s="76">
        <f t="shared" si="30"/>
        <v>-2.0216877747319489E-4</v>
      </c>
      <c r="AC349" s="76">
        <f t="shared" si="30"/>
        <v>3.1630581488047227E-3</v>
      </c>
      <c r="AD349" s="73">
        <f t="shared" si="30"/>
        <v>3.1221568226515607E-3</v>
      </c>
    </row>
    <row r="350" spans="14:30" x14ac:dyDescent="0.3">
      <c r="N350" s="71">
        <v>44873</v>
      </c>
      <c r="O350" s="70">
        <v>4207.2700000000004</v>
      </c>
      <c r="P350" s="68">
        <v>167.14</v>
      </c>
      <c r="Q350" s="70">
        <v>48.29</v>
      </c>
      <c r="R350" s="70">
        <v>301.17</v>
      </c>
      <c r="S350" s="76">
        <f t="shared" si="26"/>
        <v>-7.0567189661734585E-4</v>
      </c>
      <c r="T350" s="76">
        <f t="shared" si="27"/>
        <v>-2.0900082857375588E-2</v>
      </c>
      <c r="U350" s="76">
        <f t="shared" si="28"/>
        <v>-3.3798005209112122E-2</v>
      </c>
      <c r="V350" s="76">
        <f t="shared" si="29"/>
        <v>-1.1357380491531907E-2</v>
      </c>
      <c r="X350" s="70" t="s">
        <v>442</v>
      </c>
      <c r="Y350" s="70">
        <v>11130.44</v>
      </c>
      <c r="Z350" s="70">
        <v>315.64999999999998</v>
      </c>
      <c r="AA350" s="80">
        <v>76.75</v>
      </c>
      <c r="AB350" s="76">
        <f t="shared" si="30"/>
        <v>-3.6857755704574262E-3</v>
      </c>
      <c r="AC350" s="76">
        <f t="shared" si="30"/>
        <v>-7.1028631031224386E-3</v>
      </c>
      <c r="AD350" s="73">
        <f t="shared" si="30"/>
        <v>6.5359709797854493E-3</v>
      </c>
    </row>
    <row r="351" spans="14:30" x14ac:dyDescent="0.3">
      <c r="N351" s="71">
        <v>44842</v>
      </c>
      <c r="O351" s="70">
        <v>4210.24</v>
      </c>
      <c r="P351" s="68">
        <v>170.67</v>
      </c>
      <c r="Q351" s="70">
        <v>49.95</v>
      </c>
      <c r="R351" s="70">
        <v>304.61</v>
      </c>
      <c r="S351" s="76">
        <f t="shared" si="26"/>
        <v>2.1067154907856916E-2</v>
      </c>
      <c r="T351" s="76">
        <f t="shared" si="27"/>
        <v>2.8751670092543023E-3</v>
      </c>
      <c r="U351" s="76">
        <f t="shared" si="28"/>
        <v>3.4092081551165125E-3</v>
      </c>
      <c r="V351" s="76">
        <f t="shared" si="29"/>
        <v>5.2334599313874344E-3</v>
      </c>
      <c r="X351" s="70" t="s">
        <v>443</v>
      </c>
      <c r="Y351" s="70">
        <v>11171.54</v>
      </c>
      <c r="Z351" s="70">
        <v>317.89999999999998</v>
      </c>
      <c r="AA351" s="80">
        <v>76.25</v>
      </c>
      <c r="AB351" s="76">
        <f t="shared" si="30"/>
        <v>3.8834512643588985E-3</v>
      </c>
      <c r="AC351" s="76">
        <f t="shared" si="30"/>
        <v>9.1642290911239689E-3</v>
      </c>
      <c r="AD351" s="73">
        <f t="shared" si="30"/>
        <v>4.3372611858486093E-3</v>
      </c>
    </row>
    <row r="352" spans="14:30" x14ac:dyDescent="0.3">
      <c r="N352" s="71">
        <v>44812</v>
      </c>
      <c r="O352" s="70">
        <v>4122.47</v>
      </c>
      <c r="P352" s="68">
        <v>170.18</v>
      </c>
      <c r="Q352" s="70">
        <v>49.78</v>
      </c>
      <c r="R352" s="70">
        <v>303.02</v>
      </c>
      <c r="S352" s="76">
        <f t="shared" si="26"/>
        <v>-4.2577821983481121E-3</v>
      </c>
      <c r="T352" s="76">
        <f t="shared" si="27"/>
        <v>-1.1751571786235975E-4</v>
      </c>
      <c r="U352" s="76">
        <f t="shared" si="28"/>
        <v>4.2274849069635322E-3</v>
      </c>
      <c r="V352" s="76">
        <f t="shared" si="29"/>
        <v>1.7175324607931316E-3</v>
      </c>
      <c r="X352" s="71">
        <v>44903</v>
      </c>
      <c r="Y352" s="70">
        <v>11128.24</v>
      </c>
      <c r="Z352" s="70">
        <v>315</v>
      </c>
      <c r="AA352" s="80">
        <v>75.92</v>
      </c>
      <c r="AB352" s="76">
        <f t="shared" si="30"/>
        <v>-2.3641542918130657E-3</v>
      </c>
      <c r="AC352" s="76">
        <f t="shared" si="30"/>
        <v>1.5516587406506535E-2</v>
      </c>
      <c r="AD352" s="73">
        <f t="shared" si="30"/>
        <v>-1.1654685708918117E-2</v>
      </c>
    </row>
    <row r="353" spans="14:30" x14ac:dyDescent="0.3">
      <c r="N353" s="71">
        <v>44781</v>
      </c>
      <c r="O353" s="70">
        <v>4140.0600000000004</v>
      </c>
      <c r="P353" s="68">
        <v>170.2</v>
      </c>
      <c r="Q353" s="70">
        <v>49.57</v>
      </c>
      <c r="R353" s="70">
        <v>302.5</v>
      </c>
      <c r="S353" s="76">
        <f t="shared" si="26"/>
        <v>-1.2383454103545306E-3</v>
      </c>
      <c r="T353" s="76">
        <f t="shared" si="27"/>
        <v>-5.3324084046054831E-3</v>
      </c>
      <c r="U353" s="76">
        <f t="shared" si="28"/>
        <v>6.0704354766108418E-3</v>
      </c>
      <c r="V353" s="76">
        <f t="shared" si="29"/>
        <v>3.9084545134022838E-3</v>
      </c>
      <c r="X353" s="71">
        <v>44873</v>
      </c>
      <c r="Y353" s="70">
        <v>11154.58</v>
      </c>
      <c r="Z353" s="70">
        <v>310.14999999999998</v>
      </c>
      <c r="AA353" s="80">
        <v>76.81</v>
      </c>
      <c r="AB353" s="76">
        <f t="shared" si="30"/>
        <v>-4.6616535969567829E-5</v>
      </c>
      <c r="AC353" s="76">
        <f t="shared" si="30"/>
        <v>-2.1687981311048862E-2</v>
      </c>
      <c r="AD353" s="73">
        <f t="shared" si="30"/>
        <v>-1.7934807540674783E-2</v>
      </c>
    </row>
    <row r="354" spans="14:30" x14ac:dyDescent="0.3">
      <c r="N354" s="71">
        <v>44689</v>
      </c>
      <c r="O354" s="70">
        <v>4145.1899999999996</v>
      </c>
      <c r="P354" s="68">
        <v>171.11</v>
      </c>
      <c r="Q354" s="70">
        <v>49.27</v>
      </c>
      <c r="R354" s="70">
        <v>301.32</v>
      </c>
      <c r="S354" s="76">
        <f t="shared" si="26"/>
        <v>-1.6270689959386672E-3</v>
      </c>
      <c r="T354" s="76">
        <f t="shared" si="27"/>
        <v>-3.966176094474967E-3</v>
      </c>
      <c r="U354" s="76">
        <f t="shared" si="28"/>
        <v>-1.1903701539540078E-2</v>
      </c>
      <c r="V354" s="76">
        <f t="shared" si="29"/>
        <v>-1.4725768890937255E-2</v>
      </c>
      <c r="X354" s="71">
        <v>44842</v>
      </c>
      <c r="Y354" s="70">
        <v>11155.1</v>
      </c>
      <c r="Z354" s="70">
        <v>316.95</v>
      </c>
      <c r="AA354" s="80">
        <v>78.2</v>
      </c>
      <c r="AB354" s="76">
        <f t="shared" si="30"/>
        <v>2.0298307637348976E-3</v>
      </c>
      <c r="AC354" s="76">
        <f t="shared" si="30"/>
        <v>-4.4073737328590556E-3</v>
      </c>
      <c r="AD354" s="73">
        <f t="shared" si="30"/>
        <v>-9.0383149816781819E-3</v>
      </c>
    </row>
    <row r="355" spans="14:30" x14ac:dyDescent="0.3">
      <c r="N355" s="71">
        <v>44659</v>
      </c>
      <c r="O355" s="70">
        <v>4151.9399999999996</v>
      </c>
      <c r="P355" s="68">
        <v>171.79</v>
      </c>
      <c r="Q355" s="70">
        <v>49.86</v>
      </c>
      <c r="R355" s="70">
        <v>305.79000000000002</v>
      </c>
      <c r="S355" s="76">
        <f t="shared" si="26"/>
        <v>-7.7764713908326987E-4</v>
      </c>
      <c r="T355" s="76">
        <f t="shared" si="27"/>
        <v>-1.616756735832886E-2</v>
      </c>
      <c r="U355" s="76">
        <f t="shared" si="28"/>
        <v>0</v>
      </c>
      <c r="V355" s="76">
        <f t="shared" si="29"/>
        <v>-2.5952846175347911E-2</v>
      </c>
      <c r="X355" s="71">
        <v>44812</v>
      </c>
      <c r="Y355" s="70">
        <v>11132.48</v>
      </c>
      <c r="Z355" s="70">
        <v>318.35000000000002</v>
      </c>
      <c r="AA355" s="80">
        <v>78.91</v>
      </c>
      <c r="AB355" s="76">
        <f t="shared" si="30"/>
        <v>-3.035143234443352E-3</v>
      </c>
      <c r="AC355" s="76">
        <f t="shared" si="30"/>
        <v>7.8839891183250122E-3</v>
      </c>
      <c r="AD355" s="73">
        <f t="shared" si="30"/>
        <v>1.1855578978492275E-2</v>
      </c>
    </row>
    <row r="356" spans="14:30" x14ac:dyDescent="0.3">
      <c r="N356" s="71">
        <v>44628</v>
      </c>
      <c r="O356" s="70">
        <v>4155.17</v>
      </c>
      <c r="P356" s="68">
        <v>174.59</v>
      </c>
      <c r="Q356" s="70">
        <v>49.86</v>
      </c>
      <c r="R356" s="70">
        <v>313.83</v>
      </c>
      <c r="S356" s="76">
        <f t="shared" si="26"/>
        <v>1.5517460750035557E-2</v>
      </c>
      <c r="T356" s="76">
        <f t="shared" si="27"/>
        <v>9.6113081972519394E-3</v>
      </c>
      <c r="U356" s="76">
        <f t="shared" si="28"/>
        <v>3.4153724811826543E-3</v>
      </c>
      <c r="V356" s="76">
        <f t="shared" si="29"/>
        <v>-2.0094362538835175E-2</v>
      </c>
      <c r="X356" s="71">
        <v>44781</v>
      </c>
      <c r="Y356" s="70">
        <v>11166.32</v>
      </c>
      <c r="Z356" s="70">
        <v>315.85000000000002</v>
      </c>
      <c r="AA356" s="80">
        <v>77.98</v>
      </c>
      <c r="AB356" s="76">
        <f t="shared" si="30"/>
        <v>3.8807750485978089E-3</v>
      </c>
      <c r="AC356" s="76">
        <f t="shared" si="30"/>
        <v>-2.6875361998845619E-3</v>
      </c>
      <c r="AD356" s="73">
        <f t="shared" si="30"/>
        <v>2.6966308475995402E-3</v>
      </c>
    </row>
    <row r="357" spans="14:30" x14ac:dyDescent="0.3">
      <c r="N357" s="71">
        <v>44600</v>
      </c>
      <c r="O357" s="70">
        <v>4091.19</v>
      </c>
      <c r="P357" s="68">
        <v>172.92</v>
      </c>
      <c r="Q357" s="70">
        <v>49.69</v>
      </c>
      <c r="R357" s="70">
        <v>320.2</v>
      </c>
      <c r="S357" s="76">
        <f t="shared" si="26"/>
        <v>-6.6847025099674136E-3</v>
      </c>
      <c r="T357" s="76">
        <f t="shared" si="27"/>
        <v>-5.708864220320204E-3</v>
      </c>
      <c r="U357" s="76">
        <f t="shared" si="28"/>
        <v>-1.8345479611757462E-2</v>
      </c>
      <c r="V357" s="76">
        <f t="shared" si="29"/>
        <v>-1.226057105839028E-2</v>
      </c>
      <c r="X357" s="71">
        <v>44689</v>
      </c>
      <c r="Y357" s="70">
        <v>11123.07</v>
      </c>
      <c r="Z357" s="70">
        <v>316.7</v>
      </c>
      <c r="AA357" s="80">
        <v>77.77</v>
      </c>
      <c r="AB357" s="76">
        <f t="shared" si="30"/>
        <v>-7.1299202460936642E-3</v>
      </c>
      <c r="AC357" s="76">
        <f t="shared" si="30"/>
        <v>-1.5786565665437148E-4</v>
      </c>
      <c r="AD357" s="73">
        <f t="shared" si="30"/>
        <v>8.5227788619826154E-3</v>
      </c>
    </row>
    <row r="358" spans="14:30" x14ac:dyDescent="0.3">
      <c r="N358" s="71">
        <v>44569</v>
      </c>
      <c r="O358" s="70">
        <v>4118.63</v>
      </c>
      <c r="P358" s="68">
        <v>173.91</v>
      </c>
      <c r="Q358" s="70">
        <v>50.61</v>
      </c>
      <c r="R358" s="70">
        <v>324.14999999999998</v>
      </c>
      <c r="S358" s="76">
        <f t="shared" si="26"/>
        <v>-2.8270386343186992E-3</v>
      </c>
      <c r="T358" s="76">
        <f t="shared" si="27"/>
        <v>-3.5014242356577012E-3</v>
      </c>
      <c r="U358" s="76">
        <f t="shared" si="28"/>
        <v>1.9778487460255082E-3</v>
      </c>
      <c r="V358" s="76">
        <f t="shared" si="29"/>
        <v>-1.6946447393119728E-2</v>
      </c>
      <c r="X358" s="71">
        <v>44659</v>
      </c>
      <c r="Y358" s="70">
        <v>11202.66</v>
      </c>
      <c r="Z358" s="70">
        <v>316.75</v>
      </c>
      <c r="AA358" s="80">
        <v>77.11</v>
      </c>
      <c r="AB358" s="76">
        <f t="shared" si="30"/>
        <v>2.1151263489948731E-3</v>
      </c>
      <c r="AC358" s="76">
        <f t="shared" si="30"/>
        <v>-9.8956277542238489E-3</v>
      </c>
      <c r="AD358" s="73">
        <f t="shared" si="30"/>
        <v>-6.4633110211781879E-3</v>
      </c>
    </row>
    <row r="359" spans="14:30" x14ac:dyDescent="0.3">
      <c r="N359" s="70" t="s">
        <v>444</v>
      </c>
      <c r="O359" s="70">
        <v>4130.29</v>
      </c>
      <c r="P359" s="68">
        <v>174.52</v>
      </c>
      <c r="Q359" s="70">
        <v>50.51</v>
      </c>
      <c r="R359" s="70">
        <v>329.69</v>
      </c>
      <c r="S359" s="76">
        <f t="shared" si="26"/>
        <v>1.4107749538291978E-2</v>
      </c>
      <c r="T359" s="76">
        <f t="shared" si="27"/>
        <v>1.8352838370064878E-3</v>
      </c>
      <c r="U359" s="76">
        <f t="shared" si="28"/>
        <v>-4.1489736490093066E-3</v>
      </c>
      <c r="V359" s="76">
        <f t="shared" si="29"/>
        <v>-3.3611441354120405E-3</v>
      </c>
      <c r="X359" s="71">
        <v>44628</v>
      </c>
      <c r="Y359" s="70">
        <v>11178.99</v>
      </c>
      <c r="Z359" s="70">
        <v>319.89999999999998</v>
      </c>
      <c r="AA359" s="80">
        <v>77.61</v>
      </c>
      <c r="AB359" s="76">
        <f t="shared" si="30"/>
        <v>5.4617128391079876E-3</v>
      </c>
      <c r="AC359" s="76">
        <f t="shared" si="30"/>
        <v>6.9009056800019269E-3</v>
      </c>
      <c r="AD359" s="73">
        <f t="shared" si="30"/>
        <v>1.8055202222363414E-3</v>
      </c>
    </row>
    <row r="360" spans="14:30" x14ac:dyDescent="0.3">
      <c r="N360" s="70" t="s">
        <v>445</v>
      </c>
      <c r="O360" s="70">
        <v>4072.43</v>
      </c>
      <c r="P360" s="68">
        <v>174.2</v>
      </c>
      <c r="Q360" s="70">
        <v>50.72</v>
      </c>
      <c r="R360" s="70">
        <v>330.8</v>
      </c>
      <c r="S360" s="76">
        <f t="shared" si="26"/>
        <v>1.2060363275690102E-2</v>
      </c>
      <c r="T360" s="76">
        <f t="shared" si="27"/>
        <v>5.7570682900677239E-3</v>
      </c>
      <c r="U360" s="76">
        <f t="shared" si="28"/>
        <v>-2.3961407416265987E-2</v>
      </c>
      <c r="V360" s="76">
        <f t="shared" si="29"/>
        <v>5.6385998364132661E-3</v>
      </c>
      <c r="X360" s="71">
        <v>44600</v>
      </c>
      <c r="Y360" s="70">
        <v>11118.1</v>
      </c>
      <c r="Z360" s="70">
        <v>317.7</v>
      </c>
      <c r="AA360" s="80">
        <v>77.47</v>
      </c>
      <c r="AB360" s="76">
        <f t="shared" si="30"/>
        <v>-2.498203554846016E-3</v>
      </c>
      <c r="AC360" s="76">
        <f t="shared" si="30"/>
        <v>7.2658667465324081E-3</v>
      </c>
      <c r="AD360" s="73">
        <f t="shared" si="30"/>
        <v>3.8732167548964869E-4</v>
      </c>
    </row>
    <row r="361" spans="14:30" x14ac:dyDescent="0.3">
      <c r="N361" s="70" t="s">
        <v>446</v>
      </c>
      <c r="O361" s="70">
        <v>4023.61</v>
      </c>
      <c r="P361" s="68">
        <v>173.2</v>
      </c>
      <c r="Q361" s="70">
        <v>51.95</v>
      </c>
      <c r="R361" s="70">
        <v>328.94</v>
      </c>
      <c r="S361" s="76">
        <f t="shared" si="26"/>
        <v>2.5820034533563709E-2</v>
      </c>
      <c r="T361" s="76">
        <f t="shared" si="27"/>
        <v>-2.7675294417017294E-3</v>
      </c>
      <c r="U361" s="76">
        <f t="shared" si="28"/>
        <v>-6.7146535256407576E-3</v>
      </c>
      <c r="V361" s="76">
        <f t="shared" si="29"/>
        <v>-7.933425410202543E-3</v>
      </c>
      <c r="X361" s="70" t="s">
        <v>444</v>
      </c>
      <c r="Y361" s="70">
        <v>11145.91</v>
      </c>
      <c r="Z361" s="70">
        <v>315.39999999999998</v>
      </c>
      <c r="AA361" s="80">
        <v>77.44</v>
      </c>
      <c r="AB361" s="76">
        <f t="shared" si="30"/>
        <v>1.4886486576014763E-3</v>
      </c>
      <c r="AC361" s="76">
        <f t="shared" si="30"/>
        <v>-2.7673148667615298E-2</v>
      </c>
      <c r="AD361" s="73">
        <f t="shared" si="30"/>
        <v>-1.7790192103495285E-2</v>
      </c>
    </row>
    <row r="362" spans="14:30" x14ac:dyDescent="0.3">
      <c r="N362" s="70" t="s">
        <v>447</v>
      </c>
      <c r="O362" s="70">
        <v>3921.05</v>
      </c>
      <c r="P362" s="68">
        <v>173.68</v>
      </c>
      <c r="Q362" s="70">
        <v>52.3</v>
      </c>
      <c r="R362" s="70">
        <v>331.56</v>
      </c>
      <c r="S362" s="76">
        <f t="shared" si="26"/>
        <v>-1.161033289574997E-2</v>
      </c>
      <c r="T362" s="76">
        <f t="shared" si="27"/>
        <v>7.0492000458579149E-3</v>
      </c>
      <c r="U362" s="76">
        <f t="shared" si="28"/>
        <v>1.0185540157067109E-2</v>
      </c>
      <c r="V362" s="76">
        <f t="shared" si="29"/>
        <v>3.0160908448818364E-5</v>
      </c>
      <c r="X362" s="70" t="s">
        <v>445</v>
      </c>
      <c r="Y362" s="70">
        <v>11129.33</v>
      </c>
      <c r="Z362" s="70">
        <v>324.25</v>
      </c>
      <c r="AA362" s="80">
        <v>78.83</v>
      </c>
      <c r="AB362" s="76">
        <f t="shared" si="30"/>
        <v>6.5437690434273482E-3</v>
      </c>
      <c r="AC362" s="76">
        <f t="shared" si="30"/>
        <v>-4.0012364863178862E-3</v>
      </c>
      <c r="AD362" s="73">
        <f t="shared" si="30"/>
        <v>3.176420941503067E-3</v>
      </c>
    </row>
    <row r="363" spans="14:30" x14ac:dyDescent="0.3">
      <c r="N363" s="70" t="s">
        <v>448</v>
      </c>
      <c r="O363" s="70">
        <v>3966.84</v>
      </c>
      <c r="P363" s="68">
        <v>172.46</v>
      </c>
      <c r="Q363" s="70">
        <v>51.77</v>
      </c>
      <c r="R363" s="70">
        <v>331.55</v>
      </c>
      <c r="S363" s="76">
        <f t="shared" si="26"/>
        <v>1.3142512363463167E-3</v>
      </c>
      <c r="T363" s="76">
        <f t="shared" si="27"/>
        <v>1.973417553779624E-3</v>
      </c>
      <c r="U363" s="76">
        <f t="shared" si="28"/>
        <v>1.0485532962699171E-2</v>
      </c>
      <c r="V363" s="76">
        <f t="shared" si="29"/>
        <v>8.481044322902271E-3</v>
      </c>
      <c r="X363" s="70" t="s">
        <v>446</v>
      </c>
      <c r="Y363" s="70">
        <v>11056.74</v>
      </c>
      <c r="Z363" s="70">
        <v>325.55</v>
      </c>
      <c r="AA363" s="80">
        <v>78.58</v>
      </c>
      <c r="AB363" s="76">
        <f t="shared" si="30"/>
        <v>-4.1129980068053259E-3</v>
      </c>
      <c r="AC363" s="76">
        <f t="shared" si="30"/>
        <v>-1.9618909233617442E-2</v>
      </c>
      <c r="AD363" s="73">
        <f t="shared" si="30"/>
        <v>-1.1639807529972575E-2</v>
      </c>
    </row>
    <row r="364" spans="14:30" x14ac:dyDescent="0.3">
      <c r="N364" s="70" t="s">
        <v>449</v>
      </c>
      <c r="O364" s="70">
        <v>3961.63</v>
      </c>
      <c r="P364" s="68">
        <v>172.12</v>
      </c>
      <c r="Q364" s="70">
        <v>51.23</v>
      </c>
      <c r="R364" s="70">
        <v>328.75</v>
      </c>
      <c r="S364" s="76">
        <f t="shared" si="26"/>
        <v>-9.3762699234227094E-3</v>
      </c>
      <c r="T364" s="76">
        <f t="shared" si="27"/>
        <v>4.7171272280317799E-3</v>
      </c>
      <c r="U364" s="76">
        <f t="shared" si="28"/>
        <v>2.1494878818314475E-3</v>
      </c>
      <c r="V364" s="76">
        <f t="shared" si="29"/>
        <v>5.5820908440454026E-3</v>
      </c>
      <c r="X364" s="70" t="s">
        <v>447</v>
      </c>
      <c r="Y364" s="70">
        <v>11102.31</v>
      </c>
      <c r="Z364" s="70">
        <v>332</v>
      </c>
      <c r="AA364" s="80">
        <v>79.5</v>
      </c>
      <c r="AB364" s="76">
        <f t="shared" si="30"/>
        <v>-2.4325680883790029E-3</v>
      </c>
      <c r="AC364" s="76">
        <f t="shared" si="30"/>
        <v>1.2426285065885972E-2</v>
      </c>
      <c r="AD364" s="73">
        <f t="shared" si="30"/>
        <v>1.0622254656622707E-2</v>
      </c>
    </row>
    <row r="365" spans="14:30" x14ac:dyDescent="0.3">
      <c r="N365" s="70" t="s">
        <v>450</v>
      </c>
      <c r="O365" s="70">
        <v>3998.95</v>
      </c>
      <c r="P365" s="68">
        <v>171.31</v>
      </c>
      <c r="Q365" s="70">
        <v>51.12</v>
      </c>
      <c r="R365" s="70">
        <v>326.92</v>
      </c>
      <c r="S365" s="76">
        <f t="shared" si="26"/>
        <v>9.8130542384489011E-3</v>
      </c>
      <c r="T365" s="76">
        <f t="shared" si="27"/>
        <v>3.508570349705668E-3</v>
      </c>
      <c r="U365" s="76">
        <f t="shared" si="28"/>
        <v>5.8858321772613503E-3</v>
      </c>
      <c r="V365" s="76">
        <f t="shared" si="29"/>
        <v>1.5070783741498206E-2</v>
      </c>
      <c r="X365" s="70" t="s">
        <v>448</v>
      </c>
      <c r="Y365" s="70">
        <v>11129.35</v>
      </c>
      <c r="Z365" s="70">
        <v>327.9</v>
      </c>
      <c r="AA365" s="80">
        <v>78.66</v>
      </c>
      <c r="AB365" s="76">
        <f t="shared" si="30"/>
        <v>2.9902652012320547E-3</v>
      </c>
      <c r="AC365" s="76">
        <f t="shared" si="30"/>
        <v>8.2683061769470954E-3</v>
      </c>
      <c r="AD365" s="73">
        <f t="shared" si="30"/>
        <v>5.0864700994919184E-4</v>
      </c>
    </row>
    <row r="366" spans="14:30" ht="15" thickBot="1" x14ac:dyDescent="0.35">
      <c r="N366" s="70" t="s">
        <v>451</v>
      </c>
      <c r="O366" s="70">
        <v>3959.9</v>
      </c>
      <c r="P366" s="68">
        <v>170.71</v>
      </c>
      <c r="Q366" s="70">
        <v>50.82</v>
      </c>
      <c r="R366" s="70">
        <v>322.02999999999997</v>
      </c>
      <c r="S366" s="77">
        <f t="shared" si="26"/>
        <v>5.8785037183350592E-3</v>
      </c>
      <c r="T366" s="77">
        <f t="shared" si="27"/>
        <v>-5.7243146964590713E-3</v>
      </c>
      <c r="U366" s="77">
        <f t="shared" si="28"/>
        <v>-1.076436658715843E-2</v>
      </c>
      <c r="V366" s="77">
        <f t="shared" si="29"/>
        <v>-1.2865981280482683E-2</v>
      </c>
      <c r="X366" s="70" t="s">
        <v>449</v>
      </c>
      <c r="Y366" s="70">
        <v>11096.12</v>
      </c>
      <c r="Z366" s="70">
        <v>325.2</v>
      </c>
      <c r="AA366" s="80">
        <v>78.62</v>
      </c>
      <c r="AB366" s="77">
        <f t="shared" si="30"/>
        <v>-3.4744529767307885E-3</v>
      </c>
      <c r="AC366" s="77">
        <f t="shared" si="30"/>
        <v>-4.2958028627093072E-3</v>
      </c>
      <c r="AD366" s="82">
        <f t="shared" si="30"/>
        <v>-2.5435584519677742E-4</v>
      </c>
    </row>
    <row r="367" spans="14:30" ht="15" thickBot="1" x14ac:dyDescent="0.35">
      <c r="N367" s="72" t="s">
        <v>452</v>
      </c>
      <c r="O367" s="72">
        <v>3936.69</v>
      </c>
      <c r="P367" s="72">
        <v>171.69</v>
      </c>
      <c r="Q367" s="72">
        <v>51.37</v>
      </c>
      <c r="R367" s="72">
        <v>326.2</v>
      </c>
      <c r="X367" s="72" t="s">
        <v>450</v>
      </c>
      <c r="Y367" s="72">
        <v>11134.74</v>
      </c>
      <c r="Z367" s="72">
        <v>326.60000000000002</v>
      </c>
      <c r="AA367" s="78">
        <v>78.64</v>
      </c>
    </row>
    <row r="372" spans="11:11" x14ac:dyDescent="0.3">
      <c r="K372" s="58"/>
    </row>
    <row r="373" spans="11:11" x14ac:dyDescent="0.3">
      <c r="K373" s="58"/>
    </row>
    <row r="374" spans="11:11" x14ac:dyDescent="0.3">
      <c r="K374" s="58"/>
    </row>
    <row r="375" spans="11:11" x14ac:dyDescent="0.3">
      <c r="K375" s="58"/>
    </row>
    <row r="376" spans="11:11" x14ac:dyDescent="0.3">
      <c r="K376" s="58"/>
    </row>
    <row r="377" spans="11:11" x14ac:dyDescent="0.3">
      <c r="K377" s="58"/>
    </row>
    <row r="378" spans="11:11" x14ac:dyDescent="0.3">
      <c r="K378" s="58"/>
    </row>
    <row r="392" spans="11:11" x14ac:dyDescent="0.3">
      <c r="K392" s="58"/>
    </row>
    <row r="393" spans="11:11" x14ac:dyDescent="0.3">
      <c r="K393" s="58"/>
    </row>
    <row r="394" spans="11:11" x14ac:dyDescent="0.3">
      <c r="K394" s="58"/>
    </row>
    <row r="395" spans="11:11" x14ac:dyDescent="0.3">
      <c r="K395" s="58"/>
    </row>
    <row r="396" spans="11:11" x14ac:dyDescent="0.3">
      <c r="K396" s="58"/>
    </row>
    <row r="397" spans="11:11" x14ac:dyDescent="0.3">
      <c r="K397" s="58"/>
    </row>
    <row r="398" spans="11:11" x14ac:dyDescent="0.3">
      <c r="K398" s="58"/>
    </row>
    <row r="399" spans="11:11" x14ac:dyDescent="0.3">
      <c r="K399" s="58"/>
    </row>
    <row r="412" spans="11:11" x14ac:dyDescent="0.3">
      <c r="K412" s="58"/>
    </row>
    <row r="413" spans="11:11" x14ac:dyDescent="0.3">
      <c r="K413" s="58"/>
    </row>
    <row r="414" spans="11:11" x14ac:dyDescent="0.3">
      <c r="K414" s="58"/>
    </row>
    <row r="415" spans="11:11" x14ac:dyDescent="0.3">
      <c r="K415" s="58"/>
    </row>
    <row r="416" spans="11:11" x14ac:dyDescent="0.3">
      <c r="K416" s="58"/>
    </row>
    <row r="417" spans="11:11" x14ac:dyDescent="0.3">
      <c r="K417" s="58"/>
    </row>
    <row r="418" spans="11:11" x14ac:dyDescent="0.3">
      <c r="K418" s="58"/>
    </row>
    <row r="419" spans="11:11" x14ac:dyDescent="0.3">
      <c r="K419" s="58"/>
    </row>
    <row r="420" spans="11:11" x14ac:dyDescent="0.3">
      <c r="K420" s="58"/>
    </row>
    <row r="433" spans="11:11" x14ac:dyDescent="0.3">
      <c r="K433" s="58"/>
    </row>
    <row r="434" spans="11:11" x14ac:dyDescent="0.3">
      <c r="K434" s="58"/>
    </row>
    <row r="435" spans="11:11" x14ac:dyDescent="0.3">
      <c r="K435" s="58"/>
    </row>
    <row r="436" spans="11:11" x14ac:dyDescent="0.3">
      <c r="K436" s="58"/>
    </row>
    <row r="437" spans="11:11" x14ac:dyDescent="0.3">
      <c r="K437" s="58"/>
    </row>
    <row r="438" spans="11:11" x14ac:dyDescent="0.3">
      <c r="K438" s="58"/>
    </row>
    <row r="439" spans="11:11" x14ac:dyDescent="0.3">
      <c r="K439" s="58"/>
    </row>
    <row r="440" spans="11:11" x14ac:dyDescent="0.3">
      <c r="K440" s="58"/>
    </row>
    <row r="455" spans="11:11" x14ac:dyDescent="0.3">
      <c r="K455" s="58"/>
    </row>
    <row r="456" spans="11:11" x14ac:dyDescent="0.3">
      <c r="K456" s="58"/>
    </row>
    <row r="457" spans="11:11" x14ac:dyDescent="0.3">
      <c r="K457" s="58"/>
    </row>
    <row r="458" spans="11:11" x14ac:dyDescent="0.3">
      <c r="K458" s="58"/>
    </row>
    <row r="459" spans="11:11" x14ac:dyDescent="0.3">
      <c r="K459" s="58"/>
    </row>
    <row r="460" spans="11:11" x14ac:dyDescent="0.3">
      <c r="K460" s="58"/>
    </row>
    <row r="461" spans="11:11" x14ac:dyDescent="0.3">
      <c r="K461" s="58"/>
    </row>
    <row r="462" spans="11:11" x14ac:dyDescent="0.3">
      <c r="K462" s="58"/>
    </row>
    <row r="463" spans="11:11" x14ac:dyDescent="0.3">
      <c r="K463" s="58"/>
    </row>
    <row r="474" spans="11:11" x14ac:dyDescent="0.3">
      <c r="K474" s="58"/>
    </row>
    <row r="475" spans="11:11" x14ac:dyDescent="0.3">
      <c r="K475" s="58"/>
    </row>
    <row r="476" spans="11:11" x14ac:dyDescent="0.3">
      <c r="K476" s="58"/>
    </row>
    <row r="477" spans="11:11" x14ac:dyDescent="0.3">
      <c r="K477" s="58"/>
    </row>
    <row r="478" spans="11:11" x14ac:dyDescent="0.3">
      <c r="K478" s="58"/>
    </row>
    <row r="479" spans="11:11" x14ac:dyDescent="0.3">
      <c r="K479" s="58"/>
    </row>
    <row r="480" spans="11:11" x14ac:dyDescent="0.3">
      <c r="K480" s="58"/>
    </row>
    <row r="481" spans="11:11" x14ac:dyDescent="0.3">
      <c r="K481" s="58"/>
    </row>
    <row r="482" spans="11:11" x14ac:dyDescent="0.3">
      <c r="K482" s="58"/>
    </row>
    <row r="495" spans="11:11" x14ac:dyDescent="0.3">
      <c r="K495" s="58"/>
    </row>
    <row r="496" spans="11:11" x14ac:dyDescent="0.3">
      <c r="K496" s="58"/>
    </row>
    <row r="497" spans="11:11" x14ac:dyDescent="0.3">
      <c r="K497" s="58"/>
    </row>
    <row r="498" spans="11:11" x14ac:dyDescent="0.3">
      <c r="K498" s="58"/>
    </row>
    <row r="499" spans="11:11" x14ac:dyDescent="0.3">
      <c r="K499" s="58"/>
    </row>
    <row r="500" spans="11:11" x14ac:dyDescent="0.3">
      <c r="K500" s="58"/>
    </row>
    <row r="501" spans="11:11" x14ac:dyDescent="0.3">
      <c r="K501" s="58"/>
    </row>
    <row r="502" spans="11:11" x14ac:dyDescent="0.3">
      <c r="K502" s="58"/>
    </row>
    <row r="517" spans="11:11" x14ac:dyDescent="0.3">
      <c r="K517" s="58"/>
    </row>
    <row r="518" spans="11:11" x14ac:dyDescent="0.3">
      <c r="K518" s="58"/>
    </row>
    <row r="519" spans="11:11" x14ac:dyDescent="0.3">
      <c r="K519" s="58"/>
    </row>
    <row r="520" spans="11:11" x14ac:dyDescent="0.3">
      <c r="K520" s="58"/>
    </row>
    <row r="521" spans="11:11" x14ac:dyDescent="0.3">
      <c r="K521" s="58"/>
    </row>
    <row r="522" spans="11:11" x14ac:dyDescent="0.3">
      <c r="K522" s="58"/>
    </row>
    <row r="523" spans="11:11" x14ac:dyDescent="0.3">
      <c r="K523" s="58"/>
    </row>
    <row r="524" spans="11:11" x14ac:dyDescent="0.3">
      <c r="K524" s="58"/>
    </row>
    <row r="536" spans="11:11" x14ac:dyDescent="0.3">
      <c r="K536" s="58"/>
    </row>
    <row r="537" spans="11:11" x14ac:dyDescent="0.3">
      <c r="K537" s="58"/>
    </row>
    <row r="538" spans="11:11" x14ac:dyDescent="0.3">
      <c r="K538" s="58"/>
    </row>
    <row r="539" spans="11:11" x14ac:dyDescent="0.3">
      <c r="K539" s="58"/>
    </row>
    <row r="540" spans="11:11" x14ac:dyDescent="0.3">
      <c r="K540" s="58"/>
    </row>
    <row r="541" spans="11:11" x14ac:dyDescent="0.3">
      <c r="K541" s="58"/>
    </row>
    <row r="542" spans="11:11" x14ac:dyDescent="0.3">
      <c r="K542" s="58"/>
    </row>
    <row r="543" spans="11:11" x14ac:dyDescent="0.3">
      <c r="K543" s="58"/>
    </row>
    <row r="544" spans="11:11" x14ac:dyDescent="0.3">
      <c r="K544" s="58"/>
    </row>
    <row r="545" spans="11:11" x14ac:dyDescent="0.3">
      <c r="K545" s="58"/>
    </row>
    <row r="559" spans="11:11" x14ac:dyDescent="0.3">
      <c r="K559" s="58"/>
    </row>
    <row r="560" spans="11:11" x14ac:dyDescent="0.3">
      <c r="K560" s="58"/>
    </row>
    <row r="561" spans="11:11" x14ac:dyDescent="0.3">
      <c r="K561" s="58"/>
    </row>
    <row r="562" spans="11:11" x14ac:dyDescent="0.3">
      <c r="K562" s="58"/>
    </row>
    <row r="563" spans="11:11" x14ac:dyDescent="0.3">
      <c r="K563" s="58"/>
    </row>
    <row r="564" spans="11:11" x14ac:dyDescent="0.3">
      <c r="K564" s="58"/>
    </row>
    <row r="565" spans="11:11" x14ac:dyDescent="0.3">
      <c r="K565" s="58"/>
    </row>
    <row r="566" spans="11:11" x14ac:dyDescent="0.3">
      <c r="K566" s="58"/>
    </row>
    <row r="581" spans="11:11" x14ac:dyDescent="0.3">
      <c r="K581" s="58"/>
    </row>
    <row r="582" spans="11:11" x14ac:dyDescent="0.3">
      <c r="K582" s="58"/>
    </row>
    <row r="583" spans="11:11" x14ac:dyDescent="0.3">
      <c r="K583" s="58"/>
    </row>
    <row r="584" spans="11:11" x14ac:dyDescent="0.3">
      <c r="K584" s="58"/>
    </row>
    <row r="585" spans="11:11" x14ac:dyDescent="0.3">
      <c r="K585" s="58"/>
    </row>
    <row r="586" spans="11:11" x14ac:dyDescent="0.3">
      <c r="K586" s="58"/>
    </row>
    <row r="587" spans="11:11" x14ac:dyDescent="0.3">
      <c r="K587" s="58"/>
    </row>
    <row r="601" spans="11:11" x14ac:dyDescent="0.3">
      <c r="K601" s="58"/>
    </row>
    <row r="602" spans="11:11" x14ac:dyDescent="0.3">
      <c r="K602" s="58"/>
    </row>
    <row r="603" spans="11:11" x14ac:dyDescent="0.3">
      <c r="K603" s="58"/>
    </row>
    <row r="604" spans="11:11" x14ac:dyDescent="0.3">
      <c r="K604" s="58"/>
    </row>
    <row r="605" spans="11:11" x14ac:dyDescent="0.3">
      <c r="K605" s="58"/>
    </row>
    <row r="606" spans="11:11" x14ac:dyDescent="0.3">
      <c r="K606" s="58"/>
    </row>
    <row r="607" spans="11:11" x14ac:dyDescent="0.3">
      <c r="K607" s="58"/>
    </row>
    <row r="608" spans="11:11" x14ac:dyDescent="0.3">
      <c r="K608" s="58"/>
    </row>
    <row r="609" spans="11:11" x14ac:dyDescent="0.3">
      <c r="K609" s="58"/>
    </row>
    <row r="624" spans="11:11" x14ac:dyDescent="0.3">
      <c r="K624" s="58"/>
    </row>
    <row r="625" spans="11:11" x14ac:dyDescent="0.3">
      <c r="K625" s="58"/>
    </row>
    <row r="626" spans="11:11" x14ac:dyDescent="0.3">
      <c r="K626" s="58"/>
    </row>
    <row r="627" spans="11:11" x14ac:dyDescent="0.3">
      <c r="K627" s="58"/>
    </row>
    <row r="628" spans="11:11" x14ac:dyDescent="0.3">
      <c r="K628" s="58"/>
    </row>
    <row r="629" spans="11:11" x14ac:dyDescent="0.3">
      <c r="K629" s="58"/>
    </row>
    <row r="630" spans="11:11" x14ac:dyDescent="0.3">
      <c r="K630" s="58"/>
    </row>
    <row r="644" spans="11:11" x14ac:dyDescent="0.3">
      <c r="K644" s="58"/>
    </row>
    <row r="645" spans="11:11" x14ac:dyDescent="0.3">
      <c r="K645" s="58"/>
    </row>
    <row r="646" spans="11:11" x14ac:dyDescent="0.3">
      <c r="K646" s="58"/>
    </row>
    <row r="647" spans="11:11" x14ac:dyDescent="0.3">
      <c r="K647" s="58"/>
    </row>
    <row r="648" spans="11:11" x14ac:dyDescent="0.3">
      <c r="K648" s="58"/>
    </row>
    <row r="649" spans="11:11" x14ac:dyDescent="0.3">
      <c r="K649" s="58"/>
    </row>
    <row r="650" spans="11:11" x14ac:dyDescent="0.3">
      <c r="K650" s="58"/>
    </row>
    <row r="651" spans="11:11" x14ac:dyDescent="0.3">
      <c r="K651" s="58"/>
    </row>
    <row r="652" spans="11:11" x14ac:dyDescent="0.3">
      <c r="K652" s="58"/>
    </row>
    <row r="665" spans="11:11" x14ac:dyDescent="0.3">
      <c r="K665" s="58"/>
    </row>
    <row r="666" spans="11:11" x14ac:dyDescent="0.3">
      <c r="K666" s="58"/>
    </row>
    <row r="667" spans="11:11" x14ac:dyDescent="0.3">
      <c r="K667" s="58"/>
    </row>
    <row r="668" spans="11:11" x14ac:dyDescent="0.3">
      <c r="K668" s="58"/>
    </row>
    <row r="669" spans="11:11" x14ac:dyDescent="0.3">
      <c r="K669" s="58"/>
    </row>
    <row r="670" spans="11:11" x14ac:dyDescent="0.3">
      <c r="K670" s="58"/>
    </row>
    <row r="671" spans="11:11" x14ac:dyDescent="0.3">
      <c r="K671" s="58"/>
    </row>
    <row r="672" spans="11:11" x14ac:dyDescent="0.3">
      <c r="K672" s="58"/>
    </row>
    <row r="687" spans="11:11" x14ac:dyDescent="0.3">
      <c r="K687" s="58"/>
    </row>
    <row r="688" spans="11:11" x14ac:dyDescent="0.3">
      <c r="K688" s="58"/>
    </row>
    <row r="689" spans="11:11" x14ac:dyDescent="0.3">
      <c r="K689" s="58"/>
    </row>
    <row r="690" spans="11:11" x14ac:dyDescent="0.3">
      <c r="K690" s="58"/>
    </row>
    <row r="691" spans="11:11" x14ac:dyDescent="0.3">
      <c r="K691" s="58"/>
    </row>
    <row r="692" spans="11:11" x14ac:dyDescent="0.3">
      <c r="K692" s="58"/>
    </row>
    <row r="693" spans="11:11" x14ac:dyDescent="0.3">
      <c r="K693" s="58"/>
    </row>
    <row r="707" spans="11:11" x14ac:dyDescent="0.3">
      <c r="K707" s="58"/>
    </row>
    <row r="708" spans="11:11" x14ac:dyDescent="0.3">
      <c r="K708" s="58"/>
    </row>
    <row r="709" spans="11:11" x14ac:dyDescent="0.3">
      <c r="K709" s="58"/>
    </row>
    <row r="710" spans="11:11" x14ac:dyDescent="0.3">
      <c r="K710" s="58"/>
    </row>
    <row r="711" spans="11:11" x14ac:dyDescent="0.3">
      <c r="K711" s="58"/>
    </row>
    <row r="712" spans="11:11" x14ac:dyDescent="0.3">
      <c r="K712" s="58"/>
    </row>
    <row r="713" spans="11:11" x14ac:dyDescent="0.3">
      <c r="K713" s="58"/>
    </row>
    <row r="714" spans="11:11" x14ac:dyDescent="0.3">
      <c r="K714" s="58"/>
    </row>
    <row r="715" spans="11:11" x14ac:dyDescent="0.3">
      <c r="K715" s="58"/>
    </row>
    <row r="716" spans="11:11" x14ac:dyDescent="0.3">
      <c r="K716" s="58"/>
    </row>
    <row r="726" spans="11:11" x14ac:dyDescent="0.3">
      <c r="K726" s="58"/>
    </row>
    <row r="727" spans="11:11" x14ac:dyDescent="0.3">
      <c r="K727" s="58"/>
    </row>
    <row r="728" spans="11:11" x14ac:dyDescent="0.3">
      <c r="K728" s="58"/>
    </row>
    <row r="729" spans="11:11" x14ac:dyDescent="0.3">
      <c r="K729" s="58"/>
    </row>
    <row r="730" spans="11:11" x14ac:dyDescent="0.3">
      <c r="K730" s="58"/>
    </row>
    <row r="731" spans="11:11" x14ac:dyDescent="0.3">
      <c r="K731" s="58"/>
    </row>
    <row r="732" spans="11:11" x14ac:dyDescent="0.3">
      <c r="K732" s="58"/>
    </row>
    <row r="733" spans="11:11" x14ac:dyDescent="0.3">
      <c r="K733" s="58"/>
    </row>
    <row r="734" spans="11:11" x14ac:dyDescent="0.3">
      <c r="K734" s="58"/>
    </row>
    <row r="735" spans="11:11" x14ac:dyDescent="0.3">
      <c r="K735" s="58"/>
    </row>
    <row r="748" spans="11:11" x14ac:dyDescent="0.3">
      <c r="K748" s="58"/>
    </row>
    <row r="749" spans="11:11" x14ac:dyDescent="0.3">
      <c r="K749" s="58"/>
    </row>
    <row r="750" spans="11:11" x14ac:dyDescent="0.3">
      <c r="K750" s="58"/>
    </row>
    <row r="751" spans="11:11" x14ac:dyDescent="0.3">
      <c r="K751" s="58"/>
    </row>
    <row r="752" spans="11:11" x14ac:dyDescent="0.3">
      <c r="K752" s="58"/>
    </row>
    <row r="753" spans="11:11" x14ac:dyDescent="0.3">
      <c r="K753" s="58"/>
    </row>
    <row r="754" spans="11:11" x14ac:dyDescent="0.3">
      <c r="K754" s="58"/>
    </row>
    <row r="768" spans="11:11" x14ac:dyDescent="0.3">
      <c r="K768" s="58"/>
    </row>
    <row r="769" spans="11:11" x14ac:dyDescent="0.3">
      <c r="K769" s="58"/>
    </row>
    <row r="770" spans="11:11" x14ac:dyDescent="0.3">
      <c r="K770" s="58"/>
    </row>
    <row r="771" spans="11:11" x14ac:dyDescent="0.3">
      <c r="K771" s="58"/>
    </row>
    <row r="772" spans="11:11" x14ac:dyDescent="0.3">
      <c r="K772" s="58"/>
    </row>
    <row r="773" spans="11:11" x14ac:dyDescent="0.3">
      <c r="K773" s="58"/>
    </row>
    <row r="774" spans="11:11" x14ac:dyDescent="0.3">
      <c r="K774" s="58"/>
    </row>
    <row r="775" spans="11:11" x14ac:dyDescent="0.3">
      <c r="K775" s="58"/>
    </row>
    <row r="776" spans="11:11" x14ac:dyDescent="0.3">
      <c r="K776" s="58"/>
    </row>
    <row r="788" spans="11:11" x14ac:dyDescent="0.3">
      <c r="K788" s="58"/>
    </row>
    <row r="789" spans="11:11" x14ac:dyDescent="0.3">
      <c r="K789" s="58"/>
    </row>
    <row r="790" spans="11:11" x14ac:dyDescent="0.3">
      <c r="K790" s="58"/>
    </row>
    <row r="791" spans="11:11" x14ac:dyDescent="0.3">
      <c r="K791" s="58"/>
    </row>
    <row r="792" spans="11:11" x14ac:dyDescent="0.3">
      <c r="K792" s="58"/>
    </row>
    <row r="793" spans="11:11" x14ac:dyDescent="0.3">
      <c r="K793" s="58"/>
    </row>
    <row r="794" spans="11:11" x14ac:dyDescent="0.3">
      <c r="K794" s="58"/>
    </row>
    <row r="795" spans="11:11" x14ac:dyDescent="0.3">
      <c r="K795" s="58"/>
    </row>
    <row r="796" spans="11:11" x14ac:dyDescent="0.3">
      <c r="K796" s="58"/>
    </row>
    <row r="811" spans="11:11" x14ac:dyDescent="0.3">
      <c r="K811" s="58"/>
    </row>
    <row r="812" spans="11:11" x14ac:dyDescent="0.3">
      <c r="K812" s="58"/>
    </row>
    <row r="813" spans="11:11" x14ac:dyDescent="0.3">
      <c r="K813" s="58"/>
    </row>
    <row r="814" spans="11:11" x14ac:dyDescent="0.3">
      <c r="K814" s="58"/>
    </row>
    <row r="815" spans="11:11" x14ac:dyDescent="0.3">
      <c r="K815" s="58"/>
    </row>
    <row r="816" spans="11:11" x14ac:dyDescent="0.3">
      <c r="K816" s="58"/>
    </row>
    <row r="817" spans="11:11" x14ac:dyDescent="0.3">
      <c r="K817" s="58"/>
    </row>
    <row r="818" spans="11:11" x14ac:dyDescent="0.3">
      <c r="K818" s="58"/>
    </row>
    <row r="832" spans="11:11" x14ac:dyDescent="0.3">
      <c r="K832" s="58"/>
    </row>
    <row r="833" spans="11:11" x14ac:dyDescent="0.3">
      <c r="K833" s="58"/>
    </row>
    <row r="834" spans="11:11" x14ac:dyDescent="0.3">
      <c r="K834" s="58"/>
    </row>
    <row r="835" spans="11:11" x14ac:dyDescent="0.3">
      <c r="K835" s="58"/>
    </row>
    <row r="836" spans="11:11" x14ac:dyDescent="0.3">
      <c r="K836" s="58"/>
    </row>
    <row r="837" spans="11:11" x14ac:dyDescent="0.3">
      <c r="K837" s="58"/>
    </row>
    <row r="838" spans="11:11" x14ac:dyDescent="0.3">
      <c r="K838" s="58"/>
    </row>
    <row r="839" spans="11:11" x14ac:dyDescent="0.3">
      <c r="K839" s="58"/>
    </row>
    <row r="853" spans="11:11" x14ac:dyDescent="0.3">
      <c r="K853" s="58"/>
    </row>
    <row r="854" spans="11:11" x14ac:dyDescent="0.3">
      <c r="K854" s="58"/>
    </row>
    <row r="855" spans="11:11" x14ac:dyDescent="0.3">
      <c r="K855" s="58"/>
    </row>
    <row r="856" spans="11:11" x14ac:dyDescent="0.3">
      <c r="K856" s="58"/>
    </row>
    <row r="857" spans="11:11" x14ac:dyDescent="0.3">
      <c r="K857" s="58"/>
    </row>
    <row r="858" spans="11:11" x14ac:dyDescent="0.3">
      <c r="K858" s="58"/>
    </row>
    <row r="859" spans="11:11" x14ac:dyDescent="0.3">
      <c r="K859" s="58"/>
    </row>
    <row r="860" spans="11:11" x14ac:dyDescent="0.3">
      <c r="K860" s="58"/>
    </row>
    <row r="876" spans="11:11" x14ac:dyDescent="0.3">
      <c r="K876" s="58"/>
    </row>
    <row r="877" spans="11:11" x14ac:dyDescent="0.3">
      <c r="K877" s="58"/>
    </row>
    <row r="878" spans="11:11" x14ac:dyDescent="0.3">
      <c r="K878" s="58"/>
    </row>
    <row r="879" spans="11:11" x14ac:dyDescent="0.3">
      <c r="K879" s="58"/>
    </row>
    <row r="880" spans="11:11" x14ac:dyDescent="0.3">
      <c r="K880" s="58"/>
    </row>
    <row r="881" spans="11:11" x14ac:dyDescent="0.3">
      <c r="K881" s="58"/>
    </row>
    <row r="882" spans="11:11" x14ac:dyDescent="0.3">
      <c r="K882" s="58"/>
    </row>
    <row r="895" spans="11:11" x14ac:dyDescent="0.3">
      <c r="K895" s="58"/>
    </row>
    <row r="896" spans="11:11" x14ac:dyDescent="0.3">
      <c r="K896" s="58"/>
    </row>
    <row r="897" spans="11:11" x14ac:dyDescent="0.3">
      <c r="K897" s="58"/>
    </row>
    <row r="898" spans="11:11" x14ac:dyDescent="0.3">
      <c r="K898" s="58"/>
    </row>
    <row r="899" spans="11:11" x14ac:dyDescent="0.3">
      <c r="K899" s="58"/>
    </row>
    <row r="900" spans="11:11" x14ac:dyDescent="0.3">
      <c r="K900" s="58"/>
    </row>
    <row r="901" spans="11:11" x14ac:dyDescent="0.3">
      <c r="K901" s="58"/>
    </row>
    <row r="902" spans="11:11" x14ac:dyDescent="0.3">
      <c r="K902" s="58"/>
    </row>
    <row r="903" spans="11:11" x14ac:dyDescent="0.3">
      <c r="K903" s="58"/>
    </row>
    <row r="904" spans="11:11" x14ac:dyDescent="0.3">
      <c r="K904" s="58"/>
    </row>
    <row r="917" spans="11:11" x14ac:dyDescent="0.3">
      <c r="K917" s="58"/>
    </row>
    <row r="918" spans="11:11" x14ac:dyDescent="0.3">
      <c r="K918" s="58"/>
    </row>
    <row r="919" spans="11:11" x14ac:dyDescent="0.3">
      <c r="K919" s="58"/>
    </row>
    <row r="920" spans="11:11" x14ac:dyDescent="0.3">
      <c r="K920" s="58"/>
    </row>
    <row r="921" spans="11:11" x14ac:dyDescent="0.3">
      <c r="K921" s="58"/>
    </row>
    <row r="922" spans="11:11" x14ac:dyDescent="0.3">
      <c r="K922" s="58"/>
    </row>
    <row r="923" spans="11:11" x14ac:dyDescent="0.3">
      <c r="K923" s="58"/>
    </row>
    <row r="924" spans="11:11" x14ac:dyDescent="0.3">
      <c r="K924" s="58"/>
    </row>
    <row r="939" spans="11:11" x14ac:dyDescent="0.3">
      <c r="K939" s="58"/>
    </row>
    <row r="940" spans="11:11" x14ac:dyDescent="0.3">
      <c r="K940" s="58"/>
    </row>
    <row r="941" spans="11:11" x14ac:dyDescent="0.3">
      <c r="K941" s="58"/>
    </row>
    <row r="942" spans="11:11" x14ac:dyDescent="0.3">
      <c r="K942" s="58"/>
    </row>
    <row r="943" spans="11:11" x14ac:dyDescent="0.3">
      <c r="K943" s="58"/>
    </row>
    <row r="944" spans="11:11" x14ac:dyDescent="0.3">
      <c r="K944" s="58"/>
    </row>
    <row r="945" spans="11:11" x14ac:dyDescent="0.3">
      <c r="K945" s="58"/>
    </row>
    <row r="959" spans="11:11" x14ac:dyDescent="0.3">
      <c r="K959" s="58"/>
    </row>
    <row r="960" spans="11:11" x14ac:dyDescent="0.3">
      <c r="K960" s="58"/>
    </row>
    <row r="961" spans="11:11" x14ac:dyDescent="0.3">
      <c r="K961" s="58"/>
    </row>
    <row r="962" spans="11:11" x14ac:dyDescent="0.3">
      <c r="K962" s="58"/>
    </row>
    <row r="963" spans="11:11" x14ac:dyDescent="0.3">
      <c r="K963" s="58"/>
    </row>
    <row r="964" spans="11:11" x14ac:dyDescent="0.3">
      <c r="K964" s="58"/>
    </row>
    <row r="965" spans="11:11" x14ac:dyDescent="0.3">
      <c r="K965" s="58"/>
    </row>
    <row r="966" spans="11:11" x14ac:dyDescent="0.3">
      <c r="K966" s="58"/>
    </row>
    <row r="967" spans="11:11" x14ac:dyDescent="0.3">
      <c r="K967" s="58"/>
    </row>
    <row r="979" spans="11:11" x14ac:dyDescent="0.3">
      <c r="K979" s="58"/>
    </row>
    <row r="980" spans="11:11" x14ac:dyDescent="0.3">
      <c r="K980" s="58"/>
    </row>
    <row r="981" spans="11:11" x14ac:dyDescent="0.3">
      <c r="K981" s="58"/>
    </row>
    <row r="982" spans="11:11" x14ac:dyDescent="0.3">
      <c r="K982" s="58"/>
    </row>
    <row r="983" spans="11:11" x14ac:dyDescent="0.3">
      <c r="K983" s="58"/>
    </row>
    <row r="984" spans="11:11" x14ac:dyDescent="0.3">
      <c r="K984" s="58"/>
    </row>
    <row r="985" spans="11:11" x14ac:dyDescent="0.3">
      <c r="K985" s="58"/>
    </row>
    <row r="986" spans="11:11" x14ac:dyDescent="0.3">
      <c r="K986" s="58"/>
    </row>
    <row r="1001" spans="11:11" x14ac:dyDescent="0.3">
      <c r="K1001" s="58"/>
    </row>
    <row r="1002" spans="11:11" x14ac:dyDescent="0.3">
      <c r="K1002" s="58"/>
    </row>
    <row r="1003" spans="11:11" x14ac:dyDescent="0.3">
      <c r="K1003" s="58"/>
    </row>
    <row r="1004" spans="11:11" x14ac:dyDescent="0.3">
      <c r="K1004" s="58"/>
    </row>
    <row r="1005" spans="11:11" x14ac:dyDescent="0.3">
      <c r="K1005" s="58"/>
    </row>
    <row r="1006" spans="11:11" x14ac:dyDescent="0.3">
      <c r="K1006" s="58"/>
    </row>
    <row r="1007" spans="11:11" x14ac:dyDescent="0.3">
      <c r="K1007" s="58"/>
    </row>
    <row r="1020" spans="11:11" x14ac:dyDescent="0.3">
      <c r="K1020" s="58"/>
    </row>
    <row r="1021" spans="11:11" x14ac:dyDescent="0.3">
      <c r="K1021" s="58"/>
    </row>
    <row r="1022" spans="11:11" x14ac:dyDescent="0.3">
      <c r="K1022" s="58"/>
    </row>
    <row r="1023" spans="11:11" x14ac:dyDescent="0.3">
      <c r="K1023" s="58"/>
    </row>
    <row r="1024" spans="11:11" x14ac:dyDescent="0.3">
      <c r="K1024" s="58"/>
    </row>
    <row r="1025" spans="11:11" x14ac:dyDescent="0.3">
      <c r="K1025" s="58"/>
    </row>
    <row r="1026" spans="11:11" x14ac:dyDescent="0.3">
      <c r="K1026" s="58"/>
    </row>
    <row r="1027" spans="11:11" x14ac:dyDescent="0.3">
      <c r="K1027" s="58"/>
    </row>
    <row r="1028" spans="11:11" x14ac:dyDescent="0.3">
      <c r="K1028" s="58"/>
    </row>
    <row r="1041" spans="11:11" x14ac:dyDescent="0.3">
      <c r="K1041" s="58"/>
    </row>
    <row r="1042" spans="11:11" x14ac:dyDescent="0.3">
      <c r="K1042" s="58"/>
    </row>
    <row r="1043" spans="11:11" x14ac:dyDescent="0.3">
      <c r="K1043" s="58"/>
    </row>
    <row r="1044" spans="11:11" x14ac:dyDescent="0.3">
      <c r="K1044" s="58"/>
    </row>
    <row r="1045" spans="11:11" x14ac:dyDescent="0.3">
      <c r="K1045" s="58"/>
    </row>
    <row r="1046" spans="11:11" x14ac:dyDescent="0.3">
      <c r="K1046" s="58"/>
    </row>
    <row r="1047" spans="11:11" x14ac:dyDescent="0.3">
      <c r="K1047" s="58"/>
    </row>
    <row r="1048" spans="11:11" x14ac:dyDescent="0.3">
      <c r="K1048" s="58"/>
    </row>
    <row r="1063" spans="11:11" x14ac:dyDescent="0.3">
      <c r="K1063" s="58"/>
    </row>
    <row r="1064" spans="11:11" x14ac:dyDescent="0.3">
      <c r="K1064" s="58"/>
    </row>
    <row r="1065" spans="11:11" x14ac:dyDescent="0.3">
      <c r="K1065" s="58"/>
    </row>
    <row r="1066" spans="11:11" x14ac:dyDescent="0.3">
      <c r="K1066" s="58"/>
    </row>
    <row r="1067" spans="11:11" x14ac:dyDescent="0.3">
      <c r="K1067" s="58"/>
    </row>
    <row r="1068" spans="11:11" x14ac:dyDescent="0.3">
      <c r="K1068" s="58"/>
    </row>
    <row r="1069" spans="11:11" x14ac:dyDescent="0.3">
      <c r="K1069" s="58"/>
    </row>
    <row r="1070" spans="11:11" x14ac:dyDescent="0.3">
      <c r="K1070" s="58"/>
    </row>
    <row r="1071" spans="11:11" x14ac:dyDescent="0.3">
      <c r="K1071" s="58"/>
    </row>
    <row r="1084" spans="11:11" x14ac:dyDescent="0.3">
      <c r="K1084" s="58"/>
    </row>
    <row r="1085" spans="11:11" x14ac:dyDescent="0.3">
      <c r="K1085" s="58"/>
    </row>
    <row r="1086" spans="11:11" x14ac:dyDescent="0.3">
      <c r="K1086" s="58"/>
    </row>
    <row r="1087" spans="11:11" x14ac:dyDescent="0.3">
      <c r="K1087" s="58"/>
    </row>
    <row r="1088" spans="11:11" x14ac:dyDescent="0.3">
      <c r="K1088" s="58"/>
    </row>
    <row r="1089" spans="11:11" x14ac:dyDescent="0.3">
      <c r="K1089" s="58"/>
    </row>
    <row r="1090" spans="11:11" x14ac:dyDescent="0.3">
      <c r="K1090" s="58"/>
    </row>
    <row r="1091" spans="11:11" x14ac:dyDescent="0.3">
      <c r="K1091" s="58"/>
    </row>
    <row r="1106" spans="11:11" x14ac:dyDescent="0.3">
      <c r="K1106" s="58"/>
    </row>
    <row r="1107" spans="11:11" x14ac:dyDescent="0.3">
      <c r="K1107" s="58"/>
    </row>
    <row r="1108" spans="11:11" x14ac:dyDescent="0.3">
      <c r="K1108" s="58"/>
    </row>
    <row r="1109" spans="11:11" x14ac:dyDescent="0.3">
      <c r="K1109" s="58"/>
    </row>
    <row r="1110" spans="11:11" x14ac:dyDescent="0.3">
      <c r="K1110" s="58"/>
    </row>
    <row r="1111" spans="11:11" x14ac:dyDescent="0.3">
      <c r="K1111" s="58"/>
    </row>
    <row r="1112" spans="11:11" x14ac:dyDescent="0.3">
      <c r="K1112" s="58"/>
    </row>
    <row r="1113" spans="11:11" x14ac:dyDescent="0.3">
      <c r="K1113" s="58"/>
    </row>
    <row r="1127" spans="11:11" x14ac:dyDescent="0.3">
      <c r="K1127" s="58"/>
    </row>
    <row r="1128" spans="11:11" x14ac:dyDescent="0.3">
      <c r="K1128" s="58"/>
    </row>
    <row r="1129" spans="11:11" x14ac:dyDescent="0.3">
      <c r="K1129" s="58"/>
    </row>
    <row r="1130" spans="11:11" x14ac:dyDescent="0.3">
      <c r="K1130" s="58"/>
    </row>
    <row r="1131" spans="11:11" x14ac:dyDescent="0.3">
      <c r="K1131" s="58"/>
    </row>
    <row r="1132" spans="11:11" x14ac:dyDescent="0.3">
      <c r="K1132" s="58"/>
    </row>
    <row r="1133" spans="11:11" x14ac:dyDescent="0.3">
      <c r="K1133" s="58"/>
    </row>
    <row r="1134" spans="11:11" x14ac:dyDescent="0.3">
      <c r="K1134" s="58"/>
    </row>
    <row r="1135" spans="11:11" x14ac:dyDescent="0.3">
      <c r="K1135" s="58"/>
    </row>
    <row r="1148" spans="11:11" x14ac:dyDescent="0.3">
      <c r="K1148" s="58"/>
    </row>
    <row r="1149" spans="11:11" x14ac:dyDescent="0.3">
      <c r="K1149" s="58"/>
    </row>
    <row r="1150" spans="11:11" x14ac:dyDescent="0.3">
      <c r="K1150" s="58"/>
    </row>
    <row r="1151" spans="11:11" x14ac:dyDescent="0.3">
      <c r="K1151" s="58"/>
    </row>
    <row r="1152" spans="11:11" x14ac:dyDescent="0.3">
      <c r="K1152" s="58"/>
    </row>
    <row r="1153" spans="11:11" x14ac:dyDescent="0.3">
      <c r="K1153" s="58"/>
    </row>
    <row r="1154" spans="11:11" x14ac:dyDescent="0.3">
      <c r="K1154" s="58"/>
    </row>
    <row r="1155" spans="11:11" x14ac:dyDescent="0.3">
      <c r="K1155" s="58"/>
    </row>
    <row r="1170" spans="11:11" x14ac:dyDescent="0.3">
      <c r="K1170" s="58"/>
    </row>
    <row r="1171" spans="11:11" x14ac:dyDescent="0.3">
      <c r="K1171" s="58"/>
    </row>
    <row r="1172" spans="11:11" x14ac:dyDescent="0.3">
      <c r="K1172" s="58"/>
    </row>
    <row r="1173" spans="11:11" x14ac:dyDescent="0.3">
      <c r="K1173" s="58"/>
    </row>
    <row r="1174" spans="11:11" x14ac:dyDescent="0.3">
      <c r="K1174" s="58"/>
    </row>
    <row r="1175" spans="11:11" x14ac:dyDescent="0.3">
      <c r="K1175" s="58"/>
    </row>
    <row r="1176" spans="11:11" x14ac:dyDescent="0.3">
      <c r="K1176" s="58"/>
    </row>
    <row r="1177" spans="11:11" x14ac:dyDescent="0.3">
      <c r="K1177" s="58"/>
    </row>
    <row r="1189" spans="11:11" x14ac:dyDescent="0.3">
      <c r="K1189" s="58"/>
    </row>
    <row r="1190" spans="11:11" x14ac:dyDescent="0.3">
      <c r="K1190" s="58"/>
    </row>
    <row r="1191" spans="11:11" x14ac:dyDescent="0.3">
      <c r="K1191" s="58"/>
    </row>
    <row r="1192" spans="11:11" x14ac:dyDescent="0.3">
      <c r="K1192" s="58"/>
    </row>
    <row r="1193" spans="11:11" x14ac:dyDescent="0.3">
      <c r="K1193" s="58"/>
    </row>
    <row r="1194" spans="11:11" x14ac:dyDescent="0.3">
      <c r="K1194" s="58"/>
    </row>
    <row r="1195" spans="11:11" x14ac:dyDescent="0.3">
      <c r="K1195" s="58"/>
    </row>
    <row r="1196" spans="11:11" x14ac:dyDescent="0.3">
      <c r="K1196" s="58"/>
    </row>
    <row r="1197" spans="11:11" x14ac:dyDescent="0.3">
      <c r="K1197" s="58"/>
    </row>
    <row r="1198" spans="11:11" x14ac:dyDescent="0.3">
      <c r="K1198" s="58"/>
    </row>
    <row r="1212" spans="11:11" x14ac:dyDescent="0.3">
      <c r="K1212" s="58"/>
    </row>
    <row r="1213" spans="11:11" x14ac:dyDescent="0.3">
      <c r="K1213" s="58"/>
    </row>
    <row r="1214" spans="11:11" x14ac:dyDescent="0.3">
      <c r="K1214" s="58"/>
    </row>
    <row r="1215" spans="11:11" x14ac:dyDescent="0.3">
      <c r="K1215" s="58"/>
    </row>
    <row r="1216" spans="11:11" x14ac:dyDescent="0.3">
      <c r="K1216" s="58"/>
    </row>
    <row r="1217" spans="11:11" x14ac:dyDescent="0.3">
      <c r="K1217" s="58"/>
    </row>
    <row r="1218" spans="11:11" x14ac:dyDescent="0.3">
      <c r="K1218" s="58"/>
    </row>
    <row r="1219" spans="11:11" x14ac:dyDescent="0.3">
      <c r="K1219" s="58"/>
    </row>
    <row r="1231" spans="11:11" x14ac:dyDescent="0.3">
      <c r="K1231" s="58"/>
    </row>
    <row r="1232" spans="11:11" x14ac:dyDescent="0.3">
      <c r="K1232" s="58"/>
    </row>
    <row r="1233" spans="11:11" x14ac:dyDescent="0.3">
      <c r="K1233" s="58"/>
    </row>
    <row r="1234" spans="11:11" x14ac:dyDescent="0.3">
      <c r="K1234" s="58"/>
    </row>
    <row r="1235" spans="11:11" x14ac:dyDescent="0.3">
      <c r="K1235" s="58"/>
    </row>
    <row r="1236" spans="11:11" x14ac:dyDescent="0.3">
      <c r="K1236" s="58"/>
    </row>
    <row r="1237" spans="11:11" x14ac:dyDescent="0.3">
      <c r="K1237" s="58"/>
    </row>
    <row r="1238" spans="11:11" x14ac:dyDescent="0.3">
      <c r="K1238" s="58"/>
    </row>
  </sheetData>
  <phoneticPr fontId="10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4CA64-9DF2-4FC1-BEFD-FEA468E129B0}">
  <dimension ref="A1"/>
  <sheetViews>
    <sheetView topLeftCell="C10" zoomScaleNormal="100" workbookViewId="0">
      <selection activeCell="Y28" sqref="Y28"/>
    </sheetView>
  </sheetViews>
  <sheetFormatPr defaultRowHeight="14.4" x14ac:dyDescent="0.3"/>
  <cols>
    <col min="1" max="16384" width="8.88671875" style="35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Search strategy</vt:lpstr>
      <vt:lpstr>Results</vt:lpstr>
      <vt:lpstr>JOHNSON &amp; JOHNSON</vt:lpstr>
      <vt:lpstr>ROCHE HOLDING AG</vt:lpstr>
      <vt:lpstr>PFIZER INC</vt:lpstr>
      <vt:lpstr>NOVARTIS AG</vt:lpstr>
      <vt:lpstr>ELI LILLY AND COMPANY</vt:lpstr>
      <vt:lpstr>Cálculos</vt:lpstr>
      <vt:lpstr>Gráficos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Senande López</cp:lastModifiedBy>
  <dcterms:modified xsi:type="dcterms:W3CDTF">2024-04-23T10:45:44Z</dcterms:modified>
</cp:coreProperties>
</file>