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940" documentId="13_ncr:1_{9CE7DB7C-C080-4BB2-8A92-1D4A7BD45BE5}" xr6:coauthVersionLast="47" xr6:coauthVersionMax="47" xr10:uidLastSave="{88B2EF64-D2CE-4C92-931F-F3101F245DF8}"/>
  <bookViews>
    <workbookView xWindow="-108" yWindow="-108" windowWidth="23256" windowHeight="12456" firstSheet="3" activeTab="7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R2" i="8"/>
  <c r="Q2" i="8"/>
  <c r="G25" i="8"/>
  <c r="AD14" i="3"/>
  <c r="AD15" i="3"/>
  <c r="AD16" i="3" s="1"/>
  <c r="AD17" i="3" s="1"/>
  <c r="AD13" i="3"/>
  <c r="G9" i="8"/>
  <c r="G30" i="8"/>
  <c r="V9" i="4"/>
  <c r="B2" i="8"/>
  <c r="G11" i="8"/>
  <c r="M7" i="3"/>
  <c r="M8" i="3"/>
  <c r="M9" i="3"/>
  <c r="M10" i="3"/>
  <c r="M6" i="3"/>
  <c r="G23" i="8" l="1"/>
  <c r="G27" i="8" s="1"/>
  <c r="G32" i="8" s="1"/>
  <c r="N8" i="3"/>
  <c r="N9" i="3"/>
  <c r="N10" i="3"/>
  <c r="N11" i="3"/>
  <c r="N7" i="3"/>
  <c r="AD4" i="3" l="1"/>
  <c r="AD5" i="3"/>
  <c r="AD6" i="3"/>
  <c r="AD7" i="3"/>
  <c r="AD8" i="3"/>
  <c r="AD9" i="3"/>
  <c r="AD10" i="3"/>
  <c r="AD11" i="3"/>
  <c r="AD12" i="3" s="1"/>
  <c r="AD3" i="3"/>
  <c r="AC3" i="3"/>
  <c r="AC4" i="3"/>
  <c r="AC5" i="3"/>
  <c r="AC6" i="3"/>
  <c r="AC7" i="3"/>
  <c r="AC8" i="3"/>
  <c r="AC9" i="3"/>
  <c r="AC10" i="3"/>
  <c r="AC11" i="3"/>
  <c r="AC2" i="3"/>
  <c r="AE3" i="3"/>
  <c r="AE4" i="3"/>
  <c r="AE5" i="3"/>
  <c r="AE6" i="3"/>
  <c r="AE7" i="3"/>
  <c r="AE8" i="3"/>
  <c r="AE9" i="3"/>
  <c r="AE10" i="3"/>
  <c r="AE11" i="3"/>
  <c r="AE2" i="3"/>
  <c r="V3" i="4"/>
  <c r="V4" i="4"/>
  <c r="V5" i="4"/>
  <c r="V6" i="4"/>
  <c r="V7" i="4"/>
  <c r="V8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W11" i="7"/>
  <c r="W11" i="6"/>
  <c r="W11" i="5"/>
  <c r="W11" i="4"/>
  <c r="AA11" i="3"/>
  <c r="AB3" i="3"/>
  <c r="AB4" i="3"/>
  <c r="AB5" i="3"/>
  <c r="AB6" i="3"/>
  <c r="AB7" i="3"/>
  <c r="AB8" i="3"/>
  <c r="AB9" i="3"/>
  <c r="AB10" i="3"/>
  <c r="AB11" i="3"/>
  <c r="AB2" i="3"/>
  <c r="C42" i="8" a="1"/>
  <c r="C42" i="8" s="1"/>
  <c r="C32" i="8" a="1"/>
  <c r="C32" i="8" s="1"/>
  <c r="C22" i="8" a="1"/>
  <c r="C22" i="8" s="1"/>
  <c r="C12" i="8" a="1"/>
  <c r="C12" i="8" s="1"/>
  <c r="C2" i="8" a="1"/>
  <c r="C2" i="8" s="1"/>
  <c r="A42" i="8" a="1"/>
  <c r="A42" i="8" s="1"/>
  <c r="A32" i="8" a="1"/>
  <c r="A32" i="8" s="1"/>
  <c r="A22" i="8" a="1"/>
  <c r="A22" i="8" s="1"/>
  <c r="T11" i="7"/>
  <c r="B6" i="8" s="1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B5" i="8" s="1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B4" i="8" s="1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T3" i="4"/>
  <c r="T4" i="4"/>
  <c r="T5" i="4"/>
  <c r="T6" i="4"/>
  <c r="T7" i="4"/>
  <c r="T8" i="4"/>
  <c r="T9" i="4"/>
  <c r="T10" i="4"/>
  <c r="T11" i="4"/>
  <c r="B3" i="8" s="1"/>
  <c r="T2" i="4"/>
  <c r="S4" i="4"/>
  <c r="S5" i="4"/>
  <c r="S6" i="4"/>
  <c r="S7" i="4"/>
  <c r="S8" i="4"/>
  <c r="S9" i="4"/>
  <c r="S10" i="4"/>
  <c r="S11" i="4"/>
  <c r="S3" i="4"/>
  <c r="H10" i="3"/>
  <c r="H4" i="3"/>
  <c r="Y3" i="3"/>
  <c r="Y4" i="3"/>
  <c r="Y5" i="3"/>
  <c r="Y6" i="3"/>
  <c r="Y7" i="3"/>
  <c r="Y8" i="3"/>
  <c r="Y9" i="3"/>
  <c r="Y10" i="3"/>
  <c r="Y11" i="3"/>
  <c r="Y2" i="3"/>
  <c r="R11" i="7"/>
  <c r="R11" i="5"/>
  <c r="X11" i="5" s="1"/>
  <c r="X11" i="3"/>
  <c r="AF11" i="3" s="1"/>
  <c r="A12" i="8" l="1" a="1"/>
  <c r="A12" i="8" s="1"/>
  <c r="G16" i="8"/>
  <c r="G18" i="8"/>
  <c r="O12" i="3"/>
  <c r="T12" i="3"/>
  <c r="A2" i="8" a="1"/>
  <c r="A2" i="8" s="1"/>
  <c r="AE13" i="3"/>
  <c r="G2" i="8" l="1"/>
  <c r="G4" i="8"/>
  <c r="P12" i="3"/>
  <c r="M11" i="3"/>
  <c r="L12" i="3" s="1"/>
  <c r="N12" i="3" s="1"/>
  <c r="O13" i="3"/>
  <c r="O14" i="3" s="1"/>
  <c r="O15" i="3" s="1"/>
  <c r="O16" i="3" s="1"/>
  <c r="O17" i="3" s="1"/>
  <c r="Q12" i="3"/>
  <c r="U12" i="3"/>
  <c r="T13" i="3"/>
  <c r="L13" i="3" s="1"/>
  <c r="R12" i="3" l="1"/>
  <c r="N13" i="3"/>
  <c r="U13" i="3"/>
  <c r="T14" i="3"/>
  <c r="L14" i="3" s="1"/>
  <c r="P13" i="3"/>
  <c r="Q13" i="3" s="1"/>
  <c r="R13" i="3" l="1"/>
  <c r="N14" i="3"/>
  <c r="T15" i="3"/>
  <c r="L15" i="3" s="1"/>
  <c r="U14" i="3"/>
  <c r="P14" i="3"/>
  <c r="Q14" i="3" s="1"/>
  <c r="R14" i="3" l="1"/>
  <c r="N15" i="3"/>
  <c r="T16" i="3"/>
  <c r="L16" i="3" s="1"/>
  <c r="U15" i="3"/>
  <c r="P15" i="3"/>
  <c r="Q15" i="3" s="1"/>
  <c r="R15" i="3" s="1"/>
  <c r="N16" i="3" l="1"/>
  <c r="T17" i="3"/>
  <c r="L17" i="3" s="1"/>
  <c r="N17" i="3" s="1"/>
  <c r="U16" i="3"/>
  <c r="P16" i="3"/>
  <c r="Q16" i="3" s="1"/>
  <c r="R16" i="3" l="1"/>
  <c r="U17" i="3"/>
  <c r="P17" i="3"/>
  <c r="Q17" i="3" s="1"/>
  <c r="R17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X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tc={4878338B-5766-402B-A777-9AEFE162F75E}</author>
  </authors>
  <commentList>
    <comment ref="G25" authorId="0" shapeId="0" xr:uid="{4878338B-5766-402B-A777-9AEFE162F75E}">
      <text>
        <t>[Threaded comment]
Your version of Excel allows you to read this threaded comment; however, any edits to it will get removed if the file is opened in a newer version of Excel. Learn more: https://go.microsoft.com/fwlink/?linkid=870924
Comment:
    3,88% era la rentabilidad del bono a 10 años de EEUU el 1 de enero de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<sst xmlns="http://schemas.openxmlformats.org/spreadsheetml/2006/main" count="592" uniqueCount="461">
  <si>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</si>
  <si>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</si>
  <si>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</si>
  <si>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</si>
  <si>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</si>
  <si>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</si>
  <si>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</si>
  <si>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</si>
  <si>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</si>
  <si>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</si>
  <si>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</si>
  <si>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</si>
  <si>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</si>
  <si>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</si>
  <si>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</si>
  <si>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</si>
  <si>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</si>
  <si>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</si>
  <si>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</si>
  <si>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</si>
  <si>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</si>
  <si>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</si>
  <si>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</si>
  <si>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</si>
  <si>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</si>
  <si>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</si>
  <si>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</si>
  <si>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</si>
  <si>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</si>
  <si>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</si>
  <si>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</si>
  <si>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</si>
  <si>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</si>
  <si>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</si>
  <si>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</si>
  <si>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</si>
  <si>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</si>
  <si>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</si>
  <si>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</si>
  <si>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</si>
  <si>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</si>
  <si>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</si>
  <si>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</si>
  <si>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</si>
  <si>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</si>
  <si>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</si>
  <si>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</si>
  <si>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</si>
  <si>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</si>
  <si>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</si>
  <si>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</si>
  <si>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</si>
  <si>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</si>
  <si>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</si>
  <si>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</si>
  <si>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</si>
  <si>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</si>
  <si>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</si>
  <si>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</si>
  <si>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</si>
  <si>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</si>
  <si>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</si>
  <si>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</si>
  <si>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</si>
  <si>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</si>
  <si>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</si>
  <si>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</si>
  <si>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</si>
  <si>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</si>
  <si>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</si>
  <si>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</si>
  <si>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</si>
  <si>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</si>
  <si>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</si>
  <si>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</si>
  <si>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</si>
  <si>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</si>
  <si>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</si>
  <si>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</si>
  <si>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</si>
  <si>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</si>
  <si>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</si>
  <si>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</si>
  <si>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</si>
  <si>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</si>
  <si>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</si>
  <si>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</si>
  <si>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</si>
  <si>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</si>
  <si>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</si>
  <si>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</si>
  <si>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</si>
  <si>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</si>
  <si>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</si>
  <si>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</si>
  <si>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</si>
  <si>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</si>
  <si>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</si>
  <si>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</si>
  <si>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</si>
  <si>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</si>
  <si>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</si>
  <si>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</si>
  <si>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</si>
  <si>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</si>
  <si>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</si>
  <si>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</si>
  <si>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</si>
  <si>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</si>
  <si>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</si>
  <si>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</si>
  <si>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</si>
  <si>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</si>
  <si>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</si>
  <si>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</si>
  <si>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</si>
  <si>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</si>
  <si>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</si>
  <si>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</si>
  <si>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</si>
  <si>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</si>
  <si>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</si>
  <si>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</si>
  <si>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</si>
  <si>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</si>
  <si>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</si>
  <si>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</si>
  <si>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</si>
  <si>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</si>
  <si>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</si>
  <si>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</si>
  <si>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</si>
  <si>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</si>
  <si>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</si>
  <si>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</si>
  <si>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</si>
  <si>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</si>
  <si>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</si>
  <si>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</si>
  <si>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</si>
  <si>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</si>
  <si>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</si>
  <si>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</si>
  <si>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</si>
  <si>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</si>
  <si>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</si>
  <si>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</si>
  <si>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</si>
  <si>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</si>
  <si>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</si>
  <si>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</si>
  <si>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</si>
  <si>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</si>
  <si>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</si>
  <si>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</si>
  <si>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</si>
  <si>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</si>
  <si>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</si>
  <si>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</si>
  <si>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</si>
  <si>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</si>
  <si>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</si>
  <si>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</si>
  <si>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</si>
  <si>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</si>
  <si>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</si>
  <si>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</si>
  <si>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</si>
  <si>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</si>
  <si>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</si>
  <si>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</si>
  <si>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</si>
  <si>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</si>
  <si>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</si>
  <si>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</si>
  <si>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</si>
  <si>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</si>
  <si>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</si>
  <si>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</si>
  <si>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</si>
  <si>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</si>
  <si>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</si>
  <si>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</si>
  <si>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</si>
  <si>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</si>
  <si>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</si>
  <si>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</si>
  <si>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</si>
  <si>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</si>
  <si>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</si>
  <si>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</si>
  <si>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</si>
  <si>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</si>
  <si>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</si>
  <si>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</si>
  <si>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</si>
  <si>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</si>
  <si>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</si>
  <si>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</si>
  <si>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</si>
  <si>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</si>
  <si>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</si>
  <si>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</si>
  <si>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 del ratio D/E del sector fue:</t>
  </si>
  <si>
    <t>Spread</t>
  </si>
  <si>
    <t>D/V</t>
  </si>
  <si>
    <t>rd</t>
  </si>
  <si>
    <t>spread</t>
  </si>
  <si>
    <t>TS</t>
  </si>
  <si>
    <t>La media del ratio D/V del sector fue:</t>
  </si>
  <si>
    <t>D&amp;A/Ventas</t>
  </si>
  <si>
    <t>Media 5 últimos años:</t>
  </si>
  <si>
    <t>EBIT/Ventas</t>
  </si>
  <si>
    <t>Aftertax EBIT</t>
  </si>
  <si>
    <t>NWC</t>
  </si>
  <si>
    <t>Change in NWC</t>
  </si>
  <si>
    <t>CAPEX</t>
  </si>
  <si>
    <t>NWC/Ventas</t>
  </si>
  <si>
    <t>FCF</t>
  </si>
  <si>
    <t>La media de J&amp;J fue:</t>
  </si>
  <si>
    <t>La media de J&amp;J ha sido:</t>
  </si>
  <si>
    <t>Crec.Ventas (g)</t>
  </si>
  <si>
    <t>El crecimiento compuesto de J&amp;J ha sido:</t>
  </si>
  <si>
    <t>Date</t>
  </si>
  <si>
    <t xml:space="preserve"> Close_S&amp;P500</t>
  </si>
  <si>
    <t xml:space="preserve"> Close_J&amp;J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</si>
  <si>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</si>
  <si>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</si>
  <si>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</si>
  <si>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</si>
  <si>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</si>
  <si>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</si>
  <si>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</si>
  <si>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</si>
  <si>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</si>
  <si>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</si>
  <si>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</si>
  <si>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</si>
  <si>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</si>
  <si>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</si>
  <si>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</si>
  <si>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</si>
  <si>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</si>
  <si>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</si>
  <si>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</si>
  <si>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</si>
  <si>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</si>
  <si>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</si>
  <si>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</si>
  <si>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</si>
  <si>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</si>
  <si>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</si>
  <si>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</si>
  <si>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</si>
  <si>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</si>
  <si>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</si>
  <si>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</si>
  <si>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</si>
  <si>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</si>
  <si>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</si>
  <si>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</si>
  <si>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</si>
  <si>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</si>
  <si>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</si>
  <si>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</si>
  <si>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</si>
  <si>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</si>
  <si>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</si>
  <si>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</si>
  <si>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</si>
  <si>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</si>
  <si>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</si>
  <si>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</si>
  <si>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</si>
  <si>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</si>
  <si>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</si>
  <si>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</si>
  <si>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</si>
  <si>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</si>
  <si>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</si>
  <si>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</si>
  <si>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</si>
  <si>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</si>
  <si>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</si>
  <si>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</si>
  <si>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</si>
  <si>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</si>
  <si>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</si>
  <si>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</si>
  <si>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</si>
  <si>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</si>
  <si>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</si>
  <si>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</si>
  <si>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</si>
  <si>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</si>
  <si>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</si>
  <si>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</si>
  <si>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</si>
  <si>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</si>
  <si>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</si>
  <si>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</si>
  <si>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</si>
  <si>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</si>
  <si>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</si>
  <si>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</si>
  <si>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</si>
  <si>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</si>
  <si>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</si>
  <si>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</si>
  <si>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</si>
  <si>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</si>
  <si>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</si>
  <si>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</si>
  <si>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</si>
  <si>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</si>
  <si>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</si>
  <si>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</si>
  <si>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</si>
  <si>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</si>
  <si>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</si>
  <si>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</si>
  <si>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</si>
  <si>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</si>
  <si>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</si>
  <si>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</si>
  <si>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</si>
  <si>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</si>
  <si>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</si>
  <si>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</si>
  <si>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</si>
  <si>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</si>
  <si>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</si>
  <si>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</si>
  <si>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</si>
  <si>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</si>
  <si>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</si>
  <si>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</si>
  <si>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</si>
  <si>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</si>
  <si>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</si>
  <si>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</si>
  <si>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</si>
  <si>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</si>
  <si>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</si>
  <si>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</si>
  <si>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</si>
  <si>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</si>
  <si>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</si>
  <si>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</si>
  <si>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</si>
  <si>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</si>
  <si>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</si>
  <si>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</si>
  <si>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</si>
  <si>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</si>
  <si>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</si>
  <si>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02/28/23</t>
  </si>
  <si>
    <t>02/27/23</t>
  </si>
  <si>
    <t>02/24/23</t>
  </si>
  <si>
    <t>02/23/23</t>
  </si>
  <si>
    <t>02/22/23</t>
  </si>
  <si>
    <t>02/21/23</t>
  </si>
  <si>
    <t>02/17/23</t>
  </si>
  <si>
    <t>02/16/23</t>
  </si>
  <si>
    <t>02/15/23</t>
  </si>
  <si>
    <t>02/14/23</t>
  </si>
  <si>
    <t>02/13/23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</si>
  <si>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</si>
  <si>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</si>
  <si>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</si>
  <si>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</si>
  <si>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</si>
  <si>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</si>
  <si>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</si>
  <si>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</si>
  <si>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</si>
  <si>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</si>
  <si>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</si>
  <si>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</si>
  <si>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</si>
  <si>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</si>
  <si>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</si>
  <si>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</si>
  <si>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</si>
  <si>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</si>
  <si>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</si>
  <si>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</si>
  <si>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</si>
  <si>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</si>
  <si>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</si>
  <si>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</si>
  <si>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</si>
  <si>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</si>
  <si>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</si>
  <si>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</si>
  <si>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</si>
  <si>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</si>
  <si>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</si>
  <si>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</si>
  <si>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</si>
  <si>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</si>
  <si>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</si>
  <si>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</si>
  <si>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</si>
  <si>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</si>
  <si>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</si>
  <si>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</si>
  <si>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</si>
  <si>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</si>
  <si>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</si>
  <si>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</si>
  <si>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</si>
  <si>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</si>
  <si>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</si>
  <si>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</si>
  <si>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</si>
  <si>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</si>
  <si>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</si>
  <si>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</si>
  <si>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</si>
  <si>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</si>
  <si>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</si>
  <si>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</si>
  <si>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</si>
  <si>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</si>
  <si>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</si>
  <si>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</si>
  <si>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</si>
  <si>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</si>
  <si>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</si>
  <si>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</si>
  <si>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</si>
  <si>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</si>
  <si>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</si>
  <si>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</si>
  <si>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</si>
  <si>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</si>
  <si>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</si>
  <si>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</si>
  <si>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</si>
  <si>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</si>
  <si>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</si>
  <si>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</si>
  <si>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</si>
  <si>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</si>
  <si>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</si>
  <si>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</si>
  <si>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</si>
  <si>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</si>
  <si>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</si>
  <si>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</si>
  <si>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</si>
  <si>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</si>
  <si>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Change S&amp;P500</t>
  </si>
  <si>
    <t>Change J&amp;J</t>
  </si>
  <si>
    <t>La beta de las acciones es:</t>
  </si>
  <si>
    <t>La prima de mercado es:</t>
  </si>
  <si>
    <t>r_E es:</t>
  </si>
  <si>
    <t>El E/V estimado es:</t>
  </si>
  <si>
    <t>El WACC es:</t>
  </si>
  <si>
    <t>La media del crecimiento compuesto de las ventas para empresas que crecen ha sido: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</si>
</sst>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_-[$$-409]* #,##0.00_ ;_-[$$-409]* \-#,##0.00\ ;_-[$$-409]* &quot;-&quot;??_ ;_-@_ "/>
  </numFmts>
  <fonts count="11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666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0" fontId="0" fillId="11" borderId="0" xfId="0" applyFill="1"/>
    <xf numFmtId="165" fontId="0" fillId="7" borderId="0" xfId="0" applyNumberFormat="1" applyFill="1"/>
    <xf numFmtId="165" fontId="0" fillId="11" borderId="0" xfId="0" applyNumberFormat="1" applyFill="1"/>
    <xf numFmtId="165" fontId="0" fillId="7" borderId="0" xfId="2" applyNumberFormat="1" applyFont="1" applyFill="1"/>
    <xf numFmtId="1" fontId="0" fillId="7" borderId="0" xfId="0" applyNumberFormat="1" applyFill="1"/>
    <xf numFmtId="165" fontId="0" fillId="9" borderId="0" xfId="0" applyNumberFormat="1" applyFill="1"/>
    <xf numFmtId="14" fontId="0" fillId="10" borderId="0" xfId="0" applyNumberFormat="1" applyFill="1"/>
    <xf numFmtId="10" fontId="0" fillId="8" borderId="19" xfId="1" applyNumberFormat="1" applyFont="1" applyFill="1" applyBorder="1"/>
    <xf numFmtId="10" fontId="0" fillId="8" borderId="20" xfId="1" applyNumberFormat="1" applyFont="1" applyFill="1" applyBorder="1"/>
    <xf numFmtId="10" fontId="0" fillId="8" borderId="21" xfId="1" applyNumberFormat="1" applyFont="1" applyFill="1" applyBorder="1"/>
    <xf numFmtId="10" fontId="0" fillId="8" borderId="11" xfId="1" applyNumberFormat="1" applyFont="1" applyFill="1" applyBorder="1"/>
    <xf numFmtId="10" fontId="0" fillId="8" borderId="14" xfId="1" applyNumberFormat="1" applyFont="1" applyFill="1" applyBorder="1"/>
    <xf numFmtId="10" fontId="0" fillId="8" borderId="16" xfId="1" applyNumberFormat="1" applyFont="1" applyFill="1" applyBorder="1"/>
    <xf numFmtId="10" fontId="0" fillId="12" borderId="0" xfId="1" applyNumberFormat="1" applyFont="1" applyFill="1"/>
    <xf numFmtId="10" fontId="0" fillId="7" borderId="0" xfId="1" applyNumberFormat="1" applyFont="1" applyFill="1"/>
    <xf numFmtId="0" fontId="0" fillId="13" borderId="11" xfId="0" applyFill="1" applyBorder="1"/>
    <xf numFmtId="0" fontId="0" fillId="13" borderId="14" xfId="0" applyFill="1" applyBorder="1"/>
    <xf numFmtId="0" fontId="0" fillId="13" borderId="19" xfId="0" applyFill="1" applyBorder="1"/>
    <xf numFmtId="0" fontId="0" fillId="13" borderId="20" xfId="0" applyFill="1" applyBorder="1"/>
    <xf numFmtId="14" fontId="0" fillId="13" borderId="20" xfId="0" applyNumberFormat="1" applyFill="1" applyBorder="1"/>
    <xf numFmtId="0" fontId="0" fillId="13" borderId="21" xfId="0" applyFill="1" applyBorder="1"/>
    <xf numFmtId="10" fontId="0" fillId="13" borderId="14" xfId="1" applyNumberFormat="1" applyFont="1" applyFill="1" applyBorder="1"/>
    <xf numFmtId="10" fontId="0" fillId="13" borderId="15" xfId="1" applyNumberFormat="1" applyFont="1" applyFill="1" applyBorder="1"/>
    <xf numFmtId="2" fontId="0" fillId="8" borderId="0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E666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JOHNSON'!$T$2:$T$11</c:f>
              <c:numCache>
                <c:formatCode>_-[$$-409]* #,##0.00_ ;_-[$$-409]* \-#,##0.00\ ;_-[$$-409]* "-"??_ ;_-@_ 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JOHNSON'!$P$2:$P$11</c:f>
              <c:numCache>
                <c:formatCode>_-[$$-409]* #,##0.00_ ;_-[$$-409]* \-#,##0.00\ ;_-[$$-409]* "-"??_ ;_-@_ 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_-[$$-409]* #,##0.00_ ;_-[$$-409]* \-#,##0.00\ ;_-[$$-409]* "-"??_ ;_-@_ 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_-[$$-409]* #,##0.00_ ;_-[$$-409]* \-#,##0.00\ ;_-[$$-409]* "-"??_ ;_-@_ 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_-[$$-409]* #,##0.00_ ;_-[$$-409]* \-#,##0.00\ ;_-[$$-409]* "-"??_ ;_-@_ 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_-[$$-409]* #,##0.00_ ;_-[$$-409]* \-#,##0.00\ ;_-[$$-409]* "-"??_ ;_-@_ 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_-[$$-409]* #,##0.00_ ;_-[$$-409]* \-#,##0.00\ ;_-[$$-409]* "-"??_ ;_-@_ 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_-[$$-409]* #,##0.00_ ;_-[$$-409]* \-#,##0.00\ ;_-[$$-409]* "-"??_ ;_-@_ 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_-[$$-409]* #,##0.00_ ;_-[$$-409]* \-#,##0.00\ ;_-[$$-409]* "-"??_ ;_-@_ 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_-[$$-409]* #,##0.00_ ;_-[$$-409]* \-#,##0.00\ ;_-[$$-409]* "-"??_ ;_-@_ 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JOHNSON'!$Y$2:$Y$11</c:f>
              <c:numCache>
                <c:formatCode>0.00%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0.00%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0.00%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0.00%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0.00%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5" dT="2024-04-22T13:41:13.47" personId="{743F5DB6-1958-42C6-BD5F-77B09807DC6D}" id="{4878338B-5766-402B-A777-9AEFE162F75E}">
    <text>3,88% era la rentabilidad del bono a 10 años de EEUU el 1 de enero de 2023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76" t="s">
        <v>0</v>
      </c>
      <c r="B1" s="77"/>
      <c r="C1" s="78" t="s">
        <v>1</v>
      </c>
      <c r="D1" s="77"/>
      <c r="E1" s="79"/>
    </row>
    <row r="2" spans="1:6" ht="14.4" customHeight="1" x14ac:dyDescent="0.3">
      <c r="A2" s="76" t="s">
        <v>2</v>
      </c>
      <c r="B2" s="77"/>
      <c r="C2" s="78" t="s">
        <v>3</v>
      </c>
      <c r="D2" s="77"/>
      <c r="E2" s="79"/>
    </row>
    <row r="3" spans="1:6" ht="14.4" customHeight="1" x14ac:dyDescent="0.3">
      <c r="A3" s="76" t="s">
        <v>4</v>
      </c>
      <c r="B3" s="77"/>
      <c r="C3" s="78" t="s">
        <v>5</v>
      </c>
      <c r="D3" s="77"/>
      <c r="E3" s="79"/>
    </row>
    <row r="4" spans="1:6" ht="14.4" customHeight="1" x14ac:dyDescent="0.3">
      <c r="A4" s="76" t="s">
        <v>6</v>
      </c>
      <c r="B4" s="77"/>
      <c r="C4" s="78" t="s">
        <v>7</v>
      </c>
      <c r="D4" s="77"/>
      <c r="E4" s="79"/>
    </row>
    <row r="5" spans="1:6" ht="14.4" customHeight="1" x14ac:dyDescent="0.3">
      <c r="A5" s="76" t="s">
        <v>8</v>
      </c>
      <c r="B5" s="77"/>
      <c r="C5" s="78" t="s">
        <v>9</v>
      </c>
      <c r="D5" s="77"/>
      <c r="E5" s="79"/>
    </row>
    <row r="6" spans="1:6" ht="14.4" customHeight="1" x14ac:dyDescent="0.3">
      <c r="A6" s="76" t="s">
        <v>10</v>
      </c>
      <c r="B6" s="77"/>
      <c r="C6" s="78" t="s">
        <v>11</v>
      </c>
      <c r="D6" s="77"/>
      <c r="E6" s="79"/>
    </row>
    <row r="7" spans="1:6" ht="14.4" customHeight="1" x14ac:dyDescent="0.3">
      <c r="A7" s="76" t="s">
        <v>12</v>
      </c>
      <c r="B7" s="77"/>
      <c r="C7" s="78" t="s">
        <v>13</v>
      </c>
      <c r="D7" s="77"/>
      <c r="E7" s="79"/>
    </row>
    <row r="8" spans="1:6" ht="14.4" customHeight="1" x14ac:dyDescent="0.3">
      <c r="A8" s="80"/>
      <c r="B8" s="77"/>
      <c r="C8" s="77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81" t="s">
        <v>17</v>
      </c>
      <c r="C9" s="77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81" t="s">
        <v>20</v>
      </c>
      <c r="C10" s="77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81" t="s">
        <v>23</v>
      </c>
      <c r="C11" s="77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81" t="s">
        <v>27</v>
      </c>
      <c r="C12" s="77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83" t="s">
        <v>30</v>
      </c>
      <c r="C13" s="84"/>
      <c r="D13" s="7" t="s">
        <v>18</v>
      </c>
      <c r="E13" s="8" t="s">
        <v>31</v>
      </c>
    </row>
    <row r="14" spans="1:6" ht="14.4" customHeight="1" x14ac:dyDescent="0.3">
      <c r="B14" s="85" t="s">
        <v>32</v>
      </c>
      <c r="C14" s="77"/>
      <c r="D14" s="77"/>
      <c r="E14" s="77"/>
    </row>
    <row r="15" spans="1:6" ht="14.4" customHeight="1" x14ac:dyDescent="0.3">
      <c r="A15" s="77"/>
      <c r="B15" s="77"/>
      <c r="C15" s="77"/>
      <c r="D15" s="9" t="s">
        <v>33</v>
      </c>
      <c r="E15" s="10" t="s">
        <v>31</v>
      </c>
    </row>
    <row r="16" spans="1:6" ht="13.2" customHeight="1" x14ac:dyDescent="0.3">
      <c r="A16" s="77"/>
      <c r="B16" s="77"/>
      <c r="C16" s="77"/>
      <c r="D16" s="77"/>
      <c r="E16" s="77"/>
      <c r="F16" s="77"/>
    </row>
    <row r="17" spans="1:6" ht="14.4" customHeight="1" x14ac:dyDescent="0.3">
      <c r="A17" s="82" t="s">
        <v>34</v>
      </c>
      <c r="B17" s="77"/>
      <c r="C17" s="77"/>
      <c r="D17" s="77"/>
      <c r="E17" s="77"/>
      <c r="F17" s="77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AF17"/>
  <sheetViews>
    <sheetView topLeftCell="M1" workbookViewId="0">
      <selection activeCell="U19" sqref="U19"/>
    </sheetView>
  </sheetViews>
  <sheetFormatPr defaultRowHeight="14.4" x14ac:dyDescent="0.3"/>
  <cols>
    <col min="1" max="1" width="5" bestFit="1" customWidth="1"/>
    <col min="2" max="2" width="16.44140625" bestFit="1" customWidth="1"/>
    <col min="3" max="4" width="15.44140625" bestFit="1" customWidth="1"/>
    <col min="5" max="5" width="16.44140625" bestFit="1" customWidth="1"/>
    <col min="6" max="7" width="7" bestFit="1" customWidth="1"/>
    <col min="8" max="8" width="12" bestFit="1" customWidth="1"/>
    <col min="9" max="9" width="16.44140625" bestFit="1" customWidth="1"/>
    <col min="10" max="10" width="25.21875" bestFit="1" customWidth="1"/>
    <col min="11" max="11" width="14.77734375" bestFit="1" customWidth="1"/>
    <col min="12" max="12" width="15.44140625" bestFit="1" customWidth="1"/>
    <col min="13" max="13" width="11.88671875" bestFit="1" customWidth="1"/>
    <col min="14" max="14" width="14.44140625" bestFit="1" customWidth="1"/>
    <col min="15" max="15" width="13.77734375" bestFit="1" customWidth="1"/>
    <col min="16" max="18" width="14.77734375" bestFit="1" customWidth="1"/>
    <col min="19" max="19" width="14.44140625" bestFit="1" customWidth="1"/>
    <col min="20" max="20" width="15.77734375" bestFit="1" customWidth="1"/>
    <col min="21" max="22" width="14.77734375" bestFit="1" customWidth="1"/>
    <col min="23" max="23" width="12" bestFit="1" customWidth="1"/>
    <col min="24" max="24" width="6.88671875" bestFit="1" customWidth="1"/>
    <col min="25" max="25" width="12" bestFit="1" customWidth="1"/>
    <col min="28" max="28" width="12" bestFit="1" customWidth="1"/>
    <col min="29" max="29" width="19.109375" bestFit="1" customWidth="1"/>
    <col min="30" max="30" width="13.88671875" bestFit="1" customWidth="1"/>
    <col min="31" max="31" width="19.109375" bestFit="1" customWidth="1"/>
    <col min="32" max="32" width="13.77734375" bestFit="1" customWidth="1"/>
  </cols>
  <sheetData>
    <row r="1" spans="1:32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214</v>
      </c>
      <c r="M1" s="26" t="s">
        <v>217</v>
      </c>
      <c r="N1" s="26" t="s">
        <v>215</v>
      </c>
      <c r="O1" s="26" t="s">
        <v>216</v>
      </c>
      <c r="P1" s="26" t="s">
        <v>182</v>
      </c>
      <c r="Q1" s="26" t="s">
        <v>213</v>
      </c>
      <c r="R1" s="26" t="s">
        <v>218</v>
      </c>
      <c r="S1" s="26" t="s">
        <v>199</v>
      </c>
      <c r="T1" s="26" t="s">
        <v>183</v>
      </c>
      <c r="U1" s="26" t="s">
        <v>184</v>
      </c>
      <c r="V1" s="26" t="s">
        <v>186</v>
      </c>
      <c r="W1" s="26" t="s">
        <v>188</v>
      </c>
      <c r="X1" s="26" t="s">
        <v>187</v>
      </c>
      <c r="Y1" s="26" t="s">
        <v>202</v>
      </c>
      <c r="Z1" s="26" t="s">
        <v>204</v>
      </c>
      <c r="AA1" s="26" t="s">
        <v>206</v>
      </c>
      <c r="AB1" s="26" t="s">
        <v>205</v>
      </c>
      <c r="AC1" s="26" t="s">
        <v>212</v>
      </c>
      <c r="AD1" s="26" t="s">
        <v>221</v>
      </c>
      <c r="AE1" s="26" t="s">
        <v>210</v>
      </c>
      <c r="AF1" s="27" t="s">
        <v>208</v>
      </c>
    </row>
    <row r="2" spans="1:32" x14ac:dyDescent="0.3">
      <c r="A2" s="28">
        <v>2014</v>
      </c>
      <c r="B2" s="55">
        <v>131119000</v>
      </c>
      <c r="C2" s="55">
        <v>69752000</v>
      </c>
      <c r="D2" s="55">
        <v>16323000</v>
      </c>
      <c r="E2" s="55">
        <v>292702970</v>
      </c>
      <c r="F2" s="29">
        <v>0.29480000000000001</v>
      </c>
      <c r="G2" s="29">
        <v>0.15679999999999999</v>
      </c>
      <c r="H2" s="55">
        <v>104.57</v>
      </c>
      <c r="I2" s="53">
        <v>278373970</v>
      </c>
      <c r="J2" s="56">
        <v>2783000</v>
      </c>
      <c r="K2" s="53">
        <v>33089000</v>
      </c>
      <c r="L2" s="53"/>
      <c r="M2" s="53"/>
      <c r="N2" s="53"/>
      <c r="O2" s="53"/>
      <c r="P2" s="53">
        <v>21034000</v>
      </c>
      <c r="Q2" s="53"/>
      <c r="R2" s="53"/>
      <c r="S2" s="53">
        <v>533000</v>
      </c>
      <c r="T2" s="53">
        <v>74331000</v>
      </c>
      <c r="U2" s="53">
        <v>3895000</v>
      </c>
      <c r="V2" s="53">
        <v>18760000</v>
      </c>
      <c r="W2" s="66">
        <v>39.463414634146339</v>
      </c>
      <c r="X2" s="31"/>
      <c r="Y2" s="51">
        <f t="shared" ref="Y2:Y11" si="0">V2/E2</f>
        <v>6.4092277574088155E-2</v>
      </c>
      <c r="Z2" s="31"/>
      <c r="AA2" s="31"/>
      <c r="AB2" s="51">
        <f t="shared" ref="AB2:AB11" si="1">V2/I2</f>
        <v>6.7391358466454318E-2</v>
      </c>
      <c r="AC2" s="51">
        <f t="shared" ref="AC2:AC11" si="2">P2/T2</f>
        <v>0.28297749256703125</v>
      </c>
      <c r="AD2" s="31"/>
      <c r="AE2" s="51">
        <f t="shared" ref="AE2:AE11" si="3">U2/T2</f>
        <v>5.2400748005542772E-2</v>
      </c>
      <c r="AF2" s="32"/>
    </row>
    <row r="3" spans="1:32" x14ac:dyDescent="0.3">
      <c r="A3" s="28">
        <v>2015</v>
      </c>
      <c r="B3" s="55">
        <v>133411000</v>
      </c>
      <c r="C3" s="55">
        <v>71150000</v>
      </c>
      <c r="D3" s="55">
        <v>15409000</v>
      </c>
      <c r="E3" s="55">
        <v>284220453</v>
      </c>
      <c r="F3" s="29">
        <v>0.26979999999999998</v>
      </c>
      <c r="G3" s="29">
        <v>0.1439</v>
      </c>
      <c r="H3" s="55">
        <v>102.72</v>
      </c>
      <c r="I3" s="53">
        <v>265705453</v>
      </c>
      <c r="J3" s="56">
        <v>2755000</v>
      </c>
      <c r="K3" s="53">
        <v>38376000</v>
      </c>
      <c r="L3" s="53"/>
      <c r="M3" s="53"/>
      <c r="N3" s="53"/>
      <c r="O3" s="53"/>
      <c r="P3" s="53">
        <v>19652000</v>
      </c>
      <c r="Q3" s="53"/>
      <c r="R3" s="53"/>
      <c r="S3" s="53">
        <v>552000</v>
      </c>
      <c r="T3" s="53">
        <v>70074000</v>
      </c>
      <c r="U3" s="53">
        <v>3746000</v>
      </c>
      <c r="V3" s="53">
        <v>19861000</v>
      </c>
      <c r="W3" s="66">
        <v>35.60144927536232</v>
      </c>
      <c r="X3" s="31"/>
      <c r="Y3" s="51">
        <f t="shared" si="0"/>
        <v>6.9878855621977348E-2</v>
      </c>
      <c r="Z3" s="31"/>
      <c r="AA3" s="31"/>
      <c r="AB3" s="51">
        <f t="shared" si="1"/>
        <v>7.4748183658842712E-2</v>
      </c>
      <c r="AC3" s="51">
        <f t="shared" si="2"/>
        <v>0.28044638524987869</v>
      </c>
      <c r="AD3" s="51">
        <f t="shared" ref="AD3:AD11" si="4">T3/T2 - 1</f>
        <v>-5.7270856035839701E-2</v>
      </c>
      <c r="AE3" s="51">
        <f t="shared" si="3"/>
        <v>5.3457773211176757E-2</v>
      </c>
      <c r="AF3" s="32"/>
    </row>
    <row r="4" spans="1:32" x14ac:dyDescent="0.3">
      <c r="A4" s="28">
        <v>2016</v>
      </c>
      <c r="B4" s="55">
        <v>141208000</v>
      </c>
      <c r="C4" s="55">
        <v>70418000</v>
      </c>
      <c r="D4" s="55">
        <v>16540000</v>
      </c>
      <c r="E4" s="55">
        <v>313432458</v>
      </c>
      <c r="F4" s="29">
        <v>0.28120000000000001</v>
      </c>
      <c r="G4" s="29">
        <v>0.14019999999999999</v>
      </c>
      <c r="H4" s="55">
        <f>E4/J4</f>
        <v>115.78590986331733</v>
      </c>
      <c r="I4" s="53">
        <v>298651458</v>
      </c>
      <c r="J4" s="56">
        <v>2707000</v>
      </c>
      <c r="K4" s="53">
        <v>41907000</v>
      </c>
      <c r="L4" s="53"/>
      <c r="M4" s="53"/>
      <c r="N4" s="53"/>
      <c r="O4" s="53"/>
      <c r="P4" s="53">
        <v>20215000</v>
      </c>
      <c r="Q4" s="53"/>
      <c r="R4" s="53"/>
      <c r="S4" s="53">
        <v>726000</v>
      </c>
      <c r="T4" s="53">
        <v>71890000</v>
      </c>
      <c r="U4" s="53">
        <v>3754000</v>
      </c>
      <c r="V4" s="53">
        <v>27126000</v>
      </c>
      <c r="W4" s="66">
        <v>27.844352617079888</v>
      </c>
      <c r="X4" s="31"/>
      <c r="Y4" s="51">
        <f t="shared" si="0"/>
        <v>8.6544961466626408E-2</v>
      </c>
      <c r="Z4" s="31"/>
      <c r="AA4" s="31"/>
      <c r="AB4" s="51">
        <f t="shared" si="1"/>
        <v>9.0828285860904787E-2</v>
      </c>
      <c r="AC4" s="51">
        <f t="shared" si="2"/>
        <v>0.28119349005424954</v>
      </c>
      <c r="AD4" s="51">
        <f t="shared" si="4"/>
        <v>2.5915460798584311E-2</v>
      </c>
      <c r="AE4" s="51">
        <f t="shared" si="3"/>
        <v>5.2218667408540829E-2</v>
      </c>
      <c r="AF4" s="32"/>
    </row>
    <row r="5" spans="1:32" x14ac:dyDescent="0.3">
      <c r="A5" s="28">
        <v>2017</v>
      </c>
      <c r="B5" s="55">
        <v>157303000</v>
      </c>
      <c r="C5" s="55">
        <v>60160000</v>
      </c>
      <c r="D5" s="55">
        <v>1300000</v>
      </c>
      <c r="E5" s="55">
        <v>375360585</v>
      </c>
      <c r="F5" s="29">
        <v>0.29380000000000001</v>
      </c>
      <c r="G5" s="29">
        <v>0.1124</v>
      </c>
      <c r="H5" s="55">
        <v>139.72</v>
      </c>
      <c r="I5" s="53">
        <v>391645585</v>
      </c>
      <c r="J5" s="56">
        <v>2683000</v>
      </c>
      <c r="K5" s="53">
        <v>18296000</v>
      </c>
      <c r="L5" s="53"/>
      <c r="M5" s="53"/>
      <c r="N5" s="53"/>
      <c r="O5" s="53"/>
      <c r="P5" s="53">
        <v>18222000</v>
      </c>
      <c r="Q5" s="53"/>
      <c r="R5" s="53"/>
      <c r="S5" s="53">
        <v>934000</v>
      </c>
      <c r="T5" s="53">
        <v>76450000</v>
      </c>
      <c r="U5" s="53">
        <v>5642000</v>
      </c>
      <c r="V5" s="53">
        <v>34581000</v>
      </c>
      <c r="W5" s="66">
        <v>19.509635974304068</v>
      </c>
      <c r="X5" s="31"/>
      <c r="Y5" s="51">
        <f t="shared" si="0"/>
        <v>9.2127413963828939E-2</v>
      </c>
      <c r="Z5" s="31"/>
      <c r="AA5" s="31"/>
      <c r="AB5" s="51">
        <f t="shared" si="1"/>
        <v>8.8296667508711985E-2</v>
      </c>
      <c r="AC5" s="51">
        <f t="shared" si="2"/>
        <v>0.23835186396337477</v>
      </c>
      <c r="AD5" s="51">
        <f t="shared" si="4"/>
        <v>6.3430240645430569E-2</v>
      </c>
      <c r="AE5" s="51">
        <f t="shared" si="3"/>
        <v>7.3799869195552648E-2</v>
      </c>
      <c r="AF5" s="32"/>
    </row>
    <row r="6" spans="1:32" x14ac:dyDescent="0.3">
      <c r="A6" s="28">
        <v>2018</v>
      </c>
      <c r="B6" s="55">
        <v>152954000</v>
      </c>
      <c r="C6" s="55">
        <v>59752000</v>
      </c>
      <c r="D6" s="55">
        <v>15297000</v>
      </c>
      <c r="E6" s="55">
        <v>346109265</v>
      </c>
      <c r="F6" s="29">
        <v>0.30120000000000002</v>
      </c>
      <c r="G6" s="29">
        <v>0.1177</v>
      </c>
      <c r="H6" s="55">
        <v>129.05000000000001</v>
      </c>
      <c r="I6" s="53">
        <v>356403265</v>
      </c>
      <c r="J6" s="56">
        <v>2662000</v>
      </c>
      <c r="K6" s="53">
        <v>19687000</v>
      </c>
      <c r="L6" s="53">
        <v>-1958000</v>
      </c>
      <c r="M6" s="66">
        <f>L6/T7</f>
        <v>-2.3860880585919887E-2</v>
      </c>
      <c r="N6" s="53"/>
      <c r="O6" s="53"/>
      <c r="P6" s="53">
        <v>18393000</v>
      </c>
      <c r="Q6" s="53"/>
      <c r="R6" s="53"/>
      <c r="S6" s="53">
        <v>1005000</v>
      </c>
      <c r="T6" s="53">
        <v>81581000</v>
      </c>
      <c r="U6" s="53">
        <v>6929000</v>
      </c>
      <c r="V6" s="53">
        <v>29981000</v>
      </c>
      <c r="W6" s="66">
        <v>18.301492537313433</v>
      </c>
      <c r="X6" s="31"/>
      <c r="Y6" s="51">
        <f t="shared" si="0"/>
        <v>8.6622933945440614E-2</v>
      </c>
      <c r="Z6" s="31"/>
      <c r="AA6" s="31"/>
      <c r="AB6" s="51">
        <f t="shared" si="1"/>
        <v>8.412100265130848E-2</v>
      </c>
      <c r="AC6" s="51">
        <f t="shared" si="2"/>
        <v>0.22545690785844744</v>
      </c>
      <c r="AD6" s="51">
        <f t="shared" si="4"/>
        <v>6.7115761935905738E-2</v>
      </c>
      <c r="AE6" s="51">
        <f t="shared" si="3"/>
        <v>8.493399198342752E-2</v>
      </c>
      <c r="AF6" s="32"/>
    </row>
    <row r="7" spans="1:32" x14ac:dyDescent="0.3">
      <c r="A7" s="28">
        <v>2019</v>
      </c>
      <c r="B7" s="55">
        <v>157728000</v>
      </c>
      <c r="C7" s="55">
        <v>59471000</v>
      </c>
      <c r="D7" s="55">
        <v>15119000</v>
      </c>
      <c r="E7" s="55">
        <v>383911214</v>
      </c>
      <c r="F7" s="29">
        <v>0.29139999999999999</v>
      </c>
      <c r="G7" s="29">
        <v>0.1099</v>
      </c>
      <c r="H7" s="55">
        <v>145.87</v>
      </c>
      <c r="I7" s="53">
        <v>392320214</v>
      </c>
      <c r="J7" s="56">
        <v>2633000</v>
      </c>
      <c r="K7" s="53">
        <v>19287000</v>
      </c>
      <c r="L7" s="53">
        <v>-8440000</v>
      </c>
      <c r="M7" s="66">
        <f t="shared" ref="M7:M11" si="5">L7/T8</f>
        <v>-0.1021989731667151</v>
      </c>
      <c r="N7" s="53">
        <f>L7-L6</f>
        <v>-6482000</v>
      </c>
      <c r="O7" s="53">
        <v>3498000</v>
      </c>
      <c r="P7" s="53">
        <v>17145000</v>
      </c>
      <c r="Q7" s="53"/>
      <c r="R7" s="53"/>
      <c r="S7" s="53">
        <v>318000</v>
      </c>
      <c r="T7" s="53">
        <v>82059000</v>
      </c>
      <c r="U7" s="53">
        <v>7009000</v>
      </c>
      <c r="V7" s="53">
        <v>27696000</v>
      </c>
      <c r="W7" s="66">
        <v>53.915094339622641</v>
      </c>
      <c r="X7" s="31"/>
      <c r="Y7" s="51">
        <f t="shared" si="0"/>
        <v>7.2141680133365416E-2</v>
      </c>
      <c r="Z7" s="51">
        <v>6.3E-3</v>
      </c>
      <c r="AA7" s="31"/>
      <c r="AB7" s="51">
        <f t="shared" si="1"/>
        <v>7.0595393792276015E-2</v>
      </c>
      <c r="AC7" s="51">
        <f t="shared" si="2"/>
        <v>0.2089350345483128</v>
      </c>
      <c r="AD7" s="51">
        <f t="shared" si="4"/>
        <v>5.8592074134908856E-3</v>
      </c>
      <c r="AE7" s="51">
        <f t="shared" si="3"/>
        <v>8.5414153231211695E-2</v>
      </c>
      <c r="AF7" s="32"/>
    </row>
    <row r="8" spans="1:32" x14ac:dyDescent="0.3">
      <c r="A8" s="28">
        <v>2020</v>
      </c>
      <c r="B8" s="55">
        <v>174894000</v>
      </c>
      <c r="C8" s="55">
        <v>63278000</v>
      </c>
      <c r="D8" s="55">
        <v>14714000</v>
      </c>
      <c r="E8" s="55">
        <v>414309579</v>
      </c>
      <c r="F8" s="29">
        <v>0.26069999999999999</v>
      </c>
      <c r="G8" s="29">
        <v>9.4299999999999995E-2</v>
      </c>
      <c r="H8" s="55">
        <v>157.38</v>
      </c>
      <c r="I8" s="53">
        <v>424390579</v>
      </c>
      <c r="J8" s="56">
        <v>2629000</v>
      </c>
      <c r="K8" s="53">
        <v>25185000</v>
      </c>
      <c r="L8" s="53">
        <v>-11305000</v>
      </c>
      <c r="M8" s="66">
        <f t="shared" si="5"/>
        <v>-0.14357378714757429</v>
      </c>
      <c r="N8" s="53">
        <f t="shared" ref="N8:N11" si="6">L8-L7</f>
        <v>-2865000</v>
      </c>
      <c r="O8" s="53">
        <v>3347000</v>
      </c>
      <c r="P8" s="53">
        <v>16087000</v>
      </c>
      <c r="Q8" s="53"/>
      <c r="R8" s="53"/>
      <c r="S8" s="53">
        <v>201000</v>
      </c>
      <c r="T8" s="53">
        <v>82584000</v>
      </c>
      <c r="U8" s="53">
        <v>7300000</v>
      </c>
      <c r="V8" s="53">
        <v>35266000</v>
      </c>
      <c r="W8" s="66">
        <v>80.03482587064677</v>
      </c>
      <c r="X8" s="31"/>
      <c r="Y8" s="51">
        <f t="shared" si="0"/>
        <v>8.5119924296995317E-2</v>
      </c>
      <c r="Z8" s="51">
        <v>6.8999999999999999E-3</v>
      </c>
      <c r="AA8" s="31"/>
      <c r="AB8" s="51">
        <f t="shared" si="1"/>
        <v>8.3097980363037227E-2</v>
      </c>
      <c r="AC8" s="51">
        <f t="shared" si="2"/>
        <v>0.19479560205366658</v>
      </c>
      <c r="AD8" s="51">
        <f t="shared" si="4"/>
        <v>6.3978357035792133E-3</v>
      </c>
      <c r="AE8" s="51">
        <f t="shared" si="3"/>
        <v>8.8394846459362589E-2</v>
      </c>
      <c r="AF8" s="32"/>
    </row>
    <row r="9" spans="1:32" x14ac:dyDescent="0.3">
      <c r="A9" s="28">
        <v>2021</v>
      </c>
      <c r="B9" s="55">
        <v>182018000</v>
      </c>
      <c r="C9" s="55">
        <v>74023000</v>
      </c>
      <c r="D9" s="55">
        <v>20878000</v>
      </c>
      <c r="E9" s="55">
        <v>450358383</v>
      </c>
      <c r="F9" s="29">
        <v>0.2591</v>
      </c>
      <c r="G9" s="29">
        <v>0.10539999999999999</v>
      </c>
      <c r="H9" s="55">
        <v>171.07</v>
      </c>
      <c r="I9" s="53">
        <v>452501383</v>
      </c>
      <c r="J9" s="56">
        <v>2633000</v>
      </c>
      <c r="K9" s="53">
        <v>31608000</v>
      </c>
      <c r="L9" s="53">
        <v>-10621000</v>
      </c>
      <c r="M9" s="66">
        <f t="shared" si="5"/>
        <v>-0.13277909738717339</v>
      </c>
      <c r="N9" s="53">
        <f t="shared" si="6"/>
        <v>684000</v>
      </c>
      <c r="O9" s="53">
        <v>3652000</v>
      </c>
      <c r="P9" s="53">
        <v>19524000</v>
      </c>
      <c r="Q9" s="53"/>
      <c r="R9" s="53"/>
      <c r="S9" s="53">
        <v>183000</v>
      </c>
      <c r="T9" s="53">
        <v>78740000</v>
      </c>
      <c r="U9" s="53">
        <v>7390000</v>
      </c>
      <c r="V9" s="53">
        <v>33751000</v>
      </c>
      <c r="W9" s="66">
        <v>106.68852459016394</v>
      </c>
      <c r="X9" s="31"/>
      <c r="Y9" s="51">
        <f t="shared" si="0"/>
        <v>7.4942537485751651E-2</v>
      </c>
      <c r="Z9" s="51">
        <v>6.7000000000000002E-3</v>
      </c>
      <c r="AA9" s="31"/>
      <c r="AB9" s="51">
        <f t="shared" si="1"/>
        <v>7.4587617337735293E-2</v>
      </c>
      <c r="AC9" s="51">
        <f t="shared" si="2"/>
        <v>0.24795529591059182</v>
      </c>
      <c r="AD9" s="51">
        <f t="shared" si="4"/>
        <v>-4.6546546546546552E-2</v>
      </c>
      <c r="AE9" s="51">
        <f t="shared" si="3"/>
        <v>9.3853187706375407E-2</v>
      </c>
      <c r="AF9" s="32"/>
    </row>
    <row r="10" spans="1:32" x14ac:dyDescent="0.3">
      <c r="A10" s="28">
        <v>2022</v>
      </c>
      <c r="B10" s="55">
        <v>187378000</v>
      </c>
      <c r="C10" s="55">
        <v>76804000</v>
      </c>
      <c r="D10" s="55">
        <v>17941000</v>
      </c>
      <c r="E10" s="55">
        <v>461848513</v>
      </c>
      <c r="F10" s="29">
        <v>0.25209999999999999</v>
      </c>
      <c r="G10" s="29">
        <v>0.1033</v>
      </c>
      <c r="H10" s="55">
        <f>E10/J10</f>
        <v>176.68267521040551</v>
      </c>
      <c r="I10" s="53">
        <v>477988513</v>
      </c>
      <c r="J10" s="56">
        <v>2614000</v>
      </c>
      <c r="K10" s="53">
        <v>23519000</v>
      </c>
      <c r="L10" s="53">
        <v>-9370000</v>
      </c>
      <c r="M10" s="66">
        <f t="shared" si="5"/>
        <v>-0.11002947427752792</v>
      </c>
      <c r="N10" s="53">
        <f t="shared" si="6"/>
        <v>1251000</v>
      </c>
      <c r="O10" s="53">
        <v>4009000</v>
      </c>
      <c r="P10" s="53">
        <v>20131000</v>
      </c>
      <c r="Q10" s="53"/>
      <c r="R10" s="53"/>
      <c r="S10" s="53">
        <v>276000</v>
      </c>
      <c r="T10" s="53">
        <v>79990000</v>
      </c>
      <c r="U10" s="53">
        <v>6970000</v>
      </c>
      <c r="V10" s="53">
        <v>39659000</v>
      </c>
      <c r="W10" s="66">
        <v>72.938405797101453</v>
      </c>
      <c r="X10" s="31"/>
      <c r="Y10" s="51">
        <f t="shared" si="0"/>
        <v>8.5870147642978331E-2</v>
      </c>
      <c r="Z10" s="51">
        <v>6.8999999999999999E-3</v>
      </c>
      <c r="AA10" s="31"/>
      <c r="AB10" s="51">
        <f t="shared" si="1"/>
        <v>8.2970613145257735E-2</v>
      </c>
      <c r="AC10" s="51">
        <f t="shared" si="2"/>
        <v>0.25166895861982747</v>
      </c>
      <c r="AD10" s="51">
        <f t="shared" si="4"/>
        <v>1.5875031750063551E-2</v>
      </c>
      <c r="AE10" s="51">
        <f t="shared" si="3"/>
        <v>8.7135891986498307E-2</v>
      </c>
      <c r="AF10" s="32"/>
    </row>
    <row r="11" spans="1:32" x14ac:dyDescent="0.3">
      <c r="A11" s="28">
        <v>2023</v>
      </c>
      <c r="B11" s="55">
        <v>167558000</v>
      </c>
      <c r="C11" s="55">
        <v>68774000</v>
      </c>
      <c r="D11" s="55">
        <v>35153000</v>
      </c>
      <c r="E11" s="55">
        <v>377316864</v>
      </c>
      <c r="F11" s="29">
        <v>0.21899999999999997</v>
      </c>
      <c r="G11" s="29">
        <v>8.9900000000000008E-2</v>
      </c>
      <c r="H11" s="55">
        <v>156.74</v>
      </c>
      <c r="I11" s="53">
        <v>383721864</v>
      </c>
      <c r="J11" s="56">
        <v>2407000</v>
      </c>
      <c r="K11" s="53">
        <v>22927000</v>
      </c>
      <c r="L11" s="53">
        <v>-11108000</v>
      </c>
      <c r="M11" s="66">
        <f t="shared" si="5"/>
        <v>-0.12252097999416783</v>
      </c>
      <c r="N11" s="53">
        <f t="shared" si="6"/>
        <v>-1738000</v>
      </c>
      <c r="O11" s="53">
        <v>4543000</v>
      </c>
      <c r="P11" s="53">
        <v>15539000</v>
      </c>
      <c r="Q11" s="53"/>
      <c r="R11" s="53"/>
      <c r="S11" s="53">
        <v>772000</v>
      </c>
      <c r="T11" s="53">
        <v>85159000</v>
      </c>
      <c r="U11" s="53">
        <v>7103000</v>
      </c>
      <c r="V11" s="53">
        <v>29332000</v>
      </c>
      <c r="W11" s="66">
        <v>20.128238341968913</v>
      </c>
      <c r="X11" s="33">
        <f>9% + 21%</f>
        <v>0.3</v>
      </c>
      <c r="Y11" s="51">
        <f t="shared" si="0"/>
        <v>7.773837535128035E-2</v>
      </c>
      <c r="Z11" s="51">
        <v>5.8999999999999999E-3</v>
      </c>
      <c r="AA11" s="51">
        <f>3.94%+Z11</f>
        <v>4.53E-2</v>
      </c>
      <c r="AB11" s="51">
        <f t="shared" si="1"/>
        <v>7.6440783681797186E-2</v>
      </c>
      <c r="AC11" s="51">
        <f t="shared" si="2"/>
        <v>0.1824704376519217</v>
      </c>
      <c r="AD11" s="51">
        <f t="shared" si="4"/>
        <v>6.4620577572196414E-2</v>
      </c>
      <c r="AE11" s="51">
        <f t="shared" si="3"/>
        <v>8.3408682581993687E-2</v>
      </c>
      <c r="AF11" s="57">
        <f>X11*V11</f>
        <v>8799600</v>
      </c>
    </row>
    <row r="12" spans="1:32" x14ac:dyDescent="0.3">
      <c r="A12" s="30">
        <v>2024</v>
      </c>
      <c r="B12" s="52"/>
      <c r="C12" s="52"/>
      <c r="D12" s="52"/>
      <c r="E12" s="52"/>
      <c r="F12" s="52"/>
      <c r="G12" s="52"/>
      <c r="H12" s="52"/>
      <c r="I12" s="52"/>
      <c r="J12" s="54"/>
      <c r="K12" s="54"/>
      <c r="L12" s="54">
        <f>AVERAGE($M$7:$M$11)*T12</f>
        <v>-11080754.466248915</v>
      </c>
      <c r="M12" s="54"/>
      <c r="N12" s="54">
        <f>L12-L11</f>
        <v>27245.533751085401</v>
      </c>
      <c r="O12" s="54">
        <f t="shared" ref="O12:O17" si="7">O11*(1+ AD12)</f>
        <v>4836571.2839104887</v>
      </c>
      <c r="P12" s="54">
        <f t="shared" ref="P12:P17" si="8">$AC$11 * T12</f>
        <v>16543139.154894359</v>
      </c>
      <c r="Q12" s="54">
        <f>P12*(1-$X$11)</f>
        <v>11580197.40842605</v>
      </c>
      <c r="R12" s="54">
        <f>Q12-N12-O12+U12</f>
        <v>14662122.964264639</v>
      </c>
      <c r="S12" s="54"/>
      <c r="T12" s="54">
        <f t="shared" ref="T12:T17" si="9">T11*(1+AD12)</f>
        <v>90662023.765470669</v>
      </c>
      <c r="U12" s="54">
        <f t="shared" ref="U12:U17" si="10">T12*$AE$13</f>
        <v>7945742.3735001637</v>
      </c>
      <c r="V12" s="54"/>
      <c r="AD12" s="65">
        <f>AD11</f>
        <v>6.4620577572196414E-2</v>
      </c>
      <c r="AE12" s="51" t="s">
        <v>211</v>
      </c>
    </row>
    <row r="13" spans="1:32" x14ac:dyDescent="0.3">
      <c r="A13" s="30">
        <v>2025</v>
      </c>
      <c r="B13" s="52"/>
      <c r="C13" s="52"/>
      <c r="D13" s="52"/>
      <c r="E13" s="52"/>
      <c r="F13" s="52"/>
      <c r="G13" s="52"/>
      <c r="H13" s="52"/>
      <c r="I13" s="52"/>
      <c r="J13" s="54"/>
      <c r="K13" s="54"/>
      <c r="L13" s="54">
        <f t="shared" ref="L13:L17" si="11">AVERAGE($M$7:$M$11)*T13</f>
        <v>-11741395.447462371</v>
      </c>
      <c r="M13" s="54"/>
      <c r="N13" s="54">
        <f t="shared" ref="N13:N17" si="12">L13-L12</f>
        <v>-660640.98121345602</v>
      </c>
      <c r="O13" s="54">
        <f t="shared" si="7"/>
        <v>5124930.4573263321</v>
      </c>
      <c r="P13" s="54">
        <f t="shared" si="8"/>
        <v>17529450.66616638</v>
      </c>
      <c r="Q13" s="54">
        <f t="shared" ref="Q13:Q17" si="13">P13*(1-$X$11)</f>
        <v>12270615.466316465</v>
      </c>
      <c r="R13" s="54">
        <f t="shared" ref="R13:R17" si="14">Q13-N13-O13+U13</f>
        <v>16225798.113251708</v>
      </c>
      <c r="S13" s="54"/>
      <c r="T13" s="54">
        <f t="shared" si="9"/>
        <v>96067345.986232236</v>
      </c>
      <c r="U13" s="54">
        <f t="shared" si="10"/>
        <v>8419472.1230481192</v>
      </c>
      <c r="V13" s="54"/>
      <c r="AD13" s="65">
        <f>AD12 - 0.005</f>
        <v>5.9620577572196416E-2</v>
      </c>
      <c r="AE13" s="51">
        <f>AVERAGE(AE7:AE11)</f>
        <v>8.7641352393088331E-2</v>
      </c>
    </row>
    <row r="14" spans="1:32" x14ac:dyDescent="0.3">
      <c r="A14" s="30">
        <v>2026</v>
      </c>
      <c r="B14" s="52"/>
      <c r="C14" s="52"/>
      <c r="D14" s="52"/>
      <c r="E14" s="52"/>
      <c r="F14" s="52"/>
      <c r="G14" s="52"/>
      <c r="H14" s="52"/>
      <c r="I14" s="52"/>
      <c r="J14" s="54"/>
      <c r="K14" s="54"/>
      <c r="L14" s="54">
        <f t="shared" si="11"/>
        <v>-12382717.248306323</v>
      </c>
      <c r="M14" s="54"/>
      <c r="N14" s="54">
        <f t="shared" si="12"/>
        <v>-641321.80084395222</v>
      </c>
      <c r="O14" s="54">
        <f t="shared" si="7"/>
        <v>5404857.1189228371</v>
      </c>
      <c r="P14" s="54">
        <f t="shared" si="8"/>
        <v>18486919.386075709</v>
      </c>
      <c r="Q14" s="54">
        <f t="shared" si="13"/>
        <v>12940843.570252996</v>
      </c>
      <c r="R14" s="54">
        <f t="shared" si="14"/>
        <v>17056656.805436127</v>
      </c>
      <c r="S14" s="54"/>
      <c r="T14" s="54">
        <f t="shared" si="9"/>
        <v>101314599.90982826</v>
      </c>
      <c r="U14" s="54">
        <f t="shared" si="10"/>
        <v>8879348.5532620139</v>
      </c>
      <c r="V14" s="54"/>
      <c r="AD14" s="65">
        <f t="shared" ref="AD14:AD17" si="15">AD13 - 0.005</f>
        <v>5.4620577572196419E-2</v>
      </c>
    </row>
    <row r="15" spans="1:32" x14ac:dyDescent="0.3">
      <c r="A15" s="30">
        <v>2027</v>
      </c>
      <c r="B15" s="52"/>
      <c r="C15" s="52"/>
      <c r="D15" s="52"/>
      <c r="E15" s="52"/>
      <c r="F15" s="52"/>
      <c r="G15" s="52"/>
      <c r="H15" s="52"/>
      <c r="I15" s="52"/>
      <c r="J15" s="54"/>
      <c r="K15" s="54"/>
      <c r="L15" s="54">
        <f t="shared" si="11"/>
        <v>-12997154.830080481</v>
      </c>
      <c r="M15" s="54"/>
      <c r="N15" s="54">
        <f t="shared" si="12"/>
        <v>-614437.5817741584</v>
      </c>
      <c r="O15" s="54">
        <f t="shared" si="7"/>
        <v>5673049.2508589858</v>
      </c>
      <c r="P15" s="54">
        <f t="shared" si="8"/>
        <v>19404251.003543422</v>
      </c>
      <c r="Q15" s="54">
        <f t="shared" si="13"/>
        <v>13582975.702480394</v>
      </c>
      <c r="R15" s="54">
        <f t="shared" si="14"/>
        <v>17844310.990335286</v>
      </c>
      <c r="S15" s="54"/>
      <c r="T15" s="54">
        <f t="shared" si="9"/>
        <v>106341888.87384994</v>
      </c>
      <c r="U15" s="54">
        <f t="shared" si="10"/>
        <v>9319946.9569397215</v>
      </c>
      <c r="V15" s="54"/>
      <c r="AD15" s="65">
        <f t="shared" si="15"/>
        <v>4.9620577572196421E-2</v>
      </c>
    </row>
    <row r="16" spans="1:32" x14ac:dyDescent="0.3">
      <c r="A16" s="30">
        <v>2028</v>
      </c>
      <c r="B16" s="52"/>
      <c r="C16" s="52"/>
      <c r="D16" s="52"/>
      <c r="E16" s="52"/>
      <c r="F16" s="52"/>
      <c r="G16" s="52"/>
      <c r="H16" s="52"/>
      <c r="I16" s="52"/>
      <c r="J16" s="54"/>
      <c r="K16" s="54"/>
      <c r="L16" s="54">
        <f t="shared" si="11"/>
        <v>-13577095.385393936</v>
      </c>
      <c r="M16" s="54"/>
      <c r="N16" s="54">
        <f t="shared" si="12"/>
        <v>-579940.55531345494</v>
      </c>
      <c r="O16" s="54">
        <f t="shared" si="7"/>
        <v>5926183.9850278301</v>
      </c>
      <c r="P16" s="54">
        <f t="shared" si="8"/>
        <v>20270079.8906774</v>
      </c>
      <c r="Q16" s="54">
        <f t="shared" si="13"/>
        <v>14189055.92347418</v>
      </c>
      <c r="R16" s="54">
        <f t="shared" si="14"/>
        <v>18578620.866860412</v>
      </c>
      <c r="S16" s="54"/>
      <c r="T16" s="54">
        <f t="shared" si="9"/>
        <v>111086925.37551945</v>
      </c>
      <c r="U16" s="54">
        <f t="shared" si="10"/>
        <v>9735808.3731006067</v>
      </c>
      <c r="V16" s="54"/>
      <c r="AD16" s="65">
        <f t="shared" si="15"/>
        <v>4.4620577572196424E-2</v>
      </c>
    </row>
    <row r="17" spans="1:30" x14ac:dyDescent="0.3">
      <c r="A17" s="30">
        <v>2029</v>
      </c>
      <c r="B17" s="52"/>
      <c r="C17" s="52"/>
      <c r="D17" s="52"/>
      <c r="E17" s="52"/>
      <c r="F17" s="52"/>
      <c r="G17" s="52"/>
      <c r="H17" s="52"/>
      <c r="I17" s="52"/>
      <c r="J17" s="54"/>
      <c r="K17" s="54"/>
      <c r="L17" s="54">
        <f t="shared" si="11"/>
        <v>-14115027.746316046</v>
      </c>
      <c r="M17" s="54"/>
      <c r="N17" s="54">
        <f t="shared" si="12"/>
        <v>-537932.36092210934</v>
      </c>
      <c r="O17" s="54">
        <f t="shared" si="7"/>
        <v>6160982.8173137335</v>
      </c>
      <c r="P17" s="54">
        <f t="shared" si="8"/>
        <v>21073192.163380604</v>
      </c>
      <c r="Q17" s="54">
        <f t="shared" si="13"/>
        <v>14751234.514366422</v>
      </c>
      <c r="R17" s="54">
        <f t="shared" si="14"/>
        <v>19249730.781949878</v>
      </c>
      <c r="S17" s="54"/>
      <c r="T17" s="54">
        <f t="shared" si="9"/>
        <v>115488253.51961702</v>
      </c>
      <c r="U17" s="54">
        <f t="shared" si="10"/>
        <v>10121546.723975079</v>
      </c>
      <c r="V17" s="54"/>
      <c r="AD17" s="65">
        <f t="shared" si="15"/>
        <v>3.9620577572196426E-2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topLeftCell="I1" workbookViewId="0">
      <selection activeCell="L16" sqref="L16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7" bestFit="1" customWidth="1"/>
    <col min="8" max="8" width="12" bestFit="1" customWidth="1"/>
    <col min="9" max="9" width="15.77734375" bestFit="1" customWidth="1"/>
    <col min="10" max="10" width="23.88671875" bestFit="1" customWidth="1"/>
    <col min="11" max="12" width="14.77734375" bestFit="1" customWidth="1"/>
    <col min="13" max="13" width="14.10937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12" bestFit="1" customWidth="1"/>
    <col min="18" max="18" width="6.88671875" bestFit="1" customWidth="1"/>
    <col min="19" max="19" width="13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221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76474568.687796593</v>
      </c>
      <c r="C2" s="55">
        <v>21795570.5473423</v>
      </c>
      <c r="D2" s="55">
        <v>9434839.2405509893</v>
      </c>
      <c r="E2" s="55">
        <v>191711311.431133</v>
      </c>
      <c r="F2" s="66">
        <v>0.58050000000000002</v>
      </c>
      <c r="G2" s="66">
        <v>0.16550000000000001</v>
      </c>
      <c r="H2" s="55">
        <v>272.87431536912902</v>
      </c>
      <c r="I2" s="55">
        <v>205876713.55279601</v>
      </c>
      <c r="J2" s="29">
        <v>702563</v>
      </c>
      <c r="K2" s="55">
        <v>11831967.813134201</v>
      </c>
      <c r="L2" s="55">
        <v>14245272.7067471</v>
      </c>
      <c r="M2" s="55">
        <v>1859265.8983469</v>
      </c>
      <c r="N2" s="55">
        <v>47985034.294366799</v>
      </c>
      <c r="O2" s="55">
        <v>4632493.93486977</v>
      </c>
      <c r="P2" s="55">
        <v>25997369.934797198</v>
      </c>
      <c r="Q2" s="66">
        <v>7.6617727025557647</v>
      </c>
      <c r="R2" s="31"/>
      <c r="S2" s="34" t="s">
        <v>201</v>
      </c>
      <c r="T2" s="51">
        <f>P2/E2</f>
        <v>0.13560686503433594</v>
      </c>
      <c r="U2" s="34"/>
      <c r="V2" s="51">
        <f>P2/I2</f>
        <v>0.12627639855990955</v>
      </c>
      <c r="W2" s="31"/>
      <c r="X2" s="32"/>
    </row>
    <row r="3" spans="1:24" x14ac:dyDescent="0.3">
      <c r="A3" s="28">
        <v>2015</v>
      </c>
      <c r="B3" s="55">
        <v>76366296.384096101</v>
      </c>
      <c r="C3" s="55">
        <v>23485536.551475499</v>
      </c>
      <c r="D3" s="55">
        <v>8933575.5560398102</v>
      </c>
      <c r="E3" s="55">
        <v>195734636.39291701</v>
      </c>
      <c r="F3" s="66">
        <v>0.51450000000000007</v>
      </c>
      <c r="G3" s="66">
        <v>0.15820000000000001</v>
      </c>
      <c r="H3" s="55">
        <v>278.60095720291099</v>
      </c>
      <c r="I3" s="55">
        <v>208609347.052659</v>
      </c>
      <c r="J3" s="29">
        <v>702563</v>
      </c>
      <c r="K3" s="55">
        <v>10561435.7075691</v>
      </c>
      <c r="L3" s="55">
        <v>13931055.8230877</v>
      </c>
      <c r="M3" s="55">
        <v>1625844.22564507</v>
      </c>
      <c r="N3" s="55">
        <v>48528375.848531701</v>
      </c>
      <c r="O3" s="55">
        <v>3931055.4742813101</v>
      </c>
      <c r="P3" s="55">
        <v>23436146.36731109</v>
      </c>
      <c r="Q3" s="66">
        <v>8.5685058896466018</v>
      </c>
      <c r="R3" s="31"/>
      <c r="S3" s="51">
        <f t="shared" ref="S3:S11" si="0">C3/C2 -1</f>
        <v>7.7537130788221997E-2</v>
      </c>
      <c r="T3" s="51">
        <f t="shared" ref="T3:T11" si="1">P3/E3</f>
        <v>0.11973428310493527</v>
      </c>
      <c r="U3" s="31"/>
      <c r="V3" s="51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55">
        <v>75609252.545356795</v>
      </c>
      <c r="C4" s="55">
        <v>25986220.670700099</v>
      </c>
      <c r="D4" s="55">
        <v>9425196.9223022498</v>
      </c>
      <c r="E4" s="55">
        <v>160842607.829494</v>
      </c>
      <c r="F4" s="66">
        <v>0.49270000000000003</v>
      </c>
      <c r="G4" s="66">
        <v>0.16930000000000001</v>
      </c>
      <c r="H4" s="55">
        <v>228.937009620666</v>
      </c>
      <c r="I4" s="55">
        <v>172786505.55841401</v>
      </c>
      <c r="J4" s="29">
        <v>702563</v>
      </c>
      <c r="K4" s="55">
        <v>10059055.194854699</v>
      </c>
      <c r="L4" s="55">
        <v>13847441.0505295</v>
      </c>
      <c r="M4" s="55">
        <v>1099409.45720673</v>
      </c>
      <c r="N4" s="55">
        <v>49779527.938842803</v>
      </c>
      <c r="O4" s="55">
        <v>5649606.3423156701</v>
      </c>
      <c r="P4" s="55">
        <v>22002952.923774719</v>
      </c>
      <c r="Q4" s="66">
        <v>12.595344673231844</v>
      </c>
      <c r="R4" s="31"/>
      <c r="S4" s="51">
        <f t="shared" si="0"/>
        <v>0.10647762352559464</v>
      </c>
      <c r="T4" s="51">
        <f t="shared" si="1"/>
        <v>0.13679803642017296</v>
      </c>
      <c r="U4" s="31"/>
      <c r="V4" s="51">
        <f t="shared" si="2"/>
        <v>0.12734184797976697</v>
      </c>
      <c r="W4" s="31"/>
      <c r="X4" s="32"/>
    </row>
    <row r="5" spans="1:24" x14ac:dyDescent="0.3">
      <c r="A5" s="28">
        <v>2017</v>
      </c>
      <c r="B5" s="55">
        <v>78617860.854148895</v>
      </c>
      <c r="C5" s="55">
        <v>29741617.8438663</v>
      </c>
      <c r="D5" s="55">
        <v>8851635.35857201</v>
      </c>
      <c r="E5" s="55">
        <v>177567625.19450799</v>
      </c>
      <c r="F5" s="66">
        <v>0.42219999999999996</v>
      </c>
      <c r="G5" s="66">
        <v>0.15970000000000001</v>
      </c>
      <c r="H5" s="55">
        <v>252.74274480342899</v>
      </c>
      <c r="I5" s="55">
        <v>183834414.874989</v>
      </c>
      <c r="J5" s="29">
        <v>702563</v>
      </c>
      <c r="K5" s="55">
        <v>13173382.495880101</v>
      </c>
      <c r="L5" s="55">
        <v>13332307.954073001</v>
      </c>
      <c r="M5" s="55">
        <v>863324.10192489601</v>
      </c>
      <c r="N5" s="55">
        <v>54648825.782060601</v>
      </c>
      <c r="O5" s="55">
        <v>7831436.4495277395</v>
      </c>
      <c r="P5" s="55">
        <v>19440172.176361114</v>
      </c>
      <c r="Q5" s="66">
        <v>15.442992874109324</v>
      </c>
      <c r="R5" s="31"/>
      <c r="S5" s="51">
        <f t="shared" si="0"/>
        <v>0.14451494200541726</v>
      </c>
      <c r="T5" s="51">
        <f t="shared" si="1"/>
        <v>0.10948038616311</v>
      </c>
      <c r="U5" s="31"/>
      <c r="V5" s="51">
        <f t="shared" si="2"/>
        <v>0.10574827455229649</v>
      </c>
      <c r="W5" s="31"/>
      <c r="X5" s="32"/>
    </row>
    <row r="6" spans="1:24" x14ac:dyDescent="0.3">
      <c r="A6" s="28">
        <v>2018</v>
      </c>
      <c r="B6" s="55">
        <v>79736976.637363404</v>
      </c>
      <c r="C6" s="55">
        <v>30837818.976402301</v>
      </c>
      <c r="D6" s="55">
        <v>10663146.2574005</v>
      </c>
      <c r="E6" s="55">
        <v>173660768.60041499</v>
      </c>
      <c r="F6" s="66">
        <v>0.46590000000000004</v>
      </c>
      <c r="G6" s="66">
        <v>0.1802</v>
      </c>
      <c r="H6" s="55">
        <v>247.181885623932</v>
      </c>
      <c r="I6" s="55">
        <v>179390432.52272499</v>
      </c>
      <c r="J6" s="29">
        <v>702563</v>
      </c>
      <c r="K6" s="55">
        <v>13331979.434967</v>
      </c>
      <c r="L6" s="55">
        <v>14998476.864337901</v>
      </c>
      <c r="M6" s="55">
        <v>815476.80425643898</v>
      </c>
      <c r="N6" s="55">
        <v>57729258.299827598</v>
      </c>
      <c r="O6" s="55">
        <v>7172743.0491447402</v>
      </c>
      <c r="P6" s="55">
        <v>19061643.357277006</v>
      </c>
      <c r="Q6" s="66">
        <v>18.392278953922769</v>
      </c>
      <c r="R6" s="31"/>
      <c r="S6" s="51">
        <f t="shared" si="0"/>
        <v>3.6857481603411735E-2</v>
      </c>
      <c r="T6" s="51">
        <f t="shared" si="1"/>
        <v>0.10976367034938629</v>
      </c>
      <c r="U6" s="31"/>
      <c r="V6" s="51">
        <f t="shared" si="2"/>
        <v>0.10625785940318917</v>
      </c>
      <c r="W6" s="31"/>
      <c r="X6" s="32"/>
    </row>
    <row r="7" spans="1:24" x14ac:dyDescent="0.3">
      <c r="A7" s="28">
        <v>2019</v>
      </c>
      <c r="B7" s="55">
        <v>85820076.055169106</v>
      </c>
      <c r="C7" s="55">
        <v>37045030.964493804</v>
      </c>
      <c r="D7" s="55">
        <v>13940301.1940718</v>
      </c>
      <c r="E7" s="55">
        <v>227850321.757144</v>
      </c>
      <c r="F7" s="66">
        <v>0.4632</v>
      </c>
      <c r="G7" s="66">
        <v>0.19989999999999999</v>
      </c>
      <c r="H7" s="55">
        <v>324.31314921379101</v>
      </c>
      <c r="I7" s="55">
        <v>231678043.19340599</v>
      </c>
      <c r="J7" s="29">
        <v>702563</v>
      </c>
      <c r="K7" s="55">
        <v>12266060.382366201</v>
      </c>
      <c r="L7" s="55">
        <v>18124353.956699401</v>
      </c>
      <c r="M7" s="55">
        <v>1043172.86849022</v>
      </c>
      <c r="N7" s="55">
        <v>63484815.380811699</v>
      </c>
      <c r="O7" s="55">
        <v>6516215.4725789996</v>
      </c>
      <c r="P7" s="55">
        <v>16093781.818628192</v>
      </c>
      <c r="Q7" s="66">
        <v>17.374257425742588</v>
      </c>
      <c r="R7" s="31"/>
      <c r="S7" s="51">
        <f t="shared" si="0"/>
        <v>0.20128570029032788</v>
      </c>
      <c r="T7" s="51">
        <f t="shared" si="1"/>
        <v>7.0633131849521247E-2</v>
      </c>
      <c r="U7" s="51">
        <v>6.3E-3</v>
      </c>
      <c r="V7" s="51">
        <f t="shared" si="2"/>
        <v>6.9466150511263702E-2</v>
      </c>
      <c r="W7" s="31"/>
      <c r="X7" s="32"/>
    </row>
    <row r="8" spans="1:24" x14ac:dyDescent="0.3">
      <c r="A8" s="28">
        <v>2020</v>
      </c>
      <c r="B8" s="55">
        <v>97750795.2289581</v>
      </c>
      <c r="C8" s="55">
        <v>45135043.519020103</v>
      </c>
      <c r="D8" s="55">
        <v>16222197.146415699</v>
      </c>
      <c r="E8" s="55">
        <v>246359369.27453601</v>
      </c>
      <c r="F8" s="66">
        <v>0.45169999999999999</v>
      </c>
      <c r="G8" s="66">
        <v>0.20860000000000001</v>
      </c>
      <c r="H8" s="55">
        <v>350.65819644928001</v>
      </c>
      <c r="I8" s="55">
        <v>249840985.28329501</v>
      </c>
      <c r="J8" s="29">
        <v>702563</v>
      </c>
      <c r="K8" s="55">
        <v>14007035.983085601</v>
      </c>
      <c r="L8" s="55">
        <v>21042896.235466</v>
      </c>
      <c r="M8" s="55">
        <v>643440.76824188197</v>
      </c>
      <c r="N8" s="55">
        <v>66185883.4676743</v>
      </c>
      <c r="O8" s="55">
        <v>5911257.4281692496</v>
      </c>
      <c r="P8" s="55">
        <v>17488651.991844594</v>
      </c>
      <c r="Q8" s="66">
        <v>32.703703703703717</v>
      </c>
      <c r="R8" s="31"/>
      <c r="S8" s="51">
        <f t="shared" si="0"/>
        <v>0.21838320400596389</v>
      </c>
      <c r="T8" s="51">
        <f t="shared" si="1"/>
        <v>7.0988377845519354E-2</v>
      </c>
      <c r="U8" s="51">
        <v>6.8999999999999999E-3</v>
      </c>
      <c r="V8" s="51">
        <f t="shared" si="2"/>
        <v>6.9999131535661327E-2</v>
      </c>
      <c r="W8" s="31"/>
      <c r="X8" s="32"/>
    </row>
    <row r="9" spans="1:24" x14ac:dyDescent="0.3">
      <c r="A9" s="28">
        <v>2021</v>
      </c>
      <c r="B9" s="55">
        <v>101147150.15614</v>
      </c>
      <c r="C9" s="55">
        <v>31056208.186745599</v>
      </c>
      <c r="D9" s="55">
        <v>15262408.891916299</v>
      </c>
      <c r="E9" s="55">
        <v>291817174.58843303</v>
      </c>
      <c r="F9" s="66">
        <v>0.61380000000000001</v>
      </c>
      <c r="G9" s="66">
        <v>0.1885</v>
      </c>
      <c r="H9" s="55">
        <v>415.36103452444098</v>
      </c>
      <c r="I9" s="55">
        <v>313192216.58932298</v>
      </c>
      <c r="J9" s="29">
        <v>702563</v>
      </c>
      <c r="K9" s="55">
        <v>14290567.0622587</v>
      </c>
      <c r="L9" s="55">
        <v>19891531.4739943</v>
      </c>
      <c r="M9" s="55">
        <v>479894.83809471101</v>
      </c>
      <c r="N9" s="55">
        <v>68807935.450196296</v>
      </c>
      <c r="O9" s="55">
        <v>5583434.0066909799</v>
      </c>
      <c r="P9" s="55">
        <v>35665609.063148677</v>
      </c>
      <c r="Q9" s="66">
        <v>41.449771689497837</v>
      </c>
      <c r="R9" s="31"/>
      <c r="S9" s="51">
        <f t="shared" si="0"/>
        <v>-0.31192692494783181</v>
      </c>
      <c r="T9" s="51">
        <f t="shared" si="1"/>
        <v>0.12221901988273991</v>
      </c>
      <c r="U9" s="51">
        <v>6.7000000000000002E-3</v>
      </c>
      <c r="V9" s="51">
        <f t="shared" si="2"/>
        <v>0.11387769929773073</v>
      </c>
      <c r="W9" s="31"/>
      <c r="X9" s="32"/>
    </row>
    <row r="10" spans="1:24" x14ac:dyDescent="0.3">
      <c r="A10" s="28">
        <v>2022</v>
      </c>
      <c r="B10" s="55">
        <v>95479013.825058907</v>
      </c>
      <c r="C10" s="55">
        <v>34676414.647698402</v>
      </c>
      <c r="D10" s="55">
        <v>13453560.7165098</v>
      </c>
      <c r="E10" s="55">
        <v>221060886.24396399</v>
      </c>
      <c r="F10" s="66">
        <v>0.51</v>
      </c>
      <c r="G10" s="66">
        <v>0.1852</v>
      </c>
      <c r="H10" s="55">
        <v>314.64933484792698</v>
      </c>
      <c r="I10" s="55">
        <v>239226063.50638899</v>
      </c>
      <c r="J10" s="29">
        <v>702563</v>
      </c>
      <c r="K10" s="55">
        <v>10585431.8398237</v>
      </c>
      <c r="L10" s="55">
        <v>18928784.081935901</v>
      </c>
      <c r="M10" s="55">
        <v>879501.755237579</v>
      </c>
      <c r="N10" s="55">
        <v>68541564.745306998</v>
      </c>
      <c r="O10" s="55">
        <v>7375033.8071584702</v>
      </c>
      <c r="P10" s="55">
        <v>28750609.102248698</v>
      </c>
      <c r="Q10" s="66">
        <v>21.522167487684758</v>
      </c>
      <c r="R10" s="31"/>
      <c r="S10" s="51">
        <f t="shared" si="0"/>
        <v>0.11656949358350399</v>
      </c>
      <c r="T10" s="51">
        <f t="shared" si="1"/>
        <v>0.13005742259858386</v>
      </c>
      <c r="U10" s="51">
        <v>6.8999999999999999E-3</v>
      </c>
      <c r="V10" s="51">
        <f t="shared" si="2"/>
        <v>0.12018175896407232</v>
      </c>
      <c r="W10" s="31"/>
      <c r="X10" s="32"/>
    </row>
    <row r="11" spans="1:24" x14ac:dyDescent="0.3">
      <c r="A11" s="28">
        <v>2023</v>
      </c>
      <c r="B11" s="55">
        <v>107693592.905045</v>
      </c>
      <c r="C11" s="55">
        <v>39596453.782558396</v>
      </c>
      <c r="D11" s="55">
        <v>13687280.9305191</v>
      </c>
      <c r="E11" s="55">
        <v>204483763.245511</v>
      </c>
      <c r="F11" s="66">
        <v>0.42330000000000001</v>
      </c>
      <c r="G11" s="66">
        <v>0.15560000000000002</v>
      </c>
      <c r="H11" s="55">
        <v>291.05411267280601</v>
      </c>
      <c r="I11" s="55">
        <v>228591852.77454799</v>
      </c>
      <c r="J11" s="29">
        <v>702563</v>
      </c>
      <c r="K11" s="55">
        <v>12534968.5335159</v>
      </c>
      <c r="L11" s="55">
        <v>18326290.6527519</v>
      </c>
      <c r="M11" s="55">
        <v>1570144.6814536999</v>
      </c>
      <c r="N11" s="55">
        <v>69895841.634750396</v>
      </c>
      <c r="O11" s="55">
        <v>5643711.85350418</v>
      </c>
      <c r="P11" s="55">
        <v>36643058.062552899</v>
      </c>
      <c r="Q11" s="66">
        <v>11.671721000758172</v>
      </c>
      <c r="R11" s="33">
        <v>0.15</v>
      </c>
      <c r="S11" s="51">
        <f t="shared" si="0"/>
        <v>0.14188430911459737</v>
      </c>
      <c r="T11" s="51">
        <f t="shared" si="1"/>
        <v>0.17919788584171276</v>
      </c>
      <c r="U11" s="51">
        <v>5.8999999999999999E-3</v>
      </c>
      <c r="V11" s="51">
        <f t="shared" si="2"/>
        <v>0.16029905535912797</v>
      </c>
      <c r="W11" s="51">
        <f>0.7%+U11</f>
        <v>1.2899999999999998E-2</v>
      </c>
      <c r="X11" s="57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I1" workbookViewId="0">
      <selection sqref="A1:X11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6.88671875" bestFit="1" customWidth="1"/>
    <col min="8" max="8" width="7.5546875" bestFit="1" customWidth="1"/>
    <col min="9" max="9" width="15.77734375" bestFit="1" customWidth="1"/>
    <col min="10" max="10" width="25" bestFit="1" customWidth="1"/>
    <col min="11" max="12" width="14.77734375" bestFit="1" customWidth="1"/>
    <col min="13" max="13" width="14.44140625" bestFit="1" customWidth="1"/>
    <col min="14" max="14" width="15.77734375" bestFit="1" customWidth="1"/>
    <col min="15" max="16" width="14.77734375" bestFit="1" customWidth="1"/>
    <col min="17" max="17" width="8.88671875" bestFit="1" customWidth="1"/>
    <col min="18" max="18" width="6.88671875" bestFit="1" customWidth="1"/>
    <col min="19" max="19" width="7.5546875" bestFit="1" customWidth="1"/>
    <col min="20" max="22" width="6.88671875" bestFit="1" customWidth="1"/>
    <col min="23" max="23" width="5.88671875" bestFit="1" customWidth="1"/>
    <col min="24" max="24" width="14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167566000</v>
      </c>
      <c r="C2" s="55">
        <v>71301000</v>
      </c>
      <c r="D2" s="55">
        <v>9134000</v>
      </c>
      <c r="E2" s="55">
        <v>196265471</v>
      </c>
      <c r="F2" s="66">
        <v>0.1716</v>
      </c>
      <c r="G2" s="66">
        <v>7.2999999999999995E-2</v>
      </c>
      <c r="H2" s="55">
        <v>31.15</v>
      </c>
      <c r="I2" s="55">
        <v>196825471</v>
      </c>
      <c r="J2" s="29">
        <v>6291000</v>
      </c>
      <c r="K2" s="55">
        <v>36122000</v>
      </c>
      <c r="L2" s="55">
        <v>12726000</v>
      </c>
      <c r="M2" s="55">
        <v>1360000</v>
      </c>
      <c r="N2" s="55">
        <v>49605000</v>
      </c>
      <c r="O2" s="55">
        <v>6006000</v>
      </c>
      <c r="P2" s="55">
        <v>36682000</v>
      </c>
      <c r="Q2" s="66">
        <v>9.3573529411764707</v>
      </c>
      <c r="R2" s="31"/>
      <c r="S2" s="34" t="s">
        <v>201</v>
      </c>
      <c r="T2" s="51">
        <f>P2/E2</f>
        <v>0.18689991577784967</v>
      </c>
      <c r="U2" s="34"/>
      <c r="V2" s="51">
        <f>P2/I2</f>
        <v>0.18636815557271041</v>
      </c>
      <c r="W2" s="31"/>
      <c r="X2" s="32"/>
    </row>
    <row r="3" spans="1:24" x14ac:dyDescent="0.3">
      <c r="A3" s="28">
        <v>2015</v>
      </c>
      <c r="B3" s="55">
        <v>167381000</v>
      </c>
      <c r="C3" s="55">
        <v>64720000</v>
      </c>
      <c r="D3" s="55">
        <v>6959000</v>
      </c>
      <c r="E3" s="55">
        <v>199264495</v>
      </c>
      <c r="F3" s="66">
        <v>0.13849999999999998</v>
      </c>
      <c r="G3" s="66">
        <v>5.3600000000000002E-2</v>
      </c>
      <c r="H3" s="55">
        <v>32.28</v>
      </c>
      <c r="I3" s="55">
        <v>214873495</v>
      </c>
      <c r="J3" s="29">
        <v>6175000</v>
      </c>
      <c r="K3" s="55">
        <v>23290000</v>
      </c>
      <c r="L3" s="55">
        <v>10329000</v>
      </c>
      <c r="M3" s="55">
        <v>1199000</v>
      </c>
      <c r="N3" s="55">
        <v>48851000</v>
      </c>
      <c r="O3" s="55">
        <v>5975000</v>
      </c>
      <c r="P3" s="55">
        <v>38899000</v>
      </c>
      <c r="Q3" s="66">
        <v>8.614678899082568</v>
      </c>
      <c r="R3" s="31"/>
      <c r="S3" s="51">
        <f t="shared" ref="S3:S11" si="0">C3/C2 -1</f>
        <v>-9.2298845738488899E-2</v>
      </c>
      <c r="T3" s="51">
        <f t="shared" ref="T3:T11" si="1">P3/E3</f>
        <v>0.19521290032125391</v>
      </c>
      <c r="U3" s="31"/>
      <c r="V3" s="51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55">
        <v>171615000</v>
      </c>
      <c r="C4" s="55">
        <v>59544000</v>
      </c>
      <c r="D4" s="55">
        <v>7213000</v>
      </c>
      <c r="E4" s="55">
        <v>197100172</v>
      </c>
      <c r="F4" s="66">
        <v>0.14019999999999999</v>
      </c>
      <c r="G4" s="66">
        <v>4.87E-2</v>
      </c>
      <c r="H4" s="55">
        <v>32.479999999999997</v>
      </c>
      <c r="I4" s="55">
        <v>221336172</v>
      </c>
      <c r="J4" s="29">
        <v>6070000</v>
      </c>
      <c r="K4" s="55">
        <v>17850000</v>
      </c>
      <c r="L4" s="55">
        <v>9004000</v>
      </c>
      <c r="M4" s="55">
        <v>1186000</v>
      </c>
      <c r="N4" s="55">
        <v>52824000</v>
      </c>
      <c r="O4" s="55">
        <v>7204000</v>
      </c>
      <c r="P4" s="55">
        <v>42086000</v>
      </c>
      <c r="Q4" s="66">
        <v>7.5919055649241143</v>
      </c>
      <c r="R4" s="31"/>
      <c r="S4" s="51">
        <f t="shared" si="0"/>
        <v>-7.997527812113725E-2</v>
      </c>
      <c r="T4" s="51">
        <f t="shared" si="1"/>
        <v>0.2135259425344388</v>
      </c>
      <c r="U4" s="31"/>
      <c r="V4" s="51">
        <f t="shared" si="2"/>
        <v>0.19014515169260268</v>
      </c>
      <c r="W4" s="31"/>
      <c r="X4" s="32"/>
    </row>
    <row r="5" spans="1:24" x14ac:dyDescent="0.3">
      <c r="A5" s="28">
        <v>2017</v>
      </c>
      <c r="B5" s="55">
        <v>171797000</v>
      </c>
      <c r="C5" s="55">
        <v>71308000</v>
      </c>
      <c r="D5" s="55">
        <v>21308000</v>
      </c>
      <c r="E5" s="55">
        <v>215896826</v>
      </c>
      <c r="F5" s="66">
        <v>0.1726</v>
      </c>
      <c r="G5" s="66">
        <v>7.1599999999999997E-2</v>
      </c>
      <c r="H5" s="55">
        <v>36.22</v>
      </c>
      <c r="I5" s="55">
        <v>239395826</v>
      </c>
      <c r="J5" s="29">
        <v>5979000</v>
      </c>
      <c r="K5" s="55">
        <v>19992000</v>
      </c>
      <c r="L5" s="55">
        <v>12989000</v>
      </c>
      <c r="M5" s="55">
        <v>1270000</v>
      </c>
      <c r="N5" s="55">
        <v>52546000</v>
      </c>
      <c r="O5" s="55">
        <v>6664000</v>
      </c>
      <c r="P5" s="55">
        <v>43491000</v>
      </c>
      <c r="Q5" s="66">
        <v>10.22755905511811</v>
      </c>
      <c r="R5" s="31"/>
      <c r="S5" s="51">
        <f t="shared" si="0"/>
        <v>0.19756818487169148</v>
      </c>
      <c r="T5" s="51">
        <f t="shared" si="1"/>
        <v>0.20144344317502844</v>
      </c>
      <c r="U5" s="31"/>
      <c r="V5" s="51">
        <f t="shared" si="2"/>
        <v>0.1816698341265148</v>
      </c>
      <c r="W5" s="31"/>
      <c r="X5" s="32"/>
    </row>
    <row r="6" spans="1:24" x14ac:dyDescent="0.3">
      <c r="A6" s="28">
        <v>2018</v>
      </c>
      <c r="B6" s="55">
        <v>159422000</v>
      </c>
      <c r="C6" s="55">
        <v>63407000</v>
      </c>
      <c r="D6" s="55">
        <v>11151000</v>
      </c>
      <c r="E6" s="55">
        <v>252317724</v>
      </c>
      <c r="F6" s="66">
        <v>5.67E-2</v>
      </c>
      <c r="G6" s="66">
        <v>2.2499999999999999E-2</v>
      </c>
      <c r="H6" s="55">
        <v>43.65</v>
      </c>
      <c r="I6" s="55">
        <v>275224724</v>
      </c>
      <c r="J6" s="29">
        <v>5717000</v>
      </c>
      <c r="K6" s="55">
        <v>18833000</v>
      </c>
      <c r="L6" s="55">
        <v>4062000</v>
      </c>
      <c r="M6" s="55">
        <v>1316000</v>
      </c>
      <c r="N6" s="55">
        <v>40825000</v>
      </c>
      <c r="O6" s="55">
        <v>9499000</v>
      </c>
      <c r="P6" s="55">
        <v>41740000</v>
      </c>
      <c r="Q6" s="66">
        <v>3.0866261398176293</v>
      </c>
      <c r="R6" s="31"/>
      <c r="S6" s="51">
        <f t="shared" si="0"/>
        <v>-0.11080103214225612</v>
      </c>
      <c r="T6" s="51">
        <f t="shared" si="1"/>
        <v>0.16542634951795934</v>
      </c>
      <c r="U6" s="31"/>
      <c r="V6" s="51">
        <f t="shared" si="2"/>
        <v>0.15165788666573429</v>
      </c>
      <c r="W6" s="31"/>
      <c r="X6" s="32"/>
    </row>
    <row r="7" spans="1:24" x14ac:dyDescent="0.3">
      <c r="A7" s="28">
        <v>2019</v>
      </c>
      <c r="B7" s="55">
        <v>167594000</v>
      </c>
      <c r="C7" s="55">
        <v>63144000</v>
      </c>
      <c r="D7" s="55">
        <v>16272000</v>
      </c>
      <c r="E7" s="55">
        <v>216826916</v>
      </c>
      <c r="F7" s="66">
        <v>0.18190000000000001</v>
      </c>
      <c r="G7" s="66">
        <v>6.8499999999999991E-2</v>
      </c>
      <c r="H7" s="55">
        <v>39.18</v>
      </c>
      <c r="I7" s="55">
        <v>259330916</v>
      </c>
      <c r="J7" s="29">
        <v>5534000</v>
      </c>
      <c r="K7" s="55">
        <v>9646000</v>
      </c>
      <c r="L7" s="55">
        <v>12331000</v>
      </c>
      <c r="M7" s="55">
        <v>1573000</v>
      </c>
      <c r="N7" s="55">
        <v>41172000</v>
      </c>
      <c r="O7" s="55">
        <v>8853000</v>
      </c>
      <c r="P7" s="55">
        <v>52150000</v>
      </c>
      <c r="Q7" s="66">
        <v>7.8391608391608392</v>
      </c>
      <c r="R7" s="31"/>
      <c r="S7" s="51">
        <f t="shared" si="0"/>
        <v>-4.1478070244610477E-3</v>
      </c>
      <c r="T7" s="51">
        <f t="shared" si="1"/>
        <v>0.24051442026690081</v>
      </c>
      <c r="U7" s="51">
        <v>7.7999999999999996E-3</v>
      </c>
      <c r="V7" s="51">
        <f t="shared" si="2"/>
        <v>0.20109441945595102</v>
      </c>
      <c r="W7" s="31"/>
      <c r="X7" s="32"/>
    </row>
    <row r="8" spans="1:24" x14ac:dyDescent="0.3">
      <c r="A8" s="28">
        <v>2020</v>
      </c>
      <c r="B8" s="55">
        <v>154229000</v>
      </c>
      <c r="C8" s="55">
        <v>63238000</v>
      </c>
      <c r="D8" s="55">
        <v>9159000</v>
      </c>
      <c r="E8" s="55">
        <v>204604586</v>
      </c>
      <c r="F8" s="66">
        <v>0.11130000000000001</v>
      </c>
      <c r="G8" s="66">
        <v>4.5599999999999995E-2</v>
      </c>
      <c r="H8" s="55">
        <v>36.81</v>
      </c>
      <c r="I8" s="55">
        <v>232219586</v>
      </c>
      <c r="J8" s="29">
        <v>5620000</v>
      </c>
      <c r="K8" s="55">
        <v>12221000</v>
      </c>
      <c r="L8" s="55">
        <v>7534000</v>
      </c>
      <c r="M8" s="55">
        <v>1449000</v>
      </c>
      <c r="N8" s="55">
        <v>41651000</v>
      </c>
      <c r="O8" s="55">
        <v>6468000</v>
      </c>
      <c r="P8" s="55">
        <v>39836000</v>
      </c>
      <c r="Q8" s="66">
        <v>5.1994478951000689</v>
      </c>
      <c r="R8" s="31"/>
      <c r="S8" s="51">
        <f t="shared" si="0"/>
        <v>1.4886608387179034E-3</v>
      </c>
      <c r="T8" s="51">
        <f t="shared" si="1"/>
        <v>0.1946974932419159</v>
      </c>
      <c r="U8" s="51">
        <v>1.18E-2</v>
      </c>
      <c r="V8" s="51">
        <f t="shared" si="2"/>
        <v>0.17154453113184001</v>
      </c>
      <c r="W8" s="31"/>
      <c r="X8" s="32"/>
    </row>
    <row r="9" spans="1:24" x14ac:dyDescent="0.3">
      <c r="A9" s="28">
        <v>2021</v>
      </c>
      <c r="B9" s="55">
        <v>181476000</v>
      </c>
      <c r="C9" s="55">
        <v>77200000</v>
      </c>
      <c r="D9" s="55">
        <v>21980000</v>
      </c>
      <c r="E9" s="55">
        <v>331439768</v>
      </c>
      <c r="F9" s="66">
        <v>0.31489999999999996</v>
      </c>
      <c r="G9" s="66">
        <v>0.13400000000000001</v>
      </c>
      <c r="H9" s="55">
        <v>59.05</v>
      </c>
      <c r="I9" s="55">
        <v>338806768</v>
      </c>
      <c r="J9" s="29">
        <v>5567000</v>
      </c>
      <c r="K9" s="55">
        <v>31069000</v>
      </c>
      <c r="L9" s="55">
        <v>23486000</v>
      </c>
      <c r="M9" s="55">
        <v>1291000</v>
      </c>
      <c r="N9" s="55">
        <v>81288000</v>
      </c>
      <c r="O9" s="55">
        <v>5277000</v>
      </c>
      <c r="P9" s="55">
        <v>38436000</v>
      </c>
      <c r="Q9" s="66">
        <v>18.192099147947328</v>
      </c>
      <c r="R9" s="31"/>
      <c r="S9" s="51">
        <f t="shared" si="0"/>
        <v>0.22078497106170336</v>
      </c>
      <c r="T9" s="51">
        <f t="shared" si="1"/>
        <v>0.11596677197770668</v>
      </c>
      <c r="U9" s="51">
        <v>6.7000000000000002E-3</v>
      </c>
      <c r="V9" s="51">
        <f t="shared" si="2"/>
        <v>0.11344519540412487</v>
      </c>
      <c r="W9" s="31"/>
      <c r="X9" s="32"/>
    </row>
    <row r="10" spans="1:24" x14ac:dyDescent="0.3">
      <c r="A10" s="28">
        <v>2022</v>
      </c>
      <c r="B10" s="55">
        <v>197205000</v>
      </c>
      <c r="C10" s="55">
        <v>95660000</v>
      </c>
      <c r="D10" s="55">
        <v>31372000</v>
      </c>
      <c r="E10" s="55">
        <v>287626246</v>
      </c>
      <c r="F10" s="66">
        <v>0.36299999999999999</v>
      </c>
      <c r="G10" s="66">
        <v>0.17610000000000001</v>
      </c>
      <c r="H10" s="55">
        <v>51.24</v>
      </c>
      <c r="I10" s="55">
        <v>300723246</v>
      </c>
      <c r="J10" s="29">
        <v>5616000</v>
      </c>
      <c r="K10" s="55">
        <v>22732000</v>
      </c>
      <c r="L10" s="55">
        <v>36237000</v>
      </c>
      <c r="M10" s="55">
        <v>1238000</v>
      </c>
      <c r="N10" s="55">
        <v>100330000</v>
      </c>
      <c r="O10" s="55">
        <v>5485000</v>
      </c>
      <c r="P10" s="55">
        <v>35829000</v>
      </c>
      <c r="Q10" s="66">
        <v>29.27059773828756</v>
      </c>
      <c r="R10" s="31"/>
      <c r="S10" s="51">
        <f t="shared" si="0"/>
        <v>0.23911917098445601</v>
      </c>
      <c r="T10" s="51">
        <f t="shared" si="1"/>
        <v>0.12456790886878939</v>
      </c>
      <c r="U10" s="51">
        <v>6.8999999999999999E-3</v>
      </c>
      <c r="V10" s="51">
        <f t="shared" si="2"/>
        <v>0.11914276823149215</v>
      </c>
      <c r="W10" s="31"/>
      <c r="X10" s="32"/>
    </row>
    <row r="11" spans="1:24" x14ac:dyDescent="0.3">
      <c r="A11" s="28">
        <v>2023</v>
      </c>
      <c r="B11" s="55">
        <v>226502000</v>
      </c>
      <c r="C11" s="55">
        <v>89014000</v>
      </c>
      <c r="D11" s="55">
        <v>2119000</v>
      </c>
      <c r="E11" s="55">
        <v>162560244</v>
      </c>
      <c r="F11" s="66">
        <v>1.1899999999999999E-2</v>
      </c>
      <c r="G11" s="66">
        <v>4.6999999999999993E-3</v>
      </c>
      <c r="H11" s="55">
        <v>28.79</v>
      </c>
      <c r="I11" s="55">
        <v>221758244</v>
      </c>
      <c r="J11" s="29">
        <v>5646000</v>
      </c>
      <c r="K11" s="55">
        <v>12690000</v>
      </c>
      <c r="L11" s="55">
        <v>-929000</v>
      </c>
      <c r="M11" s="55">
        <v>2209000</v>
      </c>
      <c r="N11" s="55">
        <v>58496000</v>
      </c>
      <c r="O11" s="55">
        <v>15514000</v>
      </c>
      <c r="P11" s="55">
        <v>71888000</v>
      </c>
      <c r="Q11" s="66">
        <v>-0.42055228610230871</v>
      </c>
      <c r="R11" s="33">
        <f>7.25% + 21%</f>
        <v>0.28249999999999997</v>
      </c>
      <c r="S11" s="51">
        <f t="shared" si="0"/>
        <v>-6.9475224754338316E-2</v>
      </c>
      <c r="T11" s="51">
        <f t="shared" si="1"/>
        <v>0.44222374567794082</v>
      </c>
      <c r="U11" s="51">
        <v>0.2</v>
      </c>
      <c r="V11" s="51">
        <f t="shared" si="2"/>
        <v>0.32417284112332706</v>
      </c>
      <c r="W11" s="51">
        <f>0.69 %+ 3.94%</f>
        <v>4.6299999999999994E-2</v>
      </c>
      <c r="X11" s="57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I1" workbookViewId="0">
      <selection sqref="A1:X11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6.88671875" bestFit="1" customWidth="1"/>
    <col min="8" max="8" width="8.5546875" bestFit="1" customWidth="1"/>
    <col min="9" max="9" width="15.77734375" bestFit="1" customWidth="1"/>
    <col min="10" max="10" width="25" bestFit="1" customWidth="1"/>
    <col min="11" max="12" width="14.77734375" bestFit="1" customWidth="1"/>
    <col min="13" max="13" width="14.4414062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8.88671875" bestFit="1" customWidth="1"/>
    <col min="18" max="18" width="6.88671875" bestFit="1" customWidth="1"/>
    <col min="19" max="19" width="7.5546875" bestFit="1" customWidth="1"/>
    <col min="20" max="20" width="6.88671875" bestFit="1" customWidth="1"/>
    <col min="21" max="21" width="6.6640625" bestFit="1" customWidth="1"/>
    <col min="22" max="22" width="6.88671875" bestFit="1" customWidth="1"/>
    <col min="23" max="23" width="5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125387000</v>
      </c>
      <c r="C2" s="55">
        <v>70844000</v>
      </c>
      <c r="D2" s="55">
        <v>10210000</v>
      </c>
      <c r="E2" s="55">
        <v>252671019.956</v>
      </c>
      <c r="F2" s="66">
        <v>0.16829999999999998</v>
      </c>
      <c r="G2" s="66">
        <v>9.5100000000000004E-2</v>
      </c>
      <c r="H2" s="55">
        <v>93.367702943086599</v>
      </c>
      <c r="I2" s="55">
        <v>259524019.956</v>
      </c>
      <c r="J2" s="29">
        <v>2706193</v>
      </c>
      <c r="K2" s="55">
        <v>13506000</v>
      </c>
      <c r="L2" s="55">
        <v>10736000</v>
      </c>
      <c r="M2" s="55">
        <v>792000</v>
      </c>
      <c r="N2" s="55">
        <v>59276000</v>
      </c>
      <c r="O2" s="55">
        <v>4774000</v>
      </c>
      <c r="P2" s="55">
        <v>20358999.99999997</v>
      </c>
      <c r="Q2" s="66">
        <v>13.555555555555555</v>
      </c>
      <c r="R2" s="31"/>
      <c r="S2" s="34" t="s">
        <v>201</v>
      </c>
      <c r="T2" s="51">
        <f>P2/E2</f>
        <v>8.0575128891098302E-2</v>
      </c>
      <c r="U2" s="34"/>
      <c r="V2" s="51">
        <f>P2/I2</f>
        <v>7.8447459327470562E-2</v>
      </c>
      <c r="W2" s="31"/>
      <c r="X2" s="32"/>
    </row>
    <row r="3" spans="1:24" x14ac:dyDescent="0.3">
      <c r="A3" s="28">
        <v>2015</v>
      </c>
      <c r="B3" s="55">
        <v>131556000</v>
      </c>
      <c r="C3" s="55">
        <v>77122000</v>
      </c>
      <c r="D3" s="55">
        <v>17783000</v>
      </c>
      <c r="E3" s="55">
        <v>234213293.69499999</v>
      </c>
      <c r="F3" s="66">
        <v>0.10550000000000001</v>
      </c>
      <c r="G3" s="66">
        <v>6.1799999999999994E-2</v>
      </c>
      <c r="H3" s="55">
        <v>87.491183376312307</v>
      </c>
      <c r="I3" s="55">
        <v>250810293.69499999</v>
      </c>
      <c r="J3" s="29">
        <v>2676993</v>
      </c>
      <c r="K3" s="55">
        <v>5304000</v>
      </c>
      <c r="L3" s="55">
        <v>8977000</v>
      </c>
      <c r="M3" s="55">
        <v>890000</v>
      </c>
      <c r="N3" s="55">
        <v>50387000</v>
      </c>
      <c r="O3" s="55">
        <v>4148000</v>
      </c>
      <c r="P3" s="55">
        <v>21901000</v>
      </c>
      <c r="Q3" s="66">
        <v>10.086516853932585</v>
      </c>
      <c r="R3" s="31"/>
      <c r="S3" s="51">
        <f t="shared" ref="S3:S11" si="0">C3/C2 -1</f>
        <v>8.8617243520975775E-2</v>
      </c>
      <c r="T3" s="51">
        <f t="shared" ref="T3:T11" si="1">P3/E3</f>
        <v>9.3508782761580478E-2</v>
      </c>
      <c r="U3" s="31"/>
      <c r="V3" s="51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55">
        <v>130124000</v>
      </c>
      <c r="C4" s="55">
        <v>74891000</v>
      </c>
      <c r="D4" s="55">
        <v>6712000</v>
      </c>
      <c r="E4" s="55">
        <v>191603548.85699999</v>
      </c>
      <c r="F4" s="66">
        <v>0.10439999999999999</v>
      </c>
      <c r="G4" s="66">
        <v>6.0100000000000001E-2</v>
      </c>
      <c r="H4" s="55">
        <v>72.933071422576901</v>
      </c>
      <c r="I4" s="55">
        <v>207742548.85699999</v>
      </c>
      <c r="J4" s="29">
        <v>2627115</v>
      </c>
      <c r="K4" s="55">
        <v>7547000</v>
      </c>
      <c r="L4" s="55">
        <v>8268000</v>
      </c>
      <c r="M4" s="55">
        <v>728000</v>
      </c>
      <c r="N4" s="55">
        <v>49436000</v>
      </c>
      <c r="O4" s="55">
        <v>6063000</v>
      </c>
      <c r="P4" s="55">
        <v>23686000</v>
      </c>
      <c r="Q4" s="66">
        <v>11.357142857142858</v>
      </c>
      <c r="R4" s="31"/>
      <c r="S4" s="51">
        <f t="shared" si="0"/>
        <v>-2.8928191696273475E-2</v>
      </c>
      <c r="T4" s="51">
        <f t="shared" si="1"/>
        <v>0.12361983972268509</v>
      </c>
      <c r="U4" s="31"/>
      <c r="V4" s="51">
        <f t="shared" si="2"/>
        <v>0.11401612298645813</v>
      </c>
      <c r="W4" s="31"/>
      <c r="X4" s="32"/>
    </row>
    <row r="5" spans="1:24" x14ac:dyDescent="0.3">
      <c r="A5" s="28">
        <v>2017</v>
      </c>
      <c r="B5" s="55">
        <v>133079000</v>
      </c>
      <c r="C5" s="55">
        <v>74227000</v>
      </c>
      <c r="D5" s="55">
        <v>7703000</v>
      </c>
      <c r="E5" s="55">
        <v>221088912.42899999</v>
      </c>
      <c r="F5" s="66">
        <v>0.12119999999999999</v>
      </c>
      <c r="G5" s="66">
        <v>6.7599999999999993E-2</v>
      </c>
      <c r="H5" s="55">
        <v>84.486824226379397</v>
      </c>
      <c r="I5" s="55">
        <v>240059912.42899999</v>
      </c>
      <c r="J5" s="29">
        <v>2616845</v>
      </c>
      <c r="K5" s="55">
        <v>9454000</v>
      </c>
      <c r="L5" s="55">
        <v>8629000</v>
      </c>
      <c r="M5" s="55">
        <v>803000</v>
      </c>
      <c r="N5" s="55">
        <v>50135000</v>
      </c>
      <c r="O5" s="55">
        <v>6108000</v>
      </c>
      <c r="P5" s="55">
        <v>28425000</v>
      </c>
      <c r="Q5" s="66">
        <v>10.745952677459528</v>
      </c>
      <c r="R5" s="31"/>
      <c r="S5" s="51">
        <f t="shared" si="0"/>
        <v>-8.8662189048083206E-3</v>
      </c>
      <c r="T5" s="51">
        <f t="shared" si="1"/>
        <v>0.12856818411971854</v>
      </c>
      <c r="U5" s="31"/>
      <c r="V5" s="51">
        <f t="shared" si="2"/>
        <v>0.11840794121928611</v>
      </c>
      <c r="W5" s="31"/>
      <c r="X5" s="32"/>
    </row>
    <row r="6" spans="1:24" x14ac:dyDescent="0.3">
      <c r="A6" s="28">
        <v>2018</v>
      </c>
      <c r="B6" s="55">
        <v>145563000</v>
      </c>
      <c r="C6" s="55">
        <v>78692000</v>
      </c>
      <c r="D6" s="55">
        <v>12611000</v>
      </c>
      <c r="E6" s="55">
        <v>217685096.62900001</v>
      </c>
      <c r="F6" s="66">
        <v>0.17579999999999998</v>
      </c>
      <c r="G6" s="66">
        <v>9.5000000000000001E-2</v>
      </c>
      <c r="H6" s="55">
        <v>85.345791568756098</v>
      </c>
      <c r="I6" s="55">
        <v>233941096.62900001</v>
      </c>
      <c r="J6" s="29">
        <v>2550625</v>
      </c>
      <c r="K6" s="55">
        <v>15834000</v>
      </c>
      <c r="L6" s="55">
        <v>8169000</v>
      </c>
      <c r="M6" s="55">
        <v>1000000</v>
      </c>
      <c r="N6" s="55">
        <v>53166000</v>
      </c>
      <c r="O6" s="55">
        <v>6729000</v>
      </c>
      <c r="P6" s="55">
        <v>32090000</v>
      </c>
      <c r="Q6" s="66">
        <v>8.1690000000000005</v>
      </c>
      <c r="R6" s="31"/>
      <c r="S6" s="51">
        <f t="shared" si="0"/>
        <v>6.0153313484311743E-2</v>
      </c>
      <c r="T6" s="51">
        <f t="shared" si="1"/>
        <v>0.14741477711122725</v>
      </c>
      <c r="U6" s="31"/>
      <c r="V6" s="51">
        <f t="shared" si="2"/>
        <v>0.13717128141401569</v>
      </c>
      <c r="W6" s="31"/>
      <c r="X6" s="32"/>
    </row>
    <row r="7" spans="1:24" x14ac:dyDescent="0.3">
      <c r="A7" s="28">
        <v>2019</v>
      </c>
      <c r="B7" s="55">
        <v>118370000</v>
      </c>
      <c r="C7" s="55">
        <v>55551000</v>
      </c>
      <c r="D7" s="55">
        <v>11732000</v>
      </c>
      <c r="E7" s="55">
        <v>239894384.63999999</v>
      </c>
      <c r="F7" s="66">
        <v>0.16200000000000001</v>
      </c>
      <c r="G7" s="66">
        <v>7.5999999999999998E-2</v>
      </c>
      <c r="H7" s="55">
        <v>94.918402588367499</v>
      </c>
      <c r="I7" s="55">
        <v>257698384.63999999</v>
      </c>
      <c r="J7" s="29">
        <v>2527375</v>
      </c>
      <c r="K7" s="55">
        <v>11344000</v>
      </c>
      <c r="L7" s="55">
        <v>9157000</v>
      </c>
      <c r="M7" s="55">
        <v>915000</v>
      </c>
      <c r="N7" s="55">
        <v>50486000</v>
      </c>
      <c r="O7" s="55">
        <v>5866000</v>
      </c>
      <c r="P7" s="55">
        <v>29148000</v>
      </c>
      <c r="Q7" s="66">
        <v>10.007650273224044</v>
      </c>
      <c r="R7" s="31"/>
      <c r="S7" s="51">
        <f t="shared" si="0"/>
        <v>-0.29407055355055156</v>
      </c>
      <c r="T7" s="51">
        <f t="shared" si="1"/>
        <v>0.12150346930271523</v>
      </c>
      <c r="U7" s="51">
        <v>6.3E-3</v>
      </c>
      <c r="V7" s="51">
        <f t="shared" si="2"/>
        <v>0.11310897443427607</v>
      </c>
      <c r="W7" s="31"/>
      <c r="X7" s="32"/>
    </row>
    <row r="8" spans="1:24" x14ac:dyDescent="0.3">
      <c r="A8" s="28">
        <v>2020</v>
      </c>
      <c r="B8" s="55">
        <v>132059000</v>
      </c>
      <c r="C8" s="55">
        <v>56666000</v>
      </c>
      <c r="D8" s="55">
        <v>8072000</v>
      </c>
      <c r="E8" s="55">
        <v>234191615.44800001</v>
      </c>
      <c r="F8" s="66">
        <v>0.17430000000000001</v>
      </c>
      <c r="G8" s="66">
        <v>7.4800000000000005E-2</v>
      </c>
      <c r="H8" s="55">
        <v>94.927372598648105</v>
      </c>
      <c r="I8" s="55">
        <v>260642615.44800001</v>
      </c>
      <c r="J8" s="29">
        <v>2467061</v>
      </c>
      <c r="K8" s="55">
        <v>11404000</v>
      </c>
      <c r="L8" s="55">
        <v>10152000</v>
      </c>
      <c r="M8" s="55">
        <v>921000</v>
      </c>
      <c r="N8" s="55">
        <v>49898000</v>
      </c>
      <c r="O8" s="55">
        <v>6471000</v>
      </c>
      <c r="P8" s="55">
        <v>37855000</v>
      </c>
      <c r="Q8" s="66">
        <v>11.022801302931596</v>
      </c>
      <c r="R8" s="31"/>
      <c r="S8" s="51">
        <f t="shared" si="0"/>
        <v>2.0071645874961686E-2</v>
      </c>
      <c r="T8" s="51">
        <f t="shared" si="1"/>
        <v>0.16164114128332377</v>
      </c>
      <c r="U8" s="51">
        <v>6.8999999999999999E-3</v>
      </c>
      <c r="V8" s="51">
        <f t="shared" si="2"/>
        <v>0.14523718592576942</v>
      </c>
      <c r="W8" s="31"/>
      <c r="X8" s="32"/>
    </row>
    <row r="9" spans="1:24" x14ac:dyDescent="0.3">
      <c r="A9" s="28">
        <v>2021</v>
      </c>
      <c r="B9" s="55">
        <v>131795000</v>
      </c>
      <c r="C9" s="55">
        <v>67822000</v>
      </c>
      <c r="D9" s="55">
        <v>24021000</v>
      </c>
      <c r="E9" s="55">
        <v>214128757.36000001</v>
      </c>
      <c r="F9" s="66">
        <v>0.38539999999999996</v>
      </c>
      <c r="G9" s="66">
        <v>0.19829999999999998</v>
      </c>
      <c r="H9" s="55">
        <v>87.958807311058095</v>
      </c>
      <c r="I9" s="55">
        <v>216929757.36000001</v>
      </c>
      <c r="J9" s="29">
        <v>2434421</v>
      </c>
      <c r="K9" s="55">
        <v>28224000</v>
      </c>
      <c r="L9" s="55">
        <v>11689000</v>
      </c>
      <c r="M9" s="55">
        <v>905000</v>
      </c>
      <c r="N9" s="55">
        <v>52877000</v>
      </c>
      <c r="O9" s="55">
        <v>6216000</v>
      </c>
      <c r="P9" s="55">
        <v>31025000</v>
      </c>
      <c r="Q9" s="66">
        <v>12.916022099447513</v>
      </c>
      <c r="R9" s="31"/>
      <c r="S9" s="51">
        <f t="shared" si="0"/>
        <v>0.19687290438711047</v>
      </c>
      <c r="T9" s="51">
        <f t="shared" si="1"/>
        <v>0.14488945988623</v>
      </c>
      <c r="U9" s="51">
        <v>6.7000000000000002E-3</v>
      </c>
      <c r="V9" s="51">
        <f t="shared" si="2"/>
        <v>0.14301864519450544</v>
      </c>
      <c r="W9" s="31"/>
      <c r="X9" s="32"/>
    </row>
    <row r="10" spans="1:24" x14ac:dyDescent="0.3">
      <c r="A10" s="28">
        <v>2022</v>
      </c>
      <c r="B10" s="55">
        <v>117453000</v>
      </c>
      <c r="C10" s="55">
        <v>59423000</v>
      </c>
      <c r="D10" s="55">
        <v>6955000</v>
      </c>
      <c r="E10" s="55">
        <v>217630164.68399999</v>
      </c>
      <c r="F10" s="66">
        <v>0.1409</v>
      </c>
      <c r="G10" s="66">
        <v>7.1300000000000002E-2</v>
      </c>
      <c r="H10" s="55">
        <v>90.538856798410393</v>
      </c>
      <c r="I10" s="55">
        <v>226813164.68399999</v>
      </c>
      <c r="J10" s="29">
        <v>2403721</v>
      </c>
      <c r="K10" s="55">
        <v>18726000</v>
      </c>
      <c r="L10" s="55">
        <v>9197000</v>
      </c>
      <c r="M10" s="55">
        <v>1031000</v>
      </c>
      <c r="N10" s="55">
        <v>51828000</v>
      </c>
      <c r="O10" s="55">
        <v>7188000</v>
      </c>
      <c r="P10" s="55">
        <v>27909000</v>
      </c>
      <c r="Q10" s="66">
        <v>8.9204655674102806</v>
      </c>
      <c r="R10" s="31"/>
      <c r="S10" s="51">
        <f t="shared" si="0"/>
        <v>-0.12383887234230784</v>
      </c>
      <c r="T10" s="51">
        <f t="shared" si="1"/>
        <v>0.12824049478859698</v>
      </c>
      <c r="U10" s="51">
        <v>6.8999999999999999E-3</v>
      </c>
      <c r="V10" s="51">
        <f t="shared" si="2"/>
        <v>0.12304841316809498</v>
      </c>
      <c r="W10" s="31"/>
      <c r="X10" s="32"/>
    </row>
    <row r="11" spans="1:24" x14ac:dyDescent="0.3">
      <c r="A11" s="28">
        <v>2023</v>
      </c>
      <c r="B11" s="55">
        <v>99945000</v>
      </c>
      <c r="C11" s="55">
        <v>46750000</v>
      </c>
      <c r="D11" s="55">
        <v>14854000</v>
      </c>
      <c r="E11" s="55">
        <v>230092909.801</v>
      </c>
      <c r="F11" s="66">
        <v>0.1996</v>
      </c>
      <c r="G11" s="66">
        <v>9.3399999999999997E-2</v>
      </c>
      <c r="H11" s="55">
        <v>101.029703650475</v>
      </c>
      <c r="I11" s="55">
        <v>242367909.801</v>
      </c>
      <c r="J11" s="29">
        <v>2277478</v>
      </c>
      <c r="K11" s="55">
        <v>14073000</v>
      </c>
      <c r="L11" s="55">
        <v>10030000</v>
      </c>
      <c r="M11" s="55">
        <v>1120000</v>
      </c>
      <c r="N11" s="55">
        <v>54107000</v>
      </c>
      <c r="O11" s="55">
        <v>8293000</v>
      </c>
      <c r="P11" s="55">
        <v>26348000</v>
      </c>
      <c r="Q11" s="66">
        <v>8.9553571428571423</v>
      </c>
      <c r="R11" s="33">
        <v>0.15</v>
      </c>
      <c r="S11" s="51">
        <f t="shared" si="0"/>
        <v>-0.21326758999040774</v>
      </c>
      <c r="T11" s="51">
        <f t="shared" si="1"/>
        <v>0.11451026466998719</v>
      </c>
      <c r="U11" s="51">
        <v>5.8999999999999999E-3</v>
      </c>
      <c r="V11" s="51">
        <f t="shared" si="2"/>
        <v>0.10871076134474007</v>
      </c>
      <c r="W11" s="51">
        <f>U11+0.7%</f>
        <v>1.2899999999999998E-2</v>
      </c>
      <c r="X11" s="57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F1" workbookViewId="0">
      <selection activeCell="P8" sqref="P8"/>
    </sheetView>
  </sheetViews>
  <sheetFormatPr defaultRowHeight="14.4" x14ac:dyDescent="0.3"/>
  <cols>
    <col min="1" max="1" width="5" bestFit="1" customWidth="1"/>
    <col min="2" max="3" width="14.77734375" bestFit="1" customWidth="1"/>
    <col min="4" max="4" width="13.77734375" bestFit="1" customWidth="1"/>
    <col min="5" max="5" width="15.77734375" bestFit="1" customWidth="1"/>
    <col min="6" max="6" width="7.88671875" bestFit="1" customWidth="1"/>
    <col min="7" max="7" width="6.88671875" bestFit="1" customWidth="1"/>
    <col min="8" max="8" width="8.5546875" bestFit="1" customWidth="1"/>
    <col min="9" max="9" width="15.77734375" bestFit="1" customWidth="1"/>
    <col min="10" max="10" width="25" bestFit="1" customWidth="1"/>
    <col min="11" max="12" width="13.77734375" bestFit="1" customWidth="1"/>
    <col min="13" max="13" width="14.4414062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8.88671875" bestFit="1" customWidth="1"/>
    <col min="18" max="18" width="6.88671875" bestFit="1" customWidth="1"/>
    <col min="19" max="19" width="7.88671875" bestFit="1" customWidth="1"/>
    <col min="20" max="20" width="6.88671875" bestFit="1" customWidth="1"/>
    <col min="21" max="21" width="6.6640625" bestFit="1" customWidth="1"/>
    <col min="22" max="22" width="6.88671875" bestFit="1" customWidth="1"/>
    <col min="23" max="23" width="5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36307600</v>
      </c>
      <c r="C2" s="55">
        <v>15373200</v>
      </c>
      <c r="D2" s="55">
        <v>2390500</v>
      </c>
      <c r="E2" s="55">
        <v>76815520.695999995</v>
      </c>
      <c r="F2" s="66">
        <v>0.19519999999999998</v>
      </c>
      <c r="G2" s="66">
        <v>8.2599999999999993E-2</v>
      </c>
      <c r="H2" s="55">
        <v>68.989999999999995</v>
      </c>
      <c r="I2" s="55">
        <v>80010020.695999995</v>
      </c>
      <c r="J2" s="29">
        <v>1111000</v>
      </c>
      <c r="K2" s="55">
        <v>4827000</v>
      </c>
      <c r="L2" s="55">
        <v>2659800</v>
      </c>
      <c r="M2" s="55">
        <v>148800</v>
      </c>
      <c r="N2" s="55">
        <v>19615600</v>
      </c>
      <c r="O2" s="55">
        <v>1847700</v>
      </c>
      <c r="P2" s="55">
        <v>8021500</v>
      </c>
      <c r="Q2" s="66">
        <v>17.875</v>
      </c>
      <c r="R2" s="31"/>
      <c r="S2" s="34" t="s">
        <v>201</v>
      </c>
      <c r="T2" s="51">
        <f>P2/E2</f>
        <v>0.10442551098163294</v>
      </c>
      <c r="U2" s="34"/>
      <c r="V2" s="51">
        <f>P2/I2</f>
        <v>0.10025619203971817</v>
      </c>
      <c r="W2" s="31"/>
      <c r="X2" s="32"/>
    </row>
    <row r="3" spans="1:24" x14ac:dyDescent="0.3">
      <c r="A3" s="28">
        <v>2015</v>
      </c>
      <c r="B3" s="55">
        <v>35568900</v>
      </c>
      <c r="C3" s="55">
        <v>14571300</v>
      </c>
      <c r="D3" s="55">
        <v>2408400</v>
      </c>
      <c r="E3" s="55">
        <v>93366532.386000007</v>
      </c>
      <c r="F3" s="66">
        <v>0.19149999999999998</v>
      </c>
      <c r="G3" s="66">
        <v>7.8399999999999997E-2</v>
      </c>
      <c r="H3" s="55">
        <v>84.26</v>
      </c>
      <c r="I3" s="55">
        <v>96893232.386000007</v>
      </c>
      <c r="J3" s="29">
        <v>1105000</v>
      </c>
      <c r="K3" s="55">
        <v>4451800</v>
      </c>
      <c r="L3" s="55">
        <v>2522700</v>
      </c>
      <c r="M3" s="55">
        <v>161200</v>
      </c>
      <c r="N3" s="55">
        <v>19958700</v>
      </c>
      <c r="O3" s="55">
        <v>1654400</v>
      </c>
      <c r="P3" s="55">
        <v>7978500</v>
      </c>
      <c r="Q3" s="66">
        <v>15.649503722084367</v>
      </c>
      <c r="R3" s="31"/>
      <c r="S3" s="51">
        <f t="shared" ref="S3:S11" si="0">C3/C2 -1</f>
        <v>-5.2162204355631903E-2</v>
      </c>
      <c r="T3" s="51">
        <f t="shared" ref="T3:T11" si="1">P3/E3</f>
        <v>8.5453532396543713E-2</v>
      </c>
      <c r="U3" s="31"/>
      <c r="V3" s="51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55">
        <v>38805900</v>
      </c>
      <c r="C4" s="55">
        <v>14007700</v>
      </c>
      <c r="D4" s="55">
        <v>2737600</v>
      </c>
      <c r="E4" s="55">
        <v>81195395.685000002</v>
      </c>
      <c r="F4" s="66">
        <v>0.2409</v>
      </c>
      <c r="G4" s="66">
        <v>8.6899999999999991E-2</v>
      </c>
      <c r="H4" s="55">
        <v>73.55</v>
      </c>
      <c r="I4" s="55">
        <v>85461995.685000002</v>
      </c>
      <c r="J4" s="29">
        <v>1101000</v>
      </c>
      <c r="K4" s="55">
        <v>6038600</v>
      </c>
      <c r="L4" s="55">
        <v>3458800</v>
      </c>
      <c r="M4" s="55">
        <v>185200</v>
      </c>
      <c r="N4" s="55">
        <v>21222100</v>
      </c>
      <c r="O4" s="55">
        <v>1752400</v>
      </c>
      <c r="P4" s="55">
        <v>10305200</v>
      </c>
      <c r="Q4" s="66">
        <v>18.676025917926566</v>
      </c>
      <c r="R4" s="31"/>
      <c r="S4" s="51">
        <f t="shared" si="0"/>
        <v>-3.867877265583719E-2</v>
      </c>
      <c r="T4" s="51">
        <f t="shared" si="1"/>
        <v>0.12691852675956325</v>
      </c>
      <c r="U4" s="31"/>
      <c r="V4" s="51">
        <f t="shared" si="2"/>
        <v>0.12058225316880511</v>
      </c>
      <c r="W4" s="31"/>
      <c r="X4" s="32"/>
    </row>
    <row r="5" spans="1:24" x14ac:dyDescent="0.3">
      <c r="A5" s="28">
        <v>2017</v>
      </c>
      <c r="B5" s="55">
        <v>44981000</v>
      </c>
      <c r="C5" s="55">
        <v>11592200</v>
      </c>
      <c r="D5" s="55">
        <v>-204100</v>
      </c>
      <c r="E5" s="55">
        <v>92998458.283000007</v>
      </c>
      <c r="F5" s="66">
        <v>0.19879999999999998</v>
      </c>
      <c r="G5" s="66">
        <v>5.1200000000000002E-2</v>
      </c>
      <c r="H5" s="55">
        <v>84.46</v>
      </c>
      <c r="I5" s="55">
        <v>98611458.283000007</v>
      </c>
      <c r="J5" s="29">
        <v>1100000</v>
      </c>
      <c r="K5" s="55">
        <v>8034100</v>
      </c>
      <c r="L5" s="55">
        <v>2003300</v>
      </c>
      <c r="M5" s="55">
        <v>225000</v>
      </c>
      <c r="N5" s="55">
        <v>19973800</v>
      </c>
      <c r="O5" s="55">
        <v>2297900</v>
      </c>
      <c r="P5" s="55">
        <v>13647100</v>
      </c>
      <c r="Q5" s="66">
        <v>8.9035555555555561</v>
      </c>
      <c r="R5" s="31"/>
      <c r="S5" s="51">
        <f t="shared" si="0"/>
        <v>-0.17244087180622092</v>
      </c>
      <c r="T5" s="51">
        <f t="shared" si="1"/>
        <v>0.14674544344026691</v>
      </c>
      <c r="U5" s="31"/>
      <c r="V5" s="51">
        <f t="shared" si="2"/>
        <v>0.13839263953317557</v>
      </c>
      <c r="W5" s="31"/>
      <c r="X5" s="32"/>
    </row>
    <row r="6" spans="1:24" x14ac:dyDescent="0.3">
      <c r="A6" s="28">
        <v>2018</v>
      </c>
      <c r="B6" s="55">
        <v>43908400</v>
      </c>
      <c r="C6" s="55">
        <v>9828700</v>
      </c>
      <c r="D6" s="55">
        <v>3232000</v>
      </c>
      <c r="E6" s="55">
        <v>122584772.642</v>
      </c>
      <c r="F6" s="66">
        <v>0.37439999999999996</v>
      </c>
      <c r="G6" s="66">
        <v>8.3800000000000013E-2</v>
      </c>
      <c r="H6" s="55">
        <v>115.72</v>
      </c>
      <c r="I6" s="55">
        <v>125474472.642</v>
      </c>
      <c r="J6" s="29">
        <v>1058000</v>
      </c>
      <c r="K6" s="55">
        <v>7408900</v>
      </c>
      <c r="L6" s="55">
        <v>3534500</v>
      </c>
      <c r="M6" s="55">
        <v>242500</v>
      </c>
      <c r="N6" s="55">
        <v>21493300</v>
      </c>
      <c r="O6" s="55">
        <v>1748100</v>
      </c>
      <c r="P6" s="55">
        <v>10298600</v>
      </c>
      <c r="Q6" s="66">
        <v>14.575257731958763</v>
      </c>
      <c r="R6" s="31"/>
      <c r="S6" s="51">
        <f t="shared" si="0"/>
        <v>-0.15212815513880018</v>
      </c>
      <c r="T6" s="51">
        <f t="shared" si="1"/>
        <v>8.4012065920098564E-2</v>
      </c>
      <c r="U6" s="31"/>
      <c r="V6" s="51">
        <f t="shared" si="2"/>
        <v>8.2077252712459345E-2</v>
      </c>
      <c r="W6" s="31"/>
      <c r="X6" s="32"/>
    </row>
    <row r="7" spans="1:24" x14ac:dyDescent="0.3">
      <c r="A7" s="28">
        <v>2019</v>
      </c>
      <c r="B7" s="55">
        <v>39286100</v>
      </c>
      <c r="C7" s="55">
        <v>2606900</v>
      </c>
      <c r="D7" s="55">
        <v>8318400</v>
      </c>
      <c r="E7" s="55">
        <v>126189980.2</v>
      </c>
      <c r="F7" s="66">
        <v>2.02</v>
      </c>
      <c r="G7" s="66">
        <v>0.13400000000000001</v>
      </c>
      <c r="H7" s="55">
        <v>131.43</v>
      </c>
      <c r="I7" s="55">
        <v>139068680.19999999</v>
      </c>
      <c r="J7" s="29">
        <v>958000</v>
      </c>
      <c r="K7" s="55">
        <v>2438500</v>
      </c>
      <c r="L7" s="55">
        <v>5031600</v>
      </c>
      <c r="M7" s="55">
        <v>400600</v>
      </c>
      <c r="N7" s="55">
        <v>22319500</v>
      </c>
      <c r="O7" s="55">
        <v>1730400</v>
      </c>
      <c r="P7" s="55">
        <v>15317199.999999985</v>
      </c>
      <c r="Q7" s="66">
        <v>12.560159760359461</v>
      </c>
      <c r="R7" s="31"/>
      <c r="S7" s="51">
        <f t="shared" si="0"/>
        <v>-0.73476655101895472</v>
      </c>
      <c r="T7" s="51">
        <f t="shared" si="1"/>
        <v>0.12138206199670983</v>
      </c>
      <c r="U7" s="51">
        <v>6.3E-3</v>
      </c>
      <c r="V7" s="51">
        <f t="shared" si="2"/>
        <v>0.11014126241776175</v>
      </c>
      <c r="W7" s="31"/>
      <c r="X7" s="32"/>
    </row>
    <row r="8" spans="1:24" x14ac:dyDescent="0.3">
      <c r="A8" s="28">
        <v>2020</v>
      </c>
      <c r="B8" s="55">
        <v>46633100</v>
      </c>
      <c r="C8" s="55">
        <v>5641600</v>
      </c>
      <c r="D8" s="55">
        <v>6193700</v>
      </c>
      <c r="E8" s="55">
        <v>161509233.50299999</v>
      </c>
      <c r="F8" s="66">
        <v>1.2815000000000001</v>
      </c>
      <c r="G8" s="66">
        <v>0.155</v>
      </c>
      <c r="H8" s="55">
        <v>168.84</v>
      </c>
      <c r="I8" s="55">
        <v>174423233.50299999</v>
      </c>
      <c r="J8" s="29">
        <v>954000</v>
      </c>
      <c r="K8" s="55">
        <v>3681300</v>
      </c>
      <c r="L8" s="55">
        <v>6058000</v>
      </c>
      <c r="M8" s="55">
        <v>359600</v>
      </c>
      <c r="N8" s="55">
        <v>24539800</v>
      </c>
      <c r="O8" s="55">
        <v>1303900</v>
      </c>
      <c r="P8" s="55">
        <v>16595300</v>
      </c>
      <c r="Q8" s="66">
        <v>16.846496106785317</v>
      </c>
      <c r="R8" s="31"/>
      <c r="S8" s="51">
        <f t="shared" si="0"/>
        <v>1.1641029575357704</v>
      </c>
      <c r="T8" s="51">
        <f t="shared" si="1"/>
        <v>0.10275140089555157</v>
      </c>
      <c r="U8" s="51">
        <v>6.8999999999999999E-3</v>
      </c>
      <c r="V8" s="51">
        <f t="shared" si="2"/>
        <v>9.51438616674571E-2</v>
      </c>
      <c r="W8" s="31"/>
      <c r="X8" s="32"/>
    </row>
    <row r="9" spans="1:24" x14ac:dyDescent="0.3">
      <c r="A9" s="28">
        <v>2021</v>
      </c>
      <c r="B9" s="55">
        <v>48806000</v>
      </c>
      <c r="C9" s="55">
        <v>8979200</v>
      </c>
      <c r="D9" s="55">
        <v>5581700</v>
      </c>
      <c r="E9" s="55">
        <v>264229951.96200001</v>
      </c>
      <c r="F9" s="66">
        <v>0.6855</v>
      </c>
      <c r="G9" s="66">
        <v>0.12609999999999999</v>
      </c>
      <c r="H9" s="55">
        <v>276.22000000000003</v>
      </c>
      <c r="I9" s="55">
        <v>277206051.96200001</v>
      </c>
      <c r="J9" s="29">
        <v>957000</v>
      </c>
      <c r="K9" s="55">
        <v>3908600</v>
      </c>
      <c r="L9" s="55">
        <v>5951900</v>
      </c>
      <c r="M9" s="55">
        <v>339800</v>
      </c>
      <c r="N9" s="55">
        <v>28318400</v>
      </c>
      <c r="O9" s="55">
        <v>1850700</v>
      </c>
      <c r="P9" s="55">
        <v>16884700</v>
      </c>
      <c r="Q9" s="66">
        <v>17.515891701000587</v>
      </c>
      <c r="R9" s="31"/>
      <c r="S9" s="51">
        <f t="shared" si="0"/>
        <v>0.59160521837776514</v>
      </c>
      <c r="T9" s="51">
        <f t="shared" si="1"/>
        <v>6.3901536803928488E-2</v>
      </c>
      <c r="U9" s="51">
        <v>6.7000000000000002E-3</v>
      </c>
      <c r="V9" s="51">
        <f t="shared" si="2"/>
        <v>6.0910286339327796E-2</v>
      </c>
      <c r="W9" s="31"/>
      <c r="X9" s="32"/>
    </row>
    <row r="10" spans="1:24" x14ac:dyDescent="0.3">
      <c r="A10" s="28">
        <v>2022</v>
      </c>
      <c r="B10" s="55">
        <v>49489800</v>
      </c>
      <c r="C10" s="55">
        <v>10649800</v>
      </c>
      <c r="D10" s="55">
        <v>6244800</v>
      </c>
      <c r="E10" s="55">
        <v>347613079.45599997</v>
      </c>
      <c r="F10" s="66">
        <v>0.6391</v>
      </c>
      <c r="G10" s="66">
        <v>0.13750000000000001</v>
      </c>
      <c r="H10" s="55">
        <v>365.84</v>
      </c>
      <c r="I10" s="55">
        <v>361639879.45599997</v>
      </c>
      <c r="J10" s="29">
        <v>950000</v>
      </c>
      <c r="K10" s="55">
        <v>2211800</v>
      </c>
      <c r="L10" s="55">
        <v>7127300</v>
      </c>
      <c r="M10" s="55">
        <v>331600</v>
      </c>
      <c r="N10" s="55">
        <v>28541400</v>
      </c>
      <c r="O10" s="55">
        <v>1744100</v>
      </c>
      <c r="P10" s="55">
        <v>16238600</v>
      </c>
      <c r="Q10" s="66">
        <v>21.493667068757539</v>
      </c>
      <c r="R10" s="31"/>
      <c r="S10" s="51">
        <f t="shared" si="0"/>
        <v>0.18605220955096224</v>
      </c>
      <c r="T10" s="51">
        <f t="shared" si="1"/>
        <v>4.6714582850026054E-2</v>
      </c>
      <c r="U10" s="51">
        <v>6.8999999999999999E-3</v>
      </c>
      <c r="V10" s="51">
        <f t="shared" si="2"/>
        <v>4.4902680601561586E-2</v>
      </c>
      <c r="W10" s="31"/>
      <c r="X10" s="32"/>
    </row>
    <row r="11" spans="1:24" x14ac:dyDescent="0.3">
      <c r="A11" s="28">
        <v>2023</v>
      </c>
      <c r="B11" s="55">
        <v>64006300</v>
      </c>
      <c r="C11" s="55">
        <v>10771900</v>
      </c>
      <c r="D11" s="55">
        <v>5240400</v>
      </c>
      <c r="E11" s="55">
        <v>553370158.36899996</v>
      </c>
      <c r="F11" s="66">
        <v>0.60850000000000004</v>
      </c>
      <c r="G11" s="66">
        <v>0.1024</v>
      </c>
      <c r="H11" s="55">
        <v>582.91999999999996</v>
      </c>
      <c r="I11" s="55">
        <v>575667758.36899996</v>
      </c>
      <c r="J11" s="29">
        <v>949000</v>
      </c>
      <c r="K11" s="55">
        <v>2927700</v>
      </c>
      <c r="L11" s="55">
        <v>6457900</v>
      </c>
      <c r="M11" s="55">
        <v>485900</v>
      </c>
      <c r="N11" s="55">
        <v>34124100</v>
      </c>
      <c r="O11" s="55">
        <v>1549500</v>
      </c>
      <c r="P11" s="55">
        <v>25225300</v>
      </c>
      <c r="Q11" s="66">
        <v>13.290594772586951</v>
      </c>
      <c r="R11" s="33">
        <f>8.5% + 21%</f>
        <v>0.29499999999999998</v>
      </c>
      <c r="S11" s="51">
        <f t="shared" si="0"/>
        <v>1.1465004037634507E-2</v>
      </c>
      <c r="T11" s="51">
        <f t="shared" si="1"/>
        <v>4.5584857836116252E-2</v>
      </c>
      <c r="U11" s="51">
        <v>5.8999999999999999E-3</v>
      </c>
      <c r="V11" s="51">
        <f t="shared" si="2"/>
        <v>4.3819198892550655E-2</v>
      </c>
      <c r="W11" s="51">
        <f>3.94%+U11</f>
        <v>4.53E-2</v>
      </c>
      <c r="X11" s="57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R1238"/>
  <sheetViews>
    <sheetView tabSelected="1" topLeftCell="C9" workbookViewId="0">
      <selection activeCell="L8" sqref="L8"/>
    </sheetView>
  </sheetViews>
  <sheetFormatPr defaultRowHeight="14.4" x14ac:dyDescent="0.3"/>
  <cols>
    <col min="1" max="3" width="8.88671875" style="35"/>
    <col min="4" max="6" width="8.88671875" style="35" customWidth="1"/>
    <col min="7" max="7" width="40.5546875" style="35" bestFit="1" customWidth="1"/>
    <col min="8" max="10" width="8.88671875" style="35"/>
    <col min="11" max="11" width="10.5546875" style="35" customWidth="1"/>
    <col min="12" max="12" width="13.5546875" style="35" customWidth="1"/>
    <col min="13" max="13" width="9.6640625" style="35" customWidth="1"/>
    <col min="14" max="14" width="10.5546875" style="35" bestFit="1" customWidth="1"/>
    <col min="15" max="15" width="13.5546875" style="35" bestFit="1" customWidth="1"/>
    <col min="16" max="16" width="9.6640625" style="35" bestFit="1" customWidth="1"/>
    <col min="17" max="17" width="14.44140625" style="35" bestFit="1" customWidth="1"/>
    <col min="18" max="18" width="10.5546875" style="35" bestFit="1" customWidth="1"/>
    <col min="19" max="16384" width="8.88671875" style="35"/>
  </cols>
  <sheetData>
    <row r="1" spans="1:18" ht="15" thickBot="1" x14ac:dyDescent="0.35">
      <c r="A1" s="36" t="s">
        <v>202</v>
      </c>
      <c r="B1" s="36" t="s">
        <v>200</v>
      </c>
      <c r="C1" s="36" t="s">
        <v>205</v>
      </c>
      <c r="E1" s="45"/>
      <c r="F1" s="37"/>
      <c r="G1" s="49" t="s">
        <v>203</v>
      </c>
      <c r="H1" s="37"/>
      <c r="I1" s="38"/>
      <c r="N1" s="36" t="s">
        <v>223</v>
      </c>
      <c r="O1" s="36" t="s">
        <v>224</v>
      </c>
      <c r="P1" s="25" t="s">
        <v>225</v>
      </c>
      <c r="Q1" s="25" t="s">
        <v>453</v>
      </c>
      <c r="R1" s="25" t="s">
        <v>454</v>
      </c>
    </row>
    <row r="2" spans="1:18" x14ac:dyDescent="0.3">
      <c r="A2" s="59" cm="1">
        <f t="array" ref="A2:A11">'JOHNSON &amp; JOHNSON'!Y2:Y11</f>
        <v>6.4092277574088155E-2</v>
      </c>
      <c r="B2" s="62">
        <f>('JOHNSON &amp; JOHNSON'!T11 / 'JOHNSON &amp; JOHNSON'!T2)^(1/10) - 1</f>
        <v>1.3692090244024291E-2</v>
      </c>
      <c r="C2" s="59" cm="1">
        <f t="array" ref="C2:C11">'JOHNSON &amp; JOHNSON'!V2:V11/'JOHNSON &amp; JOHNSON'!I2:I11</f>
        <v>6.7391358466454318E-2</v>
      </c>
      <c r="E2" s="39"/>
      <c r="F2" s="40"/>
      <c r="G2" s="46">
        <f>AVERAGE(A2:A51)</f>
        <v>0.12584781207593759</v>
      </c>
      <c r="H2" s="40"/>
      <c r="I2" s="41"/>
      <c r="N2" s="69" t="s">
        <v>226</v>
      </c>
      <c r="O2" s="69">
        <v>4769.83</v>
      </c>
      <c r="P2" s="67">
        <v>156.74</v>
      </c>
      <c r="Q2" s="73">
        <f>LN(O2/O3)</f>
        <v>-2.8304729998547477E-3</v>
      </c>
      <c r="R2" s="74">
        <f>LN(P2/P3)</f>
        <v>1.0213201449503495E-3</v>
      </c>
    </row>
    <row r="3" spans="1:18" x14ac:dyDescent="0.3">
      <c r="A3" s="60">
        <v>6.9878855621977348E-2</v>
      </c>
      <c r="B3" s="63">
        <f>('ROCHE HOLDING AG'!T11/'ROCHE HOLDING AG'!T2)^(1/10) - 1</f>
        <v>2.8265158584268146E-2</v>
      </c>
      <c r="C3" s="60">
        <v>7.4748183658842712E-2</v>
      </c>
      <c r="E3" s="39"/>
      <c r="F3" s="40"/>
      <c r="G3" s="47" t="s">
        <v>219</v>
      </c>
      <c r="H3" s="40"/>
      <c r="I3" s="41"/>
      <c r="N3" s="70" t="s">
        <v>227</v>
      </c>
      <c r="O3" s="70">
        <v>4783.3500000000004</v>
      </c>
      <c r="P3" s="68">
        <v>156.58000000000001</v>
      </c>
      <c r="Q3" s="73">
        <f t="shared" ref="Q3:Q66" si="0">LN(O3/O4)</f>
        <v>3.7010203319937546E-4</v>
      </c>
      <c r="R3" s="74">
        <f t="shared" ref="R3:R66" si="1">LN(P3/P4)</f>
        <v>1.469977575917968E-3</v>
      </c>
    </row>
    <row r="4" spans="1:18" x14ac:dyDescent="0.3">
      <c r="A4" s="60">
        <v>8.6544961466626408E-2</v>
      </c>
      <c r="B4" s="63">
        <f>('PFIZER INC'!T11/'PFIZER INC'!T2)^(1/10) - 1</f>
        <v>8.994176718196889E-2</v>
      </c>
      <c r="C4" s="60">
        <v>9.0828285860904787E-2</v>
      </c>
      <c r="E4" s="39"/>
      <c r="F4" s="40"/>
      <c r="G4" s="46">
        <f>MEDIAN(A2:A11)</f>
        <v>8.1429149824137834E-2</v>
      </c>
      <c r="H4" s="40"/>
      <c r="I4" s="41"/>
      <c r="N4" s="70" t="s">
        <v>228</v>
      </c>
      <c r="O4" s="70">
        <v>4781.58</v>
      </c>
      <c r="P4" s="68">
        <v>156.35</v>
      </c>
      <c r="Q4" s="73">
        <f t="shared" si="0"/>
        <v>1.429419277681746E-3</v>
      </c>
      <c r="R4" s="74">
        <f t="shared" si="1"/>
        <v>1.3440432117054792E-3</v>
      </c>
    </row>
    <row r="5" spans="1:18" x14ac:dyDescent="0.3">
      <c r="A5" s="60">
        <v>9.2127413963828939E-2</v>
      </c>
      <c r="B5" s="63">
        <f>('NOVARTIS AG'!T11/'NOVARTIS AG'!T2)^(1/10) - 1</f>
        <v>3.577241590819491E-2</v>
      </c>
      <c r="C5" s="60">
        <v>8.8296667508711985E-2</v>
      </c>
      <c r="E5" s="39"/>
      <c r="F5" s="40"/>
      <c r="G5" s="47"/>
      <c r="H5" s="40"/>
      <c r="I5" s="41"/>
      <c r="N5" s="70" t="s">
        <v>229</v>
      </c>
      <c r="O5" s="70">
        <v>4774.75</v>
      </c>
      <c r="P5" s="68">
        <v>156.13999999999999</v>
      </c>
      <c r="Q5" s="73">
        <f t="shared" si="0"/>
        <v>4.2227363999498384E-3</v>
      </c>
      <c r="R5" s="74">
        <f t="shared" si="1"/>
        <v>4.3645768900712201E-3</v>
      </c>
    </row>
    <row r="6" spans="1:18" ht="15" thickBot="1" x14ac:dyDescent="0.35">
      <c r="A6" s="60">
        <v>8.6622933945440614E-2</v>
      </c>
      <c r="B6" s="64">
        <f>('ELI LILLY AND COMPANY'!T11 / 'ELI LILLY AND COMPANY'!T2)^(1/10) - 1</f>
        <v>-7.9547461983276557E-2</v>
      </c>
      <c r="C6" s="60">
        <v>8.412100265130848E-2</v>
      </c>
      <c r="E6" s="42"/>
      <c r="F6" s="43"/>
      <c r="G6" s="50"/>
      <c r="H6" s="43"/>
      <c r="I6" s="44"/>
      <c r="N6" s="70" t="s">
        <v>230</v>
      </c>
      <c r="O6" s="70">
        <v>4754.63</v>
      </c>
      <c r="P6" s="68">
        <v>155.46</v>
      </c>
      <c r="Q6" s="73">
        <f t="shared" si="0"/>
        <v>1.6587067997896167E-3</v>
      </c>
      <c r="R6" s="74">
        <f t="shared" si="1"/>
        <v>3.9961380926262302E-3</v>
      </c>
    </row>
    <row r="7" spans="1:18" ht="15" thickBot="1" x14ac:dyDescent="0.35">
      <c r="A7" s="60">
        <v>7.2141680133365416E-2</v>
      </c>
      <c r="C7" s="60">
        <v>7.0595393792276015E-2</v>
      </c>
      <c r="N7" s="70" t="s">
        <v>231</v>
      </c>
      <c r="O7" s="70">
        <v>4746.75</v>
      </c>
      <c r="P7" s="68">
        <v>154.84</v>
      </c>
      <c r="Q7" s="73">
        <f t="shared" si="0"/>
        <v>1.024879009249407E-2</v>
      </c>
      <c r="R7" s="74">
        <f t="shared" si="1"/>
        <v>1.0191253698630935E-2</v>
      </c>
    </row>
    <row r="8" spans="1:18" x14ac:dyDescent="0.3">
      <c r="A8" s="60">
        <v>8.5119924296995317E-2</v>
      </c>
      <c r="C8" s="60">
        <v>8.3097980363037227E-2</v>
      </c>
      <c r="E8" s="45"/>
      <c r="F8" s="37"/>
      <c r="G8" s="49" t="s">
        <v>460</v>
      </c>
      <c r="H8" s="37"/>
      <c r="I8" s="38"/>
      <c r="N8" s="70" t="s">
        <v>232</v>
      </c>
      <c r="O8" s="70">
        <v>4698.3500000000004</v>
      </c>
      <c r="P8" s="68">
        <v>153.27000000000001</v>
      </c>
      <c r="Q8" s="73">
        <f t="shared" si="0"/>
        <v>-1.4793144174519959E-2</v>
      </c>
      <c r="R8" s="74">
        <f t="shared" si="1"/>
        <v>-2.0599314246118283E-2</v>
      </c>
    </row>
    <row r="9" spans="1:18" x14ac:dyDescent="0.3">
      <c r="A9" s="60">
        <v>7.4942537485751651E-2</v>
      </c>
      <c r="C9" s="60">
        <v>7.4587617337735293E-2</v>
      </c>
      <c r="E9" s="39"/>
      <c r="F9" s="40"/>
      <c r="G9" s="46">
        <f>AVERAGE(B2:B5)</f>
        <v>4.1917857979614059E-2</v>
      </c>
      <c r="H9" s="40"/>
      <c r="I9" s="41"/>
      <c r="N9" s="70" t="s">
        <v>233</v>
      </c>
      <c r="O9" s="70">
        <v>4768.37</v>
      </c>
      <c r="P9" s="68">
        <v>156.46</v>
      </c>
      <c r="Q9" s="73">
        <f t="shared" si="0"/>
        <v>5.8492552349014293E-3</v>
      </c>
      <c r="R9" s="74">
        <f t="shared" si="1"/>
        <v>6.5405811877499182E-3</v>
      </c>
    </row>
    <row r="10" spans="1:18" x14ac:dyDescent="0.3">
      <c r="A10" s="60">
        <v>8.5870147642978331E-2</v>
      </c>
      <c r="C10" s="60">
        <v>8.2970613145257735E-2</v>
      </c>
      <c r="E10" s="39"/>
      <c r="F10" s="40"/>
      <c r="G10" s="47" t="s">
        <v>222</v>
      </c>
      <c r="H10" s="40"/>
      <c r="I10" s="41"/>
      <c r="N10" s="70" t="s">
        <v>234</v>
      </c>
      <c r="O10" s="70">
        <v>4740.5600000000004</v>
      </c>
      <c r="P10" s="68">
        <v>155.44</v>
      </c>
      <c r="Q10" s="73">
        <f t="shared" si="0"/>
        <v>4.5180974872495441E-3</v>
      </c>
      <c r="R10" s="74">
        <f t="shared" si="1"/>
        <v>1.8029624974182919E-3</v>
      </c>
    </row>
    <row r="11" spans="1:18" x14ac:dyDescent="0.3">
      <c r="A11" s="60">
        <v>7.773837535128035E-2</v>
      </c>
      <c r="C11" s="60">
        <v>7.6440783681797186E-2</v>
      </c>
      <c r="E11" s="39"/>
      <c r="F11" s="40"/>
      <c r="G11" s="46">
        <f>('JOHNSON &amp; JOHNSON'!T11 / 'JOHNSON &amp; JOHNSON'!T2)^(1/10) - 1</f>
        <v>1.3692090244024291E-2</v>
      </c>
      <c r="H11" s="40"/>
      <c r="I11" s="41"/>
      <c r="N11" s="70" t="s">
        <v>235</v>
      </c>
      <c r="O11" s="70">
        <v>4719.1899999999996</v>
      </c>
      <c r="P11" s="68">
        <v>155.16</v>
      </c>
      <c r="Q11" s="73">
        <f t="shared" si="0"/>
        <v>-7.6281368101049259E-5</v>
      </c>
      <c r="R11" s="74">
        <f t="shared" si="1"/>
        <v>-1.096059429638257E-2</v>
      </c>
    </row>
    <row r="12" spans="1:18" x14ac:dyDescent="0.3">
      <c r="A12" s="60" cm="1">
        <f t="array" ref="A12:A21" xml:space="preserve"> 'PFIZER INC'!T2:T11</f>
        <v>0.18689991577784967</v>
      </c>
      <c r="C12" s="60" cm="1">
        <f t="array" ref="C12:C21">'ROCHE HOLDING AG'!P2:P11/'ROCHE HOLDING AG'!I2:I11</f>
        <v>0.12627639855990955</v>
      </c>
      <c r="E12" s="39"/>
      <c r="F12" s="40"/>
      <c r="G12" s="47"/>
      <c r="H12" s="40"/>
      <c r="I12" s="41"/>
      <c r="N12" s="70" t="s">
        <v>236</v>
      </c>
      <c r="O12" s="70">
        <v>4719.55</v>
      </c>
      <c r="P12" s="68">
        <v>156.87</v>
      </c>
      <c r="Q12" s="73">
        <f t="shared" si="0"/>
        <v>2.6435733742609306E-3</v>
      </c>
      <c r="R12" s="74">
        <f t="shared" si="1"/>
        <v>6.9084903438118295E-3</v>
      </c>
    </row>
    <row r="13" spans="1:18" ht="15" thickBot="1" x14ac:dyDescent="0.35">
      <c r="A13" s="60">
        <v>0.19521290032125391</v>
      </c>
      <c r="C13" s="60">
        <v>0.11234466095804965</v>
      </c>
      <c r="E13" s="42"/>
      <c r="F13" s="43"/>
      <c r="G13" s="48"/>
      <c r="H13" s="43"/>
      <c r="I13" s="44"/>
      <c r="N13" s="70" t="s">
        <v>237</v>
      </c>
      <c r="O13" s="70">
        <v>4707.09</v>
      </c>
      <c r="P13" s="68">
        <v>155.79</v>
      </c>
      <c r="Q13" s="73">
        <f t="shared" si="0"/>
        <v>1.3558420429298217E-2</v>
      </c>
      <c r="R13" s="74">
        <f t="shared" si="1"/>
        <v>4.6323186482795965E-3</v>
      </c>
    </row>
    <row r="14" spans="1:18" ht="15" thickBot="1" x14ac:dyDescent="0.35">
      <c r="A14" s="60">
        <v>0.2135259425344388</v>
      </c>
      <c r="C14" s="60">
        <v>0.12734184797976697</v>
      </c>
      <c r="N14" s="71">
        <v>45272</v>
      </c>
      <c r="O14" s="70">
        <v>4643.7</v>
      </c>
      <c r="P14" s="68">
        <v>155.07</v>
      </c>
      <c r="Q14" s="73">
        <f t="shared" si="0"/>
        <v>4.5887580600857377E-3</v>
      </c>
      <c r="R14" s="74">
        <f t="shared" si="1"/>
        <v>6.4489085244542259E-5</v>
      </c>
    </row>
    <row r="15" spans="1:18" x14ac:dyDescent="0.3">
      <c r="A15" s="60">
        <v>0.20144344317502844</v>
      </c>
      <c r="C15" s="60">
        <v>0.10574827455229649</v>
      </c>
      <c r="E15" s="45"/>
      <c r="F15" s="37"/>
      <c r="G15" s="49" t="s">
        <v>209</v>
      </c>
      <c r="H15" s="37"/>
      <c r="I15" s="38"/>
      <c r="N15" s="71">
        <v>45242</v>
      </c>
      <c r="O15" s="70">
        <v>4622.4399999999996</v>
      </c>
      <c r="P15" s="68">
        <v>155.06</v>
      </c>
      <c r="Q15" s="73">
        <f t="shared" si="0"/>
        <v>3.9168516750811289E-3</v>
      </c>
      <c r="R15" s="74">
        <f t="shared" si="1"/>
        <v>4.1359759101433219E-3</v>
      </c>
    </row>
    <row r="16" spans="1:18" x14ac:dyDescent="0.3">
      <c r="A16" s="60">
        <v>0.16542634951795934</v>
      </c>
      <c r="C16" s="60">
        <v>0.10625785940318917</v>
      </c>
      <c r="E16" s="39"/>
      <c r="F16" s="40"/>
      <c r="G16" s="46">
        <f>AVERAGE(C2:C51)</f>
        <v>0.11544400417841316</v>
      </c>
      <c r="H16" s="40"/>
      <c r="I16" s="41"/>
      <c r="N16" s="71">
        <v>45150</v>
      </c>
      <c r="O16" s="70">
        <v>4604.37</v>
      </c>
      <c r="P16" s="68">
        <v>154.41999999999999</v>
      </c>
      <c r="Q16" s="73">
        <f t="shared" si="0"/>
        <v>4.0870746210065929E-3</v>
      </c>
      <c r="R16" s="74">
        <f t="shared" si="1"/>
        <v>-6.3262750528775081E-3</v>
      </c>
    </row>
    <row r="17" spans="1:18" x14ac:dyDescent="0.3">
      <c r="A17" s="60">
        <v>0.24051442026690081</v>
      </c>
      <c r="C17" s="60">
        <v>6.9466150511263702E-2</v>
      </c>
      <c r="E17" s="39"/>
      <c r="F17" s="40"/>
      <c r="G17" s="47" t="s">
        <v>220</v>
      </c>
      <c r="H17" s="40"/>
      <c r="I17" s="41"/>
      <c r="N17" s="71">
        <v>45119</v>
      </c>
      <c r="O17" s="70">
        <v>4585.59</v>
      </c>
      <c r="P17" s="68">
        <v>155.4</v>
      </c>
      <c r="Q17" s="73">
        <f t="shared" si="0"/>
        <v>7.9366104133129379E-3</v>
      </c>
      <c r="R17" s="74">
        <f t="shared" si="1"/>
        <v>-7.8200513892445252E-3</v>
      </c>
    </row>
    <row r="18" spans="1:18" x14ac:dyDescent="0.3">
      <c r="A18" s="60">
        <v>0.1946974932419159</v>
      </c>
      <c r="C18" s="60">
        <v>6.9999131535661327E-2</v>
      </c>
      <c r="E18" s="39"/>
      <c r="F18" s="40"/>
      <c r="G18" s="46">
        <f>AVERAGE(C2:C11)</f>
        <v>7.9307788646632585E-2</v>
      </c>
      <c r="H18" s="40"/>
      <c r="I18" s="41"/>
      <c r="N18" s="71">
        <v>45089</v>
      </c>
      <c r="O18" s="70">
        <v>4549.34</v>
      </c>
      <c r="P18" s="68">
        <v>156.62</v>
      </c>
      <c r="Q18" s="73">
        <f t="shared" si="0"/>
        <v>-3.9137791113844191E-3</v>
      </c>
      <c r="R18" s="74">
        <f t="shared" si="1"/>
        <v>-1.2247511661564783E-2</v>
      </c>
    </row>
    <row r="19" spans="1:18" x14ac:dyDescent="0.3">
      <c r="A19" s="60">
        <v>0.11596677197770668</v>
      </c>
      <c r="C19" s="60">
        <v>0.11387769929773073</v>
      </c>
      <c r="E19" s="39"/>
      <c r="F19" s="40"/>
      <c r="G19" s="47"/>
      <c r="H19" s="40"/>
      <c r="I19" s="41"/>
      <c r="N19" s="71">
        <v>45058</v>
      </c>
      <c r="O19" s="70">
        <v>4567.18</v>
      </c>
      <c r="P19" s="68">
        <v>158.55000000000001</v>
      </c>
      <c r="Q19" s="73">
        <f t="shared" si="0"/>
        <v>-5.691170958779145E-4</v>
      </c>
      <c r="R19" s="74">
        <f t="shared" si="1"/>
        <v>-2.0791993125060778E-3</v>
      </c>
    </row>
    <row r="20" spans="1:18" ht="15" thickBot="1" x14ac:dyDescent="0.35">
      <c r="A20" s="60">
        <v>0.12456790886878939</v>
      </c>
      <c r="C20" s="60">
        <v>0.12018175896407232</v>
      </c>
      <c r="E20" s="42"/>
      <c r="F20" s="43"/>
      <c r="G20" s="48"/>
      <c r="H20" s="43"/>
      <c r="I20" s="44"/>
      <c r="N20" s="71">
        <v>45028</v>
      </c>
      <c r="O20" s="70">
        <v>4569.78</v>
      </c>
      <c r="P20" s="68">
        <v>158.88</v>
      </c>
      <c r="Q20" s="73">
        <f t="shared" si="0"/>
        <v>-5.4231665551195962E-3</v>
      </c>
      <c r="R20" s="74">
        <f t="shared" si="1"/>
        <v>3.1519915145960813E-3</v>
      </c>
    </row>
    <row r="21" spans="1:18" ht="15" thickBot="1" x14ac:dyDescent="0.35">
      <c r="A21" s="60">
        <v>0.44222374567794082</v>
      </c>
      <c r="C21" s="60">
        <v>0.16029905535912797</v>
      </c>
      <c r="N21" s="71">
        <v>44938</v>
      </c>
      <c r="O21" s="70">
        <v>4594.63</v>
      </c>
      <c r="P21" s="68">
        <v>158.38</v>
      </c>
      <c r="Q21" s="73">
        <f t="shared" si="0"/>
        <v>5.8565417006152948E-3</v>
      </c>
      <c r="R21" s="74">
        <f t="shared" si="1"/>
        <v>2.3768049601377066E-2</v>
      </c>
    </row>
    <row r="22" spans="1:18" x14ac:dyDescent="0.3">
      <c r="A22" s="60" cm="1">
        <f t="array" ref="A22:A31">'NOVARTIS AG'!T2:T11</f>
        <v>8.0575128891098302E-2</v>
      </c>
      <c r="C22" s="60" cm="1">
        <f t="array" ref="C22:C31">'NOVARTIS AG'!P2:P11/'NOVARTIS AG'!I2:I11</f>
        <v>7.8447459327470562E-2</v>
      </c>
      <c r="E22" s="45"/>
      <c r="F22" s="37"/>
      <c r="G22" s="49" t="s">
        <v>455</v>
      </c>
      <c r="H22" s="37"/>
      <c r="I22" s="38"/>
      <c r="N22" s="70" t="s">
        <v>238</v>
      </c>
      <c r="O22" s="70">
        <v>4567.8</v>
      </c>
      <c r="P22" s="68">
        <v>154.66</v>
      </c>
      <c r="Q22" s="73">
        <f t="shared" si="0"/>
        <v>3.7769911916856066E-3</v>
      </c>
      <c r="R22" s="74">
        <f t="shared" si="1"/>
        <v>1.662521585723779E-2</v>
      </c>
    </row>
    <row r="23" spans="1:18" x14ac:dyDescent="0.3">
      <c r="A23" s="60">
        <v>9.3508782761580478E-2</v>
      </c>
      <c r="C23" s="60">
        <v>8.732097745012371E-2</v>
      </c>
      <c r="E23" s="39"/>
      <c r="F23" s="40"/>
      <c r="G23" s="75">
        <f>SLOPE(R2:R366,Q2:Q366)</f>
        <v>0.33162150375484817</v>
      </c>
      <c r="H23" s="40"/>
      <c r="I23" s="41"/>
      <c r="N23" s="70" t="s">
        <v>239</v>
      </c>
      <c r="O23" s="70">
        <v>4550.58</v>
      </c>
      <c r="P23" s="68">
        <v>152.11000000000001</v>
      </c>
      <c r="Q23" s="73">
        <f t="shared" si="0"/>
        <v>-9.4668376742538802E-4</v>
      </c>
      <c r="R23" s="74">
        <f t="shared" si="1"/>
        <v>3.1606005108037803E-3</v>
      </c>
    </row>
    <row r="24" spans="1:18" x14ac:dyDescent="0.3">
      <c r="A24" s="60">
        <v>0.12361983972268509</v>
      </c>
      <c r="C24" s="60">
        <v>0.11401612298645813</v>
      </c>
      <c r="E24" s="39"/>
      <c r="F24" s="40"/>
      <c r="G24" s="47" t="s">
        <v>456</v>
      </c>
      <c r="H24" s="40"/>
      <c r="I24" s="41"/>
      <c r="N24" s="70" t="s">
        <v>240</v>
      </c>
      <c r="O24" s="70">
        <v>4554.8900000000003</v>
      </c>
      <c r="P24" s="68">
        <v>151.63</v>
      </c>
      <c r="Q24" s="73">
        <f t="shared" si="0"/>
        <v>9.7964714182290037E-4</v>
      </c>
      <c r="R24" s="74">
        <f t="shared" si="1"/>
        <v>2.310918462645833E-3</v>
      </c>
    </row>
    <row r="25" spans="1:18" x14ac:dyDescent="0.3">
      <c r="A25" s="60">
        <v>0.12856818411971854</v>
      </c>
      <c r="C25" s="60">
        <v>0.11840794121928611</v>
      </c>
      <c r="E25" s="39"/>
      <c r="F25" s="40"/>
      <c r="G25" s="46">
        <f>LN(O2/O252 )   -3.88%</f>
        <v>0.17816851506369175</v>
      </c>
      <c r="H25" s="40"/>
      <c r="I25" s="41"/>
      <c r="N25" s="70" t="s">
        <v>241</v>
      </c>
      <c r="O25" s="70">
        <v>4550.43</v>
      </c>
      <c r="P25" s="68">
        <v>151.28</v>
      </c>
      <c r="Q25" s="73">
        <f t="shared" si="0"/>
        <v>-1.9561422168003027E-3</v>
      </c>
      <c r="R25" s="74">
        <f t="shared" si="1"/>
        <v>-8.0321716972642666E-3</v>
      </c>
    </row>
    <row r="26" spans="1:18" x14ac:dyDescent="0.3">
      <c r="A26" s="60">
        <v>0.14741477711122725</v>
      </c>
      <c r="C26" s="60">
        <v>0.13717128141401569</v>
      </c>
      <c r="E26" s="39"/>
      <c r="F26" s="40"/>
      <c r="G26" s="47" t="s">
        <v>457</v>
      </c>
      <c r="H26" s="40"/>
      <c r="I26" s="41"/>
      <c r="N26" s="70" t="s">
        <v>242</v>
      </c>
      <c r="O26" s="70">
        <v>4559.34</v>
      </c>
      <c r="P26" s="68">
        <v>152.5</v>
      </c>
      <c r="Q26" s="73">
        <f t="shared" si="0"/>
        <v>5.9675559803246874E-4</v>
      </c>
      <c r="R26" s="74">
        <f t="shared" si="1"/>
        <v>1.1077523272965495E-2</v>
      </c>
    </row>
    <row r="27" spans="1:18" ht="15" thickBot="1" x14ac:dyDescent="0.35">
      <c r="A27" s="60">
        <v>0.12150346930271523</v>
      </c>
      <c r="C27" s="60">
        <v>0.11310897443427607</v>
      </c>
      <c r="E27" s="42"/>
      <c r="F27" s="43"/>
      <c r="G27" s="48">
        <f>3.88% + G25*G23</f>
        <v>9.7884510887189774E-2</v>
      </c>
      <c r="H27" s="43"/>
      <c r="I27" s="44"/>
      <c r="N27" s="70" t="s">
        <v>243</v>
      </c>
      <c r="O27" s="70">
        <v>4556.62</v>
      </c>
      <c r="P27" s="68">
        <v>150.82</v>
      </c>
      <c r="Q27" s="73">
        <f t="shared" si="0"/>
        <v>4.0528664649777243E-3</v>
      </c>
      <c r="R27" s="74">
        <f t="shared" si="1"/>
        <v>-1.9871504187532456E-3</v>
      </c>
    </row>
    <row r="28" spans="1:18" ht="15" thickBot="1" x14ac:dyDescent="0.35">
      <c r="A28" s="60">
        <v>0.16164114128332377</v>
      </c>
      <c r="C28" s="60">
        <v>0.14523718592576942</v>
      </c>
      <c r="N28" s="70" t="s">
        <v>244</v>
      </c>
      <c r="O28" s="70">
        <v>4538.1899999999996</v>
      </c>
      <c r="P28" s="68">
        <v>151.12</v>
      </c>
      <c r="Q28" s="73">
        <f t="shared" si="0"/>
        <v>-2.0229887908321687E-3</v>
      </c>
      <c r="R28" s="74">
        <f t="shared" si="1"/>
        <v>8.0391091690308718E-3</v>
      </c>
    </row>
    <row r="29" spans="1:18" x14ac:dyDescent="0.3">
      <c r="A29" s="60">
        <v>0.14488945988623</v>
      </c>
      <c r="C29" s="60">
        <v>0.14301864519450544</v>
      </c>
      <c r="E29" s="45"/>
      <c r="F29" s="37"/>
      <c r="G29" s="49" t="s">
        <v>458</v>
      </c>
      <c r="H29" s="37"/>
      <c r="I29" s="38"/>
      <c r="N29" s="70" t="s">
        <v>245</v>
      </c>
      <c r="O29" s="70">
        <v>4547.38</v>
      </c>
      <c r="P29" s="68">
        <v>149.91</v>
      </c>
      <c r="Q29" s="73">
        <f t="shared" si="0"/>
        <v>7.3631338909269815E-3</v>
      </c>
      <c r="R29" s="74">
        <f t="shared" si="1"/>
        <v>8.0080084359585458E-4</v>
      </c>
    </row>
    <row r="30" spans="1:18" x14ac:dyDescent="0.3">
      <c r="A30" s="60">
        <v>0.12824049478859698</v>
      </c>
      <c r="C30" s="60">
        <v>0.12304841316809498</v>
      </c>
      <c r="E30" s="39"/>
      <c r="F30" s="40"/>
      <c r="G30" s="46">
        <f>1-G16</f>
        <v>0.88455599582158684</v>
      </c>
      <c r="H30" s="40"/>
      <c r="I30" s="41"/>
      <c r="N30" s="70" t="s">
        <v>246</v>
      </c>
      <c r="O30" s="70">
        <v>4514.0200000000004</v>
      </c>
      <c r="P30" s="68">
        <v>149.79</v>
      </c>
      <c r="Q30" s="73">
        <f t="shared" si="0"/>
        <v>1.2812755985166719E-3</v>
      </c>
      <c r="R30" s="74">
        <f t="shared" si="1"/>
        <v>-2.0674254587886281E-3</v>
      </c>
    </row>
    <row r="31" spans="1:18" x14ac:dyDescent="0.3">
      <c r="A31" s="60">
        <v>0.11451026466998719</v>
      </c>
      <c r="C31" s="60">
        <v>0.10871076134474007</v>
      </c>
      <c r="E31" s="39"/>
      <c r="F31" s="40"/>
      <c r="G31" s="47" t="s">
        <v>459</v>
      </c>
      <c r="H31" s="40"/>
      <c r="I31" s="41"/>
      <c r="N31" s="70" t="s">
        <v>247</v>
      </c>
      <c r="O31" s="70">
        <v>4508.24</v>
      </c>
      <c r="P31" s="68">
        <v>150.1</v>
      </c>
      <c r="Q31" s="73">
        <f t="shared" si="0"/>
        <v>1.1896413835666805E-3</v>
      </c>
      <c r="R31" s="74">
        <f t="shared" si="1"/>
        <v>8.6986162404246066E-3</v>
      </c>
    </row>
    <row r="32" spans="1:18" x14ac:dyDescent="0.3">
      <c r="A32" s="60" cm="1">
        <f t="array" ref="A32:A41">'NOVARTIS AG'!T2:T11</f>
        <v>8.0575128891098302E-2</v>
      </c>
      <c r="C32" s="60" cm="1">
        <f t="array" ref="C32:C41">'PFIZER INC'!P2:P11/'PFIZER INC'!I2:I11</f>
        <v>0.18636815557271041</v>
      </c>
      <c r="E32" s="39"/>
      <c r="F32" s="40"/>
      <c r="G32" s="46">
        <f>'JOHNSON &amp; JOHNSON'!AA11*(1-'JOHNSON &amp; JOHNSON'!X11)*Cálculos!G16 +Cálculos!G30*Cálculos!G27</f>
        <v>9.0245060375824582E-2</v>
      </c>
      <c r="H32" s="40"/>
      <c r="I32" s="41"/>
      <c r="N32" s="70" t="s">
        <v>248</v>
      </c>
      <c r="O32" s="70">
        <v>4502.88</v>
      </c>
      <c r="P32" s="68">
        <v>148.80000000000001</v>
      </c>
      <c r="Q32" s="73">
        <f t="shared" si="0"/>
        <v>1.5958076771483444E-3</v>
      </c>
      <c r="R32" s="74">
        <f t="shared" si="1"/>
        <v>7.6907887679721438E-3</v>
      </c>
    </row>
    <row r="33" spans="1:18" x14ac:dyDescent="0.3">
      <c r="A33" s="60">
        <v>9.3508782761580478E-2</v>
      </c>
      <c r="C33" s="60">
        <v>0.18103209984088545</v>
      </c>
      <c r="E33" s="39"/>
      <c r="F33" s="40"/>
      <c r="G33" s="47"/>
      <c r="H33" s="40"/>
      <c r="I33" s="41"/>
      <c r="N33" s="70" t="s">
        <v>249</v>
      </c>
      <c r="O33" s="70">
        <v>4495.7</v>
      </c>
      <c r="P33" s="68">
        <v>147.66</v>
      </c>
      <c r="Q33" s="73">
        <f t="shared" si="0"/>
        <v>1.8895282757298078E-2</v>
      </c>
      <c r="R33" s="74">
        <f t="shared" si="1"/>
        <v>2.0319008502289352E-4</v>
      </c>
    </row>
    <row r="34" spans="1:18" ht="15" thickBot="1" x14ac:dyDescent="0.35">
      <c r="A34" s="60">
        <v>0.12361983972268509</v>
      </c>
      <c r="C34" s="60">
        <v>0.19014515169260268</v>
      </c>
      <c r="E34" s="42"/>
      <c r="F34" s="43"/>
      <c r="G34" s="48"/>
      <c r="H34" s="43"/>
      <c r="I34" s="44"/>
      <c r="N34" s="70" t="s">
        <v>250</v>
      </c>
      <c r="O34" s="70">
        <v>4411.55</v>
      </c>
      <c r="P34" s="68">
        <v>147.63</v>
      </c>
      <c r="Q34" s="73">
        <f t="shared" si="0"/>
        <v>-8.3609108519786131E-4</v>
      </c>
      <c r="R34" s="74">
        <f t="shared" si="1"/>
        <v>2.5773210143003192E-3</v>
      </c>
    </row>
    <row r="35" spans="1:18" x14ac:dyDescent="0.3">
      <c r="A35" s="60">
        <v>0.12856818411971854</v>
      </c>
      <c r="C35" s="60">
        <v>0.1816698341265148</v>
      </c>
      <c r="N35" s="71">
        <v>45210</v>
      </c>
      <c r="O35" s="70">
        <v>4415.24</v>
      </c>
      <c r="P35" s="68">
        <v>147.25</v>
      </c>
      <c r="Q35" s="73">
        <f t="shared" si="0"/>
        <v>1.5495728650985885E-2</v>
      </c>
      <c r="R35" s="74">
        <f t="shared" si="1"/>
        <v>-1.1538332294466075E-3</v>
      </c>
    </row>
    <row r="36" spans="1:18" x14ac:dyDescent="0.3">
      <c r="A36" s="60">
        <v>0.14741477711122725</v>
      </c>
      <c r="C36" s="60">
        <v>0.15165788666573429</v>
      </c>
      <c r="N36" s="71">
        <v>45180</v>
      </c>
      <c r="O36" s="70">
        <v>4347.3500000000004</v>
      </c>
      <c r="P36" s="68">
        <v>147.41999999999999</v>
      </c>
      <c r="Q36" s="73">
        <f t="shared" si="0"/>
        <v>-8.1167621824379983E-3</v>
      </c>
      <c r="R36" s="74">
        <f t="shared" si="1"/>
        <v>-1.9680253673395341E-2</v>
      </c>
    </row>
    <row r="37" spans="1:18" x14ac:dyDescent="0.3">
      <c r="A37" s="60">
        <v>0.12150346930271523</v>
      </c>
      <c r="C37" s="60">
        <v>0.20109441945595102</v>
      </c>
      <c r="N37" s="71">
        <v>45149</v>
      </c>
      <c r="O37" s="70">
        <v>4382.78</v>
      </c>
      <c r="P37" s="68">
        <v>150.35</v>
      </c>
      <c r="Q37" s="73">
        <f t="shared" si="0"/>
        <v>1.0044332873557552E-3</v>
      </c>
      <c r="R37" s="74">
        <f t="shared" si="1"/>
        <v>-3.6514563392652417E-3</v>
      </c>
    </row>
    <row r="38" spans="1:18" x14ac:dyDescent="0.3">
      <c r="A38" s="60">
        <v>0.16164114128332377</v>
      </c>
      <c r="C38" s="60">
        <v>0.17154453113184001</v>
      </c>
      <c r="N38" s="71">
        <v>45118</v>
      </c>
      <c r="O38" s="70">
        <v>4378.38</v>
      </c>
      <c r="P38" s="68">
        <v>150.9</v>
      </c>
      <c r="Q38" s="73">
        <f t="shared" si="0"/>
        <v>2.8361156932399829E-3</v>
      </c>
      <c r="R38" s="74">
        <f t="shared" si="1"/>
        <v>-5.2875205806831981E-3</v>
      </c>
    </row>
    <row r="39" spans="1:18" x14ac:dyDescent="0.3">
      <c r="A39" s="60">
        <v>0.14488945988623</v>
      </c>
      <c r="C39" s="60">
        <v>0.11344519540412487</v>
      </c>
      <c r="N39" s="71">
        <v>45088</v>
      </c>
      <c r="O39" s="70">
        <v>4365.9799999999996</v>
      </c>
      <c r="P39" s="68">
        <v>151.69999999999999</v>
      </c>
      <c r="Q39" s="73">
        <f t="shared" si="0"/>
        <v>1.7514263468030517E-3</v>
      </c>
      <c r="R39" s="74">
        <f t="shared" si="1"/>
        <v>2.3759250881109032E-3</v>
      </c>
    </row>
    <row r="40" spans="1:18" x14ac:dyDescent="0.3">
      <c r="A40" s="60">
        <v>0.12824049478859698</v>
      </c>
      <c r="C40" s="60">
        <v>0.11914276823149215</v>
      </c>
      <c r="N40" s="71">
        <v>44996</v>
      </c>
      <c r="O40" s="70">
        <v>4358.34</v>
      </c>
      <c r="P40" s="68">
        <v>151.34</v>
      </c>
      <c r="Q40" s="73">
        <f t="shared" si="0"/>
        <v>9.3498696374369732E-3</v>
      </c>
      <c r="R40" s="74">
        <f t="shared" si="1"/>
        <v>7.2949458064227903E-3</v>
      </c>
    </row>
    <row r="41" spans="1:18" x14ac:dyDescent="0.3">
      <c r="A41" s="60">
        <v>0.11451026466998719</v>
      </c>
      <c r="C41" s="60">
        <v>0.32417284112332706</v>
      </c>
      <c r="N41" s="71">
        <v>44968</v>
      </c>
      <c r="O41" s="70">
        <v>4317.78</v>
      </c>
      <c r="P41" s="68">
        <v>150.24</v>
      </c>
      <c r="Q41" s="73">
        <f t="shared" si="0"/>
        <v>1.8682956430735833E-2</v>
      </c>
      <c r="R41" s="74">
        <f t="shared" si="1"/>
        <v>1.0370413750821008E-2</v>
      </c>
    </row>
    <row r="42" spans="1:18" x14ac:dyDescent="0.3">
      <c r="A42" s="60" cm="1">
        <f t="array" ref="A42:A51">'ELI LILLY AND COMPANY'!T2:T11</f>
        <v>0.10442551098163294</v>
      </c>
      <c r="C42" s="60" cm="1">
        <f t="array" ref="C42:C51">'ELI LILLY AND COMPANY'!P2:P11/'ELI LILLY AND COMPANY'!I2:I11</f>
        <v>0.10025619203971817</v>
      </c>
      <c r="N42" s="71">
        <v>44937</v>
      </c>
      <c r="O42" s="70">
        <v>4237.8599999999997</v>
      </c>
      <c r="P42" s="68">
        <v>148.69</v>
      </c>
      <c r="Q42" s="73">
        <f t="shared" si="0"/>
        <v>1.0451180679737281E-2</v>
      </c>
      <c r="R42" s="74">
        <f t="shared" si="1"/>
        <v>2.3566654007197655E-3</v>
      </c>
    </row>
    <row r="43" spans="1:18" x14ac:dyDescent="0.3">
      <c r="A43" s="60">
        <v>8.5453532396543713E-2</v>
      </c>
      <c r="C43" s="60">
        <v>8.234321225052664E-2</v>
      </c>
      <c r="N43" s="70" t="s">
        <v>251</v>
      </c>
      <c r="O43" s="70">
        <v>4193.8</v>
      </c>
      <c r="P43" s="68">
        <v>148.34</v>
      </c>
      <c r="Q43" s="73">
        <f t="shared" si="0"/>
        <v>6.4540892074659807E-3</v>
      </c>
      <c r="R43" s="74">
        <f t="shared" si="1"/>
        <v>8.870288718846122E-3</v>
      </c>
    </row>
    <row r="44" spans="1:18" x14ac:dyDescent="0.3">
      <c r="A44" s="60">
        <v>0.12691852675956325</v>
      </c>
      <c r="C44" s="60">
        <v>0.12058225316880511</v>
      </c>
      <c r="N44" s="70" t="s">
        <v>252</v>
      </c>
      <c r="O44" s="70">
        <v>4166.82</v>
      </c>
      <c r="P44" s="68">
        <v>147.03</v>
      </c>
      <c r="Q44" s="73">
        <f t="shared" si="0"/>
        <v>1.1938544947970331E-2</v>
      </c>
      <c r="R44" s="74">
        <f t="shared" si="1"/>
        <v>9.773511826980304E-3</v>
      </c>
    </row>
    <row r="45" spans="1:18" x14ac:dyDescent="0.3">
      <c r="A45" s="60">
        <v>0.14674544344026691</v>
      </c>
      <c r="C45" s="60">
        <v>0.13839263953317557</v>
      </c>
      <c r="N45" s="70" t="s">
        <v>253</v>
      </c>
      <c r="O45" s="70">
        <v>4117.37</v>
      </c>
      <c r="P45" s="68">
        <v>145.6</v>
      </c>
      <c r="Q45" s="73">
        <f t="shared" si="0"/>
        <v>-4.811871761208667E-3</v>
      </c>
      <c r="R45" s="74">
        <f t="shared" si="1"/>
        <v>-2.3083170182873581E-2</v>
      </c>
    </row>
    <row r="46" spans="1:18" x14ac:dyDescent="0.3">
      <c r="A46" s="60">
        <v>8.4012065920098564E-2</v>
      </c>
      <c r="C46" s="60">
        <v>8.2077252712459345E-2</v>
      </c>
      <c r="N46" s="70" t="s">
        <v>254</v>
      </c>
      <c r="O46" s="70">
        <v>4137.2299999999996</v>
      </c>
      <c r="P46" s="68">
        <v>149</v>
      </c>
      <c r="Q46" s="73">
        <f t="shared" si="0"/>
        <v>-1.1903071819740901E-2</v>
      </c>
      <c r="R46" s="74">
        <f t="shared" si="1"/>
        <v>-1.7101258498106373E-2</v>
      </c>
    </row>
    <row r="47" spans="1:18" x14ac:dyDescent="0.3">
      <c r="A47" s="60">
        <v>0.12138206199670983</v>
      </c>
      <c r="C47" s="60">
        <v>0.11014126241776175</v>
      </c>
      <c r="N47" s="70" t="s">
        <v>255</v>
      </c>
      <c r="O47" s="70">
        <v>4186.7700000000004</v>
      </c>
      <c r="P47" s="68">
        <v>151.57</v>
      </c>
      <c r="Q47" s="73">
        <f t="shared" si="0"/>
        <v>-1.4443397939346892E-2</v>
      </c>
      <c r="R47" s="74">
        <f t="shared" si="1"/>
        <v>2.2457076809163086E-3</v>
      </c>
    </row>
    <row r="48" spans="1:18" x14ac:dyDescent="0.3">
      <c r="A48" s="60">
        <v>0.10275140089555157</v>
      </c>
      <c r="C48" s="60">
        <v>9.51438616674571E-2</v>
      </c>
      <c r="N48" s="70" t="s">
        <v>256</v>
      </c>
      <c r="O48" s="70">
        <v>4247.68</v>
      </c>
      <c r="P48" s="68">
        <v>151.22999999999999</v>
      </c>
      <c r="Q48" s="73">
        <f t="shared" si="0"/>
        <v>7.2394913997594025E-3</v>
      </c>
      <c r="R48" s="74">
        <f t="shared" si="1"/>
        <v>-1.0574318611381956E-3</v>
      </c>
    </row>
    <row r="49" spans="1:18" x14ac:dyDescent="0.3">
      <c r="A49" s="60">
        <v>6.3901536803928488E-2</v>
      </c>
      <c r="C49" s="60">
        <v>6.0910286339327796E-2</v>
      </c>
      <c r="N49" s="70" t="s">
        <v>257</v>
      </c>
      <c r="O49" s="70">
        <v>4217.04</v>
      </c>
      <c r="P49" s="68">
        <v>151.38999999999999</v>
      </c>
      <c r="Q49" s="73">
        <f t="shared" si="0"/>
        <v>-1.6869643388467898E-3</v>
      </c>
      <c r="R49" s="74">
        <f t="shared" si="1"/>
        <v>-1.0578632768648101E-2</v>
      </c>
    </row>
    <row r="50" spans="1:18" x14ac:dyDescent="0.3">
      <c r="A50" s="60">
        <v>4.6714582850026054E-2</v>
      </c>
      <c r="C50" s="60">
        <v>4.4902680601561586E-2</v>
      </c>
      <c r="N50" s="70" t="s">
        <v>258</v>
      </c>
      <c r="O50" s="70">
        <v>4224.16</v>
      </c>
      <c r="P50" s="68">
        <v>153</v>
      </c>
      <c r="Q50" s="73">
        <f t="shared" si="0"/>
        <v>-1.2665186185757991E-2</v>
      </c>
      <c r="R50" s="74">
        <f t="shared" si="1"/>
        <v>4.4543503493803746E-3</v>
      </c>
    </row>
    <row r="51" spans="1:18" ht="15" thickBot="1" x14ac:dyDescent="0.35">
      <c r="A51" s="61">
        <v>4.5584857836116252E-2</v>
      </c>
      <c r="C51" s="61">
        <v>4.3819198892550655E-2</v>
      </c>
      <c r="N51" s="70" t="s">
        <v>259</v>
      </c>
      <c r="O51" s="70">
        <v>4278</v>
      </c>
      <c r="P51" s="68">
        <v>152.32</v>
      </c>
      <c r="Q51" s="73">
        <f t="shared" si="0"/>
        <v>-8.5190096941524674E-3</v>
      </c>
      <c r="R51" s="74">
        <f t="shared" si="1"/>
        <v>-2.6880855392991719E-3</v>
      </c>
    </row>
    <row r="52" spans="1:18" x14ac:dyDescent="0.3">
      <c r="N52" s="70" t="s">
        <v>260</v>
      </c>
      <c r="O52" s="70">
        <v>4314.6000000000004</v>
      </c>
      <c r="P52" s="68">
        <v>152.72999999999999</v>
      </c>
      <c r="Q52" s="73">
        <f t="shared" si="0"/>
        <v>-1.349038622382619E-2</v>
      </c>
      <c r="R52" s="74">
        <f t="shared" si="1"/>
        <v>-2.1761107387967549E-2</v>
      </c>
    </row>
    <row r="53" spans="1:18" x14ac:dyDescent="0.3">
      <c r="N53" s="70" t="s">
        <v>261</v>
      </c>
      <c r="O53" s="70">
        <v>4373.2</v>
      </c>
      <c r="P53" s="68">
        <v>156.09</v>
      </c>
      <c r="Q53" s="73">
        <f t="shared" si="0"/>
        <v>-9.8321334779938874E-5</v>
      </c>
      <c r="R53" s="74">
        <f t="shared" si="1"/>
        <v>-9.1831523475558174E-3</v>
      </c>
    </row>
    <row r="54" spans="1:18" x14ac:dyDescent="0.3">
      <c r="N54" s="70" t="s">
        <v>262</v>
      </c>
      <c r="O54" s="70">
        <v>4373.63</v>
      </c>
      <c r="P54" s="68">
        <v>157.53</v>
      </c>
      <c r="Q54" s="73">
        <f t="shared" si="0"/>
        <v>1.0538619453747615E-2</v>
      </c>
      <c r="R54" s="74">
        <f t="shared" si="1"/>
        <v>4.3259816811904968E-3</v>
      </c>
    </row>
    <row r="55" spans="1:18" x14ac:dyDescent="0.3">
      <c r="N55" s="70" t="s">
        <v>263</v>
      </c>
      <c r="O55" s="70">
        <v>4327.78</v>
      </c>
      <c r="P55" s="68">
        <v>156.85</v>
      </c>
      <c r="Q55" s="73">
        <f t="shared" si="0"/>
        <v>-5.0314774496886677E-3</v>
      </c>
      <c r="R55" s="74">
        <f t="shared" si="1"/>
        <v>3.320777047454065E-3</v>
      </c>
    </row>
    <row r="56" spans="1:18" x14ac:dyDescent="0.3">
      <c r="N56" s="71">
        <v>45270</v>
      </c>
      <c r="O56" s="70">
        <v>4349.6099999999997</v>
      </c>
      <c r="P56" s="68">
        <v>156.33000000000001</v>
      </c>
      <c r="Q56" s="73">
        <f t="shared" si="0"/>
        <v>-6.2659488852716012E-3</v>
      </c>
      <c r="R56" s="74">
        <f t="shared" si="1"/>
        <v>9.5996935470390218E-4</v>
      </c>
    </row>
    <row r="57" spans="1:18" x14ac:dyDescent="0.3">
      <c r="N57" s="71">
        <v>45240</v>
      </c>
      <c r="O57" s="70">
        <v>4376.95</v>
      </c>
      <c r="P57" s="68">
        <v>156.18</v>
      </c>
      <c r="Q57" s="73">
        <f t="shared" si="0"/>
        <v>4.2838286545689866E-3</v>
      </c>
      <c r="R57" s="74">
        <f t="shared" si="1"/>
        <v>-1.3861734003400876E-2</v>
      </c>
    </row>
    <row r="58" spans="1:18" x14ac:dyDescent="0.3">
      <c r="N58" s="71">
        <v>45209</v>
      </c>
      <c r="O58" s="70">
        <v>4358.24</v>
      </c>
      <c r="P58" s="68">
        <v>158.36000000000001</v>
      </c>
      <c r="Q58" s="73">
        <f t="shared" si="0"/>
        <v>5.1944583608864153E-3</v>
      </c>
      <c r="R58" s="74">
        <f t="shared" si="1"/>
        <v>-1.1360051710797992E-3</v>
      </c>
    </row>
    <row r="59" spans="1:18" x14ac:dyDescent="0.3">
      <c r="N59" s="71">
        <v>45179</v>
      </c>
      <c r="O59" s="70">
        <v>4335.66</v>
      </c>
      <c r="P59" s="68">
        <v>158.54</v>
      </c>
      <c r="Q59" s="73">
        <f t="shared" si="0"/>
        <v>6.2840320810455159E-3</v>
      </c>
      <c r="R59" s="74">
        <f t="shared" si="1"/>
        <v>5.6929750822068163E-3</v>
      </c>
    </row>
    <row r="60" spans="1:18" x14ac:dyDescent="0.3">
      <c r="N60" s="71">
        <v>45087</v>
      </c>
      <c r="O60" s="70">
        <v>4308.5</v>
      </c>
      <c r="P60" s="68">
        <v>157.63999999999999</v>
      </c>
      <c r="Q60" s="73">
        <f t="shared" si="0"/>
        <v>1.1745628333713317E-2</v>
      </c>
      <c r="R60" s="74">
        <f t="shared" si="1"/>
        <v>3.1768245791274959E-3</v>
      </c>
    </row>
    <row r="61" spans="1:18" x14ac:dyDescent="0.3">
      <c r="N61" s="71">
        <v>45056</v>
      </c>
      <c r="O61" s="70">
        <v>4258.1899999999996</v>
      </c>
      <c r="P61" s="68">
        <v>157.13999999999999</v>
      </c>
      <c r="Q61" s="73">
        <f t="shared" si="0"/>
        <v>-1.3048673867472557E-3</v>
      </c>
      <c r="R61" s="74">
        <f t="shared" si="1"/>
        <v>1.0362787035546437E-2</v>
      </c>
    </row>
    <row r="62" spans="1:18" x14ac:dyDescent="0.3">
      <c r="N62" s="71">
        <v>45026</v>
      </c>
      <c r="O62" s="70">
        <v>4263.75</v>
      </c>
      <c r="P62" s="68">
        <v>155.52000000000001</v>
      </c>
      <c r="Q62" s="73">
        <f t="shared" si="0"/>
        <v>8.0770937870001339E-3</v>
      </c>
      <c r="R62" s="74">
        <f t="shared" si="1"/>
        <v>1.1580777206276467E-3</v>
      </c>
    </row>
    <row r="63" spans="1:18" x14ac:dyDescent="0.3">
      <c r="N63" s="71">
        <v>44995</v>
      </c>
      <c r="O63" s="70">
        <v>4229.45</v>
      </c>
      <c r="P63" s="68">
        <v>155.34</v>
      </c>
      <c r="Q63" s="73">
        <f t="shared" si="0"/>
        <v>-1.3839410161483797E-2</v>
      </c>
      <c r="R63" s="74">
        <f t="shared" si="1"/>
        <v>1.2238720971120007E-3</v>
      </c>
    </row>
    <row r="64" spans="1:18" x14ac:dyDescent="0.3">
      <c r="N64" s="71">
        <v>44967</v>
      </c>
      <c r="O64" s="70">
        <v>4288.3900000000003</v>
      </c>
      <c r="P64" s="68">
        <v>155.15</v>
      </c>
      <c r="Q64" s="73">
        <f t="shared" si="0"/>
        <v>7.9286976922361474E-5</v>
      </c>
      <c r="R64" s="74">
        <f t="shared" si="1"/>
        <v>-3.8597667731732886E-3</v>
      </c>
    </row>
    <row r="65" spans="14:18" x14ac:dyDescent="0.3">
      <c r="N65" s="70" t="s">
        <v>264</v>
      </c>
      <c r="O65" s="70">
        <v>4288.05</v>
      </c>
      <c r="P65" s="68">
        <v>155.75</v>
      </c>
      <c r="Q65" s="73">
        <f t="shared" si="0"/>
        <v>-2.7131686755154211E-3</v>
      </c>
      <c r="R65" s="74">
        <f t="shared" si="1"/>
        <v>-7.2290242205282559E-3</v>
      </c>
    </row>
    <row r="66" spans="14:18" x14ac:dyDescent="0.3">
      <c r="N66" s="70" t="s">
        <v>265</v>
      </c>
      <c r="O66" s="70">
        <v>4299.7</v>
      </c>
      <c r="P66" s="68">
        <v>156.88</v>
      </c>
      <c r="Q66" s="73">
        <f t="shared" si="0"/>
        <v>5.8757768874731896E-3</v>
      </c>
      <c r="R66" s="74">
        <f t="shared" si="1"/>
        <v>-1.4650150714153162E-3</v>
      </c>
    </row>
    <row r="67" spans="14:18" x14ac:dyDescent="0.3">
      <c r="N67" s="70" t="s">
        <v>266</v>
      </c>
      <c r="O67" s="70">
        <v>4274.51</v>
      </c>
      <c r="P67" s="68">
        <v>157.11000000000001</v>
      </c>
      <c r="Q67" s="73">
        <f t="shared" ref="Q67:Q130" si="2">LN(O67/O68)</f>
        <v>2.2929233000634007E-4</v>
      </c>
      <c r="R67" s="74">
        <f t="shared" ref="R67:R130" si="3">LN(P67/P68)</f>
        <v>-1.2083783513831329E-2</v>
      </c>
    </row>
    <row r="68" spans="14:18" x14ac:dyDescent="0.3">
      <c r="N68" s="70" t="s">
        <v>267</v>
      </c>
      <c r="O68" s="70">
        <v>4273.53</v>
      </c>
      <c r="P68" s="68">
        <v>159.02000000000001</v>
      </c>
      <c r="Q68" s="73">
        <f t="shared" si="2"/>
        <v>-1.4844128717961364E-2</v>
      </c>
      <c r="R68" s="74">
        <f t="shared" si="3"/>
        <v>-7.7675158765869922E-3</v>
      </c>
    </row>
    <row r="69" spans="14:18" x14ac:dyDescent="0.3">
      <c r="N69" s="70" t="s">
        <v>268</v>
      </c>
      <c r="O69" s="70">
        <v>4337.4399999999996</v>
      </c>
      <c r="P69" s="68">
        <v>160.26</v>
      </c>
      <c r="Q69" s="73">
        <f t="shared" si="2"/>
        <v>4.0150212758186272E-3</v>
      </c>
      <c r="R69" s="74">
        <f t="shared" si="3"/>
        <v>-1.496446220146072E-3</v>
      </c>
    </row>
    <row r="70" spans="14:18" x14ac:dyDescent="0.3">
      <c r="N70" s="70" t="s">
        <v>269</v>
      </c>
      <c r="O70" s="70">
        <v>4320.0600000000004</v>
      </c>
      <c r="P70" s="68">
        <v>160.5</v>
      </c>
      <c r="Q70" s="73">
        <f t="shared" si="2"/>
        <v>-2.2982509659402743E-3</v>
      </c>
      <c r="R70" s="74">
        <f t="shared" si="3"/>
        <v>-7.2014217356277622E-3</v>
      </c>
    </row>
    <row r="71" spans="14:18" x14ac:dyDescent="0.3">
      <c r="N71" s="70" t="s">
        <v>270</v>
      </c>
      <c r="O71" s="70">
        <v>4330</v>
      </c>
      <c r="P71" s="68">
        <v>161.66</v>
      </c>
      <c r="Q71" s="73">
        <f t="shared" si="2"/>
        <v>-1.653687395146802E-2</v>
      </c>
      <c r="R71" s="74">
        <f t="shared" si="3"/>
        <v>-7.702536772379631E-3</v>
      </c>
    </row>
    <row r="72" spans="14:18" x14ac:dyDescent="0.3">
      <c r="N72" s="70" t="s">
        <v>271</v>
      </c>
      <c r="O72" s="70">
        <v>4402.2</v>
      </c>
      <c r="P72" s="68">
        <v>162.91</v>
      </c>
      <c r="Q72" s="73">
        <f t="shared" si="2"/>
        <v>-9.4392046231101256E-3</v>
      </c>
      <c r="R72" s="74">
        <f t="shared" si="3"/>
        <v>4.3677593967654561E-3</v>
      </c>
    </row>
    <row r="73" spans="14:18" x14ac:dyDescent="0.3">
      <c r="N73" s="70" t="s">
        <v>272</v>
      </c>
      <c r="O73" s="70">
        <v>4443.95</v>
      </c>
      <c r="P73" s="68">
        <v>162.19999999999999</v>
      </c>
      <c r="Q73" s="73">
        <f t="shared" si="2"/>
        <v>-2.1534195529618974E-3</v>
      </c>
      <c r="R73" s="74">
        <f t="shared" si="3"/>
        <v>-1.6632276603464561E-3</v>
      </c>
    </row>
    <row r="74" spans="14:18" x14ac:dyDescent="0.3">
      <c r="N74" s="70" t="s">
        <v>273</v>
      </c>
      <c r="O74" s="70">
        <v>4453.53</v>
      </c>
      <c r="P74" s="68">
        <v>162.47</v>
      </c>
      <c r="Q74" s="73">
        <f t="shared" si="2"/>
        <v>7.2103643683838804E-4</v>
      </c>
      <c r="R74" s="74">
        <f t="shared" si="3"/>
        <v>6.2978721373749156E-3</v>
      </c>
    </row>
    <row r="75" spans="14:18" x14ac:dyDescent="0.3">
      <c r="N75" s="70" t="s">
        <v>274</v>
      </c>
      <c r="O75" s="70">
        <v>4450.32</v>
      </c>
      <c r="P75" s="68">
        <v>161.44999999999999</v>
      </c>
      <c r="Q75" s="73">
        <f t="shared" si="2"/>
        <v>-1.2234084667107637E-2</v>
      </c>
      <c r="R75" s="74">
        <f t="shared" si="3"/>
        <v>-1.4084306744018053E-2</v>
      </c>
    </row>
    <row r="76" spans="14:18" x14ac:dyDescent="0.3">
      <c r="N76" s="70" t="s">
        <v>275</v>
      </c>
      <c r="O76" s="70">
        <v>4505.1000000000004</v>
      </c>
      <c r="P76" s="68">
        <v>163.74</v>
      </c>
      <c r="Q76" s="73">
        <f t="shared" si="2"/>
        <v>8.394550741111827E-3</v>
      </c>
      <c r="R76" s="74">
        <f t="shared" si="3"/>
        <v>-1.5256464070521807E-3</v>
      </c>
    </row>
    <row r="77" spans="14:18" x14ac:dyDescent="0.3">
      <c r="N77" s="70" t="s">
        <v>276</v>
      </c>
      <c r="O77" s="70">
        <v>4467.4399999999996</v>
      </c>
      <c r="P77" s="68">
        <v>163.99</v>
      </c>
      <c r="Q77" s="73">
        <f t="shared" si="2"/>
        <v>1.2408533465711885E-3</v>
      </c>
      <c r="R77" s="74">
        <f t="shared" si="3"/>
        <v>2.5032830485261994E-3</v>
      </c>
    </row>
    <row r="78" spans="14:18" x14ac:dyDescent="0.3">
      <c r="N78" s="71">
        <v>45269</v>
      </c>
      <c r="O78" s="70">
        <v>4461.8999999999996</v>
      </c>
      <c r="P78" s="68">
        <v>163.58000000000001</v>
      </c>
      <c r="Q78" s="73">
        <f t="shared" si="2"/>
        <v>-5.7121558411206055E-3</v>
      </c>
      <c r="R78" s="74">
        <f t="shared" si="3"/>
        <v>5.6400345681990099E-3</v>
      </c>
    </row>
    <row r="79" spans="14:18" x14ac:dyDescent="0.3">
      <c r="N79" s="71">
        <v>45239</v>
      </c>
      <c r="O79" s="70">
        <v>4487.46</v>
      </c>
      <c r="P79" s="68">
        <v>162.66</v>
      </c>
      <c r="Q79" s="73">
        <f t="shared" si="2"/>
        <v>6.7010127829867268E-3</v>
      </c>
      <c r="R79" s="74">
        <f t="shared" si="3"/>
        <v>1.2994428250546477E-2</v>
      </c>
    </row>
    <row r="80" spans="14:18" x14ac:dyDescent="0.3">
      <c r="N80" s="71">
        <v>45147</v>
      </c>
      <c r="O80" s="70">
        <v>4457.49</v>
      </c>
      <c r="P80" s="68">
        <v>160.56</v>
      </c>
      <c r="Q80" s="73">
        <f t="shared" si="2"/>
        <v>1.4255841976643817E-3</v>
      </c>
      <c r="R80" s="74">
        <f t="shared" si="3"/>
        <v>3.3064068301837273E-3</v>
      </c>
    </row>
    <row r="81" spans="14:18" x14ac:dyDescent="0.3">
      <c r="N81" s="71">
        <v>45116</v>
      </c>
      <c r="O81" s="70">
        <v>4451.1400000000003</v>
      </c>
      <c r="P81" s="68">
        <v>160.03</v>
      </c>
      <c r="Q81" s="73">
        <f t="shared" si="2"/>
        <v>-3.2164682050081963E-3</v>
      </c>
      <c r="R81" s="74">
        <f t="shared" si="3"/>
        <v>1.2702975494491214E-2</v>
      </c>
    </row>
    <row r="82" spans="14:18" x14ac:dyDescent="0.3">
      <c r="N82" s="71">
        <v>45086</v>
      </c>
      <c r="O82" s="70">
        <v>4465.4799999999996</v>
      </c>
      <c r="P82" s="68">
        <v>158.01</v>
      </c>
      <c r="Q82" s="73">
        <f t="shared" si="2"/>
        <v>-6.9959927442528732E-3</v>
      </c>
      <c r="R82" s="74">
        <f t="shared" si="3"/>
        <v>-1.6756487327673882E-2</v>
      </c>
    </row>
    <row r="83" spans="14:18" x14ac:dyDescent="0.3">
      <c r="N83" s="71">
        <v>45055</v>
      </c>
      <c r="O83" s="70">
        <v>4496.83</v>
      </c>
      <c r="P83" s="68">
        <v>160.68</v>
      </c>
      <c r="Q83" s="73">
        <f t="shared" si="2"/>
        <v>-4.203010869610265E-3</v>
      </c>
      <c r="R83" s="74">
        <f t="shared" si="3"/>
        <v>1.2454852774561756E-3</v>
      </c>
    </row>
    <row r="84" spans="14:18" x14ac:dyDescent="0.3">
      <c r="N84" s="71">
        <v>44935</v>
      </c>
      <c r="O84" s="70">
        <v>4515.7700000000004</v>
      </c>
      <c r="P84" s="68">
        <v>160.47999999999999</v>
      </c>
      <c r="Q84" s="73">
        <f t="shared" si="2"/>
        <v>1.7975431036151848E-3</v>
      </c>
      <c r="R84" s="74">
        <f t="shared" si="3"/>
        <v>-7.4497488817402381E-3</v>
      </c>
    </row>
    <row r="85" spans="14:18" x14ac:dyDescent="0.3">
      <c r="N85" s="70" t="s">
        <v>277</v>
      </c>
      <c r="O85" s="70">
        <v>4507.66</v>
      </c>
      <c r="P85" s="68">
        <v>161.68</v>
      </c>
      <c r="Q85" s="73">
        <f t="shared" si="2"/>
        <v>-1.5982216816604765E-3</v>
      </c>
      <c r="R85" s="74">
        <f t="shared" si="3"/>
        <v>-1.2599656556035304E-2</v>
      </c>
    </row>
    <row r="86" spans="14:18" x14ac:dyDescent="0.3">
      <c r="N86" s="70" t="s">
        <v>278</v>
      </c>
      <c r="O86" s="70">
        <v>4514.87</v>
      </c>
      <c r="P86" s="68">
        <v>163.72999999999999</v>
      </c>
      <c r="Q86" s="73">
        <f t="shared" si="2"/>
        <v>3.8258021699069606E-3</v>
      </c>
      <c r="R86" s="74">
        <f t="shared" si="3"/>
        <v>-3.5361578123387556E-3</v>
      </c>
    </row>
    <row r="87" spans="14:18" x14ac:dyDescent="0.3">
      <c r="N87" s="70" t="s">
        <v>279</v>
      </c>
      <c r="O87" s="70">
        <v>4497.63</v>
      </c>
      <c r="P87" s="68">
        <v>164.31</v>
      </c>
      <c r="Q87" s="73">
        <f t="shared" si="2"/>
        <v>1.4404107984150809E-2</v>
      </c>
      <c r="R87" s="74">
        <f t="shared" si="3"/>
        <v>1.2172854549429041E-4</v>
      </c>
    </row>
    <row r="88" spans="14:18" x14ac:dyDescent="0.3">
      <c r="N88" s="70" t="s">
        <v>280</v>
      </c>
      <c r="O88" s="70">
        <v>4433.3100000000004</v>
      </c>
      <c r="P88" s="68">
        <v>164.29</v>
      </c>
      <c r="Q88" s="73">
        <f t="shared" si="2"/>
        <v>6.2450565111568821E-3</v>
      </c>
      <c r="R88" s="74">
        <f t="shared" si="3"/>
        <v>-1.1859520617718116E-2</v>
      </c>
    </row>
    <row r="89" spans="14:18" x14ac:dyDescent="0.3">
      <c r="N89" s="70" t="s">
        <v>281</v>
      </c>
      <c r="O89" s="70">
        <v>4405.71</v>
      </c>
      <c r="P89" s="68">
        <v>166.25</v>
      </c>
      <c r="Q89" s="73">
        <f t="shared" si="2"/>
        <v>6.6955233154781116E-3</v>
      </c>
      <c r="R89" s="74">
        <f t="shared" si="3"/>
        <v>7.0018997961863588E-3</v>
      </c>
    </row>
    <row r="90" spans="14:18" x14ac:dyDescent="0.3">
      <c r="N90" s="70" t="s">
        <v>282</v>
      </c>
      <c r="O90" s="70">
        <v>4376.3100000000004</v>
      </c>
      <c r="P90" s="68">
        <v>165.09</v>
      </c>
      <c r="Q90" s="73">
        <f t="shared" si="2"/>
        <v>-1.3549420207499292E-2</v>
      </c>
      <c r="R90" s="74">
        <f t="shared" si="3"/>
        <v>3.3978553412183175E-3</v>
      </c>
    </row>
    <row r="91" spans="14:18" x14ac:dyDescent="0.3">
      <c r="N91" s="70" t="s">
        <v>283</v>
      </c>
      <c r="O91" s="70">
        <v>4436.01</v>
      </c>
      <c r="P91" s="68">
        <v>164.53</v>
      </c>
      <c r="Q91" s="73">
        <f t="shared" si="2"/>
        <v>1.0984339030271489E-2</v>
      </c>
      <c r="R91" s="74">
        <f t="shared" si="3"/>
        <v>-9.0153386283308434E-3</v>
      </c>
    </row>
    <row r="92" spans="14:18" x14ac:dyDescent="0.3">
      <c r="N92" s="70" t="s">
        <v>284</v>
      </c>
      <c r="O92" s="70">
        <v>4387.55</v>
      </c>
      <c r="P92" s="68">
        <v>166.02</v>
      </c>
      <c r="Q92" s="73">
        <f t="shared" si="2"/>
        <v>-2.7812820922299762E-3</v>
      </c>
      <c r="R92" s="74">
        <f t="shared" si="3"/>
        <v>-7.979164630445958E-3</v>
      </c>
    </row>
    <row r="93" spans="14:18" x14ac:dyDescent="0.3">
      <c r="N93" s="70" t="s">
        <v>285</v>
      </c>
      <c r="O93" s="70">
        <v>4399.7700000000004</v>
      </c>
      <c r="P93" s="68">
        <v>167.35</v>
      </c>
      <c r="Q93" s="73">
        <f t="shared" si="2"/>
        <v>6.8556214812669266E-3</v>
      </c>
      <c r="R93" s="74">
        <f t="shared" si="3"/>
        <v>-3.0251836119202E-2</v>
      </c>
    </row>
    <row r="94" spans="14:18" x14ac:dyDescent="0.3">
      <c r="N94" s="70" t="s">
        <v>286</v>
      </c>
      <c r="O94" s="70">
        <v>4369.71</v>
      </c>
      <c r="P94" s="68">
        <v>172.49</v>
      </c>
      <c r="Q94" s="73">
        <f t="shared" si="2"/>
        <v>-1.4874022775515319E-4</v>
      </c>
      <c r="R94" s="74">
        <f t="shared" si="3"/>
        <v>-8.7735050509494521E-3</v>
      </c>
    </row>
    <row r="95" spans="14:18" x14ac:dyDescent="0.3">
      <c r="N95" s="70" t="s">
        <v>287</v>
      </c>
      <c r="O95" s="70">
        <v>4370.3599999999997</v>
      </c>
      <c r="P95" s="68">
        <v>174.01</v>
      </c>
      <c r="Q95" s="73">
        <f t="shared" si="2"/>
        <v>-7.7427623561250646E-3</v>
      </c>
      <c r="R95" s="74">
        <f t="shared" si="3"/>
        <v>9.3534169205998167E-3</v>
      </c>
    </row>
    <row r="96" spans="14:18" x14ac:dyDescent="0.3">
      <c r="N96" s="70" t="s">
        <v>288</v>
      </c>
      <c r="O96" s="70">
        <v>4404.33</v>
      </c>
      <c r="P96" s="68">
        <v>172.39</v>
      </c>
      <c r="Q96" s="73">
        <f t="shared" si="2"/>
        <v>-7.5841303382103969E-3</v>
      </c>
      <c r="R96" s="74">
        <f t="shared" si="3"/>
        <v>-3.1853616253969619E-3</v>
      </c>
    </row>
    <row r="97" spans="14:18" x14ac:dyDescent="0.3">
      <c r="N97" s="70" t="s">
        <v>289</v>
      </c>
      <c r="O97" s="70">
        <v>4437.8599999999997</v>
      </c>
      <c r="P97" s="68">
        <v>172.94</v>
      </c>
      <c r="Q97" s="73">
        <f t="shared" si="2"/>
        <v>-1.1618060736365813E-2</v>
      </c>
      <c r="R97" s="74">
        <f t="shared" si="3"/>
        <v>-2.8870047189972587E-3</v>
      </c>
    </row>
    <row r="98" spans="14:18" x14ac:dyDescent="0.3">
      <c r="N98" s="70" t="s">
        <v>290</v>
      </c>
      <c r="O98" s="70">
        <v>4489.72</v>
      </c>
      <c r="P98" s="68">
        <v>173.44</v>
      </c>
      <c r="Q98" s="73">
        <f t="shared" si="2"/>
        <v>5.7339132747375263E-3</v>
      </c>
      <c r="R98" s="74">
        <f t="shared" si="3"/>
        <v>-2.3611402025889927E-3</v>
      </c>
    </row>
    <row r="99" spans="14:18" x14ac:dyDescent="0.3">
      <c r="N99" s="71">
        <v>45238</v>
      </c>
      <c r="O99" s="70">
        <v>4464.05</v>
      </c>
      <c r="P99" s="68">
        <v>173.85</v>
      </c>
      <c r="Q99" s="73">
        <f t="shared" si="2"/>
        <v>-1.0702036647139679E-3</v>
      </c>
      <c r="R99" s="74">
        <f t="shared" si="3"/>
        <v>9.7104976654894485E-3</v>
      </c>
    </row>
    <row r="100" spans="14:18" x14ac:dyDescent="0.3">
      <c r="N100" s="71">
        <v>45207</v>
      </c>
      <c r="O100" s="70">
        <v>4468.83</v>
      </c>
      <c r="P100" s="68">
        <v>172.17</v>
      </c>
      <c r="Q100" s="73">
        <f t="shared" si="2"/>
        <v>2.5065629558288107E-4</v>
      </c>
      <c r="R100" s="74">
        <f t="shared" si="3"/>
        <v>-5.2137761485268512E-3</v>
      </c>
    </row>
    <row r="101" spans="14:18" x14ac:dyDescent="0.3">
      <c r="N101" s="71">
        <v>45177</v>
      </c>
      <c r="O101" s="70">
        <v>4467.71</v>
      </c>
      <c r="P101" s="68">
        <v>173.07</v>
      </c>
      <c r="Q101" s="73">
        <f t="shared" si="2"/>
        <v>-7.0636364040070568E-3</v>
      </c>
      <c r="R101" s="74">
        <f t="shared" si="3"/>
        <v>-6.3537908274748122E-4</v>
      </c>
    </row>
    <row r="102" spans="14:18" x14ac:dyDescent="0.3">
      <c r="N102" s="71">
        <v>45146</v>
      </c>
      <c r="O102" s="70">
        <v>4499.38</v>
      </c>
      <c r="P102" s="68">
        <v>173.18</v>
      </c>
      <c r="Q102" s="73">
        <f t="shared" si="2"/>
        <v>-4.227192022498048E-3</v>
      </c>
      <c r="R102" s="74">
        <f t="shared" si="3"/>
        <v>4.6205383749163233E-4</v>
      </c>
    </row>
    <row r="103" spans="14:18" x14ac:dyDescent="0.3">
      <c r="N103" s="71">
        <v>45115</v>
      </c>
      <c r="O103" s="70">
        <v>4518.4399999999996</v>
      </c>
      <c r="P103" s="68">
        <v>173.1</v>
      </c>
      <c r="Q103" s="73">
        <f t="shared" si="2"/>
        <v>8.9835839552586446E-3</v>
      </c>
      <c r="R103" s="74">
        <f t="shared" si="3"/>
        <v>2.3734088874362277E-2</v>
      </c>
    </row>
    <row r="104" spans="14:18" x14ac:dyDescent="0.3">
      <c r="N104" s="71">
        <v>45024</v>
      </c>
      <c r="O104" s="70">
        <v>4478.03</v>
      </c>
      <c r="P104" s="68">
        <v>169.04</v>
      </c>
      <c r="Q104" s="73">
        <f t="shared" si="2"/>
        <v>-5.3140910274567365E-3</v>
      </c>
      <c r="R104" s="74">
        <f t="shared" si="3"/>
        <v>-9.4207008552938034E-3</v>
      </c>
    </row>
    <row r="105" spans="14:18" x14ac:dyDescent="0.3">
      <c r="N105" s="71">
        <v>44993</v>
      </c>
      <c r="O105" s="70">
        <v>4501.8900000000003</v>
      </c>
      <c r="P105" s="68">
        <v>170.64</v>
      </c>
      <c r="Q105" s="73">
        <f t="shared" si="2"/>
        <v>-2.5512255276715053E-3</v>
      </c>
      <c r="R105" s="74">
        <f t="shared" si="3"/>
        <v>4.2871890654278067E-3</v>
      </c>
    </row>
    <row r="106" spans="14:18" x14ac:dyDescent="0.3">
      <c r="N106" s="71">
        <v>44965</v>
      </c>
      <c r="O106" s="70">
        <v>4513.3900000000003</v>
      </c>
      <c r="P106" s="68">
        <v>169.91</v>
      </c>
      <c r="Q106" s="73">
        <f t="shared" si="2"/>
        <v>-1.3936235197657028E-2</v>
      </c>
      <c r="R106" s="74">
        <f t="shared" si="3"/>
        <v>6.0212696678374781E-3</v>
      </c>
    </row>
    <row r="107" spans="14:18" x14ac:dyDescent="0.3">
      <c r="N107" s="71">
        <v>44934</v>
      </c>
      <c r="O107" s="70">
        <v>4576.7299999999996</v>
      </c>
      <c r="P107" s="68">
        <v>168.89</v>
      </c>
      <c r="Q107" s="73">
        <f t="shared" si="2"/>
        <v>-2.668649552448092E-3</v>
      </c>
      <c r="R107" s="74">
        <f t="shared" si="3"/>
        <v>8.0851757243888232E-3</v>
      </c>
    </row>
    <row r="108" spans="14:18" x14ac:dyDescent="0.3">
      <c r="N108" s="70" t="s">
        <v>291</v>
      </c>
      <c r="O108" s="70">
        <v>4588.96</v>
      </c>
      <c r="P108" s="68">
        <v>167.53</v>
      </c>
      <c r="Q108" s="73">
        <f t="shared" si="2"/>
        <v>1.4676396864565879E-3</v>
      </c>
      <c r="R108" s="74">
        <f t="shared" si="3"/>
        <v>-4.0647682187932611E-2</v>
      </c>
    </row>
    <row r="109" spans="14:18" x14ac:dyDescent="0.3">
      <c r="N109" s="70" t="s">
        <v>292</v>
      </c>
      <c r="O109" s="70">
        <v>4582.2299999999996</v>
      </c>
      <c r="P109" s="68">
        <v>174.48</v>
      </c>
      <c r="Q109" s="73">
        <f t="shared" si="2"/>
        <v>9.8294145087675765E-3</v>
      </c>
      <c r="R109" s="74">
        <f t="shared" si="3"/>
        <v>4.5380208274522164E-3</v>
      </c>
    </row>
    <row r="110" spans="14:18" x14ac:dyDescent="0.3">
      <c r="N110" s="70" t="s">
        <v>293</v>
      </c>
      <c r="O110" s="70">
        <v>4537.41</v>
      </c>
      <c r="P110" s="68">
        <v>173.69</v>
      </c>
      <c r="Q110" s="73">
        <f t="shared" si="2"/>
        <v>-6.4454274911412875E-3</v>
      </c>
      <c r="R110" s="74">
        <f t="shared" si="3"/>
        <v>5.6003148593694345E-3</v>
      </c>
    </row>
    <row r="111" spans="14:18" x14ac:dyDescent="0.3">
      <c r="N111" s="70" t="s">
        <v>294</v>
      </c>
      <c r="O111" s="70">
        <v>4566.75</v>
      </c>
      <c r="P111" s="68">
        <v>172.72</v>
      </c>
      <c r="Q111" s="73">
        <f t="shared" si="2"/>
        <v>-1.5545953102232801E-4</v>
      </c>
      <c r="R111" s="74">
        <f t="shared" si="3"/>
        <v>1.9124342996646858E-3</v>
      </c>
    </row>
    <row r="112" spans="14:18" x14ac:dyDescent="0.3">
      <c r="N112" s="70" t="s">
        <v>295</v>
      </c>
      <c r="O112" s="70">
        <v>4567.46</v>
      </c>
      <c r="P112" s="68">
        <v>172.39</v>
      </c>
      <c r="Q112" s="73">
        <f t="shared" si="2"/>
        <v>2.8107581456501534E-3</v>
      </c>
      <c r="R112" s="74">
        <f t="shared" si="3"/>
        <v>7.6280685481791913E-3</v>
      </c>
    </row>
    <row r="113" spans="14:18" x14ac:dyDescent="0.3">
      <c r="N113" s="70" t="s">
        <v>296</v>
      </c>
      <c r="O113" s="70">
        <v>4554.6400000000003</v>
      </c>
      <c r="P113" s="68">
        <v>171.08</v>
      </c>
      <c r="Q113" s="73">
        <f t="shared" si="2"/>
        <v>4.0259740353417468E-3</v>
      </c>
      <c r="R113" s="74">
        <f t="shared" si="3"/>
        <v>5.2158233521224203E-3</v>
      </c>
    </row>
    <row r="114" spans="14:18" x14ac:dyDescent="0.3">
      <c r="N114" s="70" t="s">
        <v>297</v>
      </c>
      <c r="O114" s="70">
        <v>4536.34</v>
      </c>
      <c r="P114" s="68">
        <v>170.19</v>
      </c>
      <c r="Q114" s="73">
        <f t="shared" si="2"/>
        <v>3.2410230010493271E-4</v>
      </c>
      <c r="R114" s="74">
        <f t="shared" si="3"/>
        <v>1.0692130097067602E-2</v>
      </c>
    </row>
    <row r="115" spans="14:18" x14ac:dyDescent="0.3">
      <c r="N115" s="70" t="s">
        <v>298</v>
      </c>
      <c r="O115" s="70">
        <v>4534.87</v>
      </c>
      <c r="P115" s="68">
        <v>168.38</v>
      </c>
      <c r="Q115" s="73">
        <f t="shared" si="2"/>
        <v>-6.7798061818515913E-3</v>
      </c>
      <c r="R115" s="74">
        <f t="shared" si="3"/>
        <v>5.8955686246788451E-2</v>
      </c>
    </row>
    <row r="116" spans="14:18" x14ac:dyDescent="0.3">
      <c r="N116" s="70" t="s">
        <v>299</v>
      </c>
      <c r="O116" s="70">
        <v>4565.72</v>
      </c>
      <c r="P116" s="68">
        <v>158.74</v>
      </c>
      <c r="Q116" s="73">
        <f t="shared" si="2"/>
        <v>2.3550834835142126E-3</v>
      </c>
      <c r="R116" s="74">
        <f t="shared" si="3"/>
        <v>-2.0138458662596072E-3</v>
      </c>
    </row>
    <row r="117" spans="14:18" x14ac:dyDescent="0.3">
      <c r="N117" s="70" t="s">
        <v>300</v>
      </c>
      <c r="O117" s="70">
        <v>4554.9799999999996</v>
      </c>
      <c r="P117" s="68">
        <v>159.06</v>
      </c>
      <c r="Q117" s="73">
        <f t="shared" si="2"/>
        <v>7.0920798661324126E-3</v>
      </c>
      <c r="R117" s="74">
        <f t="shared" si="3"/>
        <v>-6.2867381279936978E-5</v>
      </c>
    </row>
    <row r="118" spans="14:18" x14ac:dyDescent="0.3">
      <c r="N118" s="70" t="s">
        <v>301</v>
      </c>
      <c r="O118" s="70">
        <v>4522.79</v>
      </c>
      <c r="P118" s="68">
        <v>159.07</v>
      </c>
      <c r="Q118" s="73">
        <f t="shared" si="2"/>
        <v>3.8479435973795429E-3</v>
      </c>
      <c r="R118" s="74">
        <f t="shared" si="3"/>
        <v>-5.0166280665315064E-3</v>
      </c>
    </row>
    <row r="119" spans="14:18" x14ac:dyDescent="0.3">
      <c r="N119" s="70" t="s">
        <v>302</v>
      </c>
      <c r="O119" s="70">
        <v>4505.42</v>
      </c>
      <c r="P119" s="68">
        <v>159.87</v>
      </c>
      <c r="Q119" s="73">
        <f t="shared" si="2"/>
        <v>-1.0249061954501163E-3</v>
      </c>
      <c r="R119" s="74">
        <f t="shared" si="3"/>
        <v>6.6524658542452923E-3</v>
      </c>
    </row>
    <row r="120" spans="14:18" x14ac:dyDescent="0.3">
      <c r="N120" s="70" t="s">
        <v>303</v>
      </c>
      <c r="O120" s="70">
        <v>4510.04</v>
      </c>
      <c r="P120" s="68">
        <v>158.81</v>
      </c>
      <c r="Q120" s="73">
        <f t="shared" si="2"/>
        <v>8.434509266769535E-3</v>
      </c>
      <c r="R120" s="74">
        <f t="shared" si="3"/>
        <v>4.6072851229974014E-3</v>
      </c>
    </row>
    <row r="121" spans="14:18" x14ac:dyDescent="0.3">
      <c r="N121" s="71">
        <v>45267</v>
      </c>
      <c r="O121" s="70">
        <v>4472.16</v>
      </c>
      <c r="P121" s="68">
        <v>158.08000000000001</v>
      </c>
      <c r="Q121" s="73">
        <f t="shared" si="2"/>
        <v>7.383817501052891E-3</v>
      </c>
      <c r="R121" s="74">
        <f t="shared" si="3"/>
        <v>-3.4732124208060361E-3</v>
      </c>
    </row>
    <row r="122" spans="14:18" x14ac:dyDescent="0.3">
      <c r="N122" s="71">
        <v>45237</v>
      </c>
      <c r="O122" s="70">
        <v>4439.26</v>
      </c>
      <c r="P122" s="68">
        <v>158.63</v>
      </c>
      <c r="Q122" s="73">
        <f t="shared" si="2"/>
        <v>6.7195880716203853E-3</v>
      </c>
      <c r="R122" s="74">
        <f t="shared" si="3"/>
        <v>-5.5321697639929314E-3</v>
      </c>
    </row>
    <row r="123" spans="14:18" x14ac:dyDescent="0.3">
      <c r="N123" s="71">
        <v>45206</v>
      </c>
      <c r="O123" s="70">
        <v>4409.53</v>
      </c>
      <c r="P123" s="68">
        <v>159.51</v>
      </c>
      <c r="Q123" s="73">
        <f t="shared" si="2"/>
        <v>2.4022317330228151E-3</v>
      </c>
      <c r="R123" s="74">
        <f t="shared" si="3"/>
        <v>1.6313217320840971E-3</v>
      </c>
    </row>
    <row r="124" spans="14:18" x14ac:dyDescent="0.3">
      <c r="N124" s="71">
        <v>45114</v>
      </c>
      <c r="O124" s="70">
        <v>4398.95</v>
      </c>
      <c r="P124" s="68">
        <v>159.25</v>
      </c>
      <c r="Q124" s="73">
        <f t="shared" si="2"/>
        <v>-2.8692926136023467E-3</v>
      </c>
      <c r="R124" s="74">
        <f t="shared" si="3"/>
        <v>-1.4648851634722206E-2</v>
      </c>
    </row>
    <row r="125" spans="14:18" x14ac:dyDescent="0.3">
      <c r="N125" s="71">
        <v>45084</v>
      </c>
      <c r="O125" s="70">
        <v>4411.59</v>
      </c>
      <c r="P125" s="68">
        <v>161.6</v>
      </c>
      <c r="Q125" s="73">
        <f t="shared" si="2"/>
        <v>-7.9540652874783013E-3</v>
      </c>
      <c r="R125" s="74">
        <f t="shared" si="3"/>
        <v>-7.459730656428222E-3</v>
      </c>
    </row>
    <row r="126" spans="14:18" x14ac:dyDescent="0.3">
      <c r="N126" s="71">
        <v>45053</v>
      </c>
      <c r="O126" s="70">
        <v>4446.82</v>
      </c>
      <c r="P126" s="68">
        <v>162.81</v>
      </c>
      <c r="Q126" s="73">
        <f t="shared" si="2"/>
        <v>-1.9702536362673942E-3</v>
      </c>
      <c r="R126" s="74">
        <f t="shared" si="3"/>
        <v>-3.3112613036559201E-3</v>
      </c>
    </row>
    <row r="127" spans="14:18" x14ac:dyDescent="0.3">
      <c r="N127" s="71">
        <v>44992</v>
      </c>
      <c r="O127" s="70">
        <v>4455.59</v>
      </c>
      <c r="P127" s="68">
        <v>163.35</v>
      </c>
      <c r="Q127" s="73">
        <f t="shared" si="2"/>
        <v>1.1700018289601843E-3</v>
      </c>
      <c r="R127" s="74">
        <f t="shared" si="3"/>
        <v>-1.3196895390208485E-2</v>
      </c>
    </row>
    <row r="128" spans="14:18" x14ac:dyDescent="0.3">
      <c r="N128" s="70" t="s">
        <v>304</v>
      </c>
      <c r="O128" s="70">
        <v>4450.38</v>
      </c>
      <c r="P128" s="68">
        <v>165.52</v>
      </c>
      <c r="Q128" s="73">
        <f t="shared" si="2"/>
        <v>1.2194363266362706E-2</v>
      </c>
      <c r="R128" s="74">
        <f t="shared" si="3"/>
        <v>8.6160353412425665E-3</v>
      </c>
    </row>
    <row r="129" spans="14:18" x14ac:dyDescent="0.3">
      <c r="N129" s="70" t="s">
        <v>305</v>
      </c>
      <c r="O129" s="70">
        <v>4396.4399999999996</v>
      </c>
      <c r="P129" s="68">
        <v>164.1</v>
      </c>
      <c r="Q129" s="73">
        <f t="shared" si="2"/>
        <v>4.4635502053141703E-3</v>
      </c>
      <c r="R129" s="74">
        <f t="shared" si="3"/>
        <v>6.9712261774948093E-3</v>
      </c>
    </row>
    <row r="130" spans="14:18" x14ac:dyDescent="0.3">
      <c r="N130" s="70" t="s">
        <v>306</v>
      </c>
      <c r="O130" s="70">
        <v>4376.8599999999997</v>
      </c>
      <c r="P130" s="68">
        <v>162.96</v>
      </c>
      <c r="Q130" s="73">
        <f t="shared" si="2"/>
        <v>-3.5407246519950932E-4</v>
      </c>
      <c r="R130" s="74">
        <f t="shared" si="3"/>
        <v>-2.0229891956679161E-3</v>
      </c>
    </row>
    <row r="131" spans="14:18" x14ac:dyDescent="0.3">
      <c r="N131" s="70" t="s">
        <v>307</v>
      </c>
      <c r="O131" s="70">
        <v>4378.41</v>
      </c>
      <c r="P131" s="68">
        <v>163.29</v>
      </c>
      <c r="Q131" s="73">
        <f t="shared" ref="Q131:Q194" si="4">LN(O131/O132)</f>
        <v>1.1390657230512101E-2</v>
      </c>
      <c r="R131" s="74">
        <f t="shared" ref="R131:R194" si="5">LN(P131/P132)</f>
        <v>-2.0800203265858596E-3</v>
      </c>
    </row>
    <row r="132" spans="14:18" x14ac:dyDescent="0.3">
      <c r="N132" s="70" t="s">
        <v>308</v>
      </c>
      <c r="O132" s="70">
        <v>4328.82</v>
      </c>
      <c r="P132" s="68">
        <v>163.63</v>
      </c>
      <c r="Q132" s="73">
        <f t="shared" si="4"/>
        <v>-4.4968757892660969E-3</v>
      </c>
      <c r="R132" s="74">
        <f t="shared" si="5"/>
        <v>-1.1242560152406574E-2</v>
      </c>
    </row>
    <row r="133" spans="14:18" x14ac:dyDescent="0.3">
      <c r="N133" s="70" t="s">
        <v>309</v>
      </c>
      <c r="O133" s="70">
        <v>4348.33</v>
      </c>
      <c r="P133" s="68">
        <v>165.48</v>
      </c>
      <c r="Q133" s="73">
        <f t="shared" si="4"/>
        <v>-7.688274822307147E-3</v>
      </c>
      <c r="R133" s="74">
        <f t="shared" si="5"/>
        <v>-8.4566601234336918E-4</v>
      </c>
    </row>
    <row r="134" spans="14:18" x14ac:dyDescent="0.3">
      <c r="N134" s="70" t="s">
        <v>310</v>
      </c>
      <c r="O134" s="70">
        <v>4381.8900000000003</v>
      </c>
      <c r="P134" s="68">
        <v>165.62</v>
      </c>
      <c r="Q134" s="73">
        <f t="shared" si="4"/>
        <v>3.7038857650539521E-3</v>
      </c>
      <c r="R134" s="74">
        <f t="shared" si="5"/>
        <v>1.0561554926883659E-2</v>
      </c>
    </row>
    <row r="135" spans="14:18" x14ac:dyDescent="0.3">
      <c r="N135" s="70" t="s">
        <v>311</v>
      </c>
      <c r="O135" s="70">
        <v>4365.6899999999996</v>
      </c>
      <c r="P135" s="68">
        <v>163.88</v>
      </c>
      <c r="Q135" s="73">
        <f t="shared" si="4"/>
        <v>-5.2590818461865788E-3</v>
      </c>
      <c r="R135" s="74">
        <f t="shared" si="5"/>
        <v>-1.5243440651739155E-3</v>
      </c>
    </row>
    <row r="136" spans="14:18" x14ac:dyDescent="0.3">
      <c r="N136" s="70" t="s">
        <v>312</v>
      </c>
      <c r="O136" s="70">
        <v>4388.71</v>
      </c>
      <c r="P136" s="68">
        <v>164.13</v>
      </c>
      <c r="Q136" s="73">
        <f t="shared" si="4"/>
        <v>-4.7463803686906532E-3</v>
      </c>
      <c r="R136" s="74">
        <f t="shared" si="5"/>
        <v>-6.0908760562527824E-4</v>
      </c>
    </row>
    <row r="137" spans="14:18" x14ac:dyDescent="0.3">
      <c r="N137" s="70" t="s">
        <v>313</v>
      </c>
      <c r="O137" s="70">
        <v>4409.59</v>
      </c>
      <c r="P137" s="68">
        <v>164.23</v>
      </c>
      <c r="Q137" s="73">
        <f t="shared" si="4"/>
        <v>-3.6783763376504303E-3</v>
      </c>
      <c r="R137" s="74">
        <f t="shared" si="5"/>
        <v>3.0491546980685614E-3</v>
      </c>
    </row>
    <row r="138" spans="14:18" x14ac:dyDescent="0.3">
      <c r="N138" s="70" t="s">
        <v>314</v>
      </c>
      <c r="O138" s="70">
        <v>4425.84</v>
      </c>
      <c r="P138" s="68">
        <v>163.72999999999999</v>
      </c>
      <c r="Q138" s="73">
        <f t="shared" si="4"/>
        <v>1.2104580063652602E-2</v>
      </c>
      <c r="R138" s="74">
        <f t="shared" si="5"/>
        <v>1.3342138956188843E-2</v>
      </c>
    </row>
    <row r="139" spans="14:18" x14ac:dyDescent="0.3">
      <c r="N139" s="70" t="s">
        <v>315</v>
      </c>
      <c r="O139" s="70">
        <v>4372.59</v>
      </c>
      <c r="P139" s="68">
        <v>161.56</v>
      </c>
      <c r="Q139" s="73">
        <f t="shared" si="4"/>
        <v>8.1907206921961594E-4</v>
      </c>
      <c r="R139" s="74">
        <f t="shared" si="5"/>
        <v>5.0884379106398061E-3</v>
      </c>
    </row>
    <row r="140" spans="14:18" x14ac:dyDescent="0.3">
      <c r="N140" s="70" t="s">
        <v>316</v>
      </c>
      <c r="O140" s="70">
        <v>4369.01</v>
      </c>
      <c r="P140" s="68">
        <v>160.74</v>
      </c>
      <c r="Q140" s="73">
        <f t="shared" si="4"/>
        <v>6.9086648833658285E-3</v>
      </c>
      <c r="R140" s="74">
        <f t="shared" si="5"/>
        <v>5.2395329446637941E-3</v>
      </c>
    </row>
    <row r="141" spans="14:18" x14ac:dyDescent="0.3">
      <c r="N141" s="71">
        <v>45266</v>
      </c>
      <c r="O141" s="70">
        <v>4338.93</v>
      </c>
      <c r="P141" s="68">
        <v>159.9</v>
      </c>
      <c r="Q141" s="73">
        <f t="shared" si="4"/>
        <v>9.2779026656844323E-3</v>
      </c>
      <c r="R141" s="74">
        <f t="shared" si="5"/>
        <v>-6.8769344087461759E-4</v>
      </c>
    </row>
    <row r="142" spans="14:18" x14ac:dyDescent="0.3">
      <c r="N142" s="71">
        <v>45175</v>
      </c>
      <c r="O142" s="70">
        <v>4298.8599999999997</v>
      </c>
      <c r="P142" s="68">
        <v>160.01</v>
      </c>
      <c r="Q142" s="73">
        <f t="shared" si="4"/>
        <v>1.1474737636884458E-3</v>
      </c>
      <c r="R142" s="74">
        <f t="shared" si="5"/>
        <v>-1.5611830691411614E-3</v>
      </c>
    </row>
    <row r="143" spans="14:18" x14ac:dyDescent="0.3">
      <c r="N143" s="71">
        <v>45144</v>
      </c>
      <c r="O143" s="70">
        <v>4293.93</v>
      </c>
      <c r="P143" s="68">
        <v>160.26</v>
      </c>
      <c r="Q143" s="73">
        <f t="shared" si="4"/>
        <v>6.16953524709693E-3</v>
      </c>
      <c r="R143" s="74">
        <f t="shared" si="5"/>
        <v>1.0916728027690222E-2</v>
      </c>
    </row>
    <row r="144" spans="14:18" x14ac:dyDescent="0.3">
      <c r="N144" s="71">
        <v>45113</v>
      </c>
      <c r="O144" s="70">
        <v>4267.5200000000004</v>
      </c>
      <c r="P144" s="68">
        <v>158.52000000000001</v>
      </c>
      <c r="Q144" s="73">
        <f t="shared" si="4"/>
        <v>-3.8192757067673886E-3</v>
      </c>
      <c r="R144" s="74">
        <f t="shared" si="5"/>
        <v>2.1471432309630532E-3</v>
      </c>
    </row>
    <row r="145" spans="14:18" x14ac:dyDescent="0.3">
      <c r="N145" s="71">
        <v>45083</v>
      </c>
      <c r="O145" s="70">
        <v>4283.8500000000004</v>
      </c>
      <c r="P145" s="68">
        <v>158.18</v>
      </c>
      <c r="Q145" s="73">
        <f t="shared" si="4"/>
        <v>2.3511165774900327E-3</v>
      </c>
      <c r="R145" s="74">
        <f t="shared" si="5"/>
        <v>-8.8467620303902454E-4</v>
      </c>
    </row>
    <row r="146" spans="14:18" x14ac:dyDescent="0.3">
      <c r="N146" s="71">
        <v>45052</v>
      </c>
      <c r="O146" s="70">
        <v>4273.79</v>
      </c>
      <c r="P146" s="68">
        <v>158.32</v>
      </c>
      <c r="Q146" s="73">
        <f t="shared" si="4"/>
        <v>-2.0055732655681105E-3</v>
      </c>
      <c r="R146" s="74">
        <f t="shared" si="5"/>
        <v>8.5635970071947197E-3</v>
      </c>
    </row>
    <row r="147" spans="14:18" x14ac:dyDescent="0.3">
      <c r="N147" s="71">
        <v>44963</v>
      </c>
      <c r="O147" s="70">
        <v>4282.37</v>
      </c>
      <c r="P147" s="68">
        <v>156.97</v>
      </c>
      <c r="Q147" s="73">
        <f t="shared" si="4"/>
        <v>1.442978965214366E-2</v>
      </c>
      <c r="R147" s="74">
        <f t="shared" si="5"/>
        <v>1.5601741781677917E-2</v>
      </c>
    </row>
    <row r="148" spans="14:18" x14ac:dyDescent="0.3">
      <c r="N148" s="71">
        <v>44932</v>
      </c>
      <c r="O148" s="70">
        <v>4221.0200000000004</v>
      </c>
      <c r="P148" s="68">
        <v>154.54</v>
      </c>
      <c r="Q148" s="73">
        <f t="shared" si="4"/>
        <v>9.806229149665344E-3</v>
      </c>
      <c r="R148" s="74">
        <f t="shared" si="5"/>
        <v>-3.3591762853751742E-3</v>
      </c>
    </row>
    <row r="149" spans="14:18" x14ac:dyDescent="0.3">
      <c r="N149" s="70" t="s">
        <v>317</v>
      </c>
      <c r="O149" s="70">
        <v>4179.83</v>
      </c>
      <c r="P149" s="68">
        <v>155.06</v>
      </c>
      <c r="Q149" s="73">
        <f t="shared" si="4"/>
        <v>-6.1273722329718457E-3</v>
      </c>
      <c r="R149" s="74">
        <f t="shared" si="5"/>
        <v>4.4598205970629492E-3</v>
      </c>
    </row>
    <row r="150" spans="14:18" x14ac:dyDescent="0.3">
      <c r="N150" s="70" t="s">
        <v>318</v>
      </c>
      <c r="O150" s="70">
        <v>4205.5200000000004</v>
      </c>
      <c r="P150" s="68">
        <v>154.37</v>
      </c>
      <c r="Q150" s="73">
        <f t="shared" si="4"/>
        <v>1.6644929182328236E-5</v>
      </c>
      <c r="R150" s="74">
        <f t="shared" si="5"/>
        <v>1.2956724558179099E-4</v>
      </c>
    </row>
    <row r="151" spans="14:18" x14ac:dyDescent="0.3">
      <c r="N151" s="70" t="s">
        <v>319</v>
      </c>
      <c r="O151" s="70">
        <v>4205.45</v>
      </c>
      <c r="P151" s="68">
        <v>154.35</v>
      </c>
      <c r="Q151" s="73">
        <f t="shared" si="4"/>
        <v>1.296458273531355E-2</v>
      </c>
      <c r="R151" s="74">
        <f t="shared" si="5"/>
        <v>-3.8865138460455936E-4</v>
      </c>
    </row>
    <row r="152" spans="14:18" x14ac:dyDescent="0.3">
      <c r="N152" s="70" t="s">
        <v>320</v>
      </c>
      <c r="O152" s="70">
        <v>4151.28</v>
      </c>
      <c r="P152" s="68">
        <v>154.41</v>
      </c>
      <c r="Q152" s="73">
        <f t="shared" si="4"/>
        <v>8.719564785563249E-3</v>
      </c>
      <c r="R152" s="74">
        <f t="shared" si="5"/>
        <v>-1.4466449606319608E-2</v>
      </c>
    </row>
    <row r="153" spans="14:18" x14ac:dyDescent="0.3">
      <c r="N153" s="70" t="s">
        <v>321</v>
      </c>
      <c r="O153" s="70">
        <v>4115.24</v>
      </c>
      <c r="P153" s="68">
        <v>156.66</v>
      </c>
      <c r="Q153" s="73">
        <f t="shared" si="4"/>
        <v>-7.3455507858671458E-3</v>
      </c>
      <c r="R153" s="74">
        <f t="shared" si="5"/>
        <v>-9.5702945384771795E-4</v>
      </c>
    </row>
    <row r="154" spans="14:18" x14ac:dyDescent="0.3">
      <c r="N154" s="70" t="s">
        <v>322</v>
      </c>
      <c r="O154" s="70">
        <v>4145.58</v>
      </c>
      <c r="P154" s="68">
        <v>156.81</v>
      </c>
      <c r="Q154" s="73">
        <f t="shared" si="4"/>
        <v>-1.1285515564489972E-2</v>
      </c>
      <c r="R154" s="74">
        <f t="shared" si="5"/>
        <v>-3.8255547520883802E-4</v>
      </c>
    </row>
    <row r="155" spans="14:18" x14ac:dyDescent="0.3">
      <c r="N155" s="70" t="s">
        <v>323</v>
      </c>
      <c r="O155" s="70">
        <v>4192.63</v>
      </c>
      <c r="P155" s="68">
        <v>156.87</v>
      </c>
      <c r="Q155" s="73">
        <f t="shared" si="4"/>
        <v>1.550459714410593E-4</v>
      </c>
      <c r="R155" s="74">
        <f t="shared" si="5"/>
        <v>-1.2920567356396013E-2</v>
      </c>
    </row>
    <row r="156" spans="14:18" x14ac:dyDescent="0.3">
      <c r="N156" s="70" t="s">
        <v>324</v>
      </c>
      <c r="O156" s="70">
        <v>4191.9799999999996</v>
      </c>
      <c r="P156" s="68">
        <v>158.91</v>
      </c>
      <c r="Q156" s="73">
        <f t="shared" si="4"/>
        <v>-1.4469557460591439E-3</v>
      </c>
      <c r="R156" s="74">
        <f t="shared" si="5"/>
        <v>2.7096018342494684E-3</v>
      </c>
    </row>
    <row r="157" spans="14:18" x14ac:dyDescent="0.3">
      <c r="N157" s="70" t="s">
        <v>325</v>
      </c>
      <c r="O157" s="70">
        <v>4198.05</v>
      </c>
      <c r="P157" s="68">
        <v>158.47999999999999</v>
      </c>
      <c r="Q157" s="73">
        <f t="shared" si="4"/>
        <v>9.4007742847056677E-3</v>
      </c>
      <c r="R157" s="74">
        <f t="shared" si="5"/>
        <v>-3.2129047703223076E-3</v>
      </c>
    </row>
    <row r="158" spans="14:18" x14ac:dyDescent="0.3">
      <c r="N158" s="70" t="s">
        <v>326</v>
      </c>
      <c r="O158" s="70">
        <v>4158.7700000000004</v>
      </c>
      <c r="P158" s="68">
        <v>158.99</v>
      </c>
      <c r="Q158" s="73">
        <f t="shared" si="4"/>
        <v>1.1820660164447881E-2</v>
      </c>
      <c r="R158" s="74">
        <f t="shared" si="5"/>
        <v>-2.1989767916022365E-3</v>
      </c>
    </row>
    <row r="159" spans="14:18" x14ac:dyDescent="0.3">
      <c r="N159" s="70" t="s">
        <v>327</v>
      </c>
      <c r="O159" s="70">
        <v>4109.8999999999996</v>
      </c>
      <c r="P159" s="68">
        <v>159.34</v>
      </c>
      <c r="Q159" s="73">
        <f t="shared" si="4"/>
        <v>-6.398135861993161E-3</v>
      </c>
      <c r="R159" s="74">
        <f t="shared" si="5"/>
        <v>-1.3170687720325466E-3</v>
      </c>
    </row>
    <row r="160" spans="14:18" x14ac:dyDescent="0.3">
      <c r="N160" s="70" t="s">
        <v>328</v>
      </c>
      <c r="O160" s="70">
        <v>4136.28</v>
      </c>
      <c r="P160" s="68">
        <v>159.55000000000001</v>
      </c>
      <c r="Q160" s="73">
        <f t="shared" si="4"/>
        <v>2.9538685652344835E-3</v>
      </c>
      <c r="R160" s="74">
        <f t="shared" si="5"/>
        <v>-7.6796181755621942E-3</v>
      </c>
    </row>
    <row r="161" spans="14:18" x14ac:dyDescent="0.3">
      <c r="N161" s="71">
        <v>45265</v>
      </c>
      <c r="O161" s="70">
        <v>4124.08</v>
      </c>
      <c r="P161" s="68">
        <v>160.78</v>
      </c>
      <c r="Q161" s="73">
        <f t="shared" si="4"/>
        <v>-1.5845521626198357E-3</v>
      </c>
      <c r="R161" s="74">
        <f t="shared" si="5"/>
        <v>-1.3052803543882531E-3</v>
      </c>
    </row>
    <row r="162" spans="14:18" x14ac:dyDescent="0.3">
      <c r="N162" s="71">
        <v>45235</v>
      </c>
      <c r="O162" s="70">
        <v>4130.62</v>
      </c>
      <c r="P162" s="68">
        <v>160.99</v>
      </c>
      <c r="Q162" s="73">
        <f t="shared" si="4"/>
        <v>-1.6980602174566785E-3</v>
      </c>
      <c r="R162" s="74">
        <f t="shared" si="5"/>
        <v>-4.0912529172390738E-3</v>
      </c>
    </row>
    <row r="163" spans="14:18" x14ac:dyDescent="0.3">
      <c r="N163" s="71">
        <v>45204</v>
      </c>
      <c r="O163" s="70">
        <v>4137.6400000000003</v>
      </c>
      <c r="P163" s="68">
        <v>161.65</v>
      </c>
      <c r="Q163" s="73">
        <f t="shared" si="4"/>
        <v>4.4738902330266894E-3</v>
      </c>
      <c r="R163" s="74">
        <f t="shared" si="5"/>
        <v>3.7186283942341695E-3</v>
      </c>
    </row>
    <row r="164" spans="14:18" x14ac:dyDescent="0.3">
      <c r="N164" s="71">
        <v>45174</v>
      </c>
      <c r="O164" s="70">
        <v>4119.17</v>
      </c>
      <c r="P164" s="68">
        <v>161.05000000000001</v>
      </c>
      <c r="Q164" s="73">
        <f t="shared" si="4"/>
        <v>-4.5898916638410408E-3</v>
      </c>
      <c r="R164" s="74">
        <f t="shared" si="5"/>
        <v>-7.7932111397712566E-3</v>
      </c>
    </row>
    <row r="165" spans="14:18" x14ac:dyDescent="0.3">
      <c r="N165" s="71">
        <v>45143</v>
      </c>
      <c r="O165" s="70">
        <v>4138.12</v>
      </c>
      <c r="P165" s="68">
        <v>162.31</v>
      </c>
      <c r="Q165" s="73">
        <f t="shared" si="4"/>
        <v>4.5199816586328297E-4</v>
      </c>
      <c r="R165" s="74">
        <f t="shared" si="5"/>
        <v>-2.2769941220446553E-3</v>
      </c>
    </row>
    <row r="166" spans="14:18" x14ac:dyDescent="0.3">
      <c r="N166" s="71">
        <v>45051</v>
      </c>
      <c r="O166" s="70">
        <v>4136.25</v>
      </c>
      <c r="P166" s="68">
        <v>162.68</v>
      </c>
      <c r="Q166" s="73">
        <f t="shared" si="4"/>
        <v>1.8306159168068423E-2</v>
      </c>
      <c r="R166" s="74">
        <f t="shared" si="5"/>
        <v>3.3865984770459828E-3</v>
      </c>
    </row>
    <row r="167" spans="14:18" x14ac:dyDescent="0.3">
      <c r="N167" s="71">
        <v>45021</v>
      </c>
      <c r="O167" s="70">
        <v>4061.22</v>
      </c>
      <c r="P167" s="68">
        <v>162.13</v>
      </c>
      <c r="Q167" s="73">
        <f t="shared" si="4"/>
        <v>-7.2449062412514361E-3</v>
      </c>
      <c r="R167" s="74">
        <f t="shared" si="5"/>
        <v>-4.5538540234917029E-3</v>
      </c>
    </row>
    <row r="168" spans="14:18" x14ac:dyDescent="0.3">
      <c r="N168" s="71">
        <v>44990</v>
      </c>
      <c r="O168" s="70">
        <v>4090.75</v>
      </c>
      <c r="P168" s="68">
        <v>162.87</v>
      </c>
      <c r="Q168" s="73">
        <f t="shared" si="4"/>
        <v>-7.0228890905811598E-3</v>
      </c>
      <c r="R168" s="74">
        <f t="shared" si="5"/>
        <v>-1.3174938970007022E-2</v>
      </c>
    </row>
    <row r="169" spans="14:18" x14ac:dyDescent="0.3">
      <c r="N169" s="71">
        <v>44962</v>
      </c>
      <c r="O169" s="70">
        <v>4119.58</v>
      </c>
      <c r="P169" s="68">
        <v>165.03</v>
      </c>
      <c r="Q169" s="73">
        <f t="shared" si="4"/>
        <v>-1.1653897528004022E-2</v>
      </c>
      <c r="R169" s="74">
        <f t="shared" si="5"/>
        <v>8.70285138682967E-3</v>
      </c>
    </row>
    <row r="170" spans="14:18" x14ac:dyDescent="0.3">
      <c r="N170" s="71">
        <v>44931</v>
      </c>
      <c r="O170" s="70">
        <v>4167.87</v>
      </c>
      <c r="P170" s="68">
        <v>163.6</v>
      </c>
      <c r="Q170" s="73">
        <f t="shared" si="4"/>
        <v>-3.8621384972729493E-4</v>
      </c>
      <c r="R170" s="74">
        <f t="shared" si="5"/>
        <v>-6.1106020844254618E-4</v>
      </c>
    </row>
    <row r="171" spans="14:18" x14ac:dyDescent="0.3">
      <c r="N171" s="70" t="s">
        <v>329</v>
      </c>
      <c r="O171" s="70">
        <v>4169.4799999999996</v>
      </c>
      <c r="P171" s="68">
        <v>163.69999999999999</v>
      </c>
      <c r="Q171" s="73">
        <f t="shared" si="4"/>
        <v>8.2193596125703667E-3</v>
      </c>
      <c r="R171" s="74">
        <f t="shared" si="5"/>
        <v>4.2852835703268604E-3</v>
      </c>
    </row>
    <row r="172" spans="14:18" x14ac:dyDescent="0.3">
      <c r="N172" s="70" t="s">
        <v>330</v>
      </c>
      <c r="O172" s="70">
        <v>4135.3500000000004</v>
      </c>
      <c r="P172" s="68">
        <v>163</v>
      </c>
      <c r="Q172" s="73">
        <f t="shared" si="4"/>
        <v>1.9377167380002121E-2</v>
      </c>
      <c r="R172" s="74">
        <f t="shared" si="5"/>
        <v>2.3340100270708426E-3</v>
      </c>
    </row>
    <row r="173" spans="14:18" x14ac:dyDescent="0.3">
      <c r="N173" s="70" t="s">
        <v>331</v>
      </c>
      <c r="O173" s="70">
        <v>4055.99</v>
      </c>
      <c r="P173" s="68">
        <v>162.62</v>
      </c>
      <c r="Q173" s="73">
        <f t="shared" si="4"/>
        <v>-3.8486098771117832E-3</v>
      </c>
      <c r="R173" s="74">
        <f t="shared" si="5"/>
        <v>-1.5619597602879473E-2</v>
      </c>
    </row>
    <row r="174" spans="14:18" x14ac:dyDescent="0.3">
      <c r="N174" s="70" t="s">
        <v>332</v>
      </c>
      <c r="O174" s="70">
        <v>4071.63</v>
      </c>
      <c r="P174" s="68">
        <v>165.18</v>
      </c>
      <c r="Q174" s="73">
        <f t="shared" si="4"/>
        <v>-1.5937145594967939E-2</v>
      </c>
      <c r="R174" s="74">
        <f t="shared" si="5"/>
        <v>9.122486179254697E-3</v>
      </c>
    </row>
    <row r="175" spans="14:18" x14ac:dyDescent="0.3">
      <c r="N175" s="70" t="s">
        <v>333</v>
      </c>
      <c r="O175" s="70">
        <v>4137.04</v>
      </c>
      <c r="P175" s="68">
        <v>163.68</v>
      </c>
      <c r="Q175" s="73">
        <f t="shared" si="4"/>
        <v>8.5121206122392508E-4</v>
      </c>
      <c r="R175" s="74">
        <f t="shared" si="5"/>
        <v>6.066752682237362E-3</v>
      </c>
    </row>
    <row r="176" spans="14:18" x14ac:dyDescent="0.3">
      <c r="N176" s="70" t="s">
        <v>334</v>
      </c>
      <c r="O176" s="70">
        <v>4133.5200000000004</v>
      </c>
      <c r="P176" s="68">
        <v>162.69</v>
      </c>
      <c r="Q176" s="73">
        <f t="shared" si="4"/>
        <v>9.0278599092536804E-4</v>
      </c>
      <c r="R176" s="74">
        <f t="shared" si="5"/>
        <v>-5.4556177857492012E-3</v>
      </c>
    </row>
    <row r="177" spans="14:18" x14ac:dyDescent="0.3">
      <c r="N177" s="70" t="s">
        <v>335</v>
      </c>
      <c r="O177" s="70">
        <v>4129.79</v>
      </c>
      <c r="P177" s="68">
        <v>163.58000000000001</v>
      </c>
      <c r="Q177" s="73">
        <f t="shared" si="4"/>
        <v>-5.9703399458197028E-3</v>
      </c>
      <c r="R177" s="74">
        <f t="shared" si="5"/>
        <v>6.4395671917435067E-3</v>
      </c>
    </row>
    <row r="178" spans="14:18" x14ac:dyDescent="0.3">
      <c r="N178" s="70" t="s">
        <v>336</v>
      </c>
      <c r="O178" s="70">
        <v>4154.5200000000004</v>
      </c>
      <c r="P178" s="68">
        <v>162.53</v>
      </c>
      <c r="Q178" s="73">
        <f t="shared" si="4"/>
        <v>-8.4242044291161936E-5</v>
      </c>
      <c r="R178" s="74">
        <f t="shared" si="5"/>
        <v>9.3961252582373585E-3</v>
      </c>
    </row>
    <row r="179" spans="14:18" x14ac:dyDescent="0.3">
      <c r="N179" s="70" t="s">
        <v>337</v>
      </c>
      <c r="O179" s="70">
        <v>4154.87</v>
      </c>
      <c r="P179" s="68">
        <v>161.01</v>
      </c>
      <c r="Q179" s="73">
        <f t="shared" si="4"/>
        <v>8.547842551524592E-4</v>
      </c>
      <c r="R179" s="74">
        <f t="shared" si="5"/>
        <v>-2.8531383093598837E-2</v>
      </c>
    </row>
    <row r="180" spans="14:18" x14ac:dyDescent="0.3">
      <c r="N180" s="70" t="s">
        <v>338</v>
      </c>
      <c r="O180" s="70">
        <v>4151.32</v>
      </c>
      <c r="P180" s="68">
        <v>165.67</v>
      </c>
      <c r="Q180" s="73">
        <f t="shared" si="4"/>
        <v>3.3007789687629755E-3</v>
      </c>
      <c r="R180" s="74">
        <f t="shared" si="5"/>
        <v>-1.0256101770782196E-3</v>
      </c>
    </row>
    <row r="181" spans="14:18" x14ac:dyDescent="0.3">
      <c r="N181" s="70" t="s">
        <v>339</v>
      </c>
      <c r="O181" s="70">
        <v>4137.6400000000003</v>
      </c>
      <c r="P181" s="68">
        <v>165.84</v>
      </c>
      <c r="Q181" s="73">
        <f t="shared" si="4"/>
        <v>-2.0714988104920951E-3</v>
      </c>
      <c r="R181" s="74">
        <f t="shared" si="5"/>
        <v>-1.6267513754614177E-3</v>
      </c>
    </row>
    <row r="182" spans="14:18" x14ac:dyDescent="0.3">
      <c r="N182" s="70" t="s">
        <v>340</v>
      </c>
      <c r="O182" s="70">
        <v>4146.22</v>
      </c>
      <c r="P182" s="68">
        <v>166.11</v>
      </c>
      <c r="Q182" s="73">
        <f t="shared" si="4"/>
        <v>1.3175446748330008E-2</v>
      </c>
      <c r="R182" s="74">
        <f t="shared" si="5"/>
        <v>1.3271715572341315E-2</v>
      </c>
    </row>
    <row r="183" spans="14:18" x14ac:dyDescent="0.3">
      <c r="N183" s="71">
        <v>45264</v>
      </c>
      <c r="O183" s="70">
        <v>4091.95</v>
      </c>
      <c r="P183" s="68">
        <v>163.92</v>
      </c>
      <c r="Q183" s="73">
        <f t="shared" si="4"/>
        <v>-4.1434586507983449E-3</v>
      </c>
      <c r="R183" s="74">
        <f t="shared" si="5"/>
        <v>-2.1329116224643374E-3</v>
      </c>
    </row>
    <row r="184" spans="14:18" x14ac:dyDescent="0.3">
      <c r="N184" s="71">
        <v>45234</v>
      </c>
      <c r="O184" s="70">
        <v>4108.9399999999996</v>
      </c>
      <c r="P184" s="68">
        <v>164.27</v>
      </c>
      <c r="Q184" s="73">
        <f t="shared" si="4"/>
        <v>-4.1372345026909729E-5</v>
      </c>
      <c r="R184" s="74">
        <f t="shared" si="5"/>
        <v>-3.0433062713952424E-4</v>
      </c>
    </row>
    <row r="185" spans="14:18" x14ac:dyDescent="0.3">
      <c r="N185" s="71">
        <v>45203</v>
      </c>
      <c r="O185" s="70">
        <v>4109.1099999999997</v>
      </c>
      <c r="P185" s="68">
        <v>164.32</v>
      </c>
      <c r="Q185" s="73">
        <f t="shared" si="4"/>
        <v>9.9584504701190541E-4</v>
      </c>
      <c r="R185" s="74">
        <f t="shared" si="5"/>
        <v>-5.0384056565505988E-3</v>
      </c>
    </row>
    <row r="186" spans="14:18" x14ac:dyDescent="0.3">
      <c r="N186" s="71">
        <v>45081</v>
      </c>
      <c r="O186" s="70">
        <v>4105.0200000000004</v>
      </c>
      <c r="P186" s="68">
        <v>165.15</v>
      </c>
      <c r="Q186" s="73">
        <f t="shared" si="4"/>
        <v>3.5727397253701647E-3</v>
      </c>
      <c r="R186" s="74">
        <f t="shared" si="5"/>
        <v>-2.7814747646009801E-3</v>
      </c>
    </row>
    <row r="187" spans="14:18" x14ac:dyDescent="0.3">
      <c r="N187" s="71">
        <v>45050</v>
      </c>
      <c r="O187" s="70">
        <v>4090.38</v>
      </c>
      <c r="P187" s="68">
        <v>165.61</v>
      </c>
      <c r="Q187" s="73">
        <f t="shared" si="4"/>
        <v>-2.4954291924703361E-3</v>
      </c>
      <c r="R187" s="74">
        <f t="shared" si="5"/>
        <v>4.3944126757065362E-2</v>
      </c>
    </row>
    <row r="188" spans="14:18" x14ac:dyDescent="0.3">
      <c r="N188" s="71">
        <v>45020</v>
      </c>
      <c r="O188" s="70">
        <v>4100.6000000000004</v>
      </c>
      <c r="P188" s="68">
        <v>158.49</v>
      </c>
      <c r="Q188" s="73">
        <f t="shared" si="4"/>
        <v>-5.8139203852082119E-3</v>
      </c>
      <c r="R188" s="74">
        <f t="shared" si="5"/>
        <v>1.0401565207647172E-2</v>
      </c>
    </row>
    <row r="189" spans="14:18" x14ac:dyDescent="0.3">
      <c r="N189" s="71">
        <v>44989</v>
      </c>
      <c r="O189" s="70">
        <v>4124.51</v>
      </c>
      <c r="P189" s="68">
        <v>156.85</v>
      </c>
      <c r="Q189" s="73">
        <f t="shared" si="4"/>
        <v>3.6920936495169121E-3</v>
      </c>
      <c r="R189" s="74">
        <f t="shared" si="5"/>
        <v>1.186481771744056E-2</v>
      </c>
    </row>
    <row r="190" spans="14:18" x14ac:dyDescent="0.3">
      <c r="N190" s="70" t="s">
        <v>341</v>
      </c>
      <c r="O190" s="70">
        <v>4109.3100000000004</v>
      </c>
      <c r="P190" s="68">
        <v>155</v>
      </c>
      <c r="Q190" s="73">
        <f t="shared" si="4"/>
        <v>1.4333332809426856E-2</v>
      </c>
      <c r="R190" s="74">
        <f t="shared" si="5"/>
        <v>1.0180679962132259E-2</v>
      </c>
    </row>
    <row r="191" spans="14:18" x14ac:dyDescent="0.3">
      <c r="N191" s="70" t="s">
        <v>342</v>
      </c>
      <c r="O191" s="70">
        <v>4050.83</v>
      </c>
      <c r="P191" s="68">
        <v>153.43</v>
      </c>
      <c r="Q191" s="73">
        <f t="shared" si="4"/>
        <v>5.698994460609173E-3</v>
      </c>
      <c r="R191" s="74">
        <f t="shared" si="5"/>
        <v>7.8242163475159324E-4</v>
      </c>
    </row>
    <row r="192" spans="14:18" x14ac:dyDescent="0.3">
      <c r="N192" s="70" t="s">
        <v>343</v>
      </c>
      <c r="O192" s="70">
        <v>4027.81</v>
      </c>
      <c r="P192" s="68">
        <v>153.31</v>
      </c>
      <c r="Q192" s="73">
        <f t="shared" si="4"/>
        <v>1.4136861145886559E-2</v>
      </c>
      <c r="R192" s="74">
        <f t="shared" si="5"/>
        <v>9.7664067337408372E-3</v>
      </c>
    </row>
    <row r="193" spans="14:18" x14ac:dyDescent="0.3">
      <c r="N193" s="70" t="s">
        <v>344</v>
      </c>
      <c r="O193" s="70">
        <v>3971.27</v>
      </c>
      <c r="P193" s="68">
        <v>151.82</v>
      </c>
      <c r="Q193" s="73">
        <f t="shared" si="4"/>
        <v>-1.5750808409301009E-3</v>
      </c>
      <c r="R193" s="74">
        <f t="shared" si="5"/>
        <v>-9.701177289146358E-3</v>
      </c>
    </row>
    <row r="194" spans="14:18" x14ac:dyDescent="0.3">
      <c r="N194" s="70" t="s">
        <v>345</v>
      </c>
      <c r="O194" s="70">
        <v>3977.53</v>
      </c>
      <c r="P194" s="68">
        <v>153.30000000000001</v>
      </c>
      <c r="Q194" s="73">
        <f t="shared" si="4"/>
        <v>1.6455897389303137E-3</v>
      </c>
      <c r="R194" s="74">
        <f t="shared" si="5"/>
        <v>4.2490666968817287E-3</v>
      </c>
    </row>
    <row r="195" spans="14:18" x14ac:dyDescent="0.3">
      <c r="N195" s="70" t="s">
        <v>346</v>
      </c>
      <c r="O195" s="70">
        <v>3970.99</v>
      </c>
      <c r="P195" s="68">
        <v>152.65</v>
      </c>
      <c r="Q195" s="73">
        <f t="shared" ref="Q195:Q258" si="6">LN(O195/O196)</f>
        <v>5.623958124210314E-3</v>
      </c>
      <c r="R195" s="74">
        <f t="shared" ref="R195:R258" si="7">LN(P195/P196)</f>
        <v>1.0007325598857702E-2</v>
      </c>
    </row>
    <row r="196" spans="14:18" x14ac:dyDescent="0.3">
      <c r="N196" s="70" t="s">
        <v>347</v>
      </c>
      <c r="O196" s="70">
        <v>3948.72</v>
      </c>
      <c r="P196" s="68">
        <v>151.13</v>
      </c>
      <c r="Q196" s="73">
        <f t="shared" si="6"/>
        <v>2.9800838470393862E-3</v>
      </c>
      <c r="R196" s="74">
        <f t="shared" si="7"/>
        <v>5.2948574934827473E-4</v>
      </c>
    </row>
    <row r="197" spans="14:18" x14ac:dyDescent="0.3">
      <c r="N197" s="70" t="s">
        <v>348</v>
      </c>
      <c r="O197" s="70">
        <v>3936.97</v>
      </c>
      <c r="P197" s="68">
        <v>151.05000000000001</v>
      </c>
      <c r="Q197" s="73">
        <f t="shared" si="6"/>
        <v>-1.6600211922495948E-2</v>
      </c>
      <c r="R197" s="74">
        <f t="shared" si="7"/>
        <v>-1.862715364307916E-2</v>
      </c>
    </row>
    <row r="198" spans="14:18" x14ac:dyDescent="0.3">
      <c r="N198" s="70" t="s">
        <v>349</v>
      </c>
      <c r="O198" s="70">
        <v>4002.87</v>
      </c>
      <c r="P198" s="68">
        <v>153.88999999999999</v>
      </c>
      <c r="Q198" s="73">
        <f t="shared" si="6"/>
        <v>1.289863554198477E-2</v>
      </c>
      <c r="R198" s="74">
        <f t="shared" si="7"/>
        <v>0</v>
      </c>
    </row>
    <row r="199" spans="14:18" x14ac:dyDescent="0.3">
      <c r="N199" s="70" t="s">
        <v>350</v>
      </c>
      <c r="O199" s="70">
        <v>3951.57</v>
      </c>
      <c r="P199" s="68">
        <v>153.88999999999999</v>
      </c>
      <c r="Q199" s="73">
        <f t="shared" si="6"/>
        <v>8.878824909597214E-3</v>
      </c>
      <c r="R199" s="74">
        <f t="shared" si="7"/>
        <v>9.8606604308966485E-3</v>
      </c>
    </row>
    <row r="200" spans="14:18" x14ac:dyDescent="0.3">
      <c r="N200" s="70" t="s">
        <v>351</v>
      </c>
      <c r="O200" s="70">
        <v>3916.64</v>
      </c>
      <c r="P200" s="68">
        <v>152.38</v>
      </c>
      <c r="Q200" s="73">
        <f t="shared" si="6"/>
        <v>-1.1080586449227313E-2</v>
      </c>
      <c r="R200" s="74">
        <f t="shared" si="7"/>
        <v>-1.0769987591502724E-2</v>
      </c>
    </row>
    <row r="201" spans="14:18" x14ac:dyDescent="0.3">
      <c r="N201" s="70" t="s">
        <v>352</v>
      </c>
      <c r="O201" s="70">
        <v>3960.28</v>
      </c>
      <c r="P201" s="68">
        <v>154.03</v>
      </c>
      <c r="Q201" s="73">
        <f t="shared" si="6"/>
        <v>1.7409551286964531E-2</v>
      </c>
      <c r="R201" s="74">
        <f t="shared" si="7"/>
        <v>-2.0753623118020589E-3</v>
      </c>
    </row>
    <row r="202" spans="14:18" x14ac:dyDescent="0.3">
      <c r="N202" s="70" t="s">
        <v>353</v>
      </c>
      <c r="O202" s="70">
        <v>3891.93</v>
      </c>
      <c r="P202" s="68">
        <v>154.35</v>
      </c>
      <c r="Q202" s="73">
        <f t="shared" si="6"/>
        <v>-7.0053363982352087E-3</v>
      </c>
      <c r="R202" s="74">
        <f t="shared" si="7"/>
        <v>2.7897640307719264E-3</v>
      </c>
    </row>
    <row r="203" spans="14:18" x14ac:dyDescent="0.3">
      <c r="N203" s="70" t="s">
        <v>354</v>
      </c>
      <c r="O203" s="70">
        <v>3919.29</v>
      </c>
      <c r="P203" s="68">
        <v>153.91999999999999</v>
      </c>
      <c r="Q203" s="73">
        <f t="shared" si="6"/>
        <v>1.6342380801371525E-2</v>
      </c>
      <c r="R203" s="74">
        <f t="shared" si="7"/>
        <v>5.6029855356212518E-3</v>
      </c>
    </row>
    <row r="204" spans="14:18" x14ac:dyDescent="0.3">
      <c r="N204" s="70" t="s">
        <v>355</v>
      </c>
      <c r="O204" s="70">
        <v>3855.76</v>
      </c>
      <c r="P204" s="68">
        <v>153.06</v>
      </c>
      <c r="Q204" s="73">
        <f t="shared" si="6"/>
        <v>-1.5108816132590817E-3</v>
      </c>
      <c r="R204" s="74">
        <f t="shared" si="7"/>
        <v>9.5185672882847159E-3</v>
      </c>
    </row>
    <row r="205" spans="14:18" x14ac:dyDescent="0.3">
      <c r="N205" s="71">
        <v>45202</v>
      </c>
      <c r="O205" s="70">
        <v>3861.59</v>
      </c>
      <c r="P205" s="68">
        <v>151.61000000000001</v>
      </c>
      <c r="Q205" s="73">
        <f t="shared" si="6"/>
        <v>-1.4583974750190179E-2</v>
      </c>
      <c r="R205" s="74">
        <f t="shared" si="7"/>
        <v>2.4434550707582328E-3</v>
      </c>
    </row>
    <row r="206" spans="14:18" x14ac:dyDescent="0.3">
      <c r="N206" s="71">
        <v>45172</v>
      </c>
      <c r="O206" s="70">
        <v>3918.32</v>
      </c>
      <c r="P206" s="68">
        <v>151.24</v>
      </c>
      <c r="Q206" s="73">
        <f t="shared" si="6"/>
        <v>-1.8631872945282475E-2</v>
      </c>
      <c r="R206" s="74">
        <f t="shared" si="7"/>
        <v>-1.1308470280359041E-2</v>
      </c>
    </row>
    <row r="207" spans="14:18" x14ac:dyDescent="0.3">
      <c r="N207" s="71">
        <v>45141</v>
      </c>
      <c r="O207" s="70">
        <v>3992.01</v>
      </c>
      <c r="P207" s="68">
        <v>152.96</v>
      </c>
      <c r="Q207" s="73">
        <f t="shared" si="6"/>
        <v>1.4138210863556078E-3</v>
      </c>
      <c r="R207" s="74">
        <f t="shared" si="7"/>
        <v>-7.3603979906708009E-3</v>
      </c>
    </row>
    <row r="208" spans="14:18" x14ac:dyDescent="0.3">
      <c r="N208" s="71">
        <v>45110</v>
      </c>
      <c r="O208" s="70">
        <v>3986.37</v>
      </c>
      <c r="P208" s="68">
        <v>154.09</v>
      </c>
      <c r="Q208" s="73">
        <f t="shared" si="6"/>
        <v>-1.5445639173959797E-2</v>
      </c>
      <c r="R208" s="74">
        <f t="shared" si="7"/>
        <v>-9.4946619937845561E-3</v>
      </c>
    </row>
    <row r="209" spans="14:18" x14ac:dyDescent="0.3">
      <c r="N209" s="71">
        <v>45080</v>
      </c>
      <c r="O209" s="70">
        <v>4048.42</v>
      </c>
      <c r="P209" s="68">
        <v>155.56</v>
      </c>
      <c r="Q209" s="73">
        <f t="shared" si="6"/>
        <v>6.8692352399550452E-4</v>
      </c>
      <c r="R209" s="74">
        <f t="shared" si="7"/>
        <v>9.9490451764425326E-3</v>
      </c>
    </row>
    <row r="210" spans="14:18" x14ac:dyDescent="0.3">
      <c r="N210" s="71">
        <v>44988</v>
      </c>
      <c r="O210" s="70">
        <v>4045.64</v>
      </c>
      <c r="P210" s="68">
        <v>154.02000000000001</v>
      </c>
      <c r="Q210" s="73">
        <f t="shared" si="6"/>
        <v>1.6018800257414187E-2</v>
      </c>
      <c r="R210" s="74">
        <f t="shared" si="7"/>
        <v>1.0245790676840363E-2</v>
      </c>
    </row>
    <row r="211" spans="14:18" x14ac:dyDescent="0.3">
      <c r="N211" s="71">
        <v>44960</v>
      </c>
      <c r="O211" s="70">
        <v>3981.35</v>
      </c>
      <c r="P211" s="68">
        <v>152.44999999999999</v>
      </c>
      <c r="Q211" s="73">
        <f t="shared" si="6"/>
        <v>7.5535420169248321E-3</v>
      </c>
      <c r="R211" s="74">
        <f t="shared" si="7"/>
        <v>-7.8683369084695703E-4</v>
      </c>
    </row>
    <row r="212" spans="14:18" x14ac:dyDescent="0.3">
      <c r="N212" s="71">
        <v>44929</v>
      </c>
      <c r="O212" s="70">
        <v>3951.39</v>
      </c>
      <c r="P212" s="68">
        <v>152.57</v>
      </c>
      <c r="Q212" s="73">
        <f t="shared" si="6"/>
        <v>-4.7364616152703798E-3</v>
      </c>
      <c r="R212" s="74">
        <f t="shared" si="7"/>
        <v>-4.5123184171474325E-3</v>
      </c>
    </row>
    <row r="213" spans="14:18" x14ac:dyDescent="0.3">
      <c r="N213" s="70" t="s">
        <v>356</v>
      </c>
      <c r="O213" s="70">
        <v>3970.15</v>
      </c>
      <c r="P213" s="68">
        <v>153.26</v>
      </c>
      <c r="Q213" s="73">
        <f t="shared" si="6"/>
        <v>-3.0405976856194583E-3</v>
      </c>
      <c r="R213" s="74">
        <f t="shared" si="7"/>
        <v>-1.5345569674660421E-2</v>
      </c>
    </row>
    <row r="214" spans="14:18" x14ac:dyDescent="0.3">
      <c r="N214" s="70" t="s">
        <v>357</v>
      </c>
      <c r="O214" s="70">
        <v>3982.24</v>
      </c>
      <c r="P214" s="68">
        <v>155.63</v>
      </c>
      <c r="Q214" s="73">
        <f t="shared" si="6"/>
        <v>3.0683048311681872E-3</v>
      </c>
      <c r="R214" s="74">
        <f t="shared" si="7"/>
        <v>-2.1822858468155009E-3</v>
      </c>
    </row>
    <row r="215" spans="14:18" x14ac:dyDescent="0.3">
      <c r="N215" s="70" t="s">
        <v>358</v>
      </c>
      <c r="O215" s="70">
        <v>3970.04</v>
      </c>
      <c r="P215" s="68">
        <v>155.97</v>
      </c>
      <c r="Q215" s="73">
        <f t="shared" si="6"/>
        <v>-1.0593457421727142E-2</v>
      </c>
      <c r="R215" s="74">
        <f t="shared" si="7"/>
        <v>-1.1221029435648573E-2</v>
      </c>
    </row>
    <row r="216" spans="14:18" x14ac:dyDescent="0.3">
      <c r="N216" s="70" t="s">
        <v>359</v>
      </c>
      <c r="O216" s="70">
        <v>4012.32</v>
      </c>
      <c r="P216" s="68">
        <v>157.72999999999999</v>
      </c>
      <c r="Q216" s="73">
        <f t="shared" si="6"/>
        <v>5.3152734602749932E-3</v>
      </c>
      <c r="R216" s="74">
        <f t="shared" si="7"/>
        <v>-3.1694716756091657E-4</v>
      </c>
    </row>
    <row r="217" spans="14:18" x14ac:dyDescent="0.3">
      <c r="N217" s="70" t="s">
        <v>360</v>
      </c>
      <c r="O217" s="70">
        <v>3991.05</v>
      </c>
      <c r="P217" s="68">
        <v>157.78</v>
      </c>
      <c r="Q217" s="73">
        <f t="shared" si="6"/>
        <v>-1.5747857327715093E-3</v>
      </c>
      <c r="R217" s="74">
        <f t="shared" si="7"/>
        <v>-1.3933753600231969E-3</v>
      </c>
    </row>
    <row r="218" spans="14:18" x14ac:dyDescent="0.3">
      <c r="N218" s="70" t="s">
        <v>361</v>
      </c>
      <c r="O218" s="70">
        <v>3997.34</v>
      </c>
      <c r="P218" s="68">
        <v>158</v>
      </c>
      <c r="Q218" s="73">
        <f t="shared" si="6"/>
        <v>-2.0244784414123935E-2</v>
      </c>
      <c r="R218" s="74">
        <f t="shared" si="7"/>
        <v>-1.5013316322319661E-2</v>
      </c>
    </row>
    <row r="219" spans="14:18" x14ac:dyDescent="0.3">
      <c r="N219" s="70" t="s">
        <v>362</v>
      </c>
      <c r="O219" s="70">
        <v>4079.09</v>
      </c>
      <c r="P219" s="68">
        <v>160.38999999999999</v>
      </c>
      <c r="Q219" s="73">
        <f t="shared" si="6"/>
        <v>-2.7712852059047503E-3</v>
      </c>
      <c r="R219" s="74">
        <f t="shared" si="7"/>
        <v>1.3495481474884509E-2</v>
      </c>
    </row>
    <row r="220" spans="14:18" x14ac:dyDescent="0.3">
      <c r="N220" s="70" t="s">
        <v>363</v>
      </c>
      <c r="O220" s="70">
        <v>4090.41</v>
      </c>
      <c r="P220" s="68">
        <v>158.24</v>
      </c>
      <c r="Q220" s="73">
        <f t="shared" si="6"/>
        <v>-1.3884644172642286E-2</v>
      </c>
      <c r="R220" s="74">
        <f t="shared" si="7"/>
        <v>-7.1156749971402556E-3</v>
      </c>
    </row>
    <row r="221" spans="14:18" x14ac:dyDescent="0.3">
      <c r="N221" s="70" t="s">
        <v>364</v>
      </c>
      <c r="O221" s="70">
        <v>4147.6000000000004</v>
      </c>
      <c r="P221" s="68">
        <v>159.37</v>
      </c>
      <c r="Q221" s="73">
        <f t="shared" si="6"/>
        <v>2.7692856551893739E-3</v>
      </c>
      <c r="R221" s="74">
        <f t="shared" si="7"/>
        <v>-1.6614675462947405E-2</v>
      </c>
    </row>
    <row r="222" spans="14:18" x14ac:dyDescent="0.3">
      <c r="N222" s="70" t="s">
        <v>365</v>
      </c>
      <c r="O222" s="70">
        <v>4136.13</v>
      </c>
      <c r="P222" s="68">
        <v>162.04</v>
      </c>
      <c r="Q222" s="73">
        <f t="shared" si="6"/>
        <v>-2.8041608128225108E-4</v>
      </c>
      <c r="R222" s="74">
        <f t="shared" si="7"/>
        <v>-4.3720627541888124E-3</v>
      </c>
    </row>
    <row r="223" spans="14:18" x14ac:dyDescent="0.3">
      <c r="N223" s="70" t="s">
        <v>366</v>
      </c>
      <c r="O223" s="70">
        <v>4137.29</v>
      </c>
      <c r="P223" s="68">
        <v>162.75</v>
      </c>
      <c r="Q223" s="73">
        <f t="shared" si="6"/>
        <v>1.1383550959928976E-2</v>
      </c>
      <c r="R223" s="74">
        <f t="shared" si="7"/>
        <v>3.6934483353515089E-3</v>
      </c>
    </row>
    <row r="224" spans="14:18" x14ac:dyDescent="0.3">
      <c r="N224" s="71">
        <v>45201</v>
      </c>
      <c r="O224" s="70">
        <v>4090.46</v>
      </c>
      <c r="P224" s="68">
        <v>162.15</v>
      </c>
      <c r="Q224" s="73">
        <f t="shared" si="6"/>
        <v>2.1928652588764841E-3</v>
      </c>
      <c r="R224" s="74">
        <f t="shared" si="7"/>
        <v>4.6360769174786506E-3</v>
      </c>
    </row>
    <row r="225" spans="14:18" x14ac:dyDescent="0.3">
      <c r="N225" s="71">
        <v>45171</v>
      </c>
      <c r="O225" s="70">
        <v>4081.5</v>
      </c>
      <c r="P225" s="68">
        <v>161.4</v>
      </c>
      <c r="Q225" s="73">
        <f t="shared" si="6"/>
        <v>-8.869043032445954E-3</v>
      </c>
      <c r="R225" s="74">
        <f t="shared" si="7"/>
        <v>-1.3599791159136791E-2</v>
      </c>
    </row>
    <row r="226" spans="14:18" x14ac:dyDescent="0.3">
      <c r="N226" s="71">
        <v>45140</v>
      </c>
      <c r="O226" s="70">
        <v>4117.8599999999997</v>
      </c>
      <c r="P226" s="68">
        <v>163.61000000000001</v>
      </c>
      <c r="Q226" s="73">
        <f t="shared" si="6"/>
        <v>-1.1142539811002886E-2</v>
      </c>
      <c r="R226" s="74">
        <f t="shared" si="7"/>
        <v>1.2843645690826762E-3</v>
      </c>
    </row>
    <row r="227" spans="14:18" x14ac:dyDescent="0.3">
      <c r="N227" s="71">
        <v>45109</v>
      </c>
      <c r="O227" s="70">
        <v>4164</v>
      </c>
      <c r="P227" s="68">
        <v>163.4</v>
      </c>
      <c r="Q227" s="73">
        <f t="shared" si="6"/>
        <v>1.2790383040919152E-2</v>
      </c>
      <c r="R227" s="74">
        <f t="shared" si="7"/>
        <v>2.4482800954703075E-4</v>
      </c>
    </row>
    <row r="228" spans="14:18" x14ac:dyDescent="0.3">
      <c r="N228" s="71">
        <v>45079</v>
      </c>
      <c r="O228" s="70">
        <v>4111.08</v>
      </c>
      <c r="P228" s="68">
        <v>163.36000000000001</v>
      </c>
      <c r="Q228" s="73">
        <f t="shared" si="6"/>
        <v>-6.1594169191690872E-3</v>
      </c>
      <c r="R228" s="74">
        <f t="shared" si="7"/>
        <v>-7.6226853226383298E-3</v>
      </c>
    </row>
    <row r="229" spans="14:18" x14ac:dyDescent="0.3">
      <c r="N229" s="71">
        <v>44987</v>
      </c>
      <c r="O229" s="70">
        <v>4136.4799999999996</v>
      </c>
      <c r="P229" s="68">
        <v>164.61</v>
      </c>
      <c r="Q229" s="73">
        <f t="shared" si="6"/>
        <v>-1.0408643989373002E-2</v>
      </c>
      <c r="R229" s="74">
        <f t="shared" si="7"/>
        <v>-5.633817718255908E-3</v>
      </c>
    </row>
    <row r="230" spans="14:18" x14ac:dyDescent="0.3">
      <c r="N230" s="71">
        <v>44959</v>
      </c>
      <c r="O230" s="70">
        <v>4179.76</v>
      </c>
      <c r="P230" s="68">
        <v>165.54</v>
      </c>
      <c r="Q230" s="73">
        <f t="shared" si="6"/>
        <v>1.4592431217642185E-2</v>
      </c>
      <c r="R230" s="74">
        <f t="shared" si="7"/>
        <v>3.7523496185505934E-3</v>
      </c>
    </row>
    <row r="231" spans="14:18" x14ac:dyDescent="0.3">
      <c r="N231" s="71">
        <v>44928</v>
      </c>
      <c r="O231" s="70">
        <v>4119.21</v>
      </c>
      <c r="P231" s="68">
        <v>164.92</v>
      </c>
      <c r="Q231" s="73">
        <f t="shared" si="6"/>
        <v>1.0398089735210484E-2</v>
      </c>
      <c r="R231" s="74">
        <f t="shared" si="7"/>
        <v>9.1369338821378591E-3</v>
      </c>
    </row>
    <row r="232" spans="14:18" x14ac:dyDescent="0.3">
      <c r="N232" s="70" t="s">
        <v>367</v>
      </c>
      <c r="O232" s="70">
        <v>4076.6</v>
      </c>
      <c r="P232" s="68">
        <v>163.41999999999999</v>
      </c>
      <c r="Q232" s="73">
        <f t="shared" si="6"/>
        <v>1.4536285322318165E-2</v>
      </c>
      <c r="R232" s="74">
        <f t="shared" si="7"/>
        <v>8.7272387241772199E-3</v>
      </c>
    </row>
    <row r="233" spans="14:18" x14ac:dyDescent="0.3">
      <c r="N233" s="70" t="s">
        <v>368</v>
      </c>
      <c r="O233" s="70">
        <v>4017.77</v>
      </c>
      <c r="P233" s="68">
        <v>162</v>
      </c>
      <c r="Q233" s="73">
        <f t="shared" si="6"/>
        <v>-1.3053559781991077E-2</v>
      </c>
      <c r="R233" s="74">
        <f t="shared" si="7"/>
        <v>-3.7735755498684888E-2</v>
      </c>
    </row>
    <row r="234" spans="14:18" x14ac:dyDescent="0.3">
      <c r="N234" s="70" t="s">
        <v>369</v>
      </c>
      <c r="O234" s="70">
        <v>4070.56</v>
      </c>
      <c r="P234" s="68">
        <v>168.23</v>
      </c>
      <c r="Q234" s="73">
        <f t="shared" si="6"/>
        <v>2.4917027916841637E-3</v>
      </c>
      <c r="R234" s="74">
        <f t="shared" si="7"/>
        <v>-3.9155246987608756E-3</v>
      </c>
    </row>
    <row r="235" spans="14:18" x14ac:dyDescent="0.3">
      <c r="N235" s="70" t="s">
        <v>370</v>
      </c>
      <c r="O235" s="70">
        <v>4060.43</v>
      </c>
      <c r="P235" s="68">
        <v>168.89</v>
      </c>
      <c r="Q235" s="73">
        <f t="shared" si="6"/>
        <v>1.0947717569977039E-2</v>
      </c>
      <c r="R235" s="74">
        <f t="shared" si="7"/>
        <v>-3.6643067005650174E-3</v>
      </c>
    </row>
    <row r="236" spans="14:18" x14ac:dyDescent="0.3">
      <c r="N236" s="70" t="s">
        <v>371</v>
      </c>
      <c r="O236" s="70">
        <v>4016.22</v>
      </c>
      <c r="P236" s="68">
        <v>169.51</v>
      </c>
      <c r="Q236" s="73">
        <f t="shared" si="6"/>
        <v>-1.8174643434897735E-4</v>
      </c>
      <c r="R236" s="74">
        <f t="shared" si="7"/>
        <v>7.1044049923200082E-3</v>
      </c>
    </row>
    <row r="237" spans="14:18" x14ac:dyDescent="0.3">
      <c r="N237" s="70" t="s">
        <v>372</v>
      </c>
      <c r="O237" s="70">
        <v>4016.95</v>
      </c>
      <c r="P237" s="68">
        <v>168.31</v>
      </c>
      <c r="Q237" s="73">
        <f t="shared" si="6"/>
        <v>-7.1172963252109358E-4</v>
      </c>
      <c r="R237" s="74">
        <f t="shared" si="7"/>
        <v>0</v>
      </c>
    </row>
    <row r="238" spans="14:18" x14ac:dyDescent="0.3">
      <c r="N238" s="70" t="s">
        <v>373</v>
      </c>
      <c r="O238" s="70">
        <v>4019.81</v>
      </c>
      <c r="P238" s="68">
        <v>168.31</v>
      </c>
      <c r="Q238" s="73">
        <f t="shared" si="6"/>
        <v>1.1811328415709267E-2</v>
      </c>
      <c r="R238" s="74">
        <f t="shared" si="7"/>
        <v>-2.5515515994058284E-3</v>
      </c>
    </row>
    <row r="239" spans="14:18" x14ac:dyDescent="0.3">
      <c r="N239" s="70" t="s">
        <v>374</v>
      </c>
      <c r="O239" s="70">
        <v>3972.61</v>
      </c>
      <c r="P239" s="68">
        <v>168.74</v>
      </c>
      <c r="Q239" s="73">
        <f t="shared" si="6"/>
        <v>1.8741671559172491E-2</v>
      </c>
      <c r="R239" s="74">
        <f t="shared" si="7"/>
        <v>-4.6708335723809735E-3</v>
      </c>
    </row>
    <row r="240" spans="14:18" x14ac:dyDescent="0.3">
      <c r="N240" s="70" t="s">
        <v>375</v>
      </c>
      <c r="O240" s="70">
        <v>3898.85</v>
      </c>
      <c r="P240" s="68">
        <v>169.53</v>
      </c>
      <c r="Q240" s="73">
        <f t="shared" si="6"/>
        <v>-7.6676696075208299E-3</v>
      </c>
      <c r="R240" s="74">
        <f t="shared" si="7"/>
        <v>-1.3557725558113497E-3</v>
      </c>
    </row>
    <row r="241" spans="14:18" x14ac:dyDescent="0.3">
      <c r="N241" s="70" t="s">
        <v>376</v>
      </c>
      <c r="O241" s="70">
        <v>3928.86</v>
      </c>
      <c r="P241" s="68">
        <v>169.76</v>
      </c>
      <c r="Q241" s="73">
        <f t="shared" si="6"/>
        <v>-1.5685001660276407E-2</v>
      </c>
      <c r="R241" s="74">
        <f t="shared" si="7"/>
        <v>-1.5199637881964347E-2</v>
      </c>
    </row>
    <row r="242" spans="14:18" x14ac:dyDescent="0.3">
      <c r="N242" s="70" t="s">
        <v>377</v>
      </c>
      <c r="O242" s="70">
        <v>3990.97</v>
      </c>
      <c r="P242" s="68">
        <v>172.36</v>
      </c>
      <c r="Q242" s="73">
        <f t="shared" si="6"/>
        <v>-2.0325261125498277E-3</v>
      </c>
      <c r="R242" s="74">
        <f t="shared" si="7"/>
        <v>-6.1887470148570571E-3</v>
      </c>
    </row>
    <row r="243" spans="14:18" x14ac:dyDescent="0.3">
      <c r="N243" s="70" t="s">
        <v>378</v>
      </c>
      <c r="O243" s="70">
        <v>3999.09</v>
      </c>
      <c r="P243" s="68">
        <v>173.43</v>
      </c>
      <c r="Q243" s="73">
        <f t="shared" si="6"/>
        <v>3.988850553225138E-3</v>
      </c>
      <c r="R243" s="74">
        <f t="shared" si="7"/>
        <v>-3.2812394520345678E-3</v>
      </c>
    </row>
    <row r="244" spans="14:18" x14ac:dyDescent="0.3">
      <c r="N244" s="71">
        <v>45261</v>
      </c>
      <c r="O244" s="70">
        <v>3983.17</v>
      </c>
      <c r="P244" s="68">
        <v>174</v>
      </c>
      <c r="Q244" s="73">
        <f t="shared" si="6"/>
        <v>3.4101315868827887E-3</v>
      </c>
      <c r="R244" s="74">
        <f t="shared" si="7"/>
        <v>-5.0447252136993723E-3</v>
      </c>
    </row>
    <row r="245" spans="14:18" x14ac:dyDescent="0.3">
      <c r="N245" s="71">
        <v>45231</v>
      </c>
      <c r="O245" s="70">
        <v>3969.61</v>
      </c>
      <c r="P245" s="68">
        <v>174.88</v>
      </c>
      <c r="Q245" s="73">
        <f t="shared" si="6"/>
        <v>1.2767544131228952E-2</v>
      </c>
      <c r="R245" s="74">
        <f t="shared" si="7"/>
        <v>-1.5998175049692076E-3</v>
      </c>
    </row>
    <row r="246" spans="14:18" x14ac:dyDescent="0.3">
      <c r="N246" s="71">
        <v>45200</v>
      </c>
      <c r="O246" s="70">
        <v>3919.25</v>
      </c>
      <c r="P246" s="68">
        <v>175.16</v>
      </c>
      <c r="Q246" s="73">
        <f t="shared" si="6"/>
        <v>6.9540205524518915E-3</v>
      </c>
      <c r="R246" s="74">
        <f t="shared" si="7"/>
        <v>-2.3949375648651509E-3</v>
      </c>
    </row>
    <row r="247" spans="14:18" x14ac:dyDescent="0.3">
      <c r="N247" s="71">
        <v>45170</v>
      </c>
      <c r="O247" s="70">
        <v>3892.09</v>
      </c>
      <c r="P247" s="68">
        <v>175.58</v>
      </c>
      <c r="Q247" s="73">
        <f t="shared" si="6"/>
        <v>-7.6792985049440666E-4</v>
      </c>
      <c r="R247" s="74">
        <f t="shared" si="7"/>
        <v>-2.6249996666995755E-2</v>
      </c>
    </row>
    <row r="248" spans="14:18" x14ac:dyDescent="0.3">
      <c r="N248" s="71">
        <v>45078</v>
      </c>
      <c r="O248" s="70">
        <v>3895.08</v>
      </c>
      <c r="P248" s="68">
        <v>180.25</v>
      </c>
      <c r="Q248" s="73">
        <f t="shared" si="6"/>
        <v>2.2583841176026541E-2</v>
      </c>
      <c r="R248" s="74">
        <f t="shared" si="7"/>
        <v>8.0769134256447016E-3</v>
      </c>
    </row>
    <row r="249" spans="14:18" x14ac:dyDescent="0.3">
      <c r="N249" s="71">
        <v>45047</v>
      </c>
      <c r="O249" s="70">
        <v>3808.1</v>
      </c>
      <c r="P249" s="68">
        <v>178.8</v>
      </c>
      <c r="Q249" s="73">
        <f t="shared" si="6"/>
        <v>-1.1713902384519219E-2</v>
      </c>
      <c r="R249" s="74">
        <f t="shared" si="7"/>
        <v>-7.4109496960532264E-3</v>
      </c>
    </row>
    <row r="250" spans="14:18" x14ac:dyDescent="0.3">
      <c r="N250" s="71">
        <v>45017</v>
      </c>
      <c r="O250" s="70">
        <v>3852.97</v>
      </c>
      <c r="P250" s="68">
        <v>180.13</v>
      </c>
      <c r="Q250" s="73">
        <f t="shared" si="6"/>
        <v>7.5106740753847724E-3</v>
      </c>
      <c r="R250" s="74">
        <f t="shared" si="7"/>
        <v>1.0828415696143739E-2</v>
      </c>
    </row>
    <row r="251" spans="14:18" x14ac:dyDescent="0.3">
      <c r="N251" s="71">
        <v>44986</v>
      </c>
      <c r="O251" s="70">
        <v>3824.14</v>
      </c>
      <c r="P251" s="68">
        <v>178.19</v>
      </c>
      <c r="Q251" s="73">
        <f t="shared" si="6"/>
        <v>-4.0085443908070935E-3</v>
      </c>
      <c r="R251" s="74">
        <f t="shared" si="7"/>
        <v>8.6800229341691335E-3</v>
      </c>
    </row>
    <row r="252" spans="14:18" x14ac:dyDescent="0.3">
      <c r="N252" s="70" t="s">
        <v>379</v>
      </c>
      <c r="O252" s="70">
        <v>3839.5</v>
      </c>
      <c r="P252" s="68">
        <v>176.65</v>
      </c>
      <c r="Q252" s="73">
        <f t="shared" si="6"/>
        <v>-2.5439680351095257E-3</v>
      </c>
      <c r="R252" s="74">
        <f t="shared" si="7"/>
        <v>-5.1382061606802245E-3</v>
      </c>
    </row>
    <row r="253" spans="14:18" x14ac:dyDescent="0.3">
      <c r="N253" s="70" t="s">
        <v>380</v>
      </c>
      <c r="O253" s="70">
        <v>3849.28</v>
      </c>
      <c r="P253" s="68">
        <v>177.56</v>
      </c>
      <c r="Q253" s="73">
        <f t="shared" si="6"/>
        <v>1.7310618960093668E-2</v>
      </c>
      <c r="R253" s="74">
        <f t="shared" si="7"/>
        <v>5.081598648848315E-3</v>
      </c>
    </row>
    <row r="254" spans="14:18" x14ac:dyDescent="0.3">
      <c r="N254" s="70" t="s">
        <v>381</v>
      </c>
      <c r="O254" s="70">
        <v>3783.22</v>
      </c>
      <c r="P254" s="68">
        <v>176.66</v>
      </c>
      <c r="Q254" s="73">
        <f t="shared" si="6"/>
        <v>-1.209346269904926E-2</v>
      </c>
      <c r="R254" s="74">
        <f t="shared" si="7"/>
        <v>-4.3491836185019896E-3</v>
      </c>
    </row>
    <row r="255" spans="14:18" x14ac:dyDescent="0.3">
      <c r="N255" s="70" t="s">
        <v>382</v>
      </c>
      <c r="O255" s="70">
        <v>3829.25</v>
      </c>
      <c r="P255" s="68">
        <v>177.43</v>
      </c>
      <c r="Q255" s="73">
        <f t="shared" si="6"/>
        <v>-4.0578262550561321E-3</v>
      </c>
      <c r="R255" s="74">
        <f t="shared" si="7"/>
        <v>-2.8176157522061441E-4</v>
      </c>
    </row>
    <row r="256" spans="14:18" x14ac:dyDescent="0.3">
      <c r="N256" s="70" t="s">
        <v>383</v>
      </c>
      <c r="O256" s="70">
        <v>3844.82</v>
      </c>
      <c r="P256" s="68">
        <v>177.48</v>
      </c>
      <c r="Q256" s="73">
        <f t="shared" si="6"/>
        <v>5.8509063889847814E-3</v>
      </c>
      <c r="R256" s="74">
        <f t="shared" si="7"/>
        <v>2.5387167735216321E-3</v>
      </c>
    </row>
    <row r="257" spans="14:18" x14ac:dyDescent="0.3">
      <c r="N257" s="70" t="s">
        <v>384</v>
      </c>
      <c r="O257" s="70">
        <v>3822.39</v>
      </c>
      <c r="P257" s="68">
        <v>177.03</v>
      </c>
      <c r="Q257" s="73">
        <f t="shared" si="6"/>
        <v>-1.4557129502374849E-2</v>
      </c>
      <c r="R257" s="74">
        <f t="shared" si="7"/>
        <v>-3.6649698489849883E-3</v>
      </c>
    </row>
    <row r="258" spans="14:18" x14ac:dyDescent="0.3">
      <c r="N258" s="70" t="s">
        <v>385</v>
      </c>
      <c r="O258" s="70">
        <v>3878.44</v>
      </c>
      <c r="P258" s="68">
        <v>177.68</v>
      </c>
      <c r="Q258" s="73">
        <f t="shared" si="6"/>
        <v>1.4758594440961796E-2</v>
      </c>
      <c r="R258" s="74">
        <f t="shared" si="7"/>
        <v>1.1376944560880448E-2</v>
      </c>
    </row>
    <row r="259" spans="14:18" x14ac:dyDescent="0.3">
      <c r="N259" s="70" t="s">
        <v>386</v>
      </c>
      <c r="O259" s="70">
        <v>3821.62</v>
      </c>
      <c r="P259" s="68">
        <v>175.67</v>
      </c>
      <c r="Q259" s="73">
        <f t="shared" ref="Q259:Q322" si="8">LN(O259/O260)</f>
        <v>1.036747011419641E-3</v>
      </c>
      <c r="R259" s="74">
        <f t="shared" ref="R259:R322" si="9">LN(P259/P260)</f>
        <v>1.0821587272783434E-3</v>
      </c>
    </row>
    <row r="260" spans="14:18" x14ac:dyDescent="0.3">
      <c r="N260" s="70" t="s">
        <v>387</v>
      </c>
      <c r="O260" s="70">
        <v>3817.66</v>
      </c>
      <c r="P260" s="68">
        <v>175.48</v>
      </c>
      <c r="Q260" s="73">
        <f t="shared" si="8"/>
        <v>-9.0482780342915972E-3</v>
      </c>
      <c r="R260" s="74">
        <f t="shared" si="9"/>
        <v>-1.0821587272783352E-3</v>
      </c>
    </row>
    <row r="261" spans="14:18" x14ac:dyDescent="0.3">
      <c r="N261" s="70" t="s">
        <v>388</v>
      </c>
      <c r="O261" s="70">
        <v>3852.36</v>
      </c>
      <c r="P261" s="68">
        <v>175.67</v>
      </c>
      <c r="Q261" s="73">
        <f t="shared" si="8"/>
        <v>-1.1200267830704025E-2</v>
      </c>
      <c r="R261" s="74">
        <f t="shared" si="9"/>
        <v>-1.0307034274963647E-2</v>
      </c>
    </row>
    <row r="262" spans="14:18" x14ac:dyDescent="0.3">
      <c r="N262" s="70" t="s">
        <v>389</v>
      </c>
      <c r="O262" s="70">
        <v>3895.75</v>
      </c>
      <c r="P262" s="68">
        <v>177.49</v>
      </c>
      <c r="Q262" s="73">
        <f t="shared" si="8"/>
        <v>-2.5237460791963953E-2</v>
      </c>
      <c r="R262" s="74">
        <f t="shared" si="9"/>
        <v>-1.2708358576818521E-2</v>
      </c>
    </row>
    <row r="263" spans="14:18" x14ac:dyDescent="0.3">
      <c r="N263" s="70" t="s">
        <v>390</v>
      </c>
      <c r="O263" s="70">
        <v>3995.32</v>
      </c>
      <c r="P263" s="68">
        <v>179.76</v>
      </c>
      <c r="Q263" s="73">
        <f t="shared" si="8"/>
        <v>-6.0711580284131088E-3</v>
      </c>
      <c r="R263" s="74">
        <f t="shared" si="9"/>
        <v>3.0643253217762273E-3</v>
      </c>
    </row>
    <row r="264" spans="14:18" x14ac:dyDescent="0.3">
      <c r="N264" s="70" t="s">
        <v>391</v>
      </c>
      <c r="O264" s="70">
        <v>4019.65</v>
      </c>
      <c r="P264" s="68">
        <v>179.21</v>
      </c>
      <c r="Q264" s="73">
        <f t="shared" si="8"/>
        <v>7.2632622332616968E-3</v>
      </c>
      <c r="R264" s="74">
        <f t="shared" si="9"/>
        <v>7.6740328993561901E-3</v>
      </c>
    </row>
    <row r="265" spans="14:18" x14ac:dyDescent="0.3">
      <c r="N265" s="71">
        <v>44907</v>
      </c>
      <c r="O265" s="70">
        <v>3990.56</v>
      </c>
      <c r="P265" s="68">
        <v>177.84</v>
      </c>
      <c r="Q265" s="73">
        <f t="shared" si="8"/>
        <v>1.4178262831053962E-2</v>
      </c>
      <c r="R265" s="74">
        <f t="shared" si="9"/>
        <v>1.1878639588244023E-2</v>
      </c>
    </row>
    <row r="266" spans="14:18" x14ac:dyDescent="0.3">
      <c r="N266" s="71">
        <v>44816</v>
      </c>
      <c r="O266" s="70">
        <v>3934.38</v>
      </c>
      <c r="P266" s="68">
        <v>175.74</v>
      </c>
      <c r="Q266" s="73">
        <f t="shared" si="8"/>
        <v>-7.3766872148234497E-3</v>
      </c>
      <c r="R266" s="74">
        <f t="shared" si="9"/>
        <v>-8.2734081032833501E-3</v>
      </c>
    </row>
    <row r="267" spans="14:18" x14ac:dyDescent="0.3">
      <c r="N267" s="71">
        <v>44785</v>
      </c>
      <c r="O267" s="70">
        <v>3963.51</v>
      </c>
      <c r="P267" s="68">
        <v>177.2</v>
      </c>
      <c r="Q267" s="73">
        <f t="shared" si="8"/>
        <v>7.493612090724109E-3</v>
      </c>
      <c r="R267" s="74">
        <f t="shared" si="9"/>
        <v>1.6931455863457859E-4</v>
      </c>
    </row>
    <row r="268" spans="14:18" x14ac:dyDescent="0.3">
      <c r="N268" s="71">
        <v>44754</v>
      </c>
      <c r="O268" s="70">
        <v>3933.92</v>
      </c>
      <c r="P268" s="68">
        <v>177.17</v>
      </c>
      <c r="Q268" s="73">
        <f t="shared" si="8"/>
        <v>-1.8640849162627044E-3</v>
      </c>
      <c r="R268" s="74">
        <f t="shared" si="9"/>
        <v>6.0577081101853957E-3</v>
      </c>
    </row>
    <row r="269" spans="14:18" x14ac:dyDescent="0.3">
      <c r="N269" s="71">
        <v>44724</v>
      </c>
      <c r="O269" s="70">
        <v>3941.26</v>
      </c>
      <c r="P269" s="68">
        <v>176.1</v>
      </c>
      <c r="Q269" s="73">
        <f t="shared" si="8"/>
        <v>-1.4503849921748772E-2</v>
      </c>
      <c r="R269" s="74">
        <f t="shared" si="9"/>
        <v>-1.5103984157546069E-2</v>
      </c>
    </row>
    <row r="270" spans="14:18" x14ac:dyDescent="0.3">
      <c r="N270" s="71">
        <v>44693</v>
      </c>
      <c r="O270" s="70">
        <v>3998.84</v>
      </c>
      <c r="P270" s="68">
        <v>178.78</v>
      </c>
      <c r="Q270" s="73">
        <f t="shared" si="8"/>
        <v>-1.8056283602075441E-2</v>
      </c>
      <c r="R270" s="74">
        <f t="shared" si="9"/>
        <v>-5.591903070277422E-4</v>
      </c>
    </row>
    <row r="271" spans="14:18" x14ac:dyDescent="0.3">
      <c r="N271" s="71">
        <v>44604</v>
      </c>
      <c r="O271" s="70">
        <v>4071.7</v>
      </c>
      <c r="P271" s="68">
        <v>178.88</v>
      </c>
      <c r="Q271" s="73">
        <f t="shared" si="8"/>
        <v>-1.1953459028422096E-3</v>
      </c>
      <c r="R271" s="74">
        <f t="shared" si="9"/>
        <v>7.829540134884445E-4</v>
      </c>
    </row>
    <row r="272" spans="14:18" x14ac:dyDescent="0.3">
      <c r="N272" s="71">
        <v>44573</v>
      </c>
      <c r="O272" s="70">
        <v>4076.57</v>
      </c>
      <c r="P272" s="68">
        <v>178.74</v>
      </c>
      <c r="Q272" s="73">
        <f t="shared" si="8"/>
        <v>-8.6800027027179102E-4</v>
      </c>
      <c r="R272" s="74">
        <f t="shared" si="9"/>
        <v>4.1486856611607104E-3</v>
      </c>
    </row>
    <row r="273" spans="14:18" x14ac:dyDescent="0.3">
      <c r="N273" s="70" t="s">
        <v>392</v>
      </c>
      <c r="O273" s="70">
        <v>4080.11</v>
      </c>
      <c r="P273" s="68">
        <v>178</v>
      </c>
      <c r="Q273" s="73">
        <f t="shared" si="8"/>
        <v>3.047858758258928E-2</v>
      </c>
      <c r="R273" s="74">
        <f t="shared" si="9"/>
        <v>1.078832231939854E-2</v>
      </c>
    </row>
    <row r="274" spans="14:18" x14ac:dyDescent="0.3">
      <c r="N274" s="70" t="s">
        <v>393</v>
      </c>
      <c r="O274" s="70">
        <v>3957.63</v>
      </c>
      <c r="P274" s="68">
        <v>176.09</v>
      </c>
      <c r="Q274" s="73">
        <f t="shared" si="8"/>
        <v>-1.5931188727940442E-3</v>
      </c>
      <c r="R274" s="74">
        <f t="shared" si="9"/>
        <v>-7.0171755317011628E-3</v>
      </c>
    </row>
    <row r="275" spans="14:18" x14ac:dyDescent="0.3">
      <c r="N275" s="70" t="s">
        <v>394</v>
      </c>
      <c r="O275" s="70">
        <v>3963.94</v>
      </c>
      <c r="P275" s="68">
        <v>177.33</v>
      </c>
      <c r="Q275" s="73">
        <f t="shared" si="8"/>
        <v>-1.5564652905563017E-2</v>
      </c>
      <c r="R275" s="74">
        <f t="shared" si="9"/>
        <v>5.0765717309908661E-4</v>
      </c>
    </row>
    <row r="276" spans="14:18" x14ac:dyDescent="0.3">
      <c r="N276" s="70" t="s">
        <v>395</v>
      </c>
      <c r="O276" s="70">
        <v>4026.12</v>
      </c>
      <c r="P276" s="68">
        <v>177.24</v>
      </c>
      <c r="Q276" s="73">
        <f t="shared" si="8"/>
        <v>-2.8311094412904197E-4</v>
      </c>
      <c r="R276" s="74">
        <f t="shared" si="9"/>
        <v>1.2985181782236795E-3</v>
      </c>
    </row>
    <row r="277" spans="14:18" x14ac:dyDescent="0.3">
      <c r="N277" s="70" t="s">
        <v>396</v>
      </c>
      <c r="O277" s="70">
        <v>4027.26</v>
      </c>
      <c r="P277" s="68">
        <v>177.01</v>
      </c>
      <c r="Q277" s="73">
        <f t="shared" si="8"/>
        <v>5.8972831306427134E-3</v>
      </c>
      <c r="R277" s="74">
        <f t="shared" si="9"/>
        <v>1.0739621754067374E-3</v>
      </c>
    </row>
    <row r="278" spans="14:18" x14ac:dyDescent="0.3">
      <c r="N278" s="70" t="s">
        <v>397</v>
      </c>
      <c r="O278" s="70">
        <v>4003.58</v>
      </c>
      <c r="P278" s="68">
        <v>176.82</v>
      </c>
      <c r="Q278" s="73">
        <f t="shared" si="8"/>
        <v>1.3488571921957369E-2</v>
      </c>
      <c r="R278" s="74">
        <f t="shared" si="9"/>
        <v>4.8187400139880661E-3</v>
      </c>
    </row>
    <row r="279" spans="14:18" x14ac:dyDescent="0.3">
      <c r="N279" s="70" t="s">
        <v>398</v>
      </c>
      <c r="O279" s="70">
        <v>3949.94</v>
      </c>
      <c r="P279" s="68">
        <v>175.97</v>
      </c>
      <c r="Q279" s="73">
        <f t="shared" si="8"/>
        <v>-3.8912128014762935E-3</v>
      </c>
      <c r="R279" s="74">
        <f t="shared" si="9"/>
        <v>-1.3061875384089228E-3</v>
      </c>
    </row>
    <row r="280" spans="14:18" x14ac:dyDescent="0.3">
      <c r="N280" s="70" t="s">
        <v>399</v>
      </c>
      <c r="O280" s="70">
        <v>3965.34</v>
      </c>
      <c r="P280" s="68">
        <v>176.2</v>
      </c>
      <c r="Q280" s="73">
        <f t="shared" si="8"/>
        <v>4.7472883302355929E-3</v>
      </c>
      <c r="R280" s="74">
        <f t="shared" si="9"/>
        <v>7.6340597493340543E-3</v>
      </c>
    </row>
    <row r="281" spans="14:18" x14ac:dyDescent="0.3">
      <c r="N281" s="70" t="s">
        <v>400</v>
      </c>
      <c r="O281" s="70">
        <v>3946.56</v>
      </c>
      <c r="P281" s="68">
        <v>174.86</v>
      </c>
      <c r="Q281" s="73">
        <f t="shared" si="8"/>
        <v>-3.094109623737159E-3</v>
      </c>
      <c r="R281" s="74">
        <f t="shared" si="9"/>
        <v>8.038628496435312E-3</v>
      </c>
    </row>
    <row r="282" spans="14:18" x14ac:dyDescent="0.3">
      <c r="N282" s="70" t="s">
        <v>401</v>
      </c>
      <c r="O282" s="70">
        <v>3958.79</v>
      </c>
      <c r="P282" s="68">
        <v>173.46</v>
      </c>
      <c r="Q282" s="73">
        <f t="shared" si="8"/>
        <v>-8.2862978720850793E-3</v>
      </c>
      <c r="R282" s="74">
        <f t="shared" si="9"/>
        <v>6.187673349422486E-3</v>
      </c>
    </row>
    <row r="283" spans="14:18" x14ac:dyDescent="0.3">
      <c r="N283" s="70" t="s">
        <v>402</v>
      </c>
      <c r="O283" s="70">
        <v>3991.73</v>
      </c>
      <c r="P283" s="68">
        <v>172.39</v>
      </c>
      <c r="Q283" s="73">
        <f t="shared" si="8"/>
        <v>8.6753813075978112E-3</v>
      </c>
      <c r="R283" s="74">
        <f t="shared" si="9"/>
        <v>2.7882678534850527E-3</v>
      </c>
    </row>
    <row r="284" spans="14:18" x14ac:dyDescent="0.3">
      <c r="N284" s="70" t="s">
        <v>403</v>
      </c>
      <c r="O284" s="70">
        <v>3957.25</v>
      </c>
      <c r="P284" s="68">
        <v>171.91</v>
      </c>
      <c r="Q284" s="73">
        <f t="shared" si="8"/>
        <v>-8.9759576650217388E-3</v>
      </c>
      <c r="R284" s="74">
        <f t="shared" si="9"/>
        <v>1.5594172261017659E-2</v>
      </c>
    </row>
    <row r="285" spans="14:18" x14ac:dyDescent="0.3">
      <c r="N285" s="71">
        <v>44876</v>
      </c>
      <c r="O285" s="70">
        <v>3992.93</v>
      </c>
      <c r="P285" s="68">
        <v>169.25</v>
      </c>
      <c r="Q285" s="73">
        <f t="shared" si="8"/>
        <v>9.1983590448269908E-3</v>
      </c>
      <c r="R285" s="74">
        <f t="shared" si="9"/>
        <v>-3.0375895299426046E-2</v>
      </c>
    </row>
    <row r="286" spans="14:18" x14ac:dyDescent="0.3">
      <c r="N286" s="71">
        <v>44845</v>
      </c>
      <c r="O286" s="70">
        <v>3956.37</v>
      </c>
      <c r="P286" s="68">
        <v>174.47</v>
      </c>
      <c r="Q286" s="73">
        <f t="shared" si="8"/>
        <v>5.3952504280963931E-2</v>
      </c>
      <c r="R286" s="74">
        <f t="shared" si="9"/>
        <v>1.1645467708960508E-2</v>
      </c>
    </row>
    <row r="287" spans="14:18" x14ac:dyDescent="0.3">
      <c r="N287" s="71">
        <v>44815</v>
      </c>
      <c r="O287" s="70">
        <v>3748.57</v>
      </c>
      <c r="P287" s="68">
        <v>172.45</v>
      </c>
      <c r="Q287" s="73">
        <f t="shared" si="8"/>
        <v>-2.0996774887089925E-2</v>
      </c>
      <c r="R287" s="74">
        <f t="shared" si="9"/>
        <v>-8.027996565324335E-3</v>
      </c>
    </row>
    <row r="288" spans="14:18" x14ac:dyDescent="0.3">
      <c r="N288" s="71">
        <v>44784</v>
      </c>
      <c r="O288" s="70">
        <v>3828.11</v>
      </c>
      <c r="P288" s="68">
        <v>173.84</v>
      </c>
      <c r="Q288" s="73">
        <f t="shared" si="8"/>
        <v>5.5822675939800961E-3</v>
      </c>
      <c r="R288" s="74">
        <f t="shared" si="9"/>
        <v>4.9593550698084398E-3</v>
      </c>
    </row>
    <row r="289" spans="14:18" x14ac:dyDescent="0.3">
      <c r="N289" s="71">
        <v>44753</v>
      </c>
      <c r="O289" s="70">
        <v>3806.8</v>
      </c>
      <c r="P289" s="68">
        <v>172.98</v>
      </c>
      <c r="Q289" s="73">
        <f t="shared" si="8"/>
        <v>9.5680618026735623E-3</v>
      </c>
      <c r="R289" s="74">
        <f t="shared" si="9"/>
        <v>8.7093391485894584E-3</v>
      </c>
    </row>
    <row r="290" spans="14:18" x14ac:dyDescent="0.3">
      <c r="N290" s="71">
        <v>44662</v>
      </c>
      <c r="O290" s="70">
        <v>3770.55</v>
      </c>
      <c r="P290" s="68">
        <v>171.48</v>
      </c>
      <c r="Q290" s="73">
        <f t="shared" si="8"/>
        <v>1.3526781457993704E-2</v>
      </c>
      <c r="R290" s="74">
        <f t="shared" si="9"/>
        <v>4.4418541763330769E-3</v>
      </c>
    </row>
    <row r="291" spans="14:18" x14ac:dyDescent="0.3">
      <c r="N291" s="71">
        <v>44631</v>
      </c>
      <c r="O291" s="70">
        <v>3719.89</v>
      </c>
      <c r="P291" s="68">
        <v>170.72</v>
      </c>
      <c r="Q291" s="73">
        <f t="shared" si="8"/>
        <v>-1.064240923898342E-2</v>
      </c>
      <c r="R291" s="74">
        <f t="shared" si="9"/>
        <v>1.7001323162978922E-3</v>
      </c>
    </row>
    <row r="292" spans="14:18" x14ac:dyDescent="0.3">
      <c r="N292" s="71">
        <v>44603</v>
      </c>
      <c r="O292" s="70">
        <v>3759.69</v>
      </c>
      <c r="P292" s="68">
        <v>170.43</v>
      </c>
      <c r="Q292" s="73">
        <f t="shared" si="8"/>
        <v>-2.5319802827619801E-2</v>
      </c>
      <c r="R292" s="74">
        <f t="shared" si="9"/>
        <v>-1.5487035201162225E-2</v>
      </c>
    </row>
    <row r="293" spans="14:18" x14ac:dyDescent="0.3">
      <c r="N293" s="71">
        <v>44572</v>
      </c>
      <c r="O293" s="70">
        <v>3856.1</v>
      </c>
      <c r="P293" s="68">
        <v>173.09</v>
      </c>
      <c r="Q293" s="73">
        <f t="shared" si="8"/>
        <v>-4.1096940897468529E-3</v>
      </c>
      <c r="R293" s="74">
        <f t="shared" si="9"/>
        <v>-5.0711801181515222E-3</v>
      </c>
    </row>
    <row r="294" spans="14:18" x14ac:dyDescent="0.3">
      <c r="N294" s="70" t="s">
        <v>404</v>
      </c>
      <c r="O294" s="70">
        <v>3871.98</v>
      </c>
      <c r="P294" s="68">
        <v>173.97</v>
      </c>
      <c r="Q294" s="73">
        <f t="shared" si="8"/>
        <v>-7.4823069661265037E-3</v>
      </c>
      <c r="R294" s="74">
        <f t="shared" si="9"/>
        <v>-5.1599701691092195E-3</v>
      </c>
    </row>
    <row r="295" spans="14:18" x14ac:dyDescent="0.3">
      <c r="N295" s="70" t="s">
        <v>405</v>
      </c>
      <c r="O295" s="70">
        <v>3901.06</v>
      </c>
      <c r="P295" s="68">
        <v>174.87</v>
      </c>
      <c r="Q295" s="73">
        <f t="shared" si="8"/>
        <v>2.4328034575769396E-2</v>
      </c>
      <c r="R295" s="74">
        <f t="shared" si="9"/>
        <v>1.4747660570560031E-2</v>
      </c>
    </row>
    <row r="296" spans="14:18" x14ac:dyDescent="0.3">
      <c r="N296" s="70" t="s">
        <v>406</v>
      </c>
      <c r="O296" s="70">
        <v>3807.3</v>
      </c>
      <c r="P296" s="68">
        <v>172.31</v>
      </c>
      <c r="Q296" s="73">
        <f t="shared" si="8"/>
        <v>-6.1011723843323405E-3</v>
      </c>
      <c r="R296" s="74">
        <f t="shared" si="9"/>
        <v>5.8051783820012759E-4</v>
      </c>
    </row>
    <row r="297" spans="14:18" x14ac:dyDescent="0.3">
      <c r="N297" s="70" t="s">
        <v>407</v>
      </c>
      <c r="O297" s="70">
        <v>3830.6</v>
      </c>
      <c r="P297" s="68">
        <v>172.21</v>
      </c>
      <c r="Q297" s="73">
        <f t="shared" si="8"/>
        <v>-7.4151380567922306E-3</v>
      </c>
      <c r="R297" s="74">
        <f t="shared" si="9"/>
        <v>8.74845192414659E-3</v>
      </c>
    </row>
    <row r="298" spans="14:18" x14ac:dyDescent="0.3">
      <c r="N298" s="70" t="s">
        <v>408</v>
      </c>
      <c r="O298" s="70">
        <v>3859.11</v>
      </c>
      <c r="P298" s="68">
        <v>170.71</v>
      </c>
      <c r="Q298" s="73">
        <f t="shared" si="8"/>
        <v>1.6135765325269211E-2</v>
      </c>
      <c r="R298" s="74">
        <f t="shared" si="9"/>
        <v>-1.5803802054260379E-3</v>
      </c>
    </row>
    <row r="299" spans="14:18" x14ac:dyDescent="0.3">
      <c r="N299" s="70" t="s">
        <v>409</v>
      </c>
      <c r="O299" s="70">
        <v>3797.34</v>
      </c>
      <c r="P299" s="68">
        <v>170.98</v>
      </c>
      <c r="Q299" s="73">
        <f t="shared" si="8"/>
        <v>1.1811917059798283E-2</v>
      </c>
      <c r="R299" s="74">
        <f t="shared" si="9"/>
        <v>1.3365325980204129E-2</v>
      </c>
    </row>
    <row r="300" spans="14:18" x14ac:dyDescent="0.3">
      <c r="N300" s="70" t="s">
        <v>410</v>
      </c>
      <c r="O300" s="70">
        <v>3752.75</v>
      </c>
      <c r="P300" s="68">
        <v>168.71</v>
      </c>
      <c r="Q300" s="73">
        <f t="shared" si="8"/>
        <v>2.3447767852436571E-2</v>
      </c>
      <c r="R300" s="74">
        <f t="shared" si="9"/>
        <v>2.1569346174142384E-2</v>
      </c>
    </row>
    <row r="301" spans="14:18" x14ac:dyDescent="0.3">
      <c r="N301" s="70" t="s">
        <v>411</v>
      </c>
      <c r="O301" s="70">
        <v>3665.78</v>
      </c>
      <c r="P301" s="68">
        <v>165.11</v>
      </c>
      <c r="Q301" s="73">
        <f t="shared" si="8"/>
        <v>-7.9827185160930587E-3</v>
      </c>
      <c r="R301" s="74">
        <f t="shared" si="9"/>
        <v>2.5469995576242726E-3</v>
      </c>
    </row>
    <row r="302" spans="14:18" x14ac:dyDescent="0.3">
      <c r="N302" s="70" t="s">
        <v>412</v>
      </c>
      <c r="O302" s="70">
        <v>3695.16</v>
      </c>
      <c r="P302" s="68">
        <v>164.69</v>
      </c>
      <c r="Q302" s="73">
        <f t="shared" si="8"/>
        <v>-6.694436704711702E-3</v>
      </c>
      <c r="R302" s="74">
        <f t="shared" si="9"/>
        <v>-7.9831086198676165E-3</v>
      </c>
    </row>
    <row r="303" spans="14:18" x14ac:dyDescent="0.3">
      <c r="N303" s="70" t="s">
        <v>413</v>
      </c>
      <c r="O303" s="70">
        <v>3719.98</v>
      </c>
      <c r="P303" s="68">
        <v>166.01</v>
      </c>
      <c r="Q303" s="73">
        <f t="shared" si="8"/>
        <v>1.1362760181543908E-2</v>
      </c>
      <c r="R303" s="74">
        <f t="shared" si="9"/>
        <v>-3.4876764156409334E-3</v>
      </c>
    </row>
    <row r="304" spans="14:18" x14ac:dyDescent="0.3">
      <c r="N304" s="70" t="s">
        <v>414</v>
      </c>
      <c r="O304" s="70">
        <v>3677.95</v>
      </c>
      <c r="P304" s="68">
        <v>166.59</v>
      </c>
      <c r="Q304" s="73">
        <f t="shared" si="8"/>
        <v>2.613555691190645E-2</v>
      </c>
      <c r="R304" s="74">
        <f t="shared" si="9"/>
        <v>1.2868324378875995E-2</v>
      </c>
    </row>
    <row r="305" spans="14:18" x14ac:dyDescent="0.3">
      <c r="N305" s="70" t="s">
        <v>415</v>
      </c>
      <c r="O305" s="70">
        <v>3583.07</v>
      </c>
      <c r="P305" s="68">
        <v>164.46</v>
      </c>
      <c r="Q305" s="73">
        <f t="shared" si="8"/>
        <v>-2.3947163771951822E-2</v>
      </c>
      <c r="R305" s="74">
        <f t="shared" si="9"/>
        <v>-4.186772294049187E-3</v>
      </c>
    </row>
    <row r="306" spans="14:18" x14ac:dyDescent="0.3">
      <c r="N306" s="70" t="s">
        <v>416</v>
      </c>
      <c r="O306" s="70">
        <v>3669.91</v>
      </c>
      <c r="P306" s="68">
        <v>165.15</v>
      </c>
      <c r="Q306" s="73">
        <f t="shared" si="8"/>
        <v>2.5634291446897169E-2</v>
      </c>
      <c r="R306" s="74">
        <f t="shared" si="9"/>
        <v>1.5007602315719739E-2</v>
      </c>
    </row>
    <row r="307" spans="14:18" x14ac:dyDescent="0.3">
      <c r="N307" s="71">
        <v>44905</v>
      </c>
      <c r="O307" s="70">
        <v>3577.03</v>
      </c>
      <c r="P307" s="68">
        <v>162.69</v>
      </c>
      <c r="Q307" s="73">
        <f t="shared" si="8"/>
        <v>-3.2961833504644216E-3</v>
      </c>
      <c r="R307" s="74">
        <f t="shared" si="9"/>
        <v>-2.458361514438904E-4</v>
      </c>
    </row>
    <row r="308" spans="14:18" x14ac:dyDescent="0.3">
      <c r="N308" s="71">
        <v>44875</v>
      </c>
      <c r="O308" s="70">
        <v>3588.84</v>
      </c>
      <c r="P308" s="68">
        <v>162.72999999999999</v>
      </c>
      <c r="Q308" s="73">
        <f t="shared" si="8"/>
        <v>-6.5405726393698588E-3</v>
      </c>
      <c r="R308" s="74">
        <f t="shared" si="9"/>
        <v>1.4359348043773068E-2</v>
      </c>
    </row>
    <row r="309" spans="14:18" x14ac:dyDescent="0.3">
      <c r="N309" s="71">
        <v>44844</v>
      </c>
      <c r="O309" s="70">
        <v>3612.39</v>
      </c>
      <c r="P309" s="68">
        <v>160.41</v>
      </c>
      <c r="Q309" s="73">
        <f t="shared" si="8"/>
        <v>-7.5206675446196497E-3</v>
      </c>
      <c r="R309" s="74">
        <f t="shared" si="9"/>
        <v>1.310002994491189E-3</v>
      </c>
    </row>
    <row r="310" spans="14:18" x14ac:dyDescent="0.3">
      <c r="N310" s="71">
        <v>44752</v>
      </c>
      <c r="O310" s="70">
        <v>3639.66</v>
      </c>
      <c r="P310" s="68">
        <v>160.19999999999999</v>
      </c>
      <c r="Q310" s="73">
        <f t="shared" si="8"/>
        <v>-2.8403167167490584E-2</v>
      </c>
      <c r="R310" s="74">
        <f t="shared" si="9"/>
        <v>-1.0617590664402345E-2</v>
      </c>
    </row>
    <row r="311" spans="14:18" x14ac:dyDescent="0.3">
      <c r="N311" s="71">
        <v>44722</v>
      </c>
      <c r="O311" s="70">
        <v>3744.52</v>
      </c>
      <c r="P311" s="68">
        <v>161.91</v>
      </c>
      <c r="Q311" s="73">
        <f t="shared" si="8"/>
        <v>-1.0297920383574249E-2</v>
      </c>
      <c r="R311" s="74">
        <f t="shared" si="9"/>
        <v>-1.9571293145080066E-2</v>
      </c>
    </row>
    <row r="312" spans="14:18" x14ac:dyDescent="0.3">
      <c r="N312" s="71">
        <v>44691</v>
      </c>
      <c r="O312" s="70">
        <v>3783.28</v>
      </c>
      <c r="P312" s="68">
        <v>165.11</v>
      </c>
      <c r="Q312" s="73">
        <f t="shared" si="8"/>
        <v>-2.0200133350643033E-3</v>
      </c>
      <c r="R312" s="74">
        <f t="shared" si="9"/>
        <v>-3.0840891618128751E-3</v>
      </c>
    </row>
    <row r="313" spans="14:18" x14ac:dyDescent="0.3">
      <c r="N313" s="71">
        <v>44661</v>
      </c>
      <c r="O313" s="70">
        <v>3790.93</v>
      </c>
      <c r="P313" s="68">
        <v>165.62</v>
      </c>
      <c r="Q313" s="73">
        <f t="shared" si="8"/>
        <v>3.012534086530393E-2</v>
      </c>
      <c r="R313" s="74">
        <f t="shared" si="9"/>
        <v>1.4719565075547447E-2</v>
      </c>
    </row>
    <row r="314" spans="14:18" x14ac:dyDescent="0.3">
      <c r="N314" s="71">
        <v>44630</v>
      </c>
      <c r="O314" s="70">
        <v>3678.43</v>
      </c>
      <c r="P314" s="68">
        <v>163.19999999999999</v>
      </c>
      <c r="Q314" s="73">
        <f t="shared" si="8"/>
        <v>2.5554628797407629E-2</v>
      </c>
      <c r="R314" s="74">
        <f t="shared" si="9"/>
        <v>-9.7991188634891243E-4</v>
      </c>
    </row>
    <row r="315" spans="14:18" x14ac:dyDescent="0.3">
      <c r="N315" s="70" t="s">
        <v>417</v>
      </c>
      <c r="O315" s="70">
        <v>3585.62</v>
      </c>
      <c r="P315" s="68">
        <v>163.36000000000001</v>
      </c>
      <c r="Q315" s="73">
        <f t="shared" si="8"/>
        <v>-1.5181392276394085E-2</v>
      </c>
      <c r="R315" s="74">
        <f t="shared" si="9"/>
        <v>-7.1365699822032239E-3</v>
      </c>
    </row>
    <row r="316" spans="14:18" x14ac:dyDescent="0.3">
      <c r="N316" s="70" t="s">
        <v>418</v>
      </c>
      <c r="O316" s="70">
        <v>3640.47</v>
      </c>
      <c r="P316" s="68">
        <v>164.53</v>
      </c>
      <c r="Q316" s="73">
        <f t="shared" si="8"/>
        <v>-2.1352776272162088E-2</v>
      </c>
      <c r="R316" s="74">
        <f t="shared" si="9"/>
        <v>-1.1061190476152265E-2</v>
      </c>
    </row>
    <row r="317" spans="14:18" x14ac:dyDescent="0.3">
      <c r="N317" s="70" t="s">
        <v>419</v>
      </c>
      <c r="O317" s="70">
        <v>3719.04</v>
      </c>
      <c r="P317" s="68">
        <v>166.36</v>
      </c>
      <c r="Q317" s="73">
        <f t="shared" si="8"/>
        <v>1.9481144387776417E-2</v>
      </c>
      <c r="R317" s="74">
        <f t="shared" si="9"/>
        <v>8.5723434695016906E-3</v>
      </c>
    </row>
    <row r="318" spans="14:18" x14ac:dyDescent="0.3">
      <c r="N318" s="70" t="s">
        <v>420</v>
      </c>
      <c r="O318" s="70">
        <v>3647.29</v>
      </c>
      <c r="P318" s="68">
        <v>164.94</v>
      </c>
      <c r="Q318" s="73">
        <f t="shared" si="8"/>
        <v>-2.1226109775338642E-3</v>
      </c>
      <c r="R318" s="74">
        <f t="shared" si="9"/>
        <v>-4.5971530273078362E-3</v>
      </c>
    </row>
    <row r="319" spans="14:18" x14ac:dyDescent="0.3">
      <c r="N319" s="70" t="s">
        <v>421</v>
      </c>
      <c r="O319" s="70">
        <v>3655.04</v>
      </c>
      <c r="P319" s="68">
        <v>165.7</v>
      </c>
      <c r="Q319" s="73">
        <f t="shared" si="8"/>
        <v>-1.0394376865970473E-2</v>
      </c>
      <c r="R319" s="74">
        <f t="shared" si="9"/>
        <v>-6.1368341324849422E-3</v>
      </c>
    </row>
    <row r="320" spans="14:18" x14ac:dyDescent="0.3">
      <c r="N320" s="70" t="s">
        <v>422</v>
      </c>
      <c r="O320" s="70">
        <v>3693.23</v>
      </c>
      <c r="P320" s="68">
        <v>166.72</v>
      </c>
      <c r="Q320" s="73">
        <f t="shared" si="8"/>
        <v>-1.7382826077567966E-2</v>
      </c>
      <c r="R320" s="74">
        <f t="shared" si="9"/>
        <v>3.2442203281667038E-3</v>
      </c>
    </row>
    <row r="321" spans="14:18" x14ac:dyDescent="0.3">
      <c r="N321" s="70" t="s">
        <v>423</v>
      </c>
      <c r="O321" s="70">
        <v>3757.99</v>
      </c>
      <c r="P321" s="68">
        <v>166.18</v>
      </c>
      <c r="Q321" s="73">
        <f t="shared" si="8"/>
        <v>-8.4633092689318096E-3</v>
      </c>
      <c r="R321" s="74">
        <f t="shared" si="9"/>
        <v>1.7605019735245964E-2</v>
      </c>
    </row>
    <row r="322" spans="14:18" x14ac:dyDescent="0.3">
      <c r="N322" s="70" t="s">
        <v>424</v>
      </c>
      <c r="O322" s="70">
        <v>3789.93</v>
      </c>
      <c r="P322" s="68">
        <v>163.28</v>
      </c>
      <c r="Q322" s="73">
        <f t="shared" si="8"/>
        <v>-1.7264673789774226E-2</v>
      </c>
      <c r="R322" s="74">
        <f t="shared" si="9"/>
        <v>-1.029712068624369E-2</v>
      </c>
    </row>
    <row r="323" spans="14:18" x14ac:dyDescent="0.3">
      <c r="N323" s="70" t="s">
        <v>425</v>
      </c>
      <c r="O323" s="70">
        <v>3855.93</v>
      </c>
      <c r="P323" s="68">
        <v>164.97</v>
      </c>
      <c r="Q323" s="73">
        <f t="shared" ref="Q323:Q366" si="10">LN(O323/O324)</f>
        <v>-1.1336124553072551E-2</v>
      </c>
      <c r="R323" s="74">
        <f t="shared" ref="R323:R366" si="11">LN(P323/P324)</f>
        <v>-7.9094751966036492E-3</v>
      </c>
    </row>
    <row r="324" spans="14:18" x14ac:dyDescent="0.3">
      <c r="N324" s="70" t="s">
        <v>426</v>
      </c>
      <c r="O324" s="70">
        <v>3899.89</v>
      </c>
      <c r="P324" s="68">
        <v>166.28</v>
      </c>
      <c r="Q324" s="73">
        <f t="shared" si="10"/>
        <v>6.8337454395362542E-3</v>
      </c>
      <c r="R324" s="74">
        <f t="shared" si="11"/>
        <v>-7.9070736635458803E-3</v>
      </c>
    </row>
    <row r="325" spans="14:18" x14ac:dyDescent="0.3">
      <c r="N325" s="70" t="s">
        <v>427</v>
      </c>
      <c r="O325" s="70">
        <v>3873.33</v>
      </c>
      <c r="P325" s="68">
        <v>167.6</v>
      </c>
      <c r="Q325" s="73">
        <f t="shared" si="10"/>
        <v>-7.208044914246866E-3</v>
      </c>
      <c r="R325" s="74">
        <f t="shared" si="11"/>
        <v>1.514998316360147E-2</v>
      </c>
    </row>
    <row r="326" spans="14:18" x14ac:dyDescent="0.3">
      <c r="N326" s="70" t="s">
        <v>428</v>
      </c>
      <c r="O326" s="70">
        <v>3901.35</v>
      </c>
      <c r="P326" s="68">
        <v>165.08</v>
      </c>
      <c r="Q326" s="73">
        <f t="shared" si="10"/>
        <v>-1.1382294724738607E-2</v>
      </c>
      <c r="R326" s="74">
        <f t="shared" si="11"/>
        <v>2.5474630141011688E-3</v>
      </c>
    </row>
    <row r="327" spans="14:18" x14ac:dyDescent="0.3">
      <c r="N327" s="70" t="s">
        <v>429</v>
      </c>
      <c r="O327" s="70">
        <v>3946.01</v>
      </c>
      <c r="P327" s="68">
        <v>164.66</v>
      </c>
      <c r="Q327" s="73">
        <f t="shared" si="10"/>
        <v>3.3812717048818559E-3</v>
      </c>
      <c r="R327" s="74">
        <f t="shared" si="11"/>
        <v>2.0430785192227217E-2</v>
      </c>
    </row>
    <row r="328" spans="14:18" x14ac:dyDescent="0.3">
      <c r="N328" s="70" t="s">
        <v>430</v>
      </c>
      <c r="O328" s="70">
        <v>3932.69</v>
      </c>
      <c r="P328" s="68">
        <v>161.33000000000001</v>
      </c>
      <c r="Q328" s="73">
        <f t="shared" si="10"/>
        <v>-4.4199110119582059E-2</v>
      </c>
      <c r="R328" s="74">
        <f t="shared" si="11"/>
        <v>-2.6364801999313722E-2</v>
      </c>
    </row>
    <row r="329" spans="14:18" x14ac:dyDescent="0.3">
      <c r="N329" s="71">
        <v>44904</v>
      </c>
      <c r="O329" s="70">
        <v>4110.41</v>
      </c>
      <c r="P329" s="68">
        <v>165.64</v>
      </c>
      <c r="Q329" s="73">
        <f t="shared" si="10"/>
        <v>1.0528639881468727E-2</v>
      </c>
      <c r="R329" s="74">
        <f t="shared" si="11"/>
        <v>-4.225139643360829E-4</v>
      </c>
    </row>
    <row r="330" spans="14:18" x14ac:dyDescent="0.3">
      <c r="N330" s="71">
        <v>44813</v>
      </c>
      <c r="O330" s="70">
        <v>4067.36</v>
      </c>
      <c r="P330" s="68">
        <v>165.71</v>
      </c>
      <c r="Q330" s="73">
        <f t="shared" si="10"/>
        <v>1.5155971507018435E-2</v>
      </c>
      <c r="R330" s="74">
        <f t="shared" si="11"/>
        <v>1.9329513720005864E-3</v>
      </c>
    </row>
    <row r="331" spans="14:18" x14ac:dyDescent="0.3">
      <c r="N331" s="71">
        <v>44782</v>
      </c>
      <c r="O331" s="70">
        <v>4006.18</v>
      </c>
      <c r="P331" s="68">
        <v>165.39</v>
      </c>
      <c r="Q331" s="73">
        <f t="shared" si="10"/>
        <v>6.5890133889801002E-3</v>
      </c>
      <c r="R331" s="74">
        <f t="shared" si="11"/>
        <v>8.0131552429108643E-3</v>
      </c>
    </row>
    <row r="332" spans="14:18" x14ac:dyDescent="0.3">
      <c r="N332" s="71">
        <v>44751</v>
      </c>
      <c r="O332" s="70">
        <v>3979.87</v>
      </c>
      <c r="P332" s="68">
        <v>164.07</v>
      </c>
      <c r="Q332" s="73">
        <f t="shared" si="10"/>
        <v>1.8174804228558855E-2</v>
      </c>
      <c r="R332" s="74">
        <f t="shared" si="11"/>
        <v>5.4392800261367728E-3</v>
      </c>
    </row>
    <row r="333" spans="14:18" x14ac:dyDescent="0.3">
      <c r="N333" s="71">
        <v>44721</v>
      </c>
      <c r="O333" s="70">
        <v>3908.19</v>
      </c>
      <c r="P333" s="68">
        <v>163.18</v>
      </c>
      <c r="Q333" s="73">
        <f t="shared" si="10"/>
        <v>-4.1034472098145404E-3</v>
      </c>
      <c r="R333" s="74">
        <f t="shared" si="11"/>
        <v>2.7000507321428154E-3</v>
      </c>
    </row>
    <row r="334" spans="14:18" x14ac:dyDescent="0.3">
      <c r="N334" s="71">
        <v>44601</v>
      </c>
      <c r="O334" s="70">
        <v>3924.26</v>
      </c>
      <c r="P334" s="68">
        <v>162.74</v>
      </c>
      <c r="Q334" s="73">
        <f t="shared" si="10"/>
        <v>-1.0794530441166154E-2</v>
      </c>
      <c r="R334" s="74">
        <f t="shared" si="11"/>
        <v>-1.585012455601828E-2</v>
      </c>
    </row>
    <row r="335" spans="14:18" x14ac:dyDescent="0.3">
      <c r="N335" s="71">
        <v>44570</v>
      </c>
      <c r="O335" s="70">
        <v>3966.85</v>
      </c>
      <c r="P335" s="68">
        <v>165.34</v>
      </c>
      <c r="Q335" s="73">
        <f t="shared" si="10"/>
        <v>2.9917276491103818E-3</v>
      </c>
      <c r="R335" s="74">
        <f t="shared" si="11"/>
        <v>2.4490020315701199E-2</v>
      </c>
    </row>
    <row r="336" spans="14:18" x14ac:dyDescent="0.3">
      <c r="N336" s="70" t="s">
        <v>431</v>
      </c>
      <c r="O336" s="70">
        <v>3955</v>
      </c>
      <c r="P336" s="68">
        <v>161.34</v>
      </c>
      <c r="Q336" s="73">
        <f t="shared" si="10"/>
        <v>-7.8477602570987508E-3</v>
      </c>
      <c r="R336" s="74">
        <f t="shared" si="11"/>
        <v>-6.7332002224761963E-3</v>
      </c>
    </row>
    <row r="337" spans="14:18" x14ac:dyDescent="0.3">
      <c r="N337" s="70" t="s">
        <v>432</v>
      </c>
      <c r="O337" s="70">
        <v>3986.16</v>
      </c>
      <c r="P337" s="68">
        <v>162.43</v>
      </c>
      <c r="Q337" s="73">
        <f t="shared" si="10"/>
        <v>-1.1089367791653617E-2</v>
      </c>
      <c r="R337" s="74">
        <f t="shared" si="11"/>
        <v>-3.5030610754578206E-3</v>
      </c>
    </row>
    <row r="338" spans="14:18" x14ac:dyDescent="0.3">
      <c r="N338" s="70" t="s">
        <v>433</v>
      </c>
      <c r="O338" s="70">
        <v>4030.61</v>
      </c>
      <c r="P338" s="68">
        <v>163</v>
      </c>
      <c r="Q338" s="73">
        <f t="shared" si="10"/>
        <v>-6.6887235092639493E-3</v>
      </c>
      <c r="R338" s="74">
        <f t="shared" si="11"/>
        <v>-7.7612147463462199E-3</v>
      </c>
    </row>
    <row r="339" spans="14:18" x14ac:dyDescent="0.3">
      <c r="N339" s="70" t="s">
        <v>434</v>
      </c>
      <c r="O339" s="70">
        <v>4057.66</v>
      </c>
      <c r="P339" s="68">
        <v>164.27</v>
      </c>
      <c r="Q339" s="73">
        <f t="shared" si="10"/>
        <v>-3.4268526748985458E-2</v>
      </c>
      <c r="R339" s="74">
        <f t="shared" si="11"/>
        <v>-1.7260537147725189E-2</v>
      </c>
    </row>
    <row r="340" spans="14:18" x14ac:dyDescent="0.3">
      <c r="N340" s="70" t="s">
        <v>435</v>
      </c>
      <c r="O340" s="70">
        <v>4199.12</v>
      </c>
      <c r="P340" s="68">
        <v>167.13</v>
      </c>
      <c r="Q340" s="73">
        <f t="shared" si="10"/>
        <v>1.3993218645290096E-2</v>
      </c>
      <c r="R340" s="74">
        <f t="shared" si="11"/>
        <v>9.3174909901737983E-3</v>
      </c>
    </row>
    <row r="341" spans="14:18" x14ac:dyDescent="0.3">
      <c r="N341" s="70" t="s">
        <v>436</v>
      </c>
      <c r="O341" s="70">
        <v>4140.7700000000004</v>
      </c>
      <c r="P341" s="68">
        <v>165.58</v>
      </c>
      <c r="Q341" s="73">
        <f t="shared" si="10"/>
        <v>2.9119072513373811E-3</v>
      </c>
      <c r="R341" s="74">
        <f t="shared" si="11"/>
        <v>-3.3161526877274108E-3</v>
      </c>
    </row>
    <row r="342" spans="14:18" x14ac:dyDescent="0.3">
      <c r="N342" s="70" t="s">
        <v>437</v>
      </c>
      <c r="O342" s="70">
        <v>4128.7299999999996</v>
      </c>
      <c r="P342" s="68">
        <v>166.13</v>
      </c>
      <c r="Q342" s="73">
        <f t="shared" si="10"/>
        <v>-2.2403090640503252E-3</v>
      </c>
      <c r="R342" s="74">
        <f t="shared" si="11"/>
        <v>-8.7499059983947424E-3</v>
      </c>
    </row>
    <row r="343" spans="14:18" x14ac:dyDescent="0.3">
      <c r="N343" s="70" t="s">
        <v>438</v>
      </c>
      <c r="O343" s="70">
        <v>4137.99</v>
      </c>
      <c r="P343" s="68">
        <v>167.59</v>
      </c>
      <c r="Q343" s="73">
        <f t="shared" si="10"/>
        <v>-2.1632427725287454E-2</v>
      </c>
      <c r="R343" s="74">
        <f t="shared" si="11"/>
        <v>-1.0210833743358358E-2</v>
      </c>
    </row>
    <row r="344" spans="14:18" x14ac:dyDescent="0.3">
      <c r="N344" s="70" t="s">
        <v>439</v>
      </c>
      <c r="O344" s="70">
        <v>4228.4799999999996</v>
      </c>
      <c r="P344" s="68">
        <v>169.31</v>
      </c>
      <c r="Q344" s="73">
        <f t="shared" si="10"/>
        <v>-1.2983869381359623E-2</v>
      </c>
      <c r="R344" s="74">
        <f t="shared" si="11"/>
        <v>1.5115736506652573E-2</v>
      </c>
    </row>
    <row r="345" spans="14:18" x14ac:dyDescent="0.3">
      <c r="N345" s="70" t="s">
        <v>440</v>
      </c>
      <c r="O345" s="70">
        <v>4283.74</v>
      </c>
      <c r="P345" s="68">
        <v>166.77</v>
      </c>
      <c r="Q345" s="73">
        <f t="shared" si="10"/>
        <v>2.2669440331611829E-3</v>
      </c>
      <c r="R345" s="74">
        <f t="shared" si="11"/>
        <v>-4.8452315516525866E-3</v>
      </c>
    </row>
    <row r="346" spans="14:18" x14ac:dyDescent="0.3">
      <c r="N346" s="70" t="s">
        <v>441</v>
      </c>
      <c r="O346" s="70">
        <v>4274.04</v>
      </c>
      <c r="P346" s="68">
        <v>167.58</v>
      </c>
      <c r="Q346" s="73">
        <f t="shared" si="10"/>
        <v>-7.26407864047862E-3</v>
      </c>
      <c r="R346" s="74">
        <f t="shared" si="11"/>
        <v>5.9674772507821998E-5</v>
      </c>
    </row>
    <row r="347" spans="14:18" x14ac:dyDescent="0.3">
      <c r="N347" s="70" t="s">
        <v>442</v>
      </c>
      <c r="O347" s="70">
        <v>4305.2</v>
      </c>
      <c r="P347" s="68">
        <v>167.57</v>
      </c>
      <c r="Q347" s="73">
        <f t="shared" si="10"/>
        <v>1.8739092755182558E-3</v>
      </c>
      <c r="R347" s="74">
        <f t="shared" si="11"/>
        <v>8.8713643017251601E-3</v>
      </c>
    </row>
    <row r="348" spans="14:18" x14ac:dyDescent="0.3">
      <c r="N348" s="70" t="s">
        <v>443</v>
      </c>
      <c r="O348" s="70">
        <v>4297.1400000000003</v>
      </c>
      <c r="P348" s="68">
        <v>166.09</v>
      </c>
      <c r="Q348" s="73">
        <f t="shared" si="10"/>
        <v>3.9616294239327712E-3</v>
      </c>
      <c r="R348" s="74">
        <f t="shared" si="11"/>
        <v>4.7678052839289419E-3</v>
      </c>
    </row>
    <row r="349" spans="14:18" x14ac:dyDescent="0.3">
      <c r="N349" s="71">
        <v>44903</v>
      </c>
      <c r="O349" s="70">
        <v>4280.1499999999996</v>
      </c>
      <c r="P349" s="68">
        <v>165.3</v>
      </c>
      <c r="Q349" s="73">
        <f t="shared" si="10"/>
        <v>1.7174074409836079E-2</v>
      </c>
      <c r="R349" s="74">
        <f t="shared" si="11"/>
        <v>-1.1069779746311409E-2</v>
      </c>
    </row>
    <row r="350" spans="14:18" x14ac:dyDescent="0.3">
      <c r="N350" s="71">
        <v>44873</v>
      </c>
      <c r="O350" s="70">
        <v>4207.2700000000004</v>
      </c>
      <c r="P350" s="68">
        <v>167.14</v>
      </c>
      <c r="Q350" s="73">
        <f t="shared" si="10"/>
        <v>-7.0567189661734585E-4</v>
      </c>
      <c r="R350" s="74">
        <f t="shared" si="11"/>
        <v>-2.0900082857375588E-2</v>
      </c>
    </row>
    <row r="351" spans="14:18" x14ac:dyDescent="0.3">
      <c r="N351" s="71">
        <v>44842</v>
      </c>
      <c r="O351" s="70">
        <v>4210.24</v>
      </c>
      <c r="P351" s="68">
        <v>170.67</v>
      </c>
      <c r="Q351" s="73">
        <f t="shared" si="10"/>
        <v>2.1067154907856916E-2</v>
      </c>
      <c r="R351" s="74">
        <f t="shared" si="11"/>
        <v>2.8751670092543023E-3</v>
      </c>
    </row>
    <row r="352" spans="14:18" x14ac:dyDescent="0.3">
      <c r="N352" s="71">
        <v>44812</v>
      </c>
      <c r="O352" s="70">
        <v>4122.47</v>
      </c>
      <c r="P352" s="68">
        <v>170.18</v>
      </c>
      <c r="Q352" s="73">
        <f t="shared" si="10"/>
        <v>-4.2577821983481121E-3</v>
      </c>
      <c r="R352" s="74">
        <f t="shared" si="11"/>
        <v>-1.1751571786235975E-4</v>
      </c>
    </row>
    <row r="353" spans="14:18" x14ac:dyDescent="0.3">
      <c r="N353" s="71">
        <v>44781</v>
      </c>
      <c r="O353" s="70">
        <v>4140.0600000000004</v>
      </c>
      <c r="P353" s="68">
        <v>170.2</v>
      </c>
      <c r="Q353" s="73">
        <f t="shared" si="10"/>
        <v>-1.2383454103545306E-3</v>
      </c>
      <c r="R353" s="74">
        <f t="shared" si="11"/>
        <v>-5.3324084046054831E-3</v>
      </c>
    </row>
    <row r="354" spans="14:18" x14ac:dyDescent="0.3">
      <c r="N354" s="71">
        <v>44689</v>
      </c>
      <c r="O354" s="70">
        <v>4145.1899999999996</v>
      </c>
      <c r="P354" s="68">
        <v>171.11</v>
      </c>
      <c r="Q354" s="73">
        <f t="shared" si="10"/>
        <v>-1.6270689959386672E-3</v>
      </c>
      <c r="R354" s="74">
        <f t="shared" si="11"/>
        <v>-3.966176094474967E-3</v>
      </c>
    </row>
    <row r="355" spans="14:18" x14ac:dyDescent="0.3">
      <c r="N355" s="71">
        <v>44659</v>
      </c>
      <c r="O355" s="70">
        <v>4151.9399999999996</v>
      </c>
      <c r="P355" s="68">
        <v>171.79</v>
      </c>
      <c r="Q355" s="73">
        <f t="shared" si="10"/>
        <v>-7.7764713908326987E-4</v>
      </c>
      <c r="R355" s="74">
        <f t="shared" si="11"/>
        <v>-1.616756735832886E-2</v>
      </c>
    </row>
    <row r="356" spans="14:18" x14ac:dyDescent="0.3">
      <c r="N356" s="71">
        <v>44628</v>
      </c>
      <c r="O356" s="70">
        <v>4155.17</v>
      </c>
      <c r="P356" s="68">
        <v>174.59</v>
      </c>
      <c r="Q356" s="73">
        <f t="shared" si="10"/>
        <v>1.5517460750035557E-2</v>
      </c>
      <c r="R356" s="74">
        <f t="shared" si="11"/>
        <v>9.6113081972519394E-3</v>
      </c>
    </row>
    <row r="357" spans="14:18" x14ac:dyDescent="0.3">
      <c r="N357" s="71">
        <v>44600</v>
      </c>
      <c r="O357" s="70">
        <v>4091.19</v>
      </c>
      <c r="P357" s="68">
        <v>172.92</v>
      </c>
      <c r="Q357" s="73">
        <f t="shared" si="10"/>
        <v>-6.6847025099674136E-3</v>
      </c>
      <c r="R357" s="74">
        <f t="shared" si="11"/>
        <v>-5.708864220320204E-3</v>
      </c>
    </row>
    <row r="358" spans="14:18" x14ac:dyDescent="0.3">
      <c r="N358" s="71">
        <v>44569</v>
      </c>
      <c r="O358" s="70">
        <v>4118.63</v>
      </c>
      <c r="P358" s="68">
        <v>173.91</v>
      </c>
      <c r="Q358" s="73">
        <f t="shared" si="10"/>
        <v>-2.8270386343186992E-3</v>
      </c>
      <c r="R358" s="74">
        <f t="shared" si="11"/>
        <v>-3.5014242356577012E-3</v>
      </c>
    </row>
    <row r="359" spans="14:18" x14ac:dyDescent="0.3">
      <c r="N359" s="70" t="s">
        <v>444</v>
      </c>
      <c r="O359" s="70">
        <v>4130.29</v>
      </c>
      <c r="P359" s="68">
        <v>174.52</v>
      </c>
      <c r="Q359" s="73">
        <f t="shared" si="10"/>
        <v>1.4107749538291978E-2</v>
      </c>
      <c r="R359" s="74">
        <f t="shared" si="11"/>
        <v>1.8352838370064878E-3</v>
      </c>
    </row>
    <row r="360" spans="14:18" x14ac:dyDescent="0.3">
      <c r="N360" s="70" t="s">
        <v>445</v>
      </c>
      <c r="O360" s="70">
        <v>4072.43</v>
      </c>
      <c r="P360" s="68">
        <v>174.2</v>
      </c>
      <c r="Q360" s="73">
        <f t="shared" si="10"/>
        <v>1.2060363275690102E-2</v>
      </c>
      <c r="R360" s="74">
        <f t="shared" si="11"/>
        <v>5.7570682900677239E-3</v>
      </c>
    </row>
    <row r="361" spans="14:18" x14ac:dyDescent="0.3">
      <c r="N361" s="70" t="s">
        <v>446</v>
      </c>
      <c r="O361" s="70">
        <v>4023.61</v>
      </c>
      <c r="P361" s="68">
        <v>173.2</v>
      </c>
      <c r="Q361" s="73">
        <f t="shared" si="10"/>
        <v>2.5820034533563709E-2</v>
      </c>
      <c r="R361" s="74">
        <f t="shared" si="11"/>
        <v>-2.7675294417017294E-3</v>
      </c>
    </row>
    <row r="362" spans="14:18" x14ac:dyDescent="0.3">
      <c r="N362" s="70" t="s">
        <v>447</v>
      </c>
      <c r="O362" s="70">
        <v>3921.05</v>
      </c>
      <c r="P362" s="68">
        <v>173.68</v>
      </c>
      <c r="Q362" s="73">
        <f t="shared" si="10"/>
        <v>-1.161033289574997E-2</v>
      </c>
      <c r="R362" s="74">
        <f t="shared" si="11"/>
        <v>7.0492000458579149E-3</v>
      </c>
    </row>
    <row r="363" spans="14:18" x14ac:dyDescent="0.3">
      <c r="N363" s="70" t="s">
        <v>448</v>
      </c>
      <c r="O363" s="70">
        <v>3966.84</v>
      </c>
      <c r="P363" s="68">
        <v>172.46</v>
      </c>
      <c r="Q363" s="73">
        <f t="shared" si="10"/>
        <v>1.3142512363463167E-3</v>
      </c>
      <c r="R363" s="74">
        <f t="shared" si="11"/>
        <v>1.973417553779624E-3</v>
      </c>
    </row>
    <row r="364" spans="14:18" x14ac:dyDescent="0.3">
      <c r="N364" s="70" t="s">
        <v>449</v>
      </c>
      <c r="O364" s="70">
        <v>3961.63</v>
      </c>
      <c r="P364" s="68">
        <v>172.12</v>
      </c>
      <c r="Q364" s="73">
        <f t="shared" si="10"/>
        <v>-9.3762699234227094E-3</v>
      </c>
      <c r="R364" s="74">
        <f t="shared" si="11"/>
        <v>4.7171272280317799E-3</v>
      </c>
    </row>
    <row r="365" spans="14:18" x14ac:dyDescent="0.3">
      <c r="N365" s="70" t="s">
        <v>450</v>
      </c>
      <c r="O365" s="70">
        <v>3998.95</v>
      </c>
      <c r="P365" s="68">
        <v>171.31</v>
      </c>
      <c r="Q365" s="73">
        <f t="shared" si="10"/>
        <v>9.8130542384489011E-3</v>
      </c>
      <c r="R365" s="74">
        <f t="shared" si="11"/>
        <v>3.508570349705668E-3</v>
      </c>
    </row>
    <row r="366" spans="14:18" x14ac:dyDescent="0.3">
      <c r="N366" s="70" t="s">
        <v>451</v>
      </c>
      <c r="O366" s="70">
        <v>3959.9</v>
      </c>
      <c r="P366" s="68">
        <v>170.71</v>
      </c>
      <c r="Q366" s="73">
        <f t="shared" si="10"/>
        <v>5.8785037183350592E-3</v>
      </c>
      <c r="R366" s="74">
        <f t="shared" si="11"/>
        <v>-5.7243146964590713E-3</v>
      </c>
    </row>
    <row r="367" spans="14:18" ht="15" thickBot="1" x14ac:dyDescent="0.35">
      <c r="N367" s="72" t="s">
        <v>452</v>
      </c>
      <c r="O367" s="72">
        <v>3936.69</v>
      </c>
      <c r="P367" s="72">
        <v>171.69</v>
      </c>
    </row>
    <row r="372" spans="11:11" x14ac:dyDescent="0.3">
      <c r="K372" s="58"/>
    </row>
    <row r="373" spans="11:11" x14ac:dyDescent="0.3">
      <c r="K373" s="58"/>
    </row>
    <row r="374" spans="11:11" x14ac:dyDescent="0.3">
      <c r="K374" s="58"/>
    </row>
    <row r="375" spans="11:11" x14ac:dyDescent="0.3">
      <c r="K375" s="58"/>
    </row>
    <row r="376" spans="11:11" x14ac:dyDescent="0.3">
      <c r="K376" s="58"/>
    </row>
    <row r="377" spans="11:11" x14ac:dyDescent="0.3">
      <c r="K377" s="58"/>
    </row>
    <row r="378" spans="11:11" x14ac:dyDescent="0.3">
      <c r="K378" s="58"/>
    </row>
    <row r="392" spans="11:11" x14ac:dyDescent="0.3">
      <c r="K392" s="58"/>
    </row>
    <row r="393" spans="11:11" x14ac:dyDescent="0.3">
      <c r="K393" s="58"/>
    </row>
    <row r="394" spans="11:11" x14ac:dyDescent="0.3">
      <c r="K394" s="58"/>
    </row>
    <row r="395" spans="11:11" x14ac:dyDescent="0.3">
      <c r="K395" s="58"/>
    </row>
    <row r="396" spans="11:11" x14ac:dyDescent="0.3">
      <c r="K396" s="58"/>
    </row>
    <row r="397" spans="11:11" x14ac:dyDescent="0.3">
      <c r="K397" s="58"/>
    </row>
    <row r="398" spans="11:11" x14ac:dyDescent="0.3">
      <c r="K398" s="58"/>
    </row>
    <row r="399" spans="11:11" x14ac:dyDescent="0.3">
      <c r="K399" s="58"/>
    </row>
    <row r="412" spans="11:11" x14ac:dyDescent="0.3">
      <c r="K412" s="58"/>
    </row>
    <row r="413" spans="11:11" x14ac:dyDescent="0.3">
      <c r="K413" s="58"/>
    </row>
    <row r="414" spans="11:11" x14ac:dyDescent="0.3">
      <c r="K414" s="58"/>
    </row>
    <row r="415" spans="11:11" x14ac:dyDescent="0.3">
      <c r="K415" s="58"/>
    </row>
    <row r="416" spans="11:11" x14ac:dyDescent="0.3">
      <c r="K416" s="58"/>
    </row>
    <row r="417" spans="11:11" x14ac:dyDescent="0.3">
      <c r="K417" s="58"/>
    </row>
    <row r="418" spans="11:11" x14ac:dyDescent="0.3">
      <c r="K418" s="58"/>
    </row>
    <row r="419" spans="11:11" x14ac:dyDescent="0.3">
      <c r="K419" s="58"/>
    </row>
    <row r="420" spans="11:11" x14ac:dyDescent="0.3">
      <c r="K420" s="58"/>
    </row>
    <row r="433" spans="11:11" x14ac:dyDescent="0.3">
      <c r="K433" s="58"/>
    </row>
    <row r="434" spans="11:11" x14ac:dyDescent="0.3">
      <c r="K434" s="58"/>
    </row>
    <row r="435" spans="11:11" x14ac:dyDescent="0.3">
      <c r="K435" s="58"/>
    </row>
    <row r="436" spans="11:11" x14ac:dyDescent="0.3">
      <c r="K436" s="58"/>
    </row>
    <row r="437" spans="11:11" x14ac:dyDescent="0.3">
      <c r="K437" s="58"/>
    </row>
    <row r="438" spans="11:11" x14ac:dyDescent="0.3">
      <c r="K438" s="58"/>
    </row>
    <row r="439" spans="11:11" x14ac:dyDescent="0.3">
      <c r="K439" s="58"/>
    </row>
    <row r="440" spans="11:11" x14ac:dyDescent="0.3">
      <c r="K440" s="58"/>
    </row>
    <row r="455" spans="11:11" x14ac:dyDescent="0.3">
      <c r="K455" s="58"/>
    </row>
    <row r="456" spans="11:11" x14ac:dyDescent="0.3">
      <c r="K456" s="58"/>
    </row>
    <row r="457" spans="11:11" x14ac:dyDescent="0.3">
      <c r="K457" s="58"/>
    </row>
    <row r="458" spans="11:11" x14ac:dyDescent="0.3">
      <c r="K458" s="58"/>
    </row>
    <row r="459" spans="11:11" x14ac:dyDescent="0.3">
      <c r="K459" s="58"/>
    </row>
    <row r="460" spans="11:11" x14ac:dyDescent="0.3">
      <c r="K460" s="58"/>
    </row>
    <row r="461" spans="11:11" x14ac:dyDescent="0.3">
      <c r="K461" s="58"/>
    </row>
    <row r="462" spans="11:11" x14ac:dyDescent="0.3">
      <c r="K462" s="58"/>
    </row>
    <row r="463" spans="11:11" x14ac:dyDescent="0.3">
      <c r="K463" s="58"/>
    </row>
    <row r="474" spans="11:11" x14ac:dyDescent="0.3">
      <c r="K474" s="58"/>
    </row>
    <row r="475" spans="11:11" x14ac:dyDescent="0.3">
      <c r="K475" s="58"/>
    </row>
    <row r="476" spans="11:11" x14ac:dyDescent="0.3">
      <c r="K476" s="58"/>
    </row>
    <row r="477" spans="11:11" x14ac:dyDescent="0.3">
      <c r="K477" s="58"/>
    </row>
    <row r="478" spans="11:11" x14ac:dyDescent="0.3">
      <c r="K478" s="58"/>
    </row>
    <row r="479" spans="11:11" x14ac:dyDescent="0.3">
      <c r="K479" s="58"/>
    </row>
    <row r="480" spans="11:11" x14ac:dyDescent="0.3">
      <c r="K480" s="58"/>
    </row>
    <row r="481" spans="11:11" x14ac:dyDescent="0.3">
      <c r="K481" s="58"/>
    </row>
    <row r="482" spans="11:11" x14ac:dyDescent="0.3">
      <c r="K482" s="58"/>
    </row>
    <row r="495" spans="11:11" x14ac:dyDescent="0.3">
      <c r="K495" s="58"/>
    </row>
    <row r="496" spans="11:11" x14ac:dyDescent="0.3">
      <c r="K496" s="58"/>
    </row>
    <row r="497" spans="11:11" x14ac:dyDescent="0.3">
      <c r="K497" s="58"/>
    </row>
    <row r="498" spans="11:11" x14ac:dyDescent="0.3">
      <c r="K498" s="58"/>
    </row>
    <row r="499" spans="11:11" x14ac:dyDescent="0.3">
      <c r="K499" s="58"/>
    </row>
    <row r="500" spans="11:11" x14ac:dyDescent="0.3">
      <c r="K500" s="58"/>
    </row>
    <row r="501" spans="11:11" x14ac:dyDescent="0.3">
      <c r="K501" s="58"/>
    </row>
    <row r="502" spans="11:11" x14ac:dyDescent="0.3">
      <c r="K502" s="58"/>
    </row>
    <row r="517" spans="11:11" x14ac:dyDescent="0.3">
      <c r="K517" s="58"/>
    </row>
    <row r="518" spans="11:11" x14ac:dyDescent="0.3">
      <c r="K518" s="58"/>
    </row>
    <row r="519" spans="11:11" x14ac:dyDescent="0.3">
      <c r="K519" s="58"/>
    </row>
    <row r="520" spans="11:11" x14ac:dyDescent="0.3">
      <c r="K520" s="58"/>
    </row>
    <row r="521" spans="11:11" x14ac:dyDescent="0.3">
      <c r="K521" s="58"/>
    </row>
    <row r="522" spans="11:11" x14ac:dyDescent="0.3">
      <c r="K522" s="58"/>
    </row>
    <row r="523" spans="11:11" x14ac:dyDescent="0.3">
      <c r="K523" s="58"/>
    </row>
    <row r="524" spans="11:11" x14ac:dyDescent="0.3">
      <c r="K524" s="58"/>
    </row>
    <row r="536" spans="11:11" x14ac:dyDescent="0.3">
      <c r="K536" s="58"/>
    </row>
    <row r="537" spans="11:11" x14ac:dyDescent="0.3">
      <c r="K537" s="58"/>
    </row>
    <row r="538" spans="11:11" x14ac:dyDescent="0.3">
      <c r="K538" s="58"/>
    </row>
    <row r="539" spans="11:11" x14ac:dyDescent="0.3">
      <c r="K539" s="58"/>
    </row>
    <row r="540" spans="11:11" x14ac:dyDescent="0.3">
      <c r="K540" s="58"/>
    </row>
    <row r="541" spans="11:11" x14ac:dyDescent="0.3">
      <c r="K541" s="58"/>
    </row>
    <row r="542" spans="11:11" x14ac:dyDescent="0.3">
      <c r="K542" s="58"/>
    </row>
    <row r="543" spans="11:11" x14ac:dyDescent="0.3">
      <c r="K543" s="58"/>
    </row>
    <row r="544" spans="11:11" x14ac:dyDescent="0.3">
      <c r="K544" s="58"/>
    </row>
    <row r="545" spans="11:11" x14ac:dyDescent="0.3">
      <c r="K545" s="58"/>
    </row>
    <row r="559" spans="11:11" x14ac:dyDescent="0.3">
      <c r="K559" s="58"/>
    </row>
    <row r="560" spans="11:11" x14ac:dyDescent="0.3">
      <c r="K560" s="58"/>
    </row>
    <row r="561" spans="11:11" x14ac:dyDescent="0.3">
      <c r="K561" s="58"/>
    </row>
    <row r="562" spans="11:11" x14ac:dyDescent="0.3">
      <c r="K562" s="58"/>
    </row>
    <row r="563" spans="11:11" x14ac:dyDescent="0.3">
      <c r="K563" s="58"/>
    </row>
    <row r="564" spans="11:11" x14ac:dyDescent="0.3">
      <c r="K564" s="58"/>
    </row>
    <row r="565" spans="11:11" x14ac:dyDescent="0.3">
      <c r="K565" s="58"/>
    </row>
    <row r="566" spans="11:11" x14ac:dyDescent="0.3">
      <c r="K566" s="58"/>
    </row>
    <row r="581" spans="11:11" x14ac:dyDescent="0.3">
      <c r="K581" s="58"/>
    </row>
    <row r="582" spans="11:11" x14ac:dyDescent="0.3">
      <c r="K582" s="58"/>
    </row>
    <row r="583" spans="11:11" x14ac:dyDescent="0.3">
      <c r="K583" s="58"/>
    </row>
    <row r="584" spans="11:11" x14ac:dyDescent="0.3">
      <c r="K584" s="58"/>
    </row>
    <row r="585" spans="11:11" x14ac:dyDescent="0.3">
      <c r="K585" s="58"/>
    </row>
    <row r="586" spans="11:11" x14ac:dyDescent="0.3">
      <c r="K586" s="58"/>
    </row>
    <row r="587" spans="11:11" x14ac:dyDescent="0.3">
      <c r="K587" s="58"/>
    </row>
    <row r="601" spans="11:11" x14ac:dyDescent="0.3">
      <c r="K601" s="58"/>
    </row>
    <row r="602" spans="11:11" x14ac:dyDescent="0.3">
      <c r="K602" s="58"/>
    </row>
    <row r="603" spans="11:11" x14ac:dyDescent="0.3">
      <c r="K603" s="58"/>
    </row>
    <row r="604" spans="11:11" x14ac:dyDescent="0.3">
      <c r="K604" s="58"/>
    </row>
    <row r="605" spans="11:11" x14ac:dyDescent="0.3">
      <c r="K605" s="58"/>
    </row>
    <row r="606" spans="11:11" x14ac:dyDescent="0.3">
      <c r="K606" s="58"/>
    </row>
    <row r="607" spans="11:11" x14ac:dyDescent="0.3">
      <c r="K607" s="58"/>
    </row>
    <row r="608" spans="11:11" x14ac:dyDescent="0.3">
      <c r="K608" s="58"/>
    </row>
    <row r="609" spans="11:11" x14ac:dyDescent="0.3">
      <c r="K609" s="58"/>
    </row>
    <row r="624" spans="11:11" x14ac:dyDescent="0.3">
      <c r="K624" s="58"/>
    </row>
    <row r="625" spans="11:11" x14ac:dyDescent="0.3">
      <c r="K625" s="58"/>
    </row>
    <row r="626" spans="11:11" x14ac:dyDescent="0.3">
      <c r="K626" s="58"/>
    </row>
    <row r="627" spans="11:11" x14ac:dyDescent="0.3">
      <c r="K627" s="58"/>
    </row>
    <row r="628" spans="11:11" x14ac:dyDescent="0.3">
      <c r="K628" s="58"/>
    </row>
    <row r="629" spans="11:11" x14ac:dyDescent="0.3">
      <c r="K629" s="58"/>
    </row>
    <row r="630" spans="11:11" x14ac:dyDescent="0.3">
      <c r="K630" s="58"/>
    </row>
    <row r="644" spans="11:11" x14ac:dyDescent="0.3">
      <c r="K644" s="58"/>
    </row>
    <row r="645" spans="11:11" x14ac:dyDescent="0.3">
      <c r="K645" s="58"/>
    </row>
    <row r="646" spans="11:11" x14ac:dyDescent="0.3">
      <c r="K646" s="58"/>
    </row>
    <row r="647" spans="11:11" x14ac:dyDescent="0.3">
      <c r="K647" s="58"/>
    </row>
    <row r="648" spans="11:11" x14ac:dyDescent="0.3">
      <c r="K648" s="58"/>
    </row>
    <row r="649" spans="11:11" x14ac:dyDescent="0.3">
      <c r="K649" s="58"/>
    </row>
    <row r="650" spans="11:11" x14ac:dyDescent="0.3">
      <c r="K650" s="58"/>
    </row>
    <row r="651" spans="11:11" x14ac:dyDescent="0.3">
      <c r="K651" s="58"/>
    </row>
    <row r="652" spans="11:11" x14ac:dyDescent="0.3">
      <c r="K652" s="58"/>
    </row>
    <row r="665" spans="11:11" x14ac:dyDescent="0.3">
      <c r="K665" s="58"/>
    </row>
    <row r="666" spans="11:11" x14ac:dyDescent="0.3">
      <c r="K666" s="58"/>
    </row>
    <row r="667" spans="11:11" x14ac:dyDescent="0.3">
      <c r="K667" s="58"/>
    </row>
    <row r="668" spans="11:11" x14ac:dyDescent="0.3">
      <c r="K668" s="58"/>
    </row>
    <row r="669" spans="11:11" x14ac:dyDescent="0.3">
      <c r="K669" s="58"/>
    </row>
    <row r="670" spans="11:11" x14ac:dyDescent="0.3">
      <c r="K670" s="58"/>
    </row>
    <row r="671" spans="11:11" x14ac:dyDescent="0.3">
      <c r="K671" s="58"/>
    </row>
    <row r="672" spans="11:11" x14ac:dyDescent="0.3">
      <c r="K672" s="58"/>
    </row>
    <row r="687" spans="11:11" x14ac:dyDescent="0.3">
      <c r="K687" s="58"/>
    </row>
    <row r="688" spans="11:11" x14ac:dyDescent="0.3">
      <c r="K688" s="58"/>
    </row>
    <row r="689" spans="11:11" x14ac:dyDescent="0.3">
      <c r="K689" s="58"/>
    </row>
    <row r="690" spans="11:11" x14ac:dyDescent="0.3">
      <c r="K690" s="58"/>
    </row>
    <row r="691" spans="11:11" x14ac:dyDescent="0.3">
      <c r="K691" s="58"/>
    </row>
    <row r="692" spans="11:11" x14ac:dyDescent="0.3">
      <c r="K692" s="58"/>
    </row>
    <row r="693" spans="11:11" x14ac:dyDescent="0.3">
      <c r="K693" s="58"/>
    </row>
    <row r="707" spans="11:11" x14ac:dyDescent="0.3">
      <c r="K707" s="58"/>
    </row>
    <row r="708" spans="11:11" x14ac:dyDescent="0.3">
      <c r="K708" s="58"/>
    </row>
    <row r="709" spans="11:11" x14ac:dyDescent="0.3">
      <c r="K709" s="58"/>
    </row>
    <row r="710" spans="11:11" x14ac:dyDescent="0.3">
      <c r="K710" s="58"/>
    </row>
    <row r="711" spans="11:11" x14ac:dyDescent="0.3">
      <c r="K711" s="58"/>
    </row>
    <row r="712" spans="11:11" x14ac:dyDescent="0.3">
      <c r="K712" s="58"/>
    </row>
    <row r="713" spans="11:11" x14ac:dyDescent="0.3">
      <c r="K713" s="58"/>
    </row>
    <row r="714" spans="11:11" x14ac:dyDescent="0.3">
      <c r="K714" s="58"/>
    </row>
    <row r="715" spans="11:11" x14ac:dyDescent="0.3">
      <c r="K715" s="58"/>
    </row>
    <row r="716" spans="11:11" x14ac:dyDescent="0.3">
      <c r="K716" s="58"/>
    </row>
    <row r="726" spans="11:11" x14ac:dyDescent="0.3">
      <c r="K726" s="58"/>
    </row>
    <row r="727" spans="11:11" x14ac:dyDescent="0.3">
      <c r="K727" s="58"/>
    </row>
    <row r="728" spans="11:11" x14ac:dyDescent="0.3">
      <c r="K728" s="58"/>
    </row>
    <row r="729" spans="11:11" x14ac:dyDescent="0.3">
      <c r="K729" s="58"/>
    </row>
    <row r="730" spans="11:11" x14ac:dyDescent="0.3">
      <c r="K730" s="58"/>
    </row>
    <row r="731" spans="11:11" x14ac:dyDescent="0.3">
      <c r="K731" s="58"/>
    </row>
    <row r="732" spans="11:11" x14ac:dyDescent="0.3">
      <c r="K732" s="58"/>
    </row>
    <row r="733" spans="11:11" x14ac:dyDescent="0.3">
      <c r="K733" s="58"/>
    </row>
    <row r="734" spans="11:11" x14ac:dyDescent="0.3">
      <c r="K734" s="58"/>
    </row>
    <row r="735" spans="11:11" x14ac:dyDescent="0.3">
      <c r="K735" s="58"/>
    </row>
    <row r="748" spans="11:11" x14ac:dyDescent="0.3">
      <c r="K748" s="58"/>
    </row>
    <row r="749" spans="11:11" x14ac:dyDescent="0.3">
      <c r="K749" s="58"/>
    </row>
    <row r="750" spans="11:11" x14ac:dyDescent="0.3">
      <c r="K750" s="58"/>
    </row>
    <row r="751" spans="11:11" x14ac:dyDescent="0.3">
      <c r="K751" s="58"/>
    </row>
    <row r="752" spans="11:11" x14ac:dyDescent="0.3">
      <c r="K752" s="58"/>
    </row>
    <row r="753" spans="11:11" x14ac:dyDescent="0.3">
      <c r="K753" s="58"/>
    </row>
    <row r="754" spans="11:11" x14ac:dyDescent="0.3">
      <c r="K754" s="58"/>
    </row>
    <row r="768" spans="11:11" x14ac:dyDescent="0.3">
      <c r="K768" s="58"/>
    </row>
    <row r="769" spans="11:11" x14ac:dyDescent="0.3">
      <c r="K769" s="58"/>
    </row>
    <row r="770" spans="11:11" x14ac:dyDescent="0.3">
      <c r="K770" s="58"/>
    </row>
    <row r="771" spans="11:11" x14ac:dyDescent="0.3">
      <c r="K771" s="58"/>
    </row>
    <row r="772" spans="11:11" x14ac:dyDescent="0.3">
      <c r="K772" s="58"/>
    </row>
    <row r="773" spans="11:11" x14ac:dyDescent="0.3">
      <c r="K773" s="58"/>
    </row>
    <row r="774" spans="11:11" x14ac:dyDescent="0.3">
      <c r="K774" s="58"/>
    </row>
    <row r="775" spans="11:11" x14ac:dyDescent="0.3">
      <c r="K775" s="58"/>
    </row>
    <row r="776" spans="11:11" x14ac:dyDescent="0.3">
      <c r="K776" s="58"/>
    </row>
    <row r="788" spans="11:11" x14ac:dyDescent="0.3">
      <c r="K788" s="58"/>
    </row>
    <row r="789" spans="11:11" x14ac:dyDescent="0.3">
      <c r="K789" s="58"/>
    </row>
    <row r="790" spans="11:11" x14ac:dyDescent="0.3">
      <c r="K790" s="58"/>
    </row>
    <row r="791" spans="11:11" x14ac:dyDescent="0.3">
      <c r="K791" s="58"/>
    </row>
    <row r="792" spans="11:11" x14ac:dyDescent="0.3">
      <c r="K792" s="58"/>
    </row>
    <row r="793" spans="11:11" x14ac:dyDescent="0.3">
      <c r="K793" s="58"/>
    </row>
    <row r="794" spans="11:11" x14ac:dyDescent="0.3">
      <c r="K794" s="58"/>
    </row>
    <row r="795" spans="11:11" x14ac:dyDescent="0.3">
      <c r="K795" s="58"/>
    </row>
    <row r="796" spans="11:11" x14ac:dyDescent="0.3">
      <c r="K796" s="58"/>
    </row>
    <row r="811" spans="11:11" x14ac:dyDescent="0.3">
      <c r="K811" s="58"/>
    </row>
    <row r="812" spans="11:11" x14ac:dyDescent="0.3">
      <c r="K812" s="58"/>
    </row>
    <row r="813" spans="11:11" x14ac:dyDescent="0.3">
      <c r="K813" s="58"/>
    </row>
    <row r="814" spans="11:11" x14ac:dyDescent="0.3">
      <c r="K814" s="58"/>
    </row>
    <row r="815" spans="11:11" x14ac:dyDescent="0.3">
      <c r="K815" s="58"/>
    </row>
    <row r="816" spans="11:11" x14ac:dyDescent="0.3">
      <c r="K816" s="58"/>
    </row>
    <row r="817" spans="11:11" x14ac:dyDescent="0.3">
      <c r="K817" s="58"/>
    </row>
    <row r="818" spans="11:11" x14ac:dyDescent="0.3">
      <c r="K818" s="58"/>
    </row>
    <row r="832" spans="11:11" x14ac:dyDescent="0.3">
      <c r="K832" s="58"/>
    </row>
    <row r="833" spans="11:11" x14ac:dyDescent="0.3">
      <c r="K833" s="58"/>
    </row>
    <row r="834" spans="11:11" x14ac:dyDescent="0.3">
      <c r="K834" s="58"/>
    </row>
    <row r="835" spans="11:11" x14ac:dyDescent="0.3">
      <c r="K835" s="58"/>
    </row>
    <row r="836" spans="11:11" x14ac:dyDescent="0.3">
      <c r="K836" s="58"/>
    </row>
    <row r="837" spans="11:11" x14ac:dyDescent="0.3">
      <c r="K837" s="58"/>
    </row>
    <row r="838" spans="11:11" x14ac:dyDescent="0.3">
      <c r="K838" s="58"/>
    </row>
    <row r="839" spans="11:11" x14ac:dyDescent="0.3">
      <c r="K839" s="58"/>
    </row>
    <row r="853" spans="11:11" x14ac:dyDescent="0.3">
      <c r="K853" s="58"/>
    </row>
    <row r="854" spans="11:11" x14ac:dyDescent="0.3">
      <c r="K854" s="58"/>
    </row>
    <row r="855" spans="11:11" x14ac:dyDescent="0.3">
      <c r="K855" s="58"/>
    </row>
    <row r="856" spans="11:11" x14ac:dyDescent="0.3">
      <c r="K856" s="58"/>
    </row>
    <row r="857" spans="11:11" x14ac:dyDescent="0.3">
      <c r="K857" s="58"/>
    </row>
    <row r="858" spans="11:11" x14ac:dyDescent="0.3">
      <c r="K858" s="58"/>
    </row>
    <row r="859" spans="11:11" x14ac:dyDescent="0.3">
      <c r="K859" s="58"/>
    </row>
    <row r="860" spans="11:11" x14ac:dyDescent="0.3">
      <c r="K860" s="58"/>
    </row>
    <row r="876" spans="11:11" x14ac:dyDescent="0.3">
      <c r="K876" s="58"/>
    </row>
    <row r="877" spans="11:11" x14ac:dyDescent="0.3">
      <c r="K877" s="58"/>
    </row>
    <row r="878" spans="11:11" x14ac:dyDescent="0.3">
      <c r="K878" s="58"/>
    </row>
    <row r="879" spans="11:11" x14ac:dyDescent="0.3">
      <c r="K879" s="58"/>
    </row>
    <row r="880" spans="11:11" x14ac:dyDescent="0.3">
      <c r="K880" s="58"/>
    </row>
    <row r="881" spans="11:11" x14ac:dyDescent="0.3">
      <c r="K881" s="58"/>
    </row>
    <row r="882" spans="11:11" x14ac:dyDescent="0.3">
      <c r="K882" s="58"/>
    </row>
    <row r="895" spans="11:11" x14ac:dyDescent="0.3">
      <c r="K895" s="58"/>
    </row>
    <row r="896" spans="11:11" x14ac:dyDescent="0.3">
      <c r="K896" s="58"/>
    </row>
    <row r="897" spans="11:11" x14ac:dyDescent="0.3">
      <c r="K897" s="58"/>
    </row>
    <row r="898" spans="11:11" x14ac:dyDescent="0.3">
      <c r="K898" s="58"/>
    </row>
    <row r="899" spans="11:11" x14ac:dyDescent="0.3">
      <c r="K899" s="58"/>
    </row>
    <row r="900" spans="11:11" x14ac:dyDescent="0.3">
      <c r="K900" s="58"/>
    </row>
    <row r="901" spans="11:11" x14ac:dyDescent="0.3">
      <c r="K901" s="58"/>
    </row>
    <row r="902" spans="11:11" x14ac:dyDescent="0.3">
      <c r="K902" s="58"/>
    </row>
    <row r="903" spans="11:11" x14ac:dyDescent="0.3">
      <c r="K903" s="58"/>
    </row>
    <row r="904" spans="11:11" x14ac:dyDescent="0.3">
      <c r="K904" s="58"/>
    </row>
    <row r="917" spans="11:11" x14ac:dyDescent="0.3">
      <c r="K917" s="58"/>
    </row>
    <row r="918" spans="11:11" x14ac:dyDescent="0.3">
      <c r="K918" s="58"/>
    </row>
    <row r="919" spans="11:11" x14ac:dyDescent="0.3">
      <c r="K919" s="58"/>
    </row>
    <row r="920" spans="11:11" x14ac:dyDescent="0.3">
      <c r="K920" s="58"/>
    </row>
    <row r="921" spans="11:11" x14ac:dyDescent="0.3">
      <c r="K921" s="58"/>
    </row>
    <row r="922" spans="11:11" x14ac:dyDescent="0.3">
      <c r="K922" s="58"/>
    </row>
    <row r="923" spans="11:11" x14ac:dyDescent="0.3">
      <c r="K923" s="58"/>
    </row>
    <row r="924" spans="11:11" x14ac:dyDescent="0.3">
      <c r="K924" s="58"/>
    </row>
    <row r="939" spans="11:11" x14ac:dyDescent="0.3">
      <c r="K939" s="58"/>
    </row>
    <row r="940" spans="11:11" x14ac:dyDescent="0.3">
      <c r="K940" s="58"/>
    </row>
    <row r="941" spans="11:11" x14ac:dyDescent="0.3">
      <c r="K941" s="58"/>
    </row>
    <row r="942" spans="11:11" x14ac:dyDescent="0.3">
      <c r="K942" s="58"/>
    </row>
    <row r="943" spans="11:11" x14ac:dyDescent="0.3">
      <c r="K943" s="58"/>
    </row>
    <row r="944" spans="11:11" x14ac:dyDescent="0.3">
      <c r="K944" s="58"/>
    </row>
    <row r="945" spans="11:11" x14ac:dyDescent="0.3">
      <c r="K945" s="58"/>
    </row>
    <row r="959" spans="11:11" x14ac:dyDescent="0.3">
      <c r="K959" s="58"/>
    </row>
    <row r="960" spans="11:11" x14ac:dyDescent="0.3">
      <c r="K960" s="58"/>
    </row>
    <row r="961" spans="11:11" x14ac:dyDescent="0.3">
      <c r="K961" s="58"/>
    </row>
    <row r="962" spans="11:11" x14ac:dyDescent="0.3">
      <c r="K962" s="58"/>
    </row>
    <row r="963" spans="11:11" x14ac:dyDescent="0.3">
      <c r="K963" s="58"/>
    </row>
    <row r="964" spans="11:11" x14ac:dyDescent="0.3">
      <c r="K964" s="58"/>
    </row>
    <row r="965" spans="11:11" x14ac:dyDescent="0.3">
      <c r="K965" s="58"/>
    </row>
    <row r="966" spans="11:11" x14ac:dyDescent="0.3">
      <c r="K966" s="58"/>
    </row>
    <row r="967" spans="11:11" x14ac:dyDescent="0.3">
      <c r="K967" s="58"/>
    </row>
    <row r="979" spans="11:11" x14ac:dyDescent="0.3">
      <c r="K979" s="58"/>
    </row>
    <row r="980" spans="11:11" x14ac:dyDescent="0.3">
      <c r="K980" s="58"/>
    </row>
    <row r="981" spans="11:11" x14ac:dyDescent="0.3">
      <c r="K981" s="58"/>
    </row>
    <row r="982" spans="11:11" x14ac:dyDescent="0.3">
      <c r="K982" s="58"/>
    </row>
    <row r="983" spans="11:11" x14ac:dyDescent="0.3">
      <c r="K983" s="58"/>
    </row>
    <row r="984" spans="11:11" x14ac:dyDescent="0.3">
      <c r="K984" s="58"/>
    </row>
    <row r="985" spans="11:11" x14ac:dyDescent="0.3">
      <c r="K985" s="58"/>
    </row>
    <row r="986" spans="11:11" x14ac:dyDescent="0.3">
      <c r="K986" s="58"/>
    </row>
    <row r="1001" spans="11:11" x14ac:dyDescent="0.3">
      <c r="K1001" s="58"/>
    </row>
    <row r="1002" spans="11:11" x14ac:dyDescent="0.3">
      <c r="K1002" s="58"/>
    </row>
    <row r="1003" spans="11:11" x14ac:dyDescent="0.3">
      <c r="K1003" s="58"/>
    </row>
    <row r="1004" spans="11:11" x14ac:dyDescent="0.3">
      <c r="K1004" s="58"/>
    </row>
    <row r="1005" spans="11:11" x14ac:dyDescent="0.3">
      <c r="K1005" s="58"/>
    </row>
    <row r="1006" spans="11:11" x14ac:dyDescent="0.3">
      <c r="K1006" s="58"/>
    </row>
    <row r="1007" spans="11:11" x14ac:dyDescent="0.3">
      <c r="K1007" s="58"/>
    </row>
    <row r="1020" spans="11:11" x14ac:dyDescent="0.3">
      <c r="K1020" s="58"/>
    </row>
    <row r="1021" spans="11:11" x14ac:dyDescent="0.3">
      <c r="K1021" s="58"/>
    </row>
    <row r="1022" spans="11:11" x14ac:dyDescent="0.3">
      <c r="K1022" s="58"/>
    </row>
    <row r="1023" spans="11:11" x14ac:dyDescent="0.3">
      <c r="K1023" s="58"/>
    </row>
    <row r="1024" spans="11:11" x14ac:dyDescent="0.3">
      <c r="K1024" s="58"/>
    </row>
    <row r="1025" spans="11:11" x14ac:dyDescent="0.3">
      <c r="K1025" s="58"/>
    </row>
    <row r="1026" spans="11:11" x14ac:dyDescent="0.3">
      <c r="K1026" s="58"/>
    </row>
    <row r="1027" spans="11:11" x14ac:dyDescent="0.3">
      <c r="K1027" s="58"/>
    </row>
    <row r="1028" spans="11:11" x14ac:dyDescent="0.3">
      <c r="K1028" s="58"/>
    </row>
    <row r="1041" spans="11:11" x14ac:dyDescent="0.3">
      <c r="K1041" s="58"/>
    </row>
    <row r="1042" spans="11:11" x14ac:dyDescent="0.3">
      <c r="K1042" s="58"/>
    </row>
    <row r="1043" spans="11:11" x14ac:dyDescent="0.3">
      <c r="K1043" s="58"/>
    </row>
    <row r="1044" spans="11:11" x14ac:dyDescent="0.3">
      <c r="K1044" s="58"/>
    </row>
    <row r="1045" spans="11:11" x14ac:dyDescent="0.3">
      <c r="K1045" s="58"/>
    </row>
    <row r="1046" spans="11:11" x14ac:dyDescent="0.3">
      <c r="K1046" s="58"/>
    </row>
    <row r="1047" spans="11:11" x14ac:dyDescent="0.3">
      <c r="K1047" s="58"/>
    </row>
    <row r="1048" spans="11:11" x14ac:dyDescent="0.3">
      <c r="K1048" s="58"/>
    </row>
    <row r="1063" spans="11:11" x14ac:dyDescent="0.3">
      <c r="K1063" s="58"/>
    </row>
    <row r="1064" spans="11:11" x14ac:dyDescent="0.3">
      <c r="K1064" s="58"/>
    </row>
    <row r="1065" spans="11:11" x14ac:dyDescent="0.3">
      <c r="K1065" s="58"/>
    </row>
    <row r="1066" spans="11:11" x14ac:dyDescent="0.3">
      <c r="K1066" s="58"/>
    </row>
    <row r="1067" spans="11:11" x14ac:dyDescent="0.3">
      <c r="K1067" s="58"/>
    </row>
    <row r="1068" spans="11:11" x14ac:dyDescent="0.3">
      <c r="K1068" s="58"/>
    </row>
    <row r="1069" spans="11:11" x14ac:dyDescent="0.3">
      <c r="K1069" s="58"/>
    </row>
    <row r="1070" spans="11:11" x14ac:dyDescent="0.3">
      <c r="K1070" s="58"/>
    </row>
    <row r="1071" spans="11:11" x14ac:dyDescent="0.3">
      <c r="K1071" s="58"/>
    </row>
    <row r="1084" spans="11:11" x14ac:dyDescent="0.3">
      <c r="K1084" s="58"/>
    </row>
    <row r="1085" spans="11:11" x14ac:dyDescent="0.3">
      <c r="K1085" s="58"/>
    </row>
    <row r="1086" spans="11:11" x14ac:dyDescent="0.3">
      <c r="K1086" s="58"/>
    </row>
    <row r="1087" spans="11:11" x14ac:dyDescent="0.3">
      <c r="K1087" s="58"/>
    </row>
    <row r="1088" spans="11:11" x14ac:dyDescent="0.3">
      <c r="K1088" s="58"/>
    </row>
    <row r="1089" spans="11:11" x14ac:dyDescent="0.3">
      <c r="K1089" s="58"/>
    </row>
    <row r="1090" spans="11:11" x14ac:dyDescent="0.3">
      <c r="K1090" s="58"/>
    </row>
    <row r="1091" spans="11:11" x14ac:dyDescent="0.3">
      <c r="K1091" s="58"/>
    </row>
    <row r="1106" spans="11:11" x14ac:dyDescent="0.3">
      <c r="K1106" s="58"/>
    </row>
    <row r="1107" spans="11:11" x14ac:dyDescent="0.3">
      <c r="K1107" s="58"/>
    </row>
    <row r="1108" spans="11:11" x14ac:dyDescent="0.3">
      <c r="K1108" s="58"/>
    </row>
    <row r="1109" spans="11:11" x14ac:dyDescent="0.3">
      <c r="K1109" s="58"/>
    </row>
    <row r="1110" spans="11:11" x14ac:dyDescent="0.3">
      <c r="K1110" s="58"/>
    </row>
    <row r="1111" spans="11:11" x14ac:dyDescent="0.3">
      <c r="K1111" s="58"/>
    </row>
    <row r="1112" spans="11:11" x14ac:dyDescent="0.3">
      <c r="K1112" s="58"/>
    </row>
    <row r="1113" spans="11:11" x14ac:dyDescent="0.3">
      <c r="K1113" s="58"/>
    </row>
    <row r="1127" spans="11:11" x14ac:dyDescent="0.3">
      <c r="K1127" s="58"/>
    </row>
    <row r="1128" spans="11:11" x14ac:dyDescent="0.3">
      <c r="K1128" s="58"/>
    </row>
    <row r="1129" spans="11:11" x14ac:dyDescent="0.3">
      <c r="K1129" s="58"/>
    </row>
    <row r="1130" spans="11:11" x14ac:dyDescent="0.3">
      <c r="K1130" s="58"/>
    </row>
    <row r="1131" spans="11:11" x14ac:dyDescent="0.3">
      <c r="K1131" s="58"/>
    </row>
    <row r="1132" spans="11:11" x14ac:dyDescent="0.3">
      <c r="K1132" s="58"/>
    </row>
    <row r="1133" spans="11:11" x14ac:dyDescent="0.3">
      <c r="K1133" s="58"/>
    </row>
    <row r="1134" spans="11:11" x14ac:dyDescent="0.3">
      <c r="K1134" s="58"/>
    </row>
    <row r="1135" spans="11:11" x14ac:dyDescent="0.3">
      <c r="K1135" s="58"/>
    </row>
    <row r="1148" spans="11:11" x14ac:dyDescent="0.3">
      <c r="K1148" s="58"/>
    </row>
    <row r="1149" spans="11:11" x14ac:dyDescent="0.3">
      <c r="K1149" s="58"/>
    </row>
    <row r="1150" spans="11:11" x14ac:dyDescent="0.3">
      <c r="K1150" s="58"/>
    </row>
    <row r="1151" spans="11:11" x14ac:dyDescent="0.3">
      <c r="K1151" s="58"/>
    </row>
    <row r="1152" spans="11:11" x14ac:dyDescent="0.3">
      <c r="K1152" s="58"/>
    </row>
    <row r="1153" spans="11:11" x14ac:dyDescent="0.3">
      <c r="K1153" s="58"/>
    </row>
    <row r="1154" spans="11:11" x14ac:dyDescent="0.3">
      <c r="K1154" s="58"/>
    </row>
    <row r="1155" spans="11:11" x14ac:dyDescent="0.3">
      <c r="K1155" s="58"/>
    </row>
    <row r="1170" spans="11:11" x14ac:dyDescent="0.3">
      <c r="K1170" s="58"/>
    </row>
    <row r="1171" spans="11:11" x14ac:dyDescent="0.3">
      <c r="K1171" s="58"/>
    </row>
    <row r="1172" spans="11:11" x14ac:dyDescent="0.3">
      <c r="K1172" s="58"/>
    </row>
    <row r="1173" spans="11:11" x14ac:dyDescent="0.3">
      <c r="K1173" s="58"/>
    </row>
    <row r="1174" spans="11:11" x14ac:dyDescent="0.3">
      <c r="K1174" s="58"/>
    </row>
    <row r="1175" spans="11:11" x14ac:dyDescent="0.3">
      <c r="K1175" s="58"/>
    </row>
    <row r="1176" spans="11:11" x14ac:dyDescent="0.3">
      <c r="K1176" s="58"/>
    </row>
    <row r="1177" spans="11:11" x14ac:dyDescent="0.3">
      <c r="K1177" s="58"/>
    </row>
    <row r="1189" spans="11:11" x14ac:dyDescent="0.3">
      <c r="K1189" s="58"/>
    </row>
    <row r="1190" spans="11:11" x14ac:dyDescent="0.3">
      <c r="K1190" s="58"/>
    </row>
    <row r="1191" spans="11:11" x14ac:dyDescent="0.3">
      <c r="K1191" s="58"/>
    </row>
    <row r="1192" spans="11:11" x14ac:dyDescent="0.3">
      <c r="K1192" s="58"/>
    </row>
    <row r="1193" spans="11:11" x14ac:dyDescent="0.3">
      <c r="K1193" s="58"/>
    </row>
    <row r="1194" spans="11:11" x14ac:dyDescent="0.3">
      <c r="K1194" s="58"/>
    </row>
    <row r="1195" spans="11:11" x14ac:dyDescent="0.3">
      <c r="K1195" s="58"/>
    </row>
    <row r="1196" spans="11:11" x14ac:dyDescent="0.3">
      <c r="K1196" s="58"/>
    </row>
    <row r="1197" spans="11:11" x14ac:dyDescent="0.3">
      <c r="K1197" s="58"/>
    </row>
    <row r="1198" spans="11:11" x14ac:dyDescent="0.3">
      <c r="K1198" s="58"/>
    </row>
    <row r="1212" spans="11:11" x14ac:dyDescent="0.3">
      <c r="K1212" s="58"/>
    </row>
    <row r="1213" spans="11:11" x14ac:dyDescent="0.3">
      <c r="K1213" s="58"/>
    </row>
    <row r="1214" spans="11:11" x14ac:dyDescent="0.3">
      <c r="K1214" s="58"/>
    </row>
    <row r="1215" spans="11:11" x14ac:dyDescent="0.3">
      <c r="K1215" s="58"/>
    </row>
    <row r="1216" spans="11:11" x14ac:dyDescent="0.3">
      <c r="K1216" s="58"/>
    </row>
    <row r="1217" spans="11:11" x14ac:dyDescent="0.3">
      <c r="K1217" s="58"/>
    </row>
    <row r="1218" spans="11:11" x14ac:dyDescent="0.3">
      <c r="K1218" s="58"/>
    </row>
    <row r="1219" spans="11:11" x14ac:dyDescent="0.3">
      <c r="K1219" s="58"/>
    </row>
    <row r="1231" spans="11:11" x14ac:dyDescent="0.3">
      <c r="K1231" s="58"/>
    </row>
    <row r="1232" spans="11:11" x14ac:dyDescent="0.3">
      <c r="K1232" s="58"/>
    </row>
    <row r="1233" spans="11:11" x14ac:dyDescent="0.3">
      <c r="K1233" s="58"/>
    </row>
    <row r="1234" spans="11:11" x14ac:dyDescent="0.3">
      <c r="K1234" s="58"/>
    </row>
    <row r="1235" spans="11:11" x14ac:dyDescent="0.3">
      <c r="K1235" s="58"/>
    </row>
    <row r="1236" spans="11:11" x14ac:dyDescent="0.3">
      <c r="K1236" s="58"/>
    </row>
    <row r="1237" spans="11:11" x14ac:dyDescent="0.3">
      <c r="K1237" s="58"/>
    </row>
    <row r="1238" spans="11:11" x14ac:dyDescent="0.3">
      <c r="K1238" s="58"/>
    </row>
  </sheetData>
  <phoneticPr fontId="10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2024-04-22T15:15:21Z</dcterms:modified>
</cp:coreProperties>
</file>