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slepetys/Desktop/Water Rocket Project/"/>
    </mc:Choice>
  </mc:AlternateContent>
  <xr:revisionPtr revIDLastSave="0" documentId="13_ncr:1_{6F80AC00-3F7A-574F-A265-A08ABC8D9B1C}" xr6:coauthVersionLast="36" xr6:coauthVersionMax="47" xr10:uidLastSave="{00000000-0000-0000-0000-000000000000}"/>
  <bookViews>
    <workbookView xWindow="0" yWindow="0" windowWidth="68800" windowHeight="28800" activeTab="3" xr2:uid="{D209EDA7-BABE-4194-A3A4-C4F24CD5049C}"/>
  </bookViews>
  <sheets>
    <sheet name="Nozzles" sheetId="1" r:id="rId1"/>
    <sheet name="Physical characteristics" sheetId="6" r:id="rId2"/>
    <sheet name="Experimental Data" sheetId="12" r:id="rId3"/>
    <sheet name="raw final table" sheetId="15" r:id="rId4"/>
    <sheet name="Sheet2" sheetId="13" r:id="rId5"/>
    <sheet name="Calculations" sheetId="2" r:id="rId6"/>
    <sheet name="References" sheetId="3" r:id="rId7"/>
    <sheet name="Sheet1" sheetId="11" r:id="rId8"/>
    <sheet name="Nozzle Analysis" sheetId="8" r:id="rId9"/>
    <sheet name="Pressure Analysis 78mm2" sheetId="10" r:id="rId10"/>
    <sheet name="Pressure Analysis 154mm2" sheetId="9" r:id="rId11"/>
    <sheet name="final data table" sheetId="14" r:id="rId12"/>
  </sheets>
  <definedNames>
    <definedName name="_xlnm._FilterDatabase" localSheetId="5" hidden="1">Calculations!$A$1:$AK$31</definedName>
    <definedName name="_xlnm._FilterDatabase" localSheetId="2" hidden="1">'Experimental Data'!$A$1:$O$45</definedName>
    <definedName name="_xlnm._FilterDatabase" localSheetId="8" hidden="1">'Nozzle Analysis'!$E$1:$P$45</definedName>
    <definedName name="_xlnm._FilterDatabase" localSheetId="10" hidden="1">'Pressure Analysis 154mm2'!$E$1:$P$45</definedName>
    <definedName name="_xlnm._FilterDatabase" localSheetId="9" hidden="1">'Pressure Analysis 78mm2'!$E$1:$P$45</definedName>
    <definedName name="_xlnm._FilterDatabase" localSheetId="3" hidden="1">'raw final table'!$D$1:$O$45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5" l="1"/>
  <c r="AB7" i="15"/>
  <c r="AB6" i="15"/>
  <c r="AB5" i="15"/>
  <c r="AB4" i="15"/>
  <c r="AB3" i="15"/>
  <c r="Y8" i="15"/>
  <c r="Y7" i="15"/>
  <c r="Y6" i="15"/>
  <c r="Y5" i="15"/>
  <c r="Y4" i="15"/>
  <c r="Y3" i="15"/>
  <c r="V3" i="15"/>
  <c r="U3" i="15"/>
  <c r="U4" i="15"/>
  <c r="V4" i="15"/>
  <c r="U5" i="15"/>
  <c r="V5" i="15"/>
  <c r="V8" i="15"/>
  <c r="V6" i="15"/>
  <c r="V7" i="15"/>
  <c r="V9" i="15"/>
  <c r="V10" i="15"/>
  <c r="V11" i="15"/>
  <c r="V12" i="15"/>
  <c r="U6" i="15"/>
  <c r="U7" i="15"/>
  <c r="U8" i="15"/>
  <c r="U9" i="15"/>
  <c r="U10" i="15"/>
  <c r="U11" i="15"/>
  <c r="U12" i="15"/>
  <c r="D2" i="15" l="1"/>
  <c r="E2" i="15" s="1"/>
  <c r="E15" i="15"/>
  <c r="E14" i="15"/>
  <c r="E13" i="15"/>
  <c r="E12" i="15"/>
  <c r="E11" i="15"/>
  <c r="E32" i="15"/>
  <c r="E31" i="15"/>
  <c r="E29" i="15"/>
  <c r="E28" i="15"/>
  <c r="E25" i="15"/>
  <c r="D7" i="15"/>
  <c r="E7" i="15" s="1"/>
  <c r="E38" i="15"/>
  <c r="E10" i="15"/>
  <c r="D6" i="15"/>
  <c r="E6" i="15" s="1"/>
  <c r="E17" i="15"/>
  <c r="E16" i="15"/>
  <c r="E18" i="15"/>
  <c r="E24" i="15"/>
  <c r="E23" i="15"/>
  <c r="E22" i="15"/>
  <c r="E41" i="15"/>
  <c r="E40" i="15"/>
  <c r="E39" i="15"/>
  <c r="E35" i="15"/>
  <c r="E34" i="15"/>
  <c r="E33" i="15"/>
  <c r="E27" i="15"/>
  <c r="E26" i="15"/>
  <c r="E30" i="15"/>
  <c r="D5" i="15"/>
  <c r="E5" i="15" s="1"/>
  <c r="E45" i="15"/>
  <c r="E44" i="15"/>
  <c r="E43" i="15"/>
  <c r="E37" i="15"/>
  <c r="E36" i="15"/>
  <c r="E9" i="15"/>
  <c r="E8" i="15"/>
  <c r="E21" i="15"/>
  <c r="E20" i="15"/>
  <c r="E19" i="15"/>
  <c r="E42" i="15"/>
  <c r="D4" i="15"/>
  <c r="E4" i="15" s="1"/>
  <c r="D3" i="15"/>
  <c r="E3" i="15" s="1"/>
  <c r="D38" i="14" l="1"/>
  <c r="D35" i="14"/>
  <c r="D19" i="14"/>
  <c r="D7" i="14"/>
  <c r="D6" i="14"/>
  <c r="D5" i="14"/>
  <c r="E2" i="12" l="1"/>
  <c r="D2" i="12"/>
  <c r="D3" i="12"/>
  <c r="E3" i="12" s="1"/>
  <c r="U31" i="2" l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E45" i="12"/>
  <c r="E44" i="12"/>
  <c r="E43" i="12"/>
  <c r="E42" i="12"/>
  <c r="E41" i="12"/>
  <c r="E40" i="12"/>
  <c r="E39" i="12"/>
  <c r="E38" i="12"/>
  <c r="E37" i="12"/>
  <c r="E36" i="12"/>
  <c r="D35" i="12"/>
  <c r="E35" i="12" s="1"/>
  <c r="E34" i="12"/>
  <c r="E33" i="12"/>
  <c r="D32" i="12"/>
  <c r="E32" i="12" s="1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D16" i="12"/>
  <c r="E16" i="12" s="1"/>
  <c r="E15" i="12"/>
  <c r="E14" i="12"/>
  <c r="E13" i="12"/>
  <c r="E12" i="12"/>
  <c r="E11" i="12"/>
  <c r="E10" i="12"/>
  <c r="E9" i="12"/>
  <c r="E8" i="12"/>
  <c r="E7" i="12"/>
  <c r="E6" i="12"/>
  <c r="E5" i="12"/>
  <c r="D4" i="12"/>
  <c r="E4" i="12" s="1"/>
  <c r="S28" i="2"/>
  <c r="V28" i="2" s="1"/>
  <c r="X28" i="2" s="1"/>
  <c r="S27" i="2"/>
  <c r="V27" i="2" s="1"/>
  <c r="X27" i="2" s="1"/>
  <c r="S23" i="2"/>
  <c r="V23" i="2" s="1"/>
  <c r="X23" i="2" s="1"/>
  <c r="S22" i="2"/>
  <c r="V22" i="2" s="1"/>
  <c r="X22" i="2" s="1"/>
  <c r="S21" i="2"/>
  <c r="V21" i="2" s="1"/>
  <c r="X21" i="2" s="1"/>
  <c r="S12" i="2"/>
  <c r="V12" i="2" s="1"/>
  <c r="X12" i="2" s="1"/>
  <c r="S8" i="2"/>
  <c r="V8" i="2" s="1"/>
  <c r="X8" i="2" s="1"/>
  <c r="S7" i="2"/>
  <c r="V7" i="2" s="1"/>
  <c r="X7" i="2" s="1"/>
  <c r="S6" i="2"/>
  <c r="V6" i="2" s="1"/>
  <c r="X6" i="2" s="1"/>
  <c r="S31" i="2"/>
  <c r="V31" i="2" s="1"/>
  <c r="X31" i="2" s="1"/>
  <c r="S26" i="2"/>
  <c r="V26" i="2" s="1"/>
  <c r="X26" i="2" s="1"/>
  <c r="S30" i="2"/>
  <c r="V30" i="2" s="1"/>
  <c r="X30" i="2" s="1"/>
  <c r="S19" i="2"/>
  <c r="V19" i="2" s="1"/>
  <c r="X19" i="2" s="1"/>
  <c r="S18" i="2"/>
  <c r="V18" i="2" s="1"/>
  <c r="X18" i="2" s="1"/>
  <c r="S20" i="2"/>
  <c r="V20" i="2" s="1"/>
  <c r="X20" i="2" s="1"/>
  <c r="S14" i="2"/>
  <c r="V14" i="2" s="1"/>
  <c r="X14" i="2" s="1"/>
  <c r="S13" i="2"/>
  <c r="V13" i="2" s="1"/>
  <c r="X13" i="2" s="1"/>
  <c r="S5" i="2"/>
  <c r="V5" i="2" s="1"/>
  <c r="X5" i="2" s="1"/>
  <c r="S4" i="2"/>
  <c r="V4" i="2" s="1"/>
  <c r="X4" i="2" s="1"/>
  <c r="S10" i="2"/>
  <c r="V10" i="2" s="1"/>
  <c r="X10" i="2" s="1"/>
  <c r="S9" i="2"/>
  <c r="V9" i="2" s="1"/>
  <c r="X9" i="2" s="1"/>
  <c r="S11" i="2"/>
  <c r="V11" i="2" s="1"/>
  <c r="X11" i="2" s="1"/>
  <c r="S29" i="2"/>
  <c r="V29" i="2" s="1"/>
  <c r="X29" i="2" s="1"/>
  <c r="S3" i="2"/>
  <c r="V3" i="2" s="1"/>
  <c r="X3" i="2" s="1"/>
  <c r="S2" i="2"/>
  <c r="V2" i="2" s="1"/>
  <c r="X2" i="2" s="1"/>
  <c r="S25" i="2"/>
  <c r="V25" i="2" s="1"/>
  <c r="X25" i="2" s="1"/>
  <c r="S24" i="2"/>
  <c r="V24" i="2" s="1"/>
  <c r="X24" i="2" s="1"/>
  <c r="S17" i="2"/>
  <c r="V17" i="2" s="1"/>
  <c r="X17" i="2" s="1"/>
  <c r="S16" i="2"/>
  <c r="V16" i="2" s="1"/>
  <c r="X16" i="2" s="1"/>
  <c r="Q28" i="2"/>
  <c r="Q27" i="2"/>
  <c r="Q23" i="2"/>
  <c r="Q22" i="2"/>
  <c r="Q21" i="2"/>
  <c r="Q12" i="2"/>
  <c r="Q8" i="2"/>
  <c r="Q7" i="2"/>
  <c r="Q6" i="2"/>
  <c r="Q31" i="2"/>
  <c r="Q26" i="2"/>
  <c r="Q30" i="2"/>
  <c r="Q19" i="2"/>
  <c r="Q18" i="2"/>
  <c r="Q20" i="2"/>
  <c r="Q14" i="2"/>
  <c r="Q13" i="2"/>
  <c r="Q5" i="2"/>
  <c r="Q4" i="2"/>
  <c r="Q10" i="2"/>
  <c r="Q9" i="2"/>
  <c r="Q11" i="2"/>
  <c r="Q29" i="2"/>
  <c r="Q3" i="2"/>
  <c r="Q2" i="2"/>
  <c r="Q25" i="2"/>
  <c r="Q24" i="2"/>
  <c r="Q17" i="2"/>
  <c r="Q16" i="2"/>
  <c r="S15" i="2"/>
  <c r="V15" i="2" s="1"/>
  <c r="X15" i="2" s="1"/>
  <c r="Q15" i="2"/>
  <c r="L15" i="2"/>
  <c r="AD15" i="2" s="1"/>
  <c r="L16" i="2"/>
  <c r="AD16" i="2" s="1"/>
  <c r="L17" i="2"/>
  <c r="AD17" i="2" s="1"/>
  <c r="L24" i="2"/>
  <c r="AD24" i="2" s="1"/>
  <c r="L25" i="2"/>
  <c r="AD25" i="2" s="1"/>
  <c r="L2" i="2"/>
  <c r="AD2" i="2" s="1"/>
  <c r="L3" i="2"/>
  <c r="AD3" i="2" s="1"/>
  <c r="L29" i="2"/>
  <c r="AD29" i="2" s="1"/>
  <c r="L11" i="2"/>
  <c r="AD11" i="2" s="1"/>
  <c r="L9" i="2"/>
  <c r="AD9" i="2" s="1"/>
  <c r="L10" i="2"/>
  <c r="AD10" i="2" s="1"/>
  <c r="L4" i="2"/>
  <c r="AD4" i="2" s="1"/>
  <c r="L5" i="2"/>
  <c r="AD5" i="2" s="1"/>
  <c r="L13" i="2"/>
  <c r="AD13" i="2" s="1"/>
  <c r="L14" i="2"/>
  <c r="AD14" i="2" s="1"/>
  <c r="L20" i="2"/>
  <c r="AD20" i="2" s="1"/>
  <c r="L18" i="2"/>
  <c r="AD18" i="2" s="1"/>
  <c r="L19" i="2"/>
  <c r="AD19" i="2" s="1"/>
  <c r="L30" i="2"/>
  <c r="AD30" i="2" s="1"/>
  <c r="L26" i="2"/>
  <c r="AD26" i="2" s="1"/>
  <c r="L31" i="2"/>
  <c r="AD31" i="2" s="1"/>
  <c r="L6" i="2"/>
  <c r="AD6" i="2" s="1"/>
  <c r="L7" i="2"/>
  <c r="AD7" i="2" s="1"/>
  <c r="L8" i="2"/>
  <c r="AD8" i="2" s="1"/>
  <c r="L12" i="2"/>
  <c r="AD12" i="2" s="1"/>
  <c r="L21" i="2"/>
  <c r="AD21" i="2" s="1"/>
  <c r="L22" i="2"/>
  <c r="AD22" i="2" s="1"/>
  <c r="L23" i="2"/>
  <c r="AD23" i="2" s="1"/>
  <c r="L27" i="2"/>
  <c r="AD27" i="2" s="1"/>
  <c r="L28" i="2"/>
  <c r="AD28" i="2" s="1"/>
  <c r="N15" i="2"/>
  <c r="N16" i="2"/>
  <c r="N17" i="2"/>
  <c r="N24" i="2"/>
  <c r="N25" i="2"/>
  <c r="N2" i="2"/>
  <c r="N3" i="2"/>
  <c r="N29" i="2"/>
  <c r="N11" i="2"/>
  <c r="N9" i="2"/>
  <c r="N10" i="2"/>
  <c r="N4" i="2"/>
  <c r="N5" i="2"/>
  <c r="N13" i="2"/>
  <c r="N14" i="2"/>
  <c r="N20" i="2"/>
  <c r="N18" i="2"/>
  <c r="N19" i="2"/>
  <c r="N30" i="2"/>
  <c r="N26" i="2"/>
  <c r="N31" i="2"/>
  <c r="N6" i="2"/>
  <c r="N7" i="2"/>
  <c r="N8" i="2"/>
  <c r="N12" i="2"/>
  <c r="N21" i="2"/>
  <c r="N22" i="2"/>
  <c r="N23" i="2"/>
  <c r="N27" i="2"/>
  <c r="N28" i="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AA24" i="2" l="1"/>
  <c r="AA21" i="2"/>
  <c r="AA25" i="2"/>
  <c r="AA17" i="2"/>
  <c r="AA2" i="2"/>
  <c r="AA3" i="2"/>
  <c r="AA13" i="2"/>
  <c r="AA14" i="2"/>
  <c r="AA22" i="2"/>
  <c r="AA23" i="2"/>
  <c r="AA27" i="2"/>
  <c r="AA20" i="2"/>
  <c r="AA28" i="2"/>
  <c r="AA19" i="2"/>
  <c r="AA29" i="2"/>
  <c r="AA30" i="2"/>
  <c r="AA11" i="2"/>
  <c r="AA26" i="2"/>
  <c r="AA9" i="2"/>
  <c r="AA18" i="2"/>
  <c r="AA10" i="2"/>
  <c r="AA31" i="2"/>
  <c r="AA6" i="2"/>
  <c r="AA4" i="2"/>
  <c r="AA7" i="2"/>
  <c r="AA5" i="2"/>
  <c r="AA8" i="2"/>
  <c r="AA15" i="2"/>
  <c r="AA12" i="2"/>
  <c r="AA16" i="2"/>
  <c r="W6" i="2"/>
  <c r="Y6" i="2" s="1"/>
  <c r="Z6" i="2" s="1"/>
  <c r="W21" i="2"/>
  <c r="Y21" i="2" s="1"/>
  <c r="Z21" i="2" s="1"/>
  <c r="W7" i="2"/>
  <c r="Y7" i="2" s="1"/>
  <c r="Z7" i="2" s="1"/>
  <c r="W30" i="2"/>
  <c r="Y30" i="2" s="1"/>
  <c r="Z30" i="2" s="1"/>
  <c r="AE30" i="2" s="1"/>
  <c r="W19" i="2"/>
  <c r="Y19" i="2" s="1"/>
  <c r="Z19" i="2" s="1"/>
  <c r="AE19" i="2" s="1"/>
  <c r="W4" i="2"/>
  <c r="Y4" i="2" s="1"/>
  <c r="Z4" i="2" s="1"/>
  <c r="AE4" i="2" s="1"/>
  <c r="W26" i="2"/>
  <c r="Y26" i="2" s="1"/>
  <c r="Z26" i="2" s="1"/>
  <c r="AE26" i="2" s="1"/>
  <c r="W9" i="2"/>
  <c r="Y9" i="2" s="1"/>
  <c r="Z9" i="2" s="1"/>
  <c r="AE9" i="2" s="1"/>
  <c r="W11" i="2"/>
  <c r="Y11" i="2" s="1"/>
  <c r="Z11" i="2" s="1"/>
  <c r="W29" i="2"/>
  <c r="Y29" i="2" s="1"/>
  <c r="Z29" i="2" s="1"/>
  <c r="AE29" i="2" s="1"/>
  <c r="W24" i="2"/>
  <c r="Y24" i="2" s="1"/>
  <c r="Z24" i="2" s="1"/>
  <c r="AE24" i="2" s="1"/>
  <c r="W18" i="2"/>
  <c r="Y18" i="2" s="1"/>
  <c r="Z18" i="2" s="1"/>
  <c r="AE18" i="2" s="1"/>
  <c r="W20" i="2"/>
  <c r="Y20" i="2" s="1"/>
  <c r="Z20" i="2" s="1"/>
  <c r="W23" i="2"/>
  <c r="Y23" i="2" s="1"/>
  <c r="Z23" i="2" s="1"/>
  <c r="W2" i="2"/>
  <c r="Y2" i="2" s="1"/>
  <c r="W22" i="2"/>
  <c r="Y22" i="2" s="1"/>
  <c r="Z22" i="2" s="1"/>
  <c r="W13" i="2"/>
  <c r="Y13" i="2" s="1"/>
  <c r="Z13" i="2" s="1"/>
  <c r="AE13" i="2" s="1"/>
  <c r="W25" i="2"/>
  <c r="Y25" i="2" s="1"/>
  <c r="Z25" i="2" s="1"/>
  <c r="AE25" i="2" s="1"/>
  <c r="W27" i="2"/>
  <c r="Y27" i="2" s="1"/>
  <c r="Z27" i="2" s="1"/>
  <c r="W17" i="2"/>
  <c r="Y17" i="2" s="1"/>
  <c r="Z17" i="2" s="1"/>
  <c r="AE17" i="2" s="1"/>
  <c r="W3" i="2"/>
  <c r="Y3" i="2" s="1"/>
  <c r="Z3" i="2" s="1"/>
  <c r="AE3" i="2" s="1"/>
  <c r="W12" i="2"/>
  <c r="Y12" i="2" s="1"/>
  <c r="Z12" i="2" s="1"/>
  <c r="W16" i="2"/>
  <c r="Y16" i="2" s="1"/>
  <c r="Z16" i="2" s="1"/>
  <c r="AE16" i="2" s="1"/>
  <c r="W28" i="2"/>
  <c r="W14" i="2"/>
  <c r="Y14" i="2" s="1"/>
  <c r="Z14" i="2" s="1"/>
  <c r="AE14" i="2" s="1"/>
  <c r="W8" i="2"/>
  <c r="Y8" i="2" s="1"/>
  <c r="Z8" i="2" s="1"/>
  <c r="W5" i="2"/>
  <c r="Y5" i="2" s="1"/>
  <c r="Z5" i="2" s="1"/>
  <c r="AE5" i="2" s="1"/>
  <c r="W15" i="2"/>
  <c r="Y15" i="2" s="1"/>
  <c r="Z15" i="2" s="1"/>
  <c r="AE15" i="2" s="1"/>
  <c r="W31" i="2"/>
  <c r="Y31" i="2" s="1"/>
  <c r="Z31" i="2" s="1"/>
  <c r="AE31" i="2" s="1"/>
  <c r="W10" i="2"/>
  <c r="Y10" i="2" s="1"/>
  <c r="Z10" i="2" s="1"/>
  <c r="AE10" i="2" s="1"/>
  <c r="E45" i="10"/>
  <c r="E44" i="10"/>
  <c r="E43" i="10"/>
  <c r="E42" i="10"/>
  <c r="E41" i="10"/>
  <c r="E40" i="10"/>
  <c r="E39" i="10"/>
  <c r="E38" i="10"/>
  <c r="E37" i="10"/>
  <c r="E36" i="10"/>
  <c r="D35" i="10"/>
  <c r="E35" i="10" s="1"/>
  <c r="E34" i="10"/>
  <c r="E33" i="10"/>
  <c r="D32" i="10"/>
  <c r="E32" i="10" s="1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D16" i="10"/>
  <c r="E16" i="10" s="1"/>
  <c r="E15" i="10"/>
  <c r="E14" i="10"/>
  <c r="E13" i="10"/>
  <c r="E12" i="10"/>
  <c r="E11" i="10"/>
  <c r="E10" i="10"/>
  <c r="E9" i="10"/>
  <c r="E8" i="10"/>
  <c r="E7" i="10"/>
  <c r="E6" i="10"/>
  <c r="E5" i="10"/>
  <c r="D4" i="10"/>
  <c r="E4" i="10" s="1"/>
  <c r="D3" i="10"/>
  <c r="E3" i="10" s="1"/>
  <c r="D2" i="10"/>
  <c r="E2" i="10" s="1"/>
  <c r="E45" i="9"/>
  <c r="E44" i="9"/>
  <c r="E43" i="9"/>
  <c r="E42" i="9"/>
  <c r="E41" i="9"/>
  <c r="E40" i="9"/>
  <c r="E39" i="9"/>
  <c r="E38" i="9"/>
  <c r="E37" i="9"/>
  <c r="E36" i="9"/>
  <c r="D35" i="9"/>
  <c r="E35" i="9" s="1"/>
  <c r="E34" i="9"/>
  <c r="E33" i="9"/>
  <c r="D32" i="9"/>
  <c r="E32" i="9" s="1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D16" i="9"/>
  <c r="E16" i="9" s="1"/>
  <c r="E15" i="9"/>
  <c r="E14" i="9"/>
  <c r="E13" i="9"/>
  <c r="E12" i="9"/>
  <c r="E11" i="9"/>
  <c r="E10" i="9"/>
  <c r="E9" i="9"/>
  <c r="E8" i="9"/>
  <c r="E7" i="9"/>
  <c r="E6" i="9"/>
  <c r="E5" i="9"/>
  <c r="D4" i="9"/>
  <c r="E4" i="9" s="1"/>
  <c r="D3" i="9"/>
  <c r="E3" i="9" s="1"/>
  <c r="D2" i="9"/>
  <c r="E2" i="9" s="1"/>
  <c r="E45" i="8"/>
  <c r="E44" i="8"/>
  <c r="E43" i="8"/>
  <c r="E42" i="8"/>
  <c r="E41" i="8"/>
  <c r="E40" i="8"/>
  <c r="E39" i="8"/>
  <c r="E38" i="8"/>
  <c r="E37" i="8"/>
  <c r="E36" i="8"/>
  <c r="D35" i="8"/>
  <c r="E35" i="8" s="1"/>
  <c r="E34" i="8"/>
  <c r="E33" i="8"/>
  <c r="D32" i="8"/>
  <c r="E32" i="8" s="1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D16" i="8"/>
  <c r="E16" i="8" s="1"/>
  <c r="E15" i="8"/>
  <c r="E14" i="8"/>
  <c r="E13" i="8"/>
  <c r="E12" i="8"/>
  <c r="E11" i="8"/>
  <c r="E10" i="8"/>
  <c r="E9" i="8"/>
  <c r="E8" i="8"/>
  <c r="E7" i="8"/>
  <c r="E6" i="8"/>
  <c r="E5" i="8"/>
  <c r="D4" i="8"/>
  <c r="E4" i="8" s="1"/>
  <c r="D3" i="8"/>
  <c r="E3" i="8" s="1"/>
  <c r="D2" i="8"/>
  <c r="E2" i="8" s="1"/>
  <c r="E28" i="2"/>
  <c r="E27" i="2"/>
  <c r="E23" i="2"/>
  <c r="E22" i="2"/>
  <c r="E21" i="2"/>
  <c r="D31" i="2"/>
  <c r="E31" i="2" s="1"/>
  <c r="E26" i="2"/>
  <c r="D30" i="2"/>
  <c r="E30" i="2" s="1"/>
  <c r="E19" i="2"/>
  <c r="E18" i="2"/>
  <c r="E20" i="2"/>
  <c r="E14" i="2"/>
  <c r="E13" i="2"/>
  <c r="E5" i="2"/>
  <c r="E4" i="2"/>
  <c r="E10" i="2"/>
  <c r="E12" i="2"/>
  <c r="E8" i="2"/>
  <c r="E7" i="2"/>
  <c r="E6" i="2"/>
  <c r="E9" i="2"/>
  <c r="E11" i="2"/>
  <c r="D29" i="2"/>
  <c r="E29" i="2" s="1"/>
  <c r="E3" i="2"/>
  <c r="E25" i="2"/>
  <c r="E2" i="2"/>
  <c r="E24" i="2"/>
  <c r="E17" i="2"/>
  <c r="E16" i="2"/>
  <c r="E15" i="2"/>
  <c r="Y28" i="2" l="1"/>
  <c r="Z28" i="2" s="1"/>
  <c r="AC12" i="2"/>
  <c r="AF12" i="2" s="1"/>
  <c r="AC3" i="2"/>
  <c r="AF3" i="2" s="1"/>
  <c r="AC29" i="2"/>
  <c r="AF29" i="2" s="1"/>
  <c r="AC11" i="2"/>
  <c r="AF11" i="2" s="1"/>
  <c r="AC4" i="2"/>
  <c r="AF4" i="2" s="1"/>
  <c r="AC17" i="2"/>
  <c r="AF17" i="2" s="1"/>
  <c r="AC26" i="2"/>
  <c r="AF26" i="2" s="1"/>
  <c r="AC25" i="2"/>
  <c r="AF25" i="2" s="1"/>
  <c r="AC31" i="2"/>
  <c r="AF31" i="2" s="1"/>
  <c r="AC13" i="2"/>
  <c r="AF13" i="2" s="1"/>
  <c r="AC19" i="2"/>
  <c r="AF19" i="2" s="1"/>
  <c r="AC22" i="2"/>
  <c r="AF22" i="2" s="1"/>
  <c r="AC30" i="2"/>
  <c r="AF30" i="2" s="1"/>
  <c r="AC24" i="2"/>
  <c r="AF24" i="2" s="1"/>
  <c r="AC27" i="2"/>
  <c r="AF27" i="2" s="1"/>
  <c r="AC5" i="2"/>
  <c r="AF5" i="2" s="1"/>
  <c r="AC2" i="2"/>
  <c r="AF2" i="2" s="1"/>
  <c r="AC9" i="2"/>
  <c r="AF9" i="2" s="1"/>
  <c r="AC10" i="2"/>
  <c r="AF10" i="2" s="1"/>
  <c r="AC8" i="2"/>
  <c r="AF8" i="2" s="1"/>
  <c r="AC6" i="2"/>
  <c r="AF6" i="2" s="1"/>
  <c r="AC14" i="2"/>
  <c r="AF14" i="2" s="1"/>
  <c r="AC20" i="2"/>
  <c r="AF20" i="2" s="1"/>
  <c r="AC16" i="2"/>
  <c r="AF16" i="2" s="1"/>
  <c r="AC7" i="2"/>
  <c r="AF7" i="2" s="1"/>
  <c r="AC23" i="2"/>
  <c r="AF23" i="2" s="1"/>
  <c r="AC28" i="2"/>
  <c r="AF28" i="2" s="1"/>
  <c r="AC18" i="2"/>
  <c r="AF18" i="2" s="1"/>
  <c r="AC21" i="2"/>
  <c r="AF21" i="2" s="1"/>
  <c r="AC15" i="2"/>
  <c r="AF15" i="2" s="1"/>
  <c r="AE20" i="2" l="1"/>
  <c r="AE27" i="2"/>
  <c r="AE11" i="2"/>
  <c r="AE6" i="2"/>
  <c r="AE28" i="2"/>
  <c r="AE21" i="2"/>
  <c r="AE22" i="2"/>
  <c r="AE8" i="2"/>
  <c r="AE23" i="2"/>
  <c r="AE7" i="2"/>
  <c r="Z2" i="2"/>
  <c r="AE2" i="2" s="1"/>
  <c r="AE12" i="2"/>
  <c r="AH28" i="2"/>
  <c r="AG22" i="2"/>
  <c r="AG9" i="2"/>
  <c r="AG14" i="2"/>
  <c r="AG2" i="2"/>
  <c r="AH11" i="2"/>
  <c r="AG15" i="2"/>
  <c r="AG29" i="2"/>
  <c r="AH20" i="2"/>
  <c r="AH4" i="2"/>
  <c r="AG23" i="2"/>
  <c r="AG31" i="2"/>
  <c r="AG5" i="2"/>
  <c r="AH24" i="2"/>
  <c r="AG3" i="2"/>
  <c r="AG17" i="2"/>
  <c r="AH6" i="2"/>
  <c r="AG27" i="2"/>
  <c r="AG10" i="2"/>
  <c r="AG28" i="2"/>
  <c r="AH13" i="2"/>
  <c r="AH25" i="2"/>
  <c r="AH16" i="2"/>
  <c r="AG30" i="2"/>
  <c r="AH9" i="2"/>
  <c r="AH19" i="2"/>
  <c r="AH14" i="2"/>
  <c r="AG7" i="2"/>
  <c r="AG26" i="2"/>
  <c r="AG21" i="2"/>
  <c r="AH8" i="2"/>
  <c r="AH18" i="2"/>
  <c r="AG12" i="2"/>
  <c r="AH22" i="2" l="1"/>
  <c r="AH31" i="2"/>
  <c r="AH30" i="2"/>
  <c r="AH21" i="2"/>
  <c r="AH5" i="2"/>
  <c r="AH26" i="2"/>
  <c r="AH17" i="2"/>
  <c r="AH10" i="2"/>
  <c r="AH7" i="2"/>
  <c r="AH12" i="2"/>
  <c r="AH29" i="2"/>
  <c r="AH23" i="2"/>
  <c r="AH15" i="2"/>
  <c r="AH2" i="2"/>
  <c r="AH35" i="2" s="1"/>
  <c r="AH3" i="2"/>
  <c r="AG19" i="2"/>
  <c r="AG11" i="2"/>
  <c r="AH27" i="2"/>
  <c r="AG18" i="2"/>
  <c r="AG20" i="2"/>
  <c r="AG6" i="2"/>
  <c r="AG13" i="2"/>
  <c r="AG25" i="2"/>
  <c r="AG24" i="2"/>
  <c r="AG8" i="2"/>
  <c r="AG4" i="2"/>
  <c r="AG16" i="2"/>
  <c r="AI20" i="2" l="1"/>
  <c r="AK11" i="2" l="1"/>
  <c r="AI26" i="2"/>
  <c r="AB28" i="2"/>
  <c r="AJ28" i="2" s="1"/>
  <c r="AI2" i="2"/>
  <c r="AI23" i="2"/>
  <c r="AI10" i="2"/>
  <c r="AB31" i="2"/>
  <c r="AJ31" i="2" s="1"/>
  <c r="AB11" i="2"/>
  <c r="AJ11" i="2" s="1"/>
  <c r="AB22" i="2"/>
  <c r="AJ22" i="2" s="1"/>
  <c r="AK3" i="2"/>
  <c r="AK18" i="2"/>
  <c r="AB16" i="2"/>
  <c r="AJ16" i="2" s="1"/>
  <c r="AI13" i="2"/>
  <c r="AB21" i="2"/>
  <c r="AJ21" i="2" s="1"/>
  <c r="AB24" i="2"/>
  <c r="AJ24" i="2" s="1"/>
  <c r="AB13" i="2"/>
  <c r="AJ13" i="2" s="1"/>
  <c r="AK17" i="2"/>
  <c r="AB29" i="2"/>
  <c r="AJ29" i="2" s="1"/>
  <c r="AK28" i="2"/>
  <c r="AI19" i="2"/>
  <c r="AI30" i="2"/>
  <c r="AI5" i="2"/>
  <c r="AK24" i="2"/>
  <c r="AI8" i="2"/>
  <c r="AK8" i="2"/>
  <c r="AI29" i="2"/>
  <c r="AK4" i="2"/>
  <c r="AK2" i="2"/>
  <c r="AI12" i="2"/>
  <c r="AB8" i="2"/>
  <c r="AJ8" i="2" s="1"/>
  <c r="AI25" i="2"/>
  <c r="AK14" i="2"/>
  <c r="AI9" i="2"/>
  <c r="AB25" i="2"/>
  <c r="AJ25" i="2" s="1"/>
  <c r="AI14" i="2"/>
  <c r="AB26" i="2"/>
  <c r="AJ26" i="2" s="1"/>
  <c r="AI7" i="2"/>
  <c r="AI3" i="2"/>
  <c r="AI24" i="2"/>
  <c r="AB2" i="2"/>
  <c r="AJ2" i="2" s="1"/>
  <c r="AK9" i="2"/>
  <c r="AB19" i="2"/>
  <c r="AJ19" i="2" s="1"/>
  <c r="AK12" i="2"/>
  <c r="AI15" i="2"/>
  <c r="AK26" i="2"/>
  <c r="AB12" i="2"/>
  <c r="AJ12" i="2" s="1"/>
  <c r="AI31" i="2"/>
  <c r="AI6" i="2"/>
  <c r="AB6" i="2"/>
  <c r="AJ6" i="2" s="1"/>
  <c r="AK16" i="2"/>
  <c r="AK7" i="2"/>
  <c r="AB3" i="2"/>
  <c r="AJ3" i="2" s="1"/>
  <c r="AK29" i="2"/>
  <c r="AK30" i="2"/>
  <c r="AK13" i="2"/>
  <c r="AB23" i="2"/>
  <c r="AJ23" i="2" s="1"/>
  <c r="AB17" i="2"/>
  <c r="AJ17" i="2" s="1"/>
  <c r="AB20" i="2"/>
  <c r="AJ20" i="2" s="1"/>
  <c r="AI18" i="2"/>
  <c r="AB10" i="2"/>
  <c r="AJ10" i="2" s="1"/>
  <c r="AB18" i="2"/>
  <c r="AJ18" i="2" s="1"/>
  <c r="AB27" i="2"/>
  <c r="AJ27" i="2" s="1"/>
  <c r="AK6" i="2"/>
  <c r="AK25" i="2"/>
  <c r="AI11" i="2"/>
  <c r="AI22" i="2"/>
  <c r="AK23" i="2"/>
  <c r="AI4" i="2"/>
  <c r="AK27" i="2"/>
  <c r="AK10" i="2"/>
  <c r="AI16" i="2"/>
  <c r="AK20" i="2"/>
  <c r="AK31" i="2"/>
  <c r="AB15" i="2"/>
  <c r="AJ15" i="2" s="1"/>
  <c r="AB5" i="2"/>
  <c r="AJ5" i="2" s="1"/>
  <c r="AK15" i="2"/>
  <c r="AB9" i="2"/>
  <c r="AJ9" i="2" s="1"/>
  <c r="AI17" i="2"/>
  <c r="AK21" i="2"/>
  <c r="AB14" i="2"/>
  <c r="AJ14" i="2" s="1"/>
  <c r="AK19" i="2"/>
  <c r="AB7" i="2"/>
  <c r="AJ7" i="2" s="1"/>
  <c r="AK5" i="2"/>
  <c r="AB30" i="2"/>
  <c r="AJ30" i="2" s="1"/>
  <c r="AB4" i="2"/>
  <c r="AJ4" i="2" s="1"/>
  <c r="AI28" i="2"/>
  <c r="AI27" i="2"/>
  <c r="AI21" i="2"/>
  <c r="AK22" i="2"/>
</calcChain>
</file>

<file path=xl/sharedStrings.xml><?xml version="1.0" encoding="utf-8"?>
<sst xmlns="http://schemas.openxmlformats.org/spreadsheetml/2006/main" count="1191" uniqueCount="99">
  <si>
    <t>Nozzles</t>
  </si>
  <si>
    <t>Color</t>
  </si>
  <si>
    <t>Transparent</t>
  </si>
  <si>
    <t>Light green</t>
  </si>
  <si>
    <t>Diameter (mm)</t>
  </si>
  <si>
    <t>Yellow</t>
  </si>
  <si>
    <t>Orange</t>
  </si>
  <si>
    <t>White</t>
  </si>
  <si>
    <t>Dark blue</t>
  </si>
  <si>
    <t>Black</t>
  </si>
  <si>
    <t>Dark green</t>
  </si>
  <si>
    <t>Red</t>
  </si>
  <si>
    <t>Date</t>
  </si>
  <si>
    <t>Time</t>
  </si>
  <si>
    <t>Pressure (PSI)</t>
  </si>
  <si>
    <t>Nozzle</t>
  </si>
  <si>
    <t>Nozzle diameter(mm)</t>
  </si>
  <si>
    <t>Nozzle cross section (mm2)</t>
  </si>
  <si>
    <t>yes</t>
  </si>
  <si>
    <t>Peak acceleration (G)</t>
  </si>
  <si>
    <t>Average acceleration (G)</t>
  </si>
  <si>
    <t>Thrust time</t>
  </si>
  <si>
    <t>altitude (ft)</t>
  </si>
  <si>
    <t>duration (s)</t>
  </si>
  <si>
    <t>Coast to Apogee (s)</t>
  </si>
  <si>
    <t>Parachute openned during ascension</t>
  </si>
  <si>
    <t>top speed (miles/hour)</t>
  </si>
  <si>
    <t>no</t>
  </si>
  <si>
    <t>light green</t>
  </si>
  <si>
    <t>dark green</t>
  </si>
  <si>
    <t>Vertical acceleration</t>
  </si>
  <si>
    <t>Launch quality</t>
  </si>
  <si>
    <t>medium</t>
  </si>
  <si>
    <t>low</t>
  </si>
  <si>
    <t>good</t>
  </si>
  <si>
    <t>Gray</t>
  </si>
  <si>
    <t>Water volume</t>
  </si>
  <si>
    <t>ml</t>
  </si>
  <si>
    <t>Bottle volume</t>
  </si>
  <si>
    <t>Rocket mass</t>
  </si>
  <si>
    <t>g</t>
  </si>
  <si>
    <t>launch pressure = 40PSI, vertical only acceleration, launch quality = good or medium</t>
  </si>
  <si>
    <t>Nozzle cross section = 154mm2, vertical only acceleration, launch quality = good or medium)</t>
  </si>
  <si>
    <t>Coast Kinetic Energy</t>
  </si>
  <si>
    <t>Apoge potential energy</t>
  </si>
  <si>
    <t>Pressure (Pascal)</t>
  </si>
  <si>
    <t>top speed (m/s)</t>
  </si>
  <si>
    <t>altitude (m)</t>
  </si>
  <si>
    <t>Thrust time (s)</t>
  </si>
  <si>
    <t>Peak acceleration (m/s2)</t>
  </si>
  <si>
    <t>Average Acceleration (m/s2)</t>
  </si>
  <si>
    <t>Potential Energy at apoggee (J)</t>
  </si>
  <si>
    <t>S at end of trust (m)</t>
  </si>
  <si>
    <t>V at end of trust (m/s)</t>
  </si>
  <si>
    <t>Potential Energy at end of trust (J)</t>
  </si>
  <si>
    <t>Kinectic energy at end of trust (J)</t>
  </si>
  <si>
    <t>Loss due Air Drag during trust/k</t>
  </si>
  <si>
    <t>t at apogee (s)</t>
  </si>
  <si>
    <t>Total loss due to AirDrag/k</t>
  </si>
  <si>
    <t>Energy lost due Air Drag during coast (J)</t>
  </si>
  <si>
    <t>Medium K*1E4</t>
  </si>
  <si>
    <t>Total Energy loss due to AirDrag (J)</t>
  </si>
  <si>
    <t>Total Energy-Loss Nozzle 
(J) Calculated from end of trust</t>
  </si>
  <si>
    <t>Total Energy-Loss Nozzle 
(J) Calculated in Apoggee</t>
  </si>
  <si>
    <t>k calculated during coast (*1E4)</t>
  </si>
  <si>
    <t>Energy Loss due Air Drag during Coast/k</t>
  </si>
  <si>
    <t>Energy lost due Air Drag during trust (J)
Using average k</t>
  </si>
  <si>
    <t>Total energy at end of trust  (J)</t>
  </si>
  <si>
    <t>Lift to Apogee time</t>
  </si>
  <si>
    <t>Coast to Apogee ± 0.1 (s)</t>
  </si>
  <si>
    <t xml:space="preserve">Pressure ± 2 (PSI) </t>
  </si>
  <si>
    <t>Nozzle diameter ± 0.04 (mm)</t>
  </si>
  <si>
    <t xml:space="preserve">altitude ± 9 (ft) </t>
  </si>
  <si>
    <t>top speed ± 3 (miles/hour)</t>
  </si>
  <si>
    <t>duration ± 0.1 (s)</t>
  </si>
  <si>
    <t xml:space="preserve">Peak acceleration ±  0.1 (G) </t>
  </si>
  <si>
    <t>Average acceleration ±  0.1 (G)</t>
  </si>
  <si>
    <t>Nd (± 0.04 mm)</t>
  </si>
  <si>
    <t xml:space="preserve">z  ± (9 ft) </t>
  </si>
  <si>
    <t>Raw</t>
  </si>
  <si>
    <t>Procced:</t>
  </si>
  <si>
    <t>Nd ( ± 0.04 mm)</t>
  </si>
  <si>
    <t>Nσ  (mmˆ2)</t>
  </si>
  <si>
    <t xml:space="preserve">P  (± 2 PSI) </t>
  </si>
  <si>
    <t xml:space="preserve">z (± 9 ft) </t>
  </si>
  <si>
    <t>t  (± 0.1 s)</t>
  </si>
  <si>
    <t>T ( ± 0.1 s)</t>
  </si>
  <si>
    <t>g  (±  0.1 G)</t>
  </si>
  <si>
    <t xml:space="preserve">G  (±  0.1 G) </t>
  </si>
  <si>
    <t>v ( ± 3 miles/hour)</t>
  </si>
  <si>
    <t>Trial 1</t>
  </si>
  <si>
    <t>Trial 2</t>
  </si>
  <si>
    <t xml:space="preserve">Z </t>
  </si>
  <si>
    <t xml:space="preserve">Z (± 2.8  m) </t>
  </si>
  <si>
    <t xml:space="preserve">ΔZ </t>
  </si>
  <si>
    <t>Trial 3</t>
  </si>
  <si>
    <t xml:space="preserve">p (± 2 PSI) </t>
  </si>
  <si>
    <t>10 nozzle</t>
  </si>
  <si>
    <t>14 nozzle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</si>
</sst>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64" fontId="0" fillId="0" borderId="1" xfId="1" applyFont="1" applyBorder="1"/>
    <xf numFmtId="20" fontId="3" fillId="10" borderId="1" xfId="0" applyNumberFormat="1" applyFont="1" applyFill="1" applyBorder="1"/>
    <xf numFmtId="20" fontId="0" fillId="9" borderId="1" xfId="0" applyNumberFormat="1" applyFill="1" applyBorder="1"/>
    <xf numFmtId="0" fontId="2" fillId="12" borderId="1" xfId="0" applyFont="1" applyFill="1" applyBorder="1"/>
    <xf numFmtId="14" fontId="0" fillId="0" borderId="2" xfId="0" applyNumberFormat="1" applyBorder="1"/>
    <xf numFmtId="20" fontId="0" fillId="0" borderId="2" xfId="0" applyNumberFormat="1" applyBorder="1"/>
    <xf numFmtId="165" fontId="0" fillId="0" borderId="2" xfId="1" applyNumberFormat="1" applyFont="1" applyBorder="1"/>
    <xf numFmtId="164" fontId="0" fillId="0" borderId="2" xfId="1" applyFont="1" applyBorder="1"/>
    <xf numFmtId="0" fontId="0" fillId="0" borderId="2" xfId="0" applyBorder="1"/>
    <xf numFmtId="14" fontId="0" fillId="0" borderId="3" xfId="0" applyNumberFormat="1" applyBorder="1"/>
    <xf numFmtId="20" fontId="0" fillId="0" borderId="3" xfId="0" applyNumberFormat="1" applyBorder="1"/>
    <xf numFmtId="165" fontId="0" fillId="0" borderId="3" xfId="1" applyNumberFormat="1" applyFont="1" applyBorder="1"/>
    <xf numFmtId="164" fontId="0" fillId="0" borderId="3" xfId="1" applyFont="1" applyBorder="1"/>
    <xf numFmtId="0" fontId="0" fillId="0" borderId="3" xfId="0" applyBorder="1"/>
    <xf numFmtId="14" fontId="0" fillId="0" borderId="4" xfId="0" applyNumberFormat="1" applyBorder="1"/>
    <xf numFmtId="20" fontId="0" fillId="0" borderId="5" xfId="0" applyNumberFormat="1" applyBorder="1"/>
    <xf numFmtId="20" fontId="3" fillId="10" borderId="5" xfId="0" applyNumberFormat="1" applyFont="1" applyFill="1" applyBorder="1"/>
    <xf numFmtId="165" fontId="0" fillId="0" borderId="5" xfId="1" applyNumberFormat="1" applyFont="1" applyBorder="1"/>
    <xf numFmtId="164" fontId="0" fillId="0" borderId="5" xfId="1" applyFont="1" applyBorder="1"/>
    <xf numFmtId="0" fontId="0" fillId="0" borderId="5" xfId="0" applyBorder="1"/>
    <xf numFmtId="20" fontId="0" fillId="11" borderId="3" xfId="0" applyNumberFormat="1" applyFill="1" applyBorder="1"/>
    <xf numFmtId="14" fontId="0" fillId="0" borderId="7" xfId="0" applyNumberFormat="1" applyBorder="1"/>
    <xf numFmtId="20" fontId="0" fillId="0" borderId="8" xfId="0" applyNumberFormat="1" applyBorder="1"/>
    <xf numFmtId="20" fontId="0" fillId="9" borderId="8" xfId="0" applyNumberFormat="1" applyFill="1" applyBorder="1"/>
    <xf numFmtId="165" fontId="0" fillId="0" borderId="8" xfId="1" applyNumberFormat="1" applyFont="1" applyBorder="1"/>
    <xf numFmtId="164" fontId="0" fillId="0" borderId="8" xfId="1" applyFont="1" applyBorder="1"/>
    <xf numFmtId="0" fontId="0" fillId="0" borderId="8" xfId="0" applyBorder="1"/>
    <xf numFmtId="14" fontId="0" fillId="0" borderId="10" xfId="0" applyNumberFormat="1" applyBorder="1"/>
    <xf numFmtId="14" fontId="0" fillId="0" borderId="12" xfId="0" applyNumberFormat="1" applyBorder="1"/>
    <xf numFmtId="20" fontId="0" fillId="0" borderId="13" xfId="0" applyNumberFormat="1" applyBorder="1"/>
    <xf numFmtId="20" fontId="0" fillId="9" borderId="13" xfId="0" applyNumberFormat="1" applyFill="1" applyBorder="1"/>
    <xf numFmtId="165" fontId="0" fillId="0" borderId="13" xfId="1" applyNumberFormat="1" applyFont="1" applyBorder="1"/>
    <xf numFmtId="164" fontId="0" fillId="0" borderId="13" xfId="1" applyFont="1" applyBorder="1"/>
    <xf numFmtId="0" fontId="0" fillId="0" borderId="13" xfId="0" applyBorder="1"/>
    <xf numFmtId="20" fontId="0" fillId="0" borderId="15" xfId="0" applyNumberFormat="1" applyBorder="1"/>
    <xf numFmtId="20" fontId="0" fillId="11" borderId="15" xfId="0" applyNumberFormat="1" applyFill="1" applyBorder="1"/>
    <xf numFmtId="165" fontId="0" fillId="0" borderId="15" xfId="1" applyNumberFormat="1" applyFont="1" applyBorder="1"/>
    <xf numFmtId="164" fontId="0" fillId="0" borderId="15" xfId="1" applyFont="1" applyBorder="1"/>
    <xf numFmtId="0" fontId="0" fillId="0" borderId="15" xfId="0" applyBorder="1"/>
    <xf numFmtId="2" fontId="0" fillId="0" borderId="2" xfId="0" applyNumberFormat="1" applyBorder="1"/>
    <xf numFmtId="0" fontId="3" fillId="7" borderId="8" xfId="0" applyFont="1" applyFill="1" applyBorder="1"/>
    <xf numFmtId="2" fontId="0" fillId="0" borderId="8" xfId="0" applyNumberFormat="1" applyBorder="1"/>
    <xf numFmtId="0" fontId="3" fillId="7" borderId="13" xfId="0" applyFont="1" applyFill="1" applyBorder="1"/>
    <xf numFmtId="2" fontId="0" fillId="0" borderId="13" xfId="0" applyNumberFormat="1" applyBorder="1"/>
    <xf numFmtId="20" fontId="3" fillId="10" borderId="8" xfId="0" applyNumberFormat="1" applyFont="1" applyFill="1" applyBorder="1"/>
    <xf numFmtId="20" fontId="3" fillId="10" borderId="13" xfId="0" applyNumberFormat="1" applyFont="1" applyFill="1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6" xfId="0" applyNumberFormat="1" applyBorder="1"/>
    <xf numFmtId="166" fontId="0" fillId="0" borderId="9" xfId="0" applyNumberFormat="1" applyBorder="1"/>
    <xf numFmtId="166" fontId="0" fillId="0" borderId="11" xfId="0" applyNumberFormat="1" applyBorder="1"/>
    <xf numFmtId="166" fontId="0" fillId="0" borderId="14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166" fontId="0" fillId="0" borderId="13" xfId="0" applyNumberFormat="1" applyBorder="1"/>
    <xf numFmtId="0" fontId="3" fillId="13" borderId="1" xfId="0" applyFont="1" applyFill="1" applyBorder="1"/>
    <xf numFmtId="20" fontId="3" fillId="5" borderId="1" xfId="0" applyNumberFormat="1" applyFont="1" applyFill="1" applyBorder="1"/>
    <xf numFmtId="20" fontId="3" fillId="6" borderId="1" xfId="0" applyNumberFormat="1" applyFont="1" applyFill="1" applyBorder="1"/>
    <xf numFmtId="165" fontId="0" fillId="0" borderId="1" xfId="1" applyNumberFormat="1" applyFont="1" applyFill="1" applyBorder="1"/>
    <xf numFmtId="0" fontId="0" fillId="14" borderId="1" xfId="0" applyFill="1" applyBorder="1"/>
    <xf numFmtId="20" fontId="0" fillId="11" borderId="1" xfId="0" applyNumberFormat="1" applyFill="1" applyBorder="1"/>
    <xf numFmtId="0" fontId="2" fillId="0" borderId="0" xfId="0" applyFont="1"/>
    <xf numFmtId="0" fontId="2" fillId="12" borderId="16" xfId="0" applyFont="1" applyFill="1" applyBorder="1"/>
    <xf numFmtId="164" fontId="0" fillId="0" borderId="0" xfId="1" applyFont="1"/>
    <xf numFmtId="2" fontId="0" fillId="0" borderId="1" xfId="0" applyNumberFormat="1" applyBorder="1"/>
    <xf numFmtId="2" fontId="0" fillId="0" borderId="0" xfId="0" applyNumberFormat="1"/>
    <xf numFmtId="166" fontId="0" fillId="0" borderId="0" xfId="0" applyNumberFormat="1"/>
    <xf numFmtId="164" fontId="0" fillId="0" borderId="17" xfId="1" applyFont="1" applyBorder="1"/>
    <xf numFmtId="164" fontId="0" fillId="0" borderId="0" xfId="0" applyNumberFormat="1"/>
    <xf numFmtId="164" fontId="5" fillId="0" borderId="0" xfId="0" applyNumberFormat="1" applyFont="1"/>
    <xf numFmtId="2" fontId="5" fillId="0" borderId="0" xfId="0" applyNumberFormat="1" applyFont="1"/>
    <xf numFmtId="166" fontId="6" fillId="0" borderId="0" xfId="1" applyNumberFormat="1" applyFont="1"/>
    <xf numFmtId="0" fontId="2" fillId="1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64" fontId="2" fillId="3" borderId="1" xfId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12" borderId="2" xfId="0" applyFont="1" applyFill="1" applyBorder="1" applyAlignment="1">
      <alignment horizontal="left" vertical="top" wrapText="1"/>
    </xf>
    <xf numFmtId="0" fontId="0" fillId="15" borderId="0" xfId="0" applyFill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4" fillId="16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6" fontId="6" fillId="0" borderId="0" xfId="0" applyNumberFormat="1" applyFont="1"/>
    <xf numFmtId="2" fontId="0" fillId="0" borderId="17" xfId="0" applyNumberFormat="1" applyBorder="1"/>
    <xf numFmtId="165" fontId="7" fillId="0" borderId="1" xfId="1" applyNumberFormat="1" applyFont="1" applyBorder="1"/>
    <xf numFmtId="164" fontId="7" fillId="0" borderId="1" xfId="1" applyFont="1" applyBorder="1"/>
    <xf numFmtId="0" fontId="7" fillId="0" borderId="1" xfId="0" applyFont="1" applyBorder="1"/>
    <xf numFmtId="166" fontId="7" fillId="0" borderId="1" xfId="0" applyNumberFormat="1" applyFont="1" applyBorder="1"/>
    <xf numFmtId="165" fontId="8" fillId="0" borderId="1" xfId="1" applyNumberFormat="1" applyFont="1" applyBorder="1"/>
    <xf numFmtId="164" fontId="8" fillId="0" borderId="1" xfId="1" applyFont="1" applyBorder="1"/>
    <xf numFmtId="0" fontId="8" fillId="0" borderId="1" xfId="0" applyFont="1" applyBorder="1"/>
    <xf numFmtId="166" fontId="8" fillId="0" borderId="1" xfId="0" applyNumberFormat="1" applyFont="1" applyBorder="1"/>
    <xf numFmtId="0" fontId="7" fillId="3" borderId="1" xfId="0" applyFont="1" applyFill="1" applyBorder="1"/>
    <xf numFmtId="0" fontId="8" fillId="3" borderId="1" xfId="0" applyFont="1" applyFill="1" applyBorder="1"/>
    <xf numFmtId="165" fontId="9" fillId="0" borderId="1" xfId="1" applyNumberFormat="1" applyFont="1" applyBorder="1"/>
    <xf numFmtId="164" fontId="9" fillId="0" borderId="1" xfId="1" applyFont="1" applyBorder="1"/>
    <xf numFmtId="0" fontId="9" fillId="0" borderId="1" xfId="0" applyFont="1" applyBorder="1"/>
    <xf numFmtId="166" fontId="9" fillId="0" borderId="1" xfId="0" applyNumberFormat="1" applyFont="1" applyBorder="1"/>
    <xf numFmtId="0" fontId="9" fillId="3" borderId="1" xfId="0" applyFont="1" applyFill="1" applyBorder="1"/>
    <xf numFmtId="165" fontId="10" fillId="0" borderId="1" xfId="1" applyNumberFormat="1" applyFont="1" applyFill="1" applyBorder="1"/>
    <xf numFmtId="164" fontId="10" fillId="0" borderId="1" xfId="1" applyFont="1" applyBorder="1"/>
    <xf numFmtId="0" fontId="10" fillId="0" borderId="1" xfId="0" applyFont="1" applyBorder="1"/>
    <xf numFmtId="166" fontId="10" fillId="0" borderId="1" xfId="0" applyNumberFormat="1" applyFont="1" applyBorder="1"/>
    <xf numFmtId="0" fontId="10" fillId="3" borderId="1" xfId="0" applyFont="1" applyFill="1" applyBorder="1"/>
    <xf numFmtId="165" fontId="11" fillId="0" borderId="1" xfId="1" applyNumberFormat="1" applyFont="1" applyFill="1" applyBorder="1"/>
    <xf numFmtId="164" fontId="11" fillId="0" borderId="1" xfId="1" applyFont="1" applyBorder="1"/>
    <xf numFmtId="0" fontId="11" fillId="0" borderId="1" xfId="0" applyFont="1" applyBorder="1"/>
    <xf numFmtId="166" fontId="11" fillId="0" borderId="1" xfId="0" applyNumberFormat="1" applyFont="1" applyBorder="1"/>
    <xf numFmtId="0" fontId="11" fillId="3" borderId="1" xfId="0" applyFont="1" applyFill="1" applyBorder="1"/>
    <xf numFmtId="165" fontId="12" fillId="0" borderId="1" xfId="1" applyNumberFormat="1" applyFont="1" applyBorder="1"/>
    <xf numFmtId="164" fontId="12" fillId="0" borderId="1" xfId="1" applyFont="1" applyBorder="1"/>
    <xf numFmtId="0" fontId="12" fillId="0" borderId="1" xfId="0" applyFont="1" applyBorder="1"/>
    <xf numFmtId="166" fontId="12" fillId="0" borderId="1" xfId="0" applyNumberFormat="1" applyFont="1" applyBorder="1"/>
    <xf numFmtId="0" fontId="12" fillId="3" borderId="1" xfId="0" applyFont="1" applyFill="1" applyBorder="1"/>
    <xf numFmtId="165" fontId="0" fillId="5" borderId="1" xfId="1" applyNumberFormat="1" applyFont="1" applyFill="1" applyBorder="1"/>
    <xf numFmtId="164" fontId="0" fillId="5" borderId="1" xfId="1" applyFont="1" applyFill="1" applyBorder="1"/>
    <xf numFmtId="0" fontId="0" fillId="5" borderId="1" xfId="0" applyFill="1" applyBorder="1"/>
    <xf numFmtId="166" fontId="0" fillId="5" borderId="1" xfId="0" applyNumberFormat="1" applyFill="1" applyBorder="1"/>
    <xf numFmtId="165" fontId="3" fillId="5" borderId="1" xfId="1" applyNumberFormat="1" applyFont="1" applyFill="1" applyBorder="1"/>
    <xf numFmtId="164" fontId="3" fillId="5" borderId="1" xfId="1" applyFont="1" applyFill="1" applyBorder="1"/>
    <xf numFmtId="166" fontId="3" fillId="5" borderId="1" xfId="0" applyNumberFormat="1" applyFont="1" applyFill="1" applyBorder="1"/>
    <xf numFmtId="165" fontId="0" fillId="10" borderId="1" xfId="1" applyNumberFormat="1" applyFont="1" applyFill="1" applyBorder="1"/>
    <xf numFmtId="164" fontId="0" fillId="10" borderId="1" xfId="1" applyFont="1" applyFill="1" applyBorder="1"/>
    <xf numFmtId="0" fontId="0" fillId="10" borderId="1" xfId="0" applyFill="1" applyBorder="1"/>
    <xf numFmtId="166" fontId="0" fillId="10" borderId="1" xfId="0" applyNumberFormat="1" applyFill="1" applyBorder="1"/>
    <xf numFmtId="165" fontId="3" fillId="17" borderId="1" xfId="1" applyNumberFormat="1" applyFont="1" applyFill="1" applyBorder="1"/>
    <xf numFmtId="164" fontId="3" fillId="17" borderId="1" xfId="1" applyFont="1" applyFill="1" applyBorder="1"/>
    <xf numFmtId="0" fontId="3" fillId="17" borderId="1" xfId="0" applyFont="1" applyFill="1" applyBorder="1"/>
    <xf numFmtId="166" fontId="3" fillId="17" borderId="1" xfId="0" applyNumberFormat="1" applyFont="1" applyFill="1" applyBorder="1"/>
    <xf numFmtId="165" fontId="13" fillId="14" borderId="1" xfId="1" applyNumberFormat="1" applyFont="1" applyFill="1" applyBorder="1"/>
    <xf numFmtId="164" fontId="13" fillId="14" borderId="1" xfId="1" applyFont="1" applyFill="1" applyBorder="1"/>
    <xf numFmtId="0" fontId="13" fillId="14" borderId="1" xfId="0" applyFont="1" applyFill="1" applyBorder="1"/>
    <xf numFmtId="166" fontId="13" fillId="14" borderId="1" xfId="0" applyNumberFormat="1" applyFont="1" applyFill="1" applyBorder="1"/>
    <xf numFmtId="0" fontId="0" fillId="0" borderId="1" xfId="0" applyFont="1" applyFill="1" applyBorder="1"/>
    <xf numFmtId="0" fontId="0" fillId="0" borderId="17" xfId="0" applyFont="1" applyFill="1" applyBorder="1"/>
    <xf numFmtId="166" fontId="0" fillId="0" borderId="18" xfId="0" applyNumberFormat="1" applyBorder="1"/>
    <xf numFmtId="0" fontId="2" fillId="12" borderId="1" xfId="0" applyFont="1" applyFill="1" applyBorder="1" applyAlignment="1">
      <alignment horizontal="center" vertical="top" wrapText="1"/>
    </xf>
    <xf numFmtId="0" fontId="2" fillId="12" borderId="17" xfId="0" applyFont="1" applyFill="1" applyBorder="1" applyAlignment="1">
      <alignment horizontal="center" vertical="top" wrapText="1"/>
    </xf>
    <xf numFmtId="0" fontId="2" fillId="12" borderId="18" xfId="0" applyFont="1" applyFill="1" applyBorder="1" applyAlignment="1">
      <alignment horizontal="center" vertical="top" wrapText="1"/>
    </xf>
    <xf numFmtId="0" fontId="2" fillId="12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center" vertical="top" wrapText="1"/>
    </xf>
    <xf numFmtId="0" fontId="14" fillId="0" borderId="3" xfId="0" applyFont="1" applyBorder="1"/>
    <xf numFmtId="0" fontId="14" fillId="0" borderId="19" xfId="0" applyFont="1" applyBorder="1"/>
    <xf numFmtId="0" fontId="2" fillId="0" borderId="20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7" xfId="0" applyBorder="1"/>
    <xf numFmtId="165" fontId="3" fillId="0" borderId="1" xfId="1" applyNumberFormat="1" applyFont="1" applyFill="1" applyBorder="1"/>
    <xf numFmtId="164" fontId="3" fillId="0" borderId="1" xfId="1" applyFont="1" applyFill="1" applyBorder="1"/>
    <xf numFmtId="0" fontId="3" fillId="0" borderId="1" xfId="0" applyFont="1" applyFill="1" applyBorder="1"/>
    <xf numFmtId="164" fontId="0" fillId="0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Calculations!$AK$1</c:f>
              <c:strCache>
                <c:ptCount val="1"/>
                <c:pt idx="0">
                  <c:v>Total Energy-Loss Nozzle 
(J) Calculated in Apoggee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Calculations!$AJ$2:$AJ$31</c:f>
              <c:numCache>
                <c:formatCode>0.00</c:formatCode>
                <c:ptCount val="7"/>
                <c:pt idx="0">
                  <c:v>14.770053614092467</c:v>
                </c:pt>
                <c:pt idx="1">
                  <c:v>35.251691250781803</c:v>
                </c:pt>
                <c:pt idx="2">
                  <c:v>52.403416131422993</c:v>
                </c:pt>
                <c:pt idx="3">
                  <c:v>57.194217062281346</c:v>
                </c:pt>
                <c:pt idx="4">
                  <c:v>65.496070284217382</c:v>
                </c:pt>
                <c:pt idx="5">
                  <c:v>66.970760064769024</c:v>
                </c:pt>
                <c:pt idx="6">
                  <c:v>82.093578013454703</c:v>
                </c:pt>
              </c:numCache>
            </c:numRef>
          </c:xVal>
          <c:yVal>
            <c:numRef>
              <c:f>Calculations!$AK$2:$AK$31</c:f>
              <c:numCache>
                <c:formatCode>0.00</c:formatCode>
                <c:ptCount val="7"/>
                <c:pt idx="0">
                  <c:v>14.0753429775</c:v>
                </c:pt>
                <c:pt idx="1">
                  <c:v>32.295481344000002</c:v>
                </c:pt>
                <c:pt idx="2">
                  <c:v>47.58134078880002</c:v>
                </c:pt>
                <c:pt idx="3">
                  <c:v>52.046634912300007</c:v>
                </c:pt>
                <c:pt idx="4">
                  <c:v>58.902936750000009</c:v>
                </c:pt>
                <c:pt idx="5">
                  <c:v>60.33946867200001</c:v>
                </c:pt>
                <c:pt idx="6">
                  <c:v>72.966533339700035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4-4458-B5AF-5C842737F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42576"/>
        <c:axId val="1116047568"/>
      </c:scatterChart>
      <c:valAx>
        <c:axId val="11160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47568"/>
        <c:crosses val="autoZero"/>
        <c:crossBetween val="midCat"/>
      </c:valAx>
      <c:valAx>
        <c:axId val="11160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04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acceleration vs Pressure</a:t>
            </a:r>
            <a:r>
              <a:rPr lang="en-US" baseline="0"/>
              <a:t> (nozzle = 78.52mm2)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78mm2'!$F$1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78mm2'!$F$9:$F$45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22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'Pressure Analysis 78mm2'!$N$9:$N$45</c:f>
              <c:numCache>
                <c:formatCode>General</c:formatCode>
                <c:ptCount val="8"/>
                <c:pt idx="0">
                  <c:v>10.6</c:v>
                </c:pt>
                <c:pt idx="1">
                  <c:v>9.6</c:v>
                </c:pt>
                <c:pt idx="2">
                  <c:v>9.1</c:v>
                </c:pt>
                <c:pt idx="3">
                  <c:v>4.4000000000000004</c:v>
                </c:pt>
                <c:pt idx="4">
                  <c:v>10.199999999999999</c:v>
                </c:pt>
                <c:pt idx="5">
                  <c:v>8.8000000000000007</c:v>
                </c:pt>
                <c:pt idx="6">
                  <c:v>10.7</c:v>
                </c:pt>
                <c:pt idx="7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2-4C88-B700-80D93838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Peak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acceleration vs Pressure</a:t>
            </a:r>
            <a:r>
              <a:rPr lang="en-US" baseline="0"/>
              <a:t> (nozzle = 78.52mm2)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78mm2'!$F$1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78mm2'!$F$9:$F$45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22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'Pressure Analysis 78mm2'!$O$9:$O$45</c:f>
              <c:numCache>
                <c:formatCode>General</c:formatCode>
                <c:ptCount val="8"/>
                <c:pt idx="0">
                  <c:v>7.3</c:v>
                </c:pt>
                <c:pt idx="1">
                  <c:v>6.9</c:v>
                </c:pt>
                <c:pt idx="2">
                  <c:v>6.9</c:v>
                </c:pt>
                <c:pt idx="3">
                  <c:v>2.5</c:v>
                </c:pt>
                <c:pt idx="4">
                  <c:v>3.8</c:v>
                </c:pt>
                <c:pt idx="5">
                  <c:v>5.9</c:v>
                </c:pt>
                <c:pt idx="6">
                  <c:v>7.9</c:v>
                </c:pt>
                <c:pt idx="7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C-4FC9-BF8A-421DC78D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</a:t>
                </a:r>
              </a:p>
              <a:p>
                <a:pPr>
                  <a:defRPr/>
                </a:pPr>
                <a:r>
                  <a:rPr lang="de-DE"/>
                  <a:t>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time </a:t>
            </a:r>
            <a:r>
              <a:rPr lang="en-US"/>
              <a:t>vs Pressure</a:t>
            </a:r>
            <a:r>
              <a:rPr lang="en-US" baseline="0"/>
              <a:t> (nozzle =  78.52mm2)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78mm2'!$F$1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78mm2'!$F$9:$F$45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22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'Pressure Analysis 78mm2'!$M$9:$M$45</c:f>
              <c:numCache>
                <c:formatCode>General</c:formatCode>
                <c:ptCount val="8"/>
                <c:pt idx="0">
                  <c:v>0.48</c:v>
                </c:pt>
                <c:pt idx="1">
                  <c:v>0.47</c:v>
                </c:pt>
                <c:pt idx="2">
                  <c:v>0.5</c:v>
                </c:pt>
                <c:pt idx="3">
                  <c:v>0.61</c:v>
                </c:pt>
                <c:pt idx="4">
                  <c:v>0.64</c:v>
                </c:pt>
                <c:pt idx="5">
                  <c:v>0.52</c:v>
                </c:pt>
                <c:pt idx="6">
                  <c:v>0.49</c:v>
                </c:pt>
                <c:pt idx="7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6-4FC1-90AA-77EA5938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</a:t>
                </a:r>
              </a:p>
              <a:p>
                <a:pPr>
                  <a:defRPr/>
                </a:pPr>
                <a:r>
                  <a:rPr lang="de-DE"/>
                  <a:t>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vs Pressure</a:t>
            </a:r>
            <a:r>
              <a:rPr lang="en-US" baseline="0"/>
              <a:t> (nozzle = 78.52mm2)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78mm2'!$F$1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78mm2'!$F$9:$F$45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22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'Pressure Analysis 78mm2'!$K$9:$K$45</c:f>
              <c:numCache>
                <c:formatCode>General</c:formatCode>
                <c:ptCount val="8"/>
                <c:pt idx="0">
                  <c:v>118</c:v>
                </c:pt>
                <c:pt idx="1">
                  <c:v>116</c:v>
                </c:pt>
                <c:pt idx="2">
                  <c:v>115</c:v>
                </c:pt>
                <c:pt idx="3">
                  <c:v>47</c:v>
                </c:pt>
                <c:pt idx="4">
                  <c:v>65</c:v>
                </c:pt>
                <c:pt idx="5">
                  <c:v>97</c:v>
                </c:pt>
                <c:pt idx="6">
                  <c:v>141</c:v>
                </c:pt>
                <c:pt idx="7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C-4458-802E-36039E09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Speed vs Pressure</a:t>
            </a:r>
            <a:r>
              <a:rPr lang="en-US" baseline="0"/>
              <a:t> (nozzle = 78.52mm2)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78mm2'!$F$1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78mm2'!$F$9:$F$45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22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'Pressure Analysis 78mm2'!$L$9:$L$45</c:f>
              <c:numCache>
                <c:formatCode>General</c:formatCode>
                <c:ptCount val="8"/>
                <c:pt idx="0">
                  <c:v>76</c:v>
                </c:pt>
                <c:pt idx="1">
                  <c:v>71</c:v>
                </c:pt>
                <c:pt idx="2">
                  <c:v>75</c:v>
                </c:pt>
                <c:pt idx="3">
                  <c:v>33</c:v>
                </c:pt>
                <c:pt idx="4">
                  <c:v>53</c:v>
                </c:pt>
                <c:pt idx="5">
                  <c:v>66</c:v>
                </c:pt>
                <c:pt idx="6">
                  <c:v>85</c:v>
                </c:pt>
                <c:pt idx="7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D-48D6-8016-84C9E23BB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Top speed (miles/hour)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Coast to Apogee vs Pressure</a:t>
            </a:r>
            <a:r>
              <a:rPr lang="en-US" baseline="0"/>
              <a:t> (nozzle = 78.52mm2)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78mm2'!$F$1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78mm2'!$F$9:$F$45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22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'Pressure Analysis 78mm2'!$P$9:$P$45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2.4</c:v>
                </c:pt>
                <c:pt idx="2">
                  <c:v>2.2999999999999998</c:v>
                </c:pt>
                <c:pt idx="3" formatCode="#,#00">
                  <c:v>2</c:v>
                </c:pt>
                <c:pt idx="4" formatCode="#,#00">
                  <c:v>2</c:v>
                </c:pt>
                <c:pt idx="5" formatCode="#,#00">
                  <c:v>2.2999999999999998</c:v>
                </c:pt>
                <c:pt idx="6">
                  <c:v>2.5</c:v>
                </c:pt>
                <c:pt idx="7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272-9088-1B94D837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Coast to Apogee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78mm2'!$L$1</c:f>
              <c:strCache>
                <c:ptCount val="1"/>
                <c:pt idx="0">
                  <c:v>top speed (miles/hour)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'Pressure Analysis 78mm2'!$F$2:$F$40</c:f>
              <c:numCache>
                <c:formatCode>General</c:formatCode>
                <c:ptCount val="8"/>
                <c:pt idx="0">
                  <c:v>42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22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'Pressure Analysis 78mm2'!$L$2:$L$40</c:f>
              <c:numCache>
                <c:formatCode>General</c:formatCode>
                <c:ptCount val="8"/>
                <c:pt idx="0">
                  <c:v>76</c:v>
                </c:pt>
                <c:pt idx="1">
                  <c:v>71</c:v>
                </c:pt>
                <c:pt idx="2">
                  <c:v>75</c:v>
                </c:pt>
                <c:pt idx="3">
                  <c:v>33</c:v>
                </c:pt>
                <c:pt idx="4">
                  <c:v>53</c:v>
                </c:pt>
                <c:pt idx="5">
                  <c:v>66</c:v>
                </c:pt>
                <c:pt idx="6">
                  <c:v>85</c:v>
                </c:pt>
                <c:pt idx="7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8-4414-B8FD-003D70A9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79680"/>
        <c:axId val="849883840"/>
      </c:scatterChart>
      <c:valAx>
        <c:axId val="8498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883840"/>
        <c:crosses val="autoZero"/>
        <c:crossBetween val="midCat"/>
      </c:valAx>
      <c:valAx>
        <c:axId val="8498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8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acceleration vs Pressure</a:t>
            </a:r>
            <a:r>
              <a:rPr lang="en-US" baseline="0"/>
              <a:t> (nozzle = 154mm2)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154mm2'!$F$1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154mm2'!$F$9:$F$45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</c:numCache>
            </c:numRef>
          </c:xVal>
          <c:yVal>
            <c:numRef>
              <c:f>'Pressure Analysis 154mm2'!$N$9:$N$45</c:f>
              <c:numCache>
                <c:formatCode>General</c:formatCode>
                <c:ptCount val="8"/>
                <c:pt idx="0">
                  <c:v>19.600000000000001</c:v>
                </c:pt>
                <c:pt idx="1">
                  <c:v>18.8</c:v>
                </c:pt>
                <c:pt idx="2">
                  <c:v>19.8</c:v>
                </c:pt>
                <c:pt idx="3">
                  <c:v>4.4000000000000004</c:v>
                </c:pt>
                <c:pt idx="4">
                  <c:v>11</c:v>
                </c:pt>
                <c:pt idx="5">
                  <c:v>15.3</c:v>
                </c:pt>
                <c:pt idx="6">
                  <c:v>21.2</c:v>
                </c:pt>
                <c:pt idx="7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4-4594-B1F6-9328025C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Peak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acceleration vs Pressure</a:t>
            </a:r>
            <a:r>
              <a:rPr lang="en-US" baseline="0"/>
              <a:t> (nozzle = 154mm2)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154mm2'!$F$1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154mm2'!$F$9:$F$45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</c:numCache>
            </c:numRef>
          </c:xVal>
          <c:yVal>
            <c:numRef>
              <c:f>'Pressure Analysis 154mm2'!$O$9:$O$45</c:f>
              <c:numCache>
                <c:formatCode>#,#00</c:formatCode>
                <c:ptCount val="8"/>
                <c:pt idx="0">
                  <c:v>15.4</c:v>
                </c:pt>
                <c:pt idx="1">
                  <c:v>15.4</c:v>
                </c:pt>
                <c:pt idx="2" formatCode="General">
                  <c:v>15.6</c:v>
                </c:pt>
                <c:pt idx="3" formatCode="General">
                  <c:v>3.8</c:v>
                </c:pt>
                <c:pt idx="4" formatCode="General">
                  <c:v>8.3000000000000007</c:v>
                </c:pt>
                <c:pt idx="5" formatCode="General">
                  <c:v>12.4</c:v>
                </c:pt>
                <c:pt idx="6" formatCode="General">
                  <c:v>17.8</c:v>
                </c:pt>
                <c:pt idx="7" formatCode="General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2-4AC6-B760-38A484D2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</a:t>
                </a:r>
              </a:p>
              <a:p>
                <a:pPr>
                  <a:defRPr/>
                </a:pPr>
                <a:r>
                  <a:rPr lang="de-DE"/>
                  <a:t>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time </a:t>
            </a:r>
            <a:r>
              <a:rPr lang="en-US"/>
              <a:t>vs Pressure</a:t>
            </a:r>
            <a:r>
              <a:rPr lang="en-US" baseline="0"/>
              <a:t> (nozzle = 154mm2)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154mm2'!$F$1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154mm2'!$F$9:$F$45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</c:numCache>
            </c:numRef>
          </c:xVal>
          <c:yVal>
            <c:numRef>
              <c:f>'Pressure Analysis 154mm2'!$M$9:$M$45</c:f>
              <c:numCache>
                <c:formatCode>0.00</c:formatCode>
                <c:ptCount val="8"/>
                <c:pt idx="0" formatCode="General">
                  <c:v>0.25</c:v>
                </c:pt>
                <c:pt idx="1">
                  <c:v>0.24</c:v>
                </c:pt>
                <c:pt idx="2" formatCode="General">
                  <c:v>0.23</c:v>
                </c:pt>
                <c:pt idx="3" formatCode="General">
                  <c:v>0.36</c:v>
                </c:pt>
                <c:pt idx="4" formatCode="General">
                  <c:v>0.3</c:v>
                </c:pt>
                <c:pt idx="5" formatCode="General">
                  <c:v>0.25</c:v>
                </c:pt>
                <c:pt idx="6" formatCode="General">
                  <c:v>0.24</c:v>
                </c:pt>
                <c:pt idx="7" formatCode="General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D-49FE-AAD4-06D43A2C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</a:t>
                </a:r>
                <a:r>
                  <a:rPr lang="de-DE" baseline="0"/>
                  <a:t> </a:t>
                </a:r>
              </a:p>
              <a:p>
                <a:pPr>
                  <a:defRPr/>
                </a:pPr>
                <a:r>
                  <a:rPr lang="de-DE"/>
                  <a:t>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k calculated during coast (*1E4)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575787401574802"/>
                  <c:y val="-0.64266987459900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Calculations!$N$2:$N$31</c:f>
              <c:numCache>
                <c:formatCode>_(* #.##000_);_(* \(#.##000\);_(* "-"??_);_(@_)</c:formatCode>
                <c:ptCount val="7"/>
                <c:pt idx="0">
                  <c:v>14.751899865891819</c:v>
                </c:pt>
                <c:pt idx="1">
                  <c:v>23.692445239159589</c:v>
                </c:pt>
                <c:pt idx="2">
                  <c:v>29.503799731783637</c:v>
                </c:pt>
                <c:pt idx="3">
                  <c:v>31.738936075100579</c:v>
                </c:pt>
                <c:pt idx="4">
                  <c:v>33.52704514975413</c:v>
                </c:pt>
                <c:pt idx="5">
                  <c:v>33.974072418417521</c:v>
                </c:pt>
                <c:pt idx="6">
                  <c:v>37.997317836388021</c:v>
                </c:pt>
              </c:numCache>
            </c:numRef>
          </c:xVal>
          <c:yVal>
            <c:numRef>
              <c:f>Calculations!$AH$2:$AH$31</c:f>
              <c:numCache>
                <c:formatCode>_(* #.##000_);_(* \(#.##000\);_(* "-"??_);_(@_)</c:formatCode>
                <c:ptCount val="7"/>
                <c:pt idx="0">
                  <c:v>108.47220354846752</c:v>
                </c:pt>
                <c:pt idx="1">
                  <c:v>62.18104033277988</c:v>
                </c:pt>
                <c:pt idx="2">
                  <c:v>21.735195124621939</c:v>
                </c:pt>
                <c:pt idx="3">
                  <c:v>15.01099259950672</c:v>
                </c:pt>
                <c:pt idx="4">
                  <c:v>15.728543277890683</c:v>
                </c:pt>
                <c:pt idx="5">
                  <c:v>14.561755200728495</c:v>
                </c:pt>
                <c:pt idx="6">
                  <c:v>11.414615876232361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6-4937-AC27-20C37520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74544"/>
        <c:axId val="1309859984"/>
      </c:scatterChart>
      <c:valAx>
        <c:axId val="13098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.##000_);_(* \(#.##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9859984"/>
        <c:crosses val="autoZero"/>
        <c:crossBetween val="midCat"/>
      </c:valAx>
      <c:valAx>
        <c:axId val="1309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.##000_);_(* \(#.##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98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</a:t>
            </a:r>
          </a:p>
          <a:p>
            <a:pPr>
              <a:defRPr/>
            </a:pPr>
            <a:r>
              <a:rPr lang="en-US"/>
              <a:t>vs Pressure</a:t>
            </a:r>
            <a:r>
              <a:rPr lang="en-US" baseline="0"/>
              <a:t> (nozzle = 154mm2)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154mm2'!$F$1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154mm2'!$F$9:$F$45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</c:numCache>
            </c:numRef>
          </c:xVal>
          <c:yVal>
            <c:numRef>
              <c:f>'Pressure Analysis 154mm2'!$K$9:$K$45</c:f>
              <c:numCache>
                <c:formatCode>General</c:formatCode>
                <c:ptCount val="8"/>
                <c:pt idx="0">
                  <c:v>124</c:v>
                </c:pt>
                <c:pt idx="1">
                  <c:v>109</c:v>
                </c:pt>
                <c:pt idx="2">
                  <c:v>111</c:v>
                </c:pt>
                <c:pt idx="3">
                  <c:v>30</c:v>
                </c:pt>
                <c:pt idx="4">
                  <c:v>61</c:v>
                </c:pt>
                <c:pt idx="5">
                  <c:v>91</c:v>
                </c:pt>
                <c:pt idx="6">
                  <c:v>123</c:v>
                </c:pt>
                <c:pt idx="7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4-42C6-A088-BF1A3ADE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Speed vs Pressure</a:t>
            </a:r>
            <a:r>
              <a:rPr lang="en-US" baseline="0"/>
              <a:t> (nozzle = 154mm2)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154mm2'!$F$1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154mm2'!$F$9:$F$45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</c:numCache>
            </c:numRef>
          </c:xVal>
          <c:yVal>
            <c:numRef>
              <c:f>'Pressure Analysis 154mm2'!$L$9:$L$45</c:f>
              <c:numCache>
                <c:formatCode>General</c:formatCode>
                <c:ptCount val="8"/>
                <c:pt idx="0">
                  <c:v>83</c:v>
                </c:pt>
                <c:pt idx="1">
                  <c:v>79</c:v>
                </c:pt>
                <c:pt idx="2">
                  <c:v>79</c:v>
                </c:pt>
                <c:pt idx="3">
                  <c:v>30</c:v>
                </c:pt>
                <c:pt idx="4">
                  <c:v>54</c:v>
                </c:pt>
                <c:pt idx="5">
                  <c:v>68</c:v>
                </c:pt>
                <c:pt idx="6">
                  <c:v>92</c:v>
                </c:pt>
                <c:pt idx="7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5-4550-85E0-17D54627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Top speed (miles/hour)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Coast to Apogee vs Pressure</a:t>
            </a:r>
            <a:r>
              <a:rPr lang="en-US" baseline="0"/>
              <a:t> (nozzle = 154mm2)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154mm2'!$F$1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'Pressure Analysis 154mm2'!$F$9:$F$45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</c:numCache>
            </c:numRef>
          </c:xVal>
          <c:yVal>
            <c:numRef>
              <c:f>'Pressure Analysis 154mm2'!$P$9:$P$45</c:f>
              <c:numCache>
                <c:formatCode>#,#00</c:formatCode>
                <c:ptCount val="8"/>
                <c:pt idx="0">
                  <c:v>2.7</c:v>
                </c:pt>
                <c:pt idx="1">
                  <c:v>2.6</c:v>
                </c:pt>
                <c:pt idx="2" formatCode="General">
                  <c:v>2.2999999999999998</c:v>
                </c:pt>
                <c:pt idx="3" formatCode="General">
                  <c:v>1.1000000000000001</c:v>
                </c:pt>
                <c:pt idx="4" formatCode="General">
                  <c:v>1.7</c:v>
                </c:pt>
                <c:pt idx="5" formatCode="General">
                  <c:v>2.2999999999999998</c:v>
                </c:pt>
                <c:pt idx="6" formatCode="General">
                  <c:v>2.5</c:v>
                </c:pt>
                <c:pt idx="7" formatCode="General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0-41E8-AC39-CEC1D2A3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110224"/>
        <c:axId val="1757108560"/>
      </c:scatterChart>
      <c:valAx>
        <c:axId val="175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Pressure</a:t>
                </a:r>
                <a:r>
                  <a:rPr lang="de-DE" baseline="0"/>
                  <a:t> (PSI)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08560"/>
        <c:crosses val="autoZero"/>
        <c:crossBetween val="midCat"/>
      </c:valAx>
      <c:valAx>
        <c:axId val="1757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Coast to Apogee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10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Analysis 154mm2'!$L$1</c:f>
              <c:strCache>
                <c:ptCount val="1"/>
                <c:pt idx="0">
                  <c:v>top speed (miles/hour)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'Pressure Analysis 154mm2'!$F$2:$F$45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</c:numCache>
            </c:numRef>
          </c:xVal>
          <c:yVal>
            <c:numRef>
              <c:f>'Pressure Analysis 154mm2'!$L$2:$L$45</c:f>
              <c:numCache>
                <c:formatCode>General</c:formatCode>
                <c:ptCount val="8"/>
                <c:pt idx="0">
                  <c:v>83</c:v>
                </c:pt>
                <c:pt idx="1">
                  <c:v>79</c:v>
                </c:pt>
                <c:pt idx="2">
                  <c:v>79</c:v>
                </c:pt>
                <c:pt idx="3">
                  <c:v>30</c:v>
                </c:pt>
                <c:pt idx="4">
                  <c:v>54</c:v>
                </c:pt>
                <c:pt idx="5">
                  <c:v>68</c:v>
                </c:pt>
                <c:pt idx="6">
                  <c:v>92</c:v>
                </c:pt>
                <c:pt idx="7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5-413E-8380-19CBCC6C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18352"/>
        <c:axId val="1112722096"/>
      </c:scatterChart>
      <c:valAx>
        <c:axId val="11127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722096"/>
        <c:crosses val="autoZero"/>
        <c:crossBetween val="midCat"/>
      </c:valAx>
      <c:valAx>
        <c:axId val="11127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7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k calculated during coast (*1E4)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Calculations!$F$2:$F$31</c:f>
              <c:numCache>
                <c:formatCode>General</c:formatCode>
                <c:ptCount val="7"/>
                <c:pt idx="0">
                  <c:v>10</c:v>
                </c:pt>
                <c:pt idx="1">
                  <c:v>22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42</c:v>
                </c:pt>
                <c:pt idx="6">
                  <c:v>50</c:v>
                </c:pt>
              </c:numCache>
            </c:numRef>
          </c:xVal>
          <c:yVal>
            <c:numRef>
              <c:f>Calculations!$AH$2:$AH$31</c:f>
              <c:numCache>
                <c:formatCode>_(* #.##000_);_(* \(#.##000\);_(* "-"??_);_(@_)</c:formatCode>
                <c:ptCount val="7"/>
                <c:pt idx="0">
                  <c:v>108.47220354846752</c:v>
                </c:pt>
                <c:pt idx="1">
                  <c:v>62.18104033277988</c:v>
                </c:pt>
                <c:pt idx="2">
                  <c:v>21.735195124621939</c:v>
                </c:pt>
                <c:pt idx="3">
                  <c:v>15.01099259950672</c:v>
                </c:pt>
                <c:pt idx="4">
                  <c:v>15.728543277890683</c:v>
                </c:pt>
                <c:pt idx="5">
                  <c:v>14.561755200728495</c:v>
                </c:pt>
                <c:pt idx="6">
                  <c:v>11.414615876232361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9-448B-8D06-62C861A3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921552"/>
        <c:axId val="1309913232"/>
      </c:scatterChart>
      <c:valAx>
        <c:axId val="13099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9913232"/>
        <c:crosses val="autoZero"/>
        <c:crossBetween val="midCat"/>
      </c:valAx>
      <c:valAx>
        <c:axId val="13099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.##000_);_(* \(#.##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99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</a:rPr>
              <a:t>Thrust time vs Nozzle cross section at 40 psi launch pressure and 1/3</a:t>
            </a:r>
            <a:r>
              <a:rPr lang="en-US" sz="1400" b="1" baseline="0">
                <a:solidFill>
                  <a:schemeClr val="accent1"/>
                </a:solidFill>
              </a:rPr>
              <a:t> water filling</a:t>
            </a:r>
            <a:endParaRPr lang="en-US" sz="14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'Nozzle Analysis'!$M$1</c:f>
              <c:strCache>
                <c:ptCount val="1"/>
                <c:pt idx="0">
                  <c:v>Thrust time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exp"/>
            <c:dispRSqr val="0"/>
            <c:dispEq val="0"/>
          </c:trendline>
          <c:xVal>
            <c:numRef>
              <c:f>'Nozzle Analysis'!$E$2:$E$35</c:f>
              <c:numCache>
                <c:formatCode>_(* #.##000_);_(* \(#.##000\);_(* "-"??_);_(@_)</c:formatCode>
                <c:ptCount val="21"/>
                <c:pt idx="0">
                  <c:v>113.09733552923255</c:v>
                </c:pt>
                <c:pt idx="1">
                  <c:v>113.09733552923255</c:v>
                </c:pt>
                <c:pt idx="2">
                  <c:v>113.09733552923255</c:v>
                </c:pt>
                <c:pt idx="3">
                  <c:v>153.93804002589985</c:v>
                </c:pt>
                <c:pt idx="4">
                  <c:v>153.93804002589985</c:v>
                </c:pt>
                <c:pt idx="5">
                  <c:v>50.26548245743669</c:v>
                </c:pt>
                <c:pt idx="6">
                  <c:v>50.26548245743669</c:v>
                </c:pt>
                <c:pt idx="7">
                  <c:v>167.41547250980008</c:v>
                </c:pt>
                <c:pt idx="8">
                  <c:v>78.539816339744831</c:v>
                </c:pt>
                <c:pt idx="9">
                  <c:v>78.539816339744831</c:v>
                </c:pt>
                <c:pt idx="10">
                  <c:v>63.617251235193308</c:v>
                </c:pt>
                <c:pt idx="11">
                  <c:v>63.617251235193308</c:v>
                </c:pt>
                <c:pt idx="12">
                  <c:v>63.617251235193308</c:v>
                </c:pt>
                <c:pt idx="13">
                  <c:v>95.033177771091246</c:v>
                </c:pt>
                <c:pt idx="14">
                  <c:v>95.033177771091246</c:v>
                </c:pt>
                <c:pt idx="15">
                  <c:v>132.73228961416876</c:v>
                </c:pt>
                <c:pt idx="16">
                  <c:v>132.73228961416876</c:v>
                </c:pt>
                <c:pt idx="17">
                  <c:v>167.41547250980008</c:v>
                </c:pt>
                <c:pt idx="18">
                  <c:v>153.93804002589985</c:v>
                </c:pt>
                <c:pt idx="19">
                  <c:v>50.26548245743669</c:v>
                </c:pt>
                <c:pt idx="20">
                  <c:v>167.41547250980008</c:v>
                </c:pt>
              </c:numCache>
            </c:numRef>
          </c:xVal>
          <c:yVal>
            <c:numRef>
              <c:f>'Nozzle Analysis'!$M$2:$M$35</c:f>
              <c:numCache>
                <c:formatCode>General</c:formatCode>
                <c:ptCount val="21"/>
                <c:pt idx="0">
                  <c:v>0.39</c:v>
                </c:pt>
                <c:pt idx="1">
                  <c:v>0.36</c:v>
                </c:pt>
                <c:pt idx="2">
                  <c:v>0.35</c:v>
                </c:pt>
                <c:pt idx="3">
                  <c:v>0.25</c:v>
                </c:pt>
                <c:pt idx="4" formatCode="0.00">
                  <c:v>0.24</c:v>
                </c:pt>
                <c:pt idx="5" formatCode="0.00">
                  <c:v>0.7</c:v>
                </c:pt>
                <c:pt idx="6" formatCode="0.00">
                  <c:v>0.65</c:v>
                </c:pt>
                <c:pt idx="7">
                  <c:v>0.21</c:v>
                </c:pt>
                <c:pt idx="8">
                  <c:v>0.47</c:v>
                </c:pt>
                <c:pt idx="9">
                  <c:v>0.5</c:v>
                </c:pt>
                <c:pt idx="10">
                  <c:v>0.59</c:v>
                </c:pt>
                <c:pt idx="11">
                  <c:v>0.66</c:v>
                </c:pt>
                <c:pt idx="12">
                  <c:v>0.62</c:v>
                </c:pt>
                <c:pt idx="13">
                  <c:v>0.38</c:v>
                </c:pt>
                <c:pt idx="14">
                  <c:v>0.38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0.21</c:v>
                </c:pt>
                <c:pt idx="18">
                  <c:v>0.23</c:v>
                </c:pt>
                <c:pt idx="19">
                  <c:v>0.72</c:v>
                </c:pt>
                <c:pt idx="20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9-4EF0-A612-D888308A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15728"/>
        <c:axId val="1778502000"/>
      </c:scatterChart>
      <c:valAx>
        <c:axId val="1778515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Nozzle</a:t>
                </a:r>
                <a:r>
                  <a:rPr lang="de-DE" baseline="0"/>
                  <a:t> cross section (mm</a:t>
                </a:r>
                <a:r>
                  <a:rPr lang="de-DE" baseline="30000"/>
                  <a:t>2</a:t>
                </a:r>
                <a:r>
                  <a:rPr lang="de-DE" baseline="0"/>
                  <a:t>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.##000_);_(* \(#.##0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02000"/>
        <c:crosses val="autoZero"/>
        <c:crossBetween val="midCat"/>
      </c:valAx>
      <c:valAx>
        <c:axId val="1778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Thrust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157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</a:rPr>
              <a:t>Peak acceleration vs Nozzle cross section at 40 psi launch pressure and 1/3</a:t>
            </a:r>
            <a:r>
              <a:rPr lang="en-US" sz="1400" b="1" baseline="0">
                <a:solidFill>
                  <a:schemeClr val="accent1"/>
                </a:solidFill>
              </a:rPr>
              <a:t> water </a:t>
            </a:r>
            <a:endParaRPr lang="en-US" sz="14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'Nozzle Analysis'!$N$1</c:f>
              <c:strCache>
                <c:ptCount val="1"/>
                <c:pt idx="0">
                  <c:v>Peak acceleration (G)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exp"/>
            <c:dispRSqr val="0"/>
            <c:dispEq val="0"/>
          </c:trendline>
          <c:xVal>
            <c:numRef>
              <c:f>'Nozzle Analysis'!$E$2:$E$35</c:f>
              <c:numCache>
                <c:formatCode>_(* #.##000_);_(* \(#.##000\);_(* "-"??_);_(@_)</c:formatCode>
                <c:ptCount val="21"/>
                <c:pt idx="0">
                  <c:v>113.09733552923255</c:v>
                </c:pt>
                <c:pt idx="1">
                  <c:v>113.09733552923255</c:v>
                </c:pt>
                <c:pt idx="2">
                  <c:v>113.09733552923255</c:v>
                </c:pt>
                <c:pt idx="3">
                  <c:v>153.93804002589985</c:v>
                </c:pt>
                <c:pt idx="4">
                  <c:v>153.93804002589985</c:v>
                </c:pt>
                <c:pt idx="5">
                  <c:v>50.26548245743669</c:v>
                </c:pt>
                <c:pt idx="6">
                  <c:v>50.26548245743669</c:v>
                </c:pt>
                <c:pt idx="7">
                  <c:v>167.41547250980008</c:v>
                </c:pt>
                <c:pt idx="8">
                  <c:v>78.539816339744831</c:v>
                </c:pt>
                <c:pt idx="9">
                  <c:v>78.539816339744831</c:v>
                </c:pt>
                <c:pt idx="10">
                  <c:v>63.617251235193308</c:v>
                </c:pt>
                <c:pt idx="11">
                  <c:v>63.617251235193308</c:v>
                </c:pt>
                <c:pt idx="12">
                  <c:v>63.617251235193308</c:v>
                </c:pt>
                <c:pt idx="13">
                  <c:v>95.033177771091246</c:v>
                </c:pt>
                <c:pt idx="14">
                  <c:v>95.033177771091246</c:v>
                </c:pt>
                <c:pt idx="15">
                  <c:v>132.73228961416876</c:v>
                </c:pt>
                <c:pt idx="16">
                  <c:v>132.73228961416876</c:v>
                </c:pt>
                <c:pt idx="17">
                  <c:v>167.41547250980008</c:v>
                </c:pt>
                <c:pt idx="18">
                  <c:v>153.93804002589985</c:v>
                </c:pt>
                <c:pt idx="19">
                  <c:v>50.26548245743669</c:v>
                </c:pt>
                <c:pt idx="20">
                  <c:v>167.41547250980008</c:v>
                </c:pt>
              </c:numCache>
            </c:numRef>
          </c:xVal>
          <c:yVal>
            <c:numRef>
              <c:f>'Nozzle Analysis'!$N$2:$N$35</c:f>
              <c:numCache>
                <c:formatCode>#,#00</c:formatCode>
                <c:ptCount val="21"/>
                <c:pt idx="0">
                  <c:v>12.7</c:v>
                </c:pt>
                <c:pt idx="1">
                  <c:v>13.2</c:v>
                </c:pt>
                <c:pt idx="2">
                  <c:v>12.8</c:v>
                </c:pt>
                <c:pt idx="3">
                  <c:v>19.600000000000001</c:v>
                </c:pt>
                <c:pt idx="4">
                  <c:v>18.8</c:v>
                </c:pt>
                <c:pt idx="5">
                  <c:v>7.8</c:v>
                </c:pt>
                <c:pt idx="6">
                  <c:v>8.1</c:v>
                </c:pt>
                <c:pt idx="7">
                  <c:v>21.6</c:v>
                </c:pt>
                <c:pt idx="8">
                  <c:v>9.6</c:v>
                </c:pt>
                <c:pt idx="9">
                  <c:v>9.1</c:v>
                </c:pt>
                <c:pt idx="10">
                  <c:v>7.2</c:v>
                </c:pt>
                <c:pt idx="11">
                  <c:v>6.5</c:v>
                </c:pt>
                <c:pt idx="12">
                  <c:v>10.16</c:v>
                </c:pt>
                <c:pt idx="13">
                  <c:v>10.7</c:v>
                </c:pt>
                <c:pt idx="14">
                  <c:v>11</c:v>
                </c:pt>
                <c:pt idx="15">
                  <c:v>17.600000000000001</c:v>
                </c:pt>
                <c:pt idx="16">
                  <c:v>16.100000000000001</c:v>
                </c:pt>
                <c:pt idx="17">
                  <c:v>21.1</c:v>
                </c:pt>
                <c:pt idx="18">
                  <c:v>19.8</c:v>
                </c:pt>
                <c:pt idx="19">
                  <c:v>7.6</c:v>
                </c:pt>
                <c:pt idx="20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9-4928-97E1-C8D90389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15728"/>
        <c:axId val="1778502000"/>
      </c:scatterChart>
      <c:valAx>
        <c:axId val="1778515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Nozzle</a:t>
                </a:r>
                <a:r>
                  <a:rPr lang="de-DE" baseline="0"/>
                  <a:t> cross section (mm</a:t>
                </a:r>
                <a:r>
                  <a:rPr lang="de-DE" baseline="30000"/>
                  <a:t>2</a:t>
                </a:r>
                <a:r>
                  <a:rPr lang="de-DE" baseline="0"/>
                  <a:t>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.##000_);_(* \(#.##0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02000"/>
        <c:crosses val="autoZero"/>
        <c:crossBetween val="midCat"/>
      </c:valAx>
      <c:valAx>
        <c:axId val="1778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Peak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157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</a:rPr>
              <a:t>Avg acceleration vs Nozzle cross section at 40 psi launch pressure and 1/3</a:t>
            </a:r>
            <a:r>
              <a:rPr lang="en-US" sz="1400" b="1" baseline="0">
                <a:solidFill>
                  <a:schemeClr val="accent1"/>
                </a:solidFill>
              </a:rPr>
              <a:t> water </a:t>
            </a:r>
            <a:endParaRPr lang="en-US" sz="14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'Nozzle Analysis'!$O$1</c:f>
              <c:strCache>
                <c:ptCount val="1"/>
                <c:pt idx="0">
                  <c:v>Average acceleration (G)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'Nozzle Analysis'!$E$2:$E$45</c:f>
              <c:numCache>
                <c:formatCode>_(* #.##000_);_(* \(#.##000\);_(* "-"??_);_(@_)</c:formatCode>
                <c:ptCount val="21"/>
                <c:pt idx="0">
                  <c:v>113.09733552923255</c:v>
                </c:pt>
                <c:pt idx="1">
                  <c:v>113.09733552923255</c:v>
                </c:pt>
                <c:pt idx="2">
                  <c:v>113.09733552923255</c:v>
                </c:pt>
                <c:pt idx="3">
                  <c:v>153.93804002589985</c:v>
                </c:pt>
                <c:pt idx="4">
                  <c:v>153.93804002589985</c:v>
                </c:pt>
                <c:pt idx="5">
                  <c:v>50.26548245743669</c:v>
                </c:pt>
                <c:pt idx="6">
                  <c:v>50.26548245743669</c:v>
                </c:pt>
                <c:pt idx="7">
                  <c:v>167.41547250980008</c:v>
                </c:pt>
                <c:pt idx="8">
                  <c:v>78.539816339744831</c:v>
                </c:pt>
                <c:pt idx="9">
                  <c:v>78.539816339744831</c:v>
                </c:pt>
                <c:pt idx="10">
                  <c:v>63.617251235193308</c:v>
                </c:pt>
                <c:pt idx="11">
                  <c:v>63.617251235193308</c:v>
                </c:pt>
                <c:pt idx="12">
                  <c:v>63.617251235193308</c:v>
                </c:pt>
                <c:pt idx="13">
                  <c:v>95.033177771091246</c:v>
                </c:pt>
                <c:pt idx="14">
                  <c:v>95.033177771091246</c:v>
                </c:pt>
                <c:pt idx="15">
                  <c:v>132.73228961416876</c:v>
                </c:pt>
                <c:pt idx="16">
                  <c:v>132.73228961416876</c:v>
                </c:pt>
                <c:pt idx="17">
                  <c:v>167.41547250980008</c:v>
                </c:pt>
                <c:pt idx="18">
                  <c:v>153.93804002589985</c:v>
                </c:pt>
                <c:pt idx="19">
                  <c:v>50.26548245743669</c:v>
                </c:pt>
                <c:pt idx="20">
                  <c:v>167.41547250980008</c:v>
                </c:pt>
              </c:numCache>
            </c:numRef>
          </c:xVal>
          <c:yVal>
            <c:numRef>
              <c:f>'Nozzle Analysis'!$O$2:$O$45</c:f>
              <c:numCache>
                <c:formatCode>#,#00</c:formatCode>
                <c:ptCount val="21"/>
                <c:pt idx="0">
                  <c:v>8.8000000000000007</c:v>
                </c:pt>
                <c:pt idx="1">
                  <c:v>9.9</c:v>
                </c:pt>
                <c:pt idx="2">
                  <c:v>10.4</c:v>
                </c:pt>
                <c:pt idx="3">
                  <c:v>15.4</c:v>
                </c:pt>
                <c:pt idx="4">
                  <c:v>15.4</c:v>
                </c:pt>
                <c:pt idx="5">
                  <c:v>3.9</c:v>
                </c:pt>
                <c:pt idx="6">
                  <c:v>4.0999999999999996</c:v>
                </c:pt>
                <c:pt idx="7">
                  <c:v>17</c:v>
                </c:pt>
                <c:pt idx="8" formatCode="General">
                  <c:v>6.9</c:v>
                </c:pt>
                <c:pt idx="9" formatCode="General">
                  <c:v>6.9</c:v>
                </c:pt>
                <c:pt idx="10" formatCode="General">
                  <c:v>5.3</c:v>
                </c:pt>
                <c:pt idx="11" formatCode="General">
                  <c:v>4.5</c:v>
                </c:pt>
                <c:pt idx="12" formatCode="General">
                  <c:v>5.5</c:v>
                </c:pt>
                <c:pt idx="13" formatCode="General">
                  <c:v>8.5</c:v>
                </c:pt>
                <c:pt idx="14" formatCode="General">
                  <c:v>8.4</c:v>
                </c:pt>
                <c:pt idx="15" formatCode="General">
                  <c:v>14.4</c:v>
                </c:pt>
                <c:pt idx="16" formatCode="General">
                  <c:v>13.5</c:v>
                </c:pt>
                <c:pt idx="17" formatCode="General">
                  <c:v>16.5</c:v>
                </c:pt>
                <c:pt idx="18" formatCode="General">
                  <c:v>15.6</c:v>
                </c:pt>
                <c:pt idx="19" formatCode="General">
                  <c:v>4.0999999999999996</c:v>
                </c:pt>
                <c:pt idx="20" formatCode="General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0-4F74-B12B-B2BBA72B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15728"/>
        <c:axId val="1778502000"/>
      </c:scatterChart>
      <c:valAx>
        <c:axId val="1778515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Nozzle</a:t>
                </a:r>
                <a:r>
                  <a:rPr lang="de-DE" baseline="0"/>
                  <a:t> cross section (mm</a:t>
                </a:r>
                <a:r>
                  <a:rPr lang="de-DE" baseline="30000"/>
                  <a:t>2</a:t>
                </a:r>
                <a:r>
                  <a:rPr lang="de-DE" baseline="0"/>
                  <a:t>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.##000_);_(* \(#.##0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02000"/>
        <c:crosses val="autoZero"/>
        <c:crossBetween val="midCat"/>
      </c:valAx>
      <c:valAx>
        <c:axId val="1778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acceleration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157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</a:rPr>
              <a:t>Top </a:t>
            </a:r>
            <a:r>
              <a:rPr lang="en-US" sz="1400" b="1" baseline="0">
                <a:solidFill>
                  <a:schemeClr val="accent1"/>
                </a:solidFill>
              </a:rPr>
              <a:t> Speed </a:t>
            </a:r>
            <a:r>
              <a:rPr lang="en-US" sz="1400" b="1">
                <a:solidFill>
                  <a:schemeClr val="accent1"/>
                </a:solidFill>
              </a:rPr>
              <a:t>vs Nozzle cross section at 40 psi launch pressure and 1/3</a:t>
            </a:r>
            <a:r>
              <a:rPr lang="en-US" sz="1400" b="1" baseline="0">
                <a:solidFill>
                  <a:schemeClr val="accent1"/>
                </a:solidFill>
              </a:rPr>
              <a:t> water </a:t>
            </a:r>
            <a:endParaRPr lang="en-US" sz="14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'Nozzle Analysis'!$L$1</c:f>
              <c:strCache>
                <c:ptCount val="1"/>
                <c:pt idx="0">
                  <c:v>top speed (miles/hour)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'Nozzle Analysis'!$E$2:$E$35</c:f>
              <c:numCache>
                <c:formatCode>_(* #.##000_);_(* \(#.##000\);_(* "-"??_);_(@_)</c:formatCode>
                <c:ptCount val="21"/>
                <c:pt idx="0">
                  <c:v>113.09733552923255</c:v>
                </c:pt>
                <c:pt idx="1">
                  <c:v>113.09733552923255</c:v>
                </c:pt>
                <c:pt idx="2">
                  <c:v>113.09733552923255</c:v>
                </c:pt>
                <c:pt idx="3">
                  <c:v>153.93804002589985</c:v>
                </c:pt>
                <c:pt idx="4">
                  <c:v>153.93804002589985</c:v>
                </c:pt>
                <c:pt idx="5">
                  <c:v>50.26548245743669</c:v>
                </c:pt>
                <c:pt idx="6">
                  <c:v>50.26548245743669</c:v>
                </c:pt>
                <c:pt idx="7">
                  <c:v>167.41547250980008</c:v>
                </c:pt>
                <c:pt idx="8">
                  <c:v>78.539816339744831</c:v>
                </c:pt>
                <c:pt idx="9">
                  <c:v>78.539816339744831</c:v>
                </c:pt>
                <c:pt idx="10">
                  <c:v>63.617251235193308</c:v>
                </c:pt>
                <c:pt idx="11">
                  <c:v>63.617251235193308</c:v>
                </c:pt>
                <c:pt idx="12">
                  <c:v>63.617251235193308</c:v>
                </c:pt>
                <c:pt idx="13">
                  <c:v>95.033177771091246</c:v>
                </c:pt>
                <c:pt idx="14">
                  <c:v>95.033177771091246</c:v>
                </c:pt>
                <c:pt idx="15">
                  <c:v>132.73228961416876</c:v>
                </c:pt>
                <c:pt idx="16">
                  <c:v>132.73228961416876</c:v>
                </c:pt>
                <c:pt idx="17">
                  <c:v>167.41547250980008</c:v>
                </c:pt>
                <c:pt idx="18">
                  <c:v>153.93804002589985</c:v>
                </c:pt>
                <c:pt idx="19">
                  <c:v>50.26548245743669</c:v>
                </c:pt>
                <c:pt idx="20">
                  <c:v>167.41547250980008</c:v>
                </c:pt>
              </c:numCache>
            </c:numRef>
          </c:xVal>
          <c:yVal>
            <c:numRef>
              <c:f>'Nozzle Analysis'!$L$2:$L$35</c:f>
              <c:numCache>
                <c:formatCode>General</c:formatCode>
                <c:ptCount val="21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83</c:v>
                </c:pt>
                <c:pt idx="4">
                  <c:v>79</c:v>
                </c:pt>
                <c:pt idx="5">
                  <c:v>59</c:v>
                </c:pt>
                <c:pt idx="6">
                  <c:v>59</c:v>
                </c:pt>
                <c:pt idx="7">
                  <c:v>79</c:v>
                </c:pt>
                <c:pt idx="8">
                  <c:v>71</c:v>
                </c:pt>
                <c:pt idx="9">
                  <c:v>75</c:v>
                </c:pt>
                <c:pt idx="10">
                  <c:v>68</c:v>
                </c:pt>
                <c:pt idx="11">
                  <c:v>56</c:v>
                </c:pt>
                <c:pt idx="12">
                  <c:v>74</c:v>
                </c:pt>
                <c:pt idx="13">
                  <c:v>71</c:v>
                </c:pt>
                <c:pt idx="14">
                  <c:v>70</c:v>
                </c:pt>
                <c:pt idx="15">
                  <c:v>81</c:v>
                </c:pt>
                <c:pt idx="16">
                  <c:v>82</c:v>
                </c:pt>
                <c:pt idx="17">
                  <c:v>75</c:v>
                </c:pt>
                <c:pt idx="18">
                  <c:v>79</c:v>
                </c:pt>
                <c:pt idx="19">
                  <c:v>68</c:v>
                </c:pt>
                <c:pt idx="20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9-4AC6-9B65-9844B498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15728"/>
        <c:axId val="1778502000"/>
      </c:scatterChart>
      <c:valAx>
        <c:axId val="1778515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Nozzle</a:t>
                </a:r>
                <a:r>
                  <a:rPr lang="de-DE" baseline="0"/>
                  <a:t> cross section (mm</a:t>
                </a:r>
                <a:r>
                  <a:rPr lang="de-DE" baseline="30000"/>
                  <a:t>2</a:t>
                </a:r>
                <a:r>
                  <a:rPr lang="de-DE" baseline="0"/>
                  <a:t>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.##000_);_(* \(#.##0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02000"/>
        <c:crosses val="autoZero"/>
        <c:crossBetween val="midCat"/>
      </c:valAx>
      <c:valAx>
        <c:axId val="1778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Top Speed (miles/hour)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157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</a:rPr>
              <a:t>Coast</a:t>
            </a:r>
            <a:r>
              <a:rPr lang="en-US" sz="1400" b="1" baseline="0">
                <a:solidFill>
                  <a:schemeClr val="accent1"/>
                </a:solidFill>
              </a:rPr>
              <a:t> to Apogee </a:t>
            </a:r>
            <a:r>
              <a:rPr lang="en-US" sz="1400" b="1">
                <a:solidFill>
                  <a:schemeClr val="accent1"/>
                </a:solidFill>
              </a:rPr>
              <a:t>vs Nozzle cross section at 40 psi launch pressure and 1/3</a:t>
            </a:r>
            <a:r>
              <a:rPr lang="en-US" sz="1400" b="1" baseline="0">
                <a:solidFill>
                  <a:schemeClr val="accent1"/>
                </a:solidFill>
              </a:rPr>
              <a:t> water </a:t>
            </a:r>
            <a:endParaRPr lang="en-US" sz="14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'Nozzle Analysis'!$P$1</c:f>
              <c:strCache>
                <c:ptCount val="1"/>
                <c:pt idx="0">
                  <c:v>Coast to Apogee (s)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'Nozzle Analysis'!$E$2:$E$45</c:f>
              <c:numCache>
                <c:formatCode>_(* #.##000_);_(* \(#.##000\);_(* "-"??_);_(@_)</c:formatCode>
                <c:ptCount val="21"/>
                <c:pt idx="0">
                  <c:v>113.09733552923255</c:v>
                </c:pt>
                <c:pt idx="1">
                  <c:v>113.09733552923255</c:v>
                </c:pt>
                <c:pt idx="2">
                  <c:v>113.09733552923255</c:v>
                </c:pt>
                <c:pt idx="3">
                  <c:v>153.93804002589985</c:v>
                </c:pt>
                <c:pt idx="4">
                  <c:v>153.93804002589985</c:v>
                </c:pt>
                <c:pt idx="5">
                  <c:v>50.26548245743669</c:v>
                </c:pt>
                <c:pt idx="6">
                  <c:v>50.26548245743669</c:v>
                </c:pt>
                <c:pt idx="7">
                  <c:v>167.41547250980008</c:v>
                </c:pt>
                <c:pt idx="8">
                  <c:v>78.539816339744831</c:v>
                </c:pt>
                <c:pt idx="9">
                  <c:v>78.539816339744831</c:v>
                </c:pt>
                <c:pt idx="10">
                  <c:v>63.617251235193308</c:v>
                </c:pt>
                <c:pt idx="11">
                  <c:v>63.617251235193308</c:v>
                </c:pt>
                <c:pt idx="12">
                  <c:v>63.617251235193308</c:v>
                </c:pt>
                <c:pt idx="13">
                  <c:v>95.033177771091246</c:v>
                </c:pt>
                <c:pt idx="14">
                  <c:v>95.033177771091246</c:v>
                </c:pt>
                <c:pt idx="15">
                  <c:v>132.73228961416876</c:v>
                </c:pt>
                <c:pt idx="16">
                  <c:v>132.73228961416876</c:v>
                </c:pt>
                <c:pt idx="17">
                  <c:v>167.41547250980008</c:v>
                </c:pt>
                <c:pt idx="18">
                  <c:v>153.93804002589985</c:v>
                </c:pt>
                <c:pt idx="19">
                  <c:v>50.26548245743669</c:v>
                </c:pt>
                <c:pt idx="20">
                  <c:v>167.41547250980008</c:v>
                </c:pt>
              </c:numCache>
            </c:numRef>
          </c:xVal>
          <c:yVal>
            <c:numRef>
              <c:f>'Nozzle Analysis'!$P$2:$P$45</c:f>
              <c:numCache>
                <c:formatCode>#,#00</c:formatCode>
                <c:ptCount val="21"/>
                <c:pt idx="0">
                  <c:v>1.9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2.7</c:v>
                </c:pt>
                <c:pt idx="4">
                  <c:v>2.6</c:v>
                </c:pt>
                <c:pt idx="5">
                  <c:v>2</c:v>
                </c:pt>
                <c:pt idx="6">
                  <c:v>1.7</c:v>
                </c:pt>
                <c:pt idx="7">
                  <c:v>2.6</c:v>
                </c:pt>
                <c:pt idx="8" formatCode="General">
                  <c:v>2.4</c:v>
                </c:pt>
                <c:pt idx="9" formatCode="General">
                  <c:v>2.2999999999999998</c:v>
                </c:pt>
                <c:pt idx="10" formatCode="General">
                  <c:v>1.8</c:v>
                </c:pt>
                <c:pt idx="11" formatCode="General">
                  <c:v>1.6</c:v>
                </c:pt>
                <c:pt idx="12" formatCode="General">
                  <c:v>1.7</c:v>
                </c:pt>
                <c:pt idx="13" formatCode="General">
                  <c:v>2.2999999999999998</c:v>
                </c:pt>
                <c:pt idx="14" formatCode="General">
                  <c:v>2.5</c:v>
                </c:pt>
                <c:pt idx="15" formatCode="General">
                  <c:v>2.4</c:v>
                </c:pt>
                <c:pt idx="16" formatCode="General">
                  <c:v>2.7</c:v>
                </c:pt>
                <c:pt idx="17" formatCode="General">
                  <c:v>2.6</c:v>
                </c:pt>
                <c:pt idx="18" formatCode="General">
                  <c:v>2.2999999999999998</c:v>
                </c:pt>
                <c:pt idx="19" formatCode="General">
                  <c:v>0.1</c:v>
                </c:pt>
                <c:pt idx="20" formatCode="General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1-4B19-BE62-620D658D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15728"/>
        <c:axId val="1778502000"/>
      </c:scatterChart>
      <c:valAx>
        <c:axId val="1778515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Nozzle</a:t>
                </a:r>
                <a:r>
                  <a:rPr lang="de-DE" baseline="0"/>
                  <a:t> cross section (mm</a:t>
                </a:r>
                <a:r>
                  <a:rPr lang="de-DE" baseline="30000"/>
                  <a:t>2</a:t>
                </a:r>
                <a:r>
                  <a:rPr lang="de-DE" baseline="0"/>
                  <a:t>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.##000_);_(* \(#.##0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02000"/>
        <c:crosses val="autoZero"/>
        <c:crossBetween val="midCat"/>
      </c:valAx>
      <c:valAx>
        <c:axId val="1778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Coast to Apogee</a:t>
                </a:r>
                <a:r>
                  <a:rPr lang="de-DE" baseline="0"/>
                  <a:t> (s)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157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</a:rPr>
              <a:t>Altitude</a:t>
            </a:r>
            <a:r>
              <a:rPr lang="en-US" sz="1400" b="1" baseline="0">
                <a:solidFill>
                  <a:schemeClr val="accent1"/>
                </a:solidFill>
              </a:rPr>
              <a:t> to Apogee </a:t>
            </a:r>
            <a:r>
              <a:rPr lang="en-US" sz="1400" b="1">
                <a:solidFill>
                  <a:schemeClr val="accent1"/>
                </a:solidFill>
              </a:rPr>
              <a:t>vs Nozzle cross section at 40 psi launch pressure and 1/3</a:t>
            </a:r>
            <a:r>
              <a:rPr lang="en-US" sz="1400" b="1" baseline="0">
                <a:solidFill>
                  <a:schemeClr val="accent1"/>
                </a:solidFill>
              </a:rPr>
              <a:t> water </a:t>
            </a:r>
            <a:endParaRPr lang="en-US" sz="14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'Nozzle Analysis'!$K$1</c:f>
              <c:strCache>
                <c:ptCount val="1"/>
                <c:pt idx="0">
                  <c:v>altitude (ft)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'Nozzle Analysis'!$E$2:$E$45</c:f>
              <c:numCache>
                <c:formatCode>_(* #.##000_);_(* \(#.##000\);_(* "-"??_);_(@_)</c:formatCode>
                <c:ptCount val="21"/>
                <c:pt idx="0">
                  <c:v>113.09733552923255</c:v>
                </c:pt>
                <c:pt idx="1">
                  <c:v>113.09733552923255</c:v>
                </c:pt>
                <c:pt idx="2">
                  <c:v>113.09733552923255</c:v>
                </c:pt>
                <c:pt idx="3">
                  <c:v>153.93804002589985</c:v>
                </c:pt>
                <c:pt idx="4">
                  <c:v>153.93804002589985</c:v>
                </c:pt>
                <c:pt idx="5">
                  <c:v>50.26548245743669</c:v>
                </c:pt>
                <c:pt idx="6">
                  <c:v>50.26548245743669</c:v>
                </c:pt>
                <c:pt idx="7">
                  <c:v>167.41547250980008</c:v>
                </c:pt>
                <c:pt idx="8">
                  <c:v>78.539816339744831</c:v>
                </c:pt>
                <c:pt idx="9">
                  <c:v>78.539816339744831</c:v>
                </c:pt>
                <c:pt idx="10">
                  <c:v>63.617251235193308</c:v>
                </c:pt>
                <c:pt idx="11">
                  <c:v>63.617251235193308</c:v>
                </c:pt>
                <c:pt idx="12">
                  <c:v>63.617251235193308</c:v>
                </c:pt>
                <c:pt idx="13">
                  <c:v>95.033177771091246</c:v>
                </c:pt>
                <c:pt idx="14">
                  <c:v>95.033177771091246</c:v>
                </c:pt>
                <c:pt idx="15">
                  <c:v>132.73228961416876</c:v>
                </c:pt>
                <c:pt idx="16">
                  <c:v>132.73228961416876</c:v>
                </c:pt>
                <c:pt idx="17">
                  <c:v>167.41547250980008</c:v>
                </c:pt>
                <c:pt idx="18">
                  <c:v>153.93804002589985</c:v>
                </c:pt>
                <c:pt idx="19">
                  <c:v>50.26548245743669</c:v>
                </c:pt>
                <c:pt idx="20">
                  <c:v>167.41547250980008</c:v>
                </c:pt>
              </c:numCache>
            </c:numRef>
          </c:xVal>
          <c:yVal>
            <c:numRef>
              <c:f>'Nozzle Analysis'!$K$2:$K$45</c:f>
              <c:numCache>
                <c:formatCode>General</c:formatCode>
                <c:ptCount val="21"/>
                <c:pt idx="0">
                  <c:v>97</c:v>
                </c:pt>
                <c:pt idx="1">
                  <c:v>110</c:v>
                </c:pt>
                <c:pt idx="2">
                  <c:v>106</c:v>
                </c:pt>
                <c:pt idx="3">
                  <c:v>124</c:v>
                </c:pt>
                <c:pt idx="4">
                  <c:v>109</c:v>
                </c:pt>
                <c:pt idx="5">
                  <c:v>91</c:v>
                </c:pt>
                <c:pt idx="6">
                  <c:v>78</c:v>
                </c:pt>
                <c:pt idx="7">
                  <c:v>131</c:v>
                </c:pt>
                <c:pt idx="8">
                  <c:v>116</c:v>
                </c:pt>
                <c:pt idx="9">
                  <c:v>115</c:v>
                </c:pt>
                <c:pt idx="10">
                  <c:v>75</c:v>
                </c:pt>
                <c:pt idx="11">
                  <c:v>61</c:v>
                </c:pt>
                <c:pt idx="12">
                  <c:v>67</c:v>
                </c:pt>
                <c:pt idx="13">
                  <c:v>102</c:v>
                </c:pt>
                <c:pt idx="14">
                  <c:v>106</c:v>
                </c:pt>
                <c:pt idx="15">
                  <c:v>106</c:v>
                </c:pt>
                <c:pt idx="16">
                  <c:v>102</c:v>
                </c:pt>
                <c:pt idx="17">
                  <c:v>121</c:v>
                </c:pt>
                <c:pt idx="18">
                  <c:v>111</c:v>
                </c:pt>
                <c:pt idx="19">
                  <c:v>49</c:v>
                </c:pt>
                <c:pt idx="20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3-4EFD-8109-DD41BDA4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15728"/>
        <c:axId val="1778502000"/>
      </c:scatterChart>
      <c:valAx>
        <c:axId val="17785157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Nozzle</a:t>
                </a:r>
                <a:r>
                  <a:rPr lang="de-DE" baseline="0"/>
                  <a:t> cross section (mm</a:t>
                </a:r>
                <a:r>
                  <a:rPr lang="de-DE" baseline="30000"/>
                  <a:t>2</a:t>
                </a:r>
                <a:r>
                  <a:rPr lang="de-DE" baseline="0"/>
                  <a:t>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.##000_);_(* \(#.##0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02000"/>
        <c:crosses val="autoZero"/>
        <c:crossBetween val="midCat"/>
      </c:valAx>
      <c:valAx>
        <c:axId val="1778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85157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304801</xdr:colOff>
      <xdr:row>39</xdr:row>
      <xdr:rowOff>57156</xdr:rowOff>
    </xdr:from>
    <xdr:to>
      <xdr:col>16</xdr:col>
      <xdr:colOff>533401</xdr:colOff>
      <xdr:row>55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2C9CF1-374F-E947-060F-4379087A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995362</xdr:colOff>
      <xdr:row>39</xdr:row>
      <xdr:rowOff>161931</xdr:rowOff>
    </xdr:from>
    <xdr:to>
      <xdr:col>25</xdr:col>
      <xdr:colOff>176212</xdr:colOff>
      <xdr:row>54</xdr:row>
      <xdr:rowOff>47631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884135-5437-D24C-FBC6-5079CC884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681036</xdr:colOff>
      <xdr:row>38</xdr:row>
      <xdr:rowOff>161931</xdr:rowOff>
    </xdr:from>
    <xdr:to>
      <xdr:col>29</xdr:col>
      <xdr:colOff>247649</xdr:colOff>
      <xdr:row>54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8A2BEC-092A-CD62-BAC4-32155F64E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258913</xdr:colOff>
      <xdr:row>44</xdr:row>
      <xdr:rowOff>20223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B5AB4-5BD3-4BAF-828F-76CB67CA7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50913" cy="8402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49</xdr:row>
      <xdr:rowOff>52386</xdr:rowOff>
    </xdr:from>
    <xdr:to>
      <xdr:col>10</xdr:col>
      <xdr:colOff>161924</xdr:colOff>
      <xdr:row>72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082D5-76C5-56AE-AB84-8232A2DBD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49</xdr:row>
      <xdr:rowOff>38100</xdr:rowOff>
    </xdr:from>
    <xdr:to>
      <xdr:col>18</xdr:col>
      <xdr:colOff>485775</xdr:colOff>
      <xdr:row>72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EC19D-1C5B-4989-A9BF-FBB170A58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73</xdr:row>
      <xdr:rowOff>76200</xdr:rowOff>
    </xdr:from>
    <xdr:to>
      <xdr:col>10</xdr:col>
      <xdr:colOff>161925</xdr:colOff>
      <xdr:row>96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F7161-387A-46C6-9D22-D4899E449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552450</xdr:colOff>
      <xdr:row>73</xdr:row>
      <xdr:rowOff>76200</xdr:rowOff>
    </xdr:from>
    <xdr:to>
      <xdr:col>18</xdr:col>
      <xdr:colOff>476250</xdr:colOff>
      <xdr:row>96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22589-E7C8-454C-A490-6C1ACEE7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142875</xdr:colOff>
      <xdr:row>97</xdr:row>
      <xdr:rowOff>171450</xdr:rowOff>
    </xdr:from>
    <xdr:to>
      <xdr:col>10</xdr:col>
      <xdr:colOff>152400</xdr:colOff>
      <xdr:row>122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A810C4-EC8C-4577-BC03-2B4A15FC3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476250</xdr:colOff>
      <xdr:row>98</xdr:row>
      <xdr:rowOff>152400</xdr:rowOff>
    </xdr:from>
    <xdr:to>
      <xdr:col>18</xdr:col>
      <xdr:colOff>514350</xdr:colOff>
      <xdr:row>123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58B191-61B7-4CA3-A854-35B53DFD2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50</xdr:row>
      <xdr:rowOff>14286</xdr:rowOff>
    </xdr:from>
    <xdr:to>
      <xdr:col>10</xdr:col>
      <xdr:colOff>619124</xdr:colOff>
      <xdr:row>74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25F02-4AC0-43CE-BA6B-E79F91C04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19</xdr:col>
      <xdr:colOff>190500</xdr:colOff>
      <xdr:row>74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BB856-5C0B-4FB7-B1EB-BC5AC7D0B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10</xdr:col>
      <xdr:colOff>485775</xdr:colOff>
      <xdr:row>100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A48D9-3CC4-4FBD-B3C7-1EE727AF4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19</xdr:col>
      <xdr:colOff>190500</xdr:colOff>
      <xdr:row>100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F1A522-5E23-4958-BF02-4976CE73F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10</xdr:col>
      <xdr:colOff>485775</xdr:colOff>
      <xdr:row>125</xdr:row>
      <xdr:rowOff>100013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2ABD1-AE5D-4015-A096-4252DD466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19</xdr:col>
      <xdr:colOff>190500</xdr:colOff>
      <xdr:row>125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F8A9B8-5FC3-4D80-9254-E6192B3B3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238124</xdr:colOff>
      <xdr:row>49</xdr:row>
      <xdr:rowOff>14287</xdr:rowOff>
    </xdr:from>
    <xdr:to>
      <xdr:col>31</xdr:col>
      <xdr:colOff>380999</xdr:colOff>
      <xdr:row>71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1019C-FC50-CE37-E50E-D186F0BA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50</xdr:row>
      <xdr:rowOff>14286</xdr:rowOff>
    </xdr:from>
    <xdr:to>
      <xdr:col>10</xdr:col>
      <xdr:colOff>619124</xdr:colOff>
      <xdr:row>74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BA4DF-DC8E-3145-B645-78379B9C5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19</xdr:col>
      <xdr:colOff>190500</xdr:colOff>
      <xdr:row>74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825DA-52A1-45AA-80BE-FB1C327B6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10</xdr:col>
      <xdr:colOff>485775</xdr:colOff>
      <xdr:row>100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D47497-D006-4CC3-AFEB-1FBB7BABA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19</xdr:col>
      <xdr:colOff>190500</xdr:colOff>
      <xdr:row>100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34D90A-F5D8-4A74-A05A-AF492740D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10</xdr:col>
      <xdr:colOff>485775</xdr:colOff>
      <xdr:row>125</xdr:row>
      <xdr:rowOff>100013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95F6A2-439C-4314-A3EF-159A87A1B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19</xdr:col>
      <xdr:colOff>190500</xdr:colOff>
      <xdr:row>125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1550F-035E-406E-A146-FF95D481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238124</xdr:colOff>
      <xdr:row>49</xdr:row>
      <xdr:rowOff>14287</xdr:rowOff>
    </xdr:from>
    <xdr:to>
      <xdr:col>34</xdr:col>
      <xdr:colOff>514349</xdr:colOff>
      <xdr:row>73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76F89A-56BE-B2F0-B49C-19871B8D2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0CC5-5588-47C7-894B-DDC61C508B49}">
  <dimension ref="A1:B1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5" bestFit="1" customWidth="1"/>
    <col min="2" max="2" width="14.6640625" bestFit="1" customWidth="1"/>
  </cols>
  <sheetData>
    <row r="1" spans="1:2" x14ac:dyDescent="0.2">
      <c r="A1" t="s">
        <v>0</v>
      </c>
    </row>
    <row r="3" spans="1:2" x14ac:dyDescent="0.2">
      <c r="A3" s="3" t="s">
        <v>1</v>
      </c>
      <c r="B3" s="3" t="s">
        <v>4</v>
      </c>
    </row>
    <row r="4" spans="1:2" x14ac:dyDescent="0.2">
      <c r="A4" s="1" t="s">
        <v>2</v>
      </c>
      <c r="B4" s="2">
        <v>14.6</v>
      </c>
    </row>
    <row r="5" spans="1:2" x14ac:dyDescent="0.2">
      <c r="A5" s="4" t="s">
        <v>3</v>
      </c>
      <c r="B5" s="2">
        <v>14</v>
      </c>
    </row>
    <row r="6" spans="1:2" x14ac:dyDescent="0.2">
      <c r="A6" s="5" t="s">
        <v>5</v>
      </c>
      <c r="B6" s="2">
        <v>13</v>
      </c>
    </row>
    <row r="7" spans="1:2" x14ac:dyDescent="0.2">
      <c r="A7" s="6" t="s">
        <v>6</v>
      </c>
      <c r="B7" s="2">
        <v>12</v>
      </c>
    </row>
    <row r="8" spans="1:2" x14ac:dyDescent="0.2">
      <c r="A8" s="1" t="s">
        <v>7</v>
      </c>
      <c r="B8" s="2">
        <v>11</v>
      </c>
    </row>
    <row r="9" spans="1:2" x14ac:dyDescent="0.2">
      <c r="A9" s="7" t="s">
        <v>8</v>
      </c>
      <c r="B9" s="2">
        <v>10</v>
      </c>
    </row>
    <row r="10" spans="1:2" x14ac:dyDescent="0.2">
      <c r="A10" s="8" t="s">
        <v>9</v>
      </c>
      <c r="B10" s="2">
        <v>9</v>
      </c>
    </row>
    <row r="11" spans="1:2" x14ac:dyDescent="0.2">
      <c r="A11" s="9" t="s">
        <v>10</v>
      </c>
      <c r="B11" s="2">
        <v>8</v>
      </c>
    </row>
    <row r="12" spans="1:2" x14ac:dyDescent="0.2">
      <c r="A12" s="69" t="s">
        <v>35</v>
      </c>
      <c r="B12" s="2">
        <v>7</v>
      </c>
    </row>
    <row r="13" spans="1:2" x14ac:dyDescent="0.2">
      <c r="A13" s="10" t="s">
        <v>11</v>
      </c>
      <c r="B13" s="2">
        <v>6</v>
      </c>
    </row>
    <row r="14" spans="1:2" x14ac:dyDescent="0.2">
      <c r="A14" s="5" t="s">
        <v>5</v>
      </c>
      <c r="B14" s="2">
        <v>4</v>
      </c>
    </row>
    <row r="15" spans="1:2" x14ac:dyDescent="0.2">
      <c r="A15" s="1" t="s">
        <v>7</v>
      </c>
      <c r="B15" s="2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C916-8FF8-4693-8FD3-B76D786FFD6B}">
  <sheetPr filterMode="1"/>
  <dimension ref="A1:P48"/>
  <sheetViews>
    <sheetView topLeftCell="E1" workbookViewId="0">
      <selection activeCell="AU58" sqref="AU58"/>
    </sheetView>
  </sheetViews>
  <sheetFormatPr baseColWidth="10" defaultColWidth="8.83203125" defaultRowHeight="15" x14ac:dyDescent="0.2"/>
  <cols>
    <col min="1" max="1" width="9.6640625" hidden="1" customWidth="1"/>
    <col min="2" max="2" width="5.5" hidden="1" customWidth="1"/>
    <col min="3" max="3" width="11.5" hidden="1" customWidth="1"/>
    <col min="4" max="4" width="20.6640625" hidden="1" customWidth="1"/>
    <col min="5" max="5" width="25.5" bestFit="1" customWidth="1"/>
    <col min="6" max="6" width="13.5" bestFit="1" customWidth="1"/>
    <col min="7" max="7" width="34.5" bestFit="1" customWidth="1"/>
    <col min="8" max="8" width="19.5" bestFit="1" customWidth="1"/>
    <col min="9" max="9" width="13.83203125" bestFit="1" customWidth="1"/>
    <col min="10" max="11" width="11.33203125" bestFit="1" customWidth="1"/>
    <col min="12" max="12" width="22" bestFit="1" customWidth="1"/>
    <col min="13" max="13" width="11.1640625" bestFit="1" customWidth="1"/>
    <col min="14" max="14" width="20.1640625" bestFit="1" customWidth="1"/>
    <col min="15" max="15" width="23.33203125" bestFit="1" customWidth="1"/>
    <col min="16" max="16" width="18.5" bestFit="1" customWidth="1"/>
  </cols>
  <sheetData>
    <row r="1" spans="1:16" x14ac:dyDescent="0.2">
      <c r="A1" s="16" t="s">
        <v>12</v>
      </c>
      <c r="B1" s="16" t="s">
        <v>13</v>
      </c>
      <c r="C1" s="16" t="s">
        <v>15</v>
      </c>
      <c r="D1" s="16" t="s">
        <v>16</v>
      </c>
      <c r="E1" s="16" t="s">
        <v>17</v>
      </c>
      <c r="F1" s="16" t="s">
        <v>14</v>
      </c>
      <c r="G1" s="16" t="s">
        <v>25</v>
      </c>
      <c r="H1" s="16" t="s">
        <v>30</v>
      </c>
      <c r="I1" s="16" t="s">
        <v>31</v>
      </c>
      <c r="J1" s="16" t="s">
        <v>23</v>
      </c>
      <c r="K1" s="16" t="s">
        <v>22</v>
      </c>
      <c r="L1" s="16" t="s">
        <v>26</v>
      </c>
      <c r="M1" s="16" t="s">
        <v>21</v>
      </c>
      <c r="N1" s="16" t="s">
        <v>19</v>
      </c>
      <c r="O1" s="16" t="s">
        <v>20</v>
      </c>
      <c r="P1" s="16" t="s">
        <v>24</v>
      </c>
    </row>
    <row r="2" spans="1:16" hidden="1" x14ac:dyDescent="0.2">
      <c r="A2" s="11">
        <v>44806</v>
      </c>
      <c r="B2" s="12">
        <v>0.67708333333333337</v>
      </c>
      <c r="C2" s="12" t="s">
        <v>2</v>
      </c>
      <c r="D2" s="2">
        <f>Nozzles!$B$4</f>
        <v>14.6</v>
      </c>
      <c r="E2" s="13">
        <f t="shared" ref="E2:E45" si="0">PI()*(D2/2)^2</f>
        <v>167.41547250980008</v>
      </c>
      <c r="F2" s="1">
        <v>40</v>
      </c>
      <c r="G2" s="1" t="s">
        <v>18</v>
      </c>
      <c r="H2" s="1" t="s">
        <v>18</v>
      </c>
      <c r="I2" s="1" t="s">
        <v>32</v>
      </c>
      <c r="J2" s="59">
        <v>5.4</v>
      </c>
      <c r="K2" s="1">
        <v>52</v>
      </c>
      <c r="L2" s="1">
        <v>76</v>
      </c>
      <c r="M2" s="1">
        <v>0.21</v>
      </c>
      <c r="N2" s="1">
        <v>21.4</v>
      </c>
      <c r="O2" s="59">
        <v>16.8</v>
      </c>
      <c r="P2" s="59">
        <v>1.2</v>
      </c>
    </row>
    <row r="3" spans="1:16" hidden="1" x14ac:dyDescent="0.2">
      <c r="A3" s="11">
        <v>44806</v>
      </c>
      <c r="B3" s="12">
        <v>0.81180555555555556</v>
      </c>
      <c r="C3" s="12" t="s">
        <v>2</v>
      </c>
      <c r="D3" s="2">
        <f>Nozzles!$B$4</f>
        <v>14.6</v>
      </c>
      <c r="E3" s="13">
        <f t="shared" si="0"/>
        <v>167.41547250980008</v>
      </c>
      <c r="F3" s="1">
        <v>40</v>
      </c>
      <c r="G3" s="1" t="s">
        <v>18</v>
      </c>
      <c r="H3" s="1" t="s">
        <v>18</v>
      </c>
      <c r="I3" s="1" t="s">
        <v>33</v>
      </c>
      <c r="J3" s="59">
        <v>4.9000000000000004</v>
      </c>
      <c r="K3" s="1">
        <v>59</v>
      </c>
      <c r="L3" s="1">
        <v>25</v>
      </c>
      <c r="M3" s="1">
        <v>0.79</v>
      </c>
      <c r="N3" s="1">
        <v>7.6</v>
      </c>
      <c r="O3" s="59">
        <v>1.4</v>
      </c>
      <c r="P3" s="59"/>
    </row>
    <row r="4" spans="1:16" hidden="1" x14ac:dyDescent="0.2">
      <c r="A4" s="17">
        <v>44806</v>
      </c>
      <c r="B4" s="18">
        <v>0.69513888888888886</v>
      </c>
      <c r="C4" s="18" t="s">
        <v>2</v>
      </c>
      <c r="D4" s="19">
        <f>Nozzles!$B$4</f>
        <v>14.6</v>
      </c>
      <c r="E4" s="20">
        <f t="shared" si="0"/>
        <v>167.41547250980008</v>
      </c>
      <c r="F4" s="21">
        <v>40</v>
      </c>
      <c r="G4" s="21" t="s">
        <v>18</v>
      </c>
      <c r="H4" s="21" t="s">
        <v>18</v>
      </c>
      <c r="I4" s="21" t="s">
        <v>32</v>
      </c>
      <c r="J4" s="60">
        <v>4.7</v>
      </c>
      <c r="K4" s="21">
        <v>56</v>
      </c>
      <c r="L4" s="21">
        <v>79</v>
      </c>
      <c r="M4" s="21">
        <v>0.22</v>
      </c>
      <c r="N4" s="21">
        <v>21.1</v>
      </c>
      <c r="O4" s="60">
        <v>16.5</v>
      </c>
      <c r="P4" s="60">
        <v>1.1000000000000001</v>
      </c>
    </row>
    <row r="5" spans="1:16" ht="16" hidden="1" thickBot="1" x14ac:dyDescent="0.25">
      <c r="A5" s="27">
        <v>44806</v>
      </c>
      <c r="B5" s="28">
        <v>0.71527777777777779</v>
      </c>
      <c r="C5" s="29" t="s">
        <v>11</v>
      </c>
      <c r="D5" s="30">
        <v>6</v>
      </c>
      <c r="E5" s="31">
        <f t="shared" si="0"/>
        <v>28.274333882308138</v>
      </c>
      <c r="F5" s="32">
        <v>60</v>
      </c>
      <c r="G5" s="32" t="s">
        <v>18</v>
      </c>
      <c r="H5" s="32" t="s">
        <v>18</v>
      </c>
      <c r="I5" s="32" t="s">
        <v>32</v>
      </c>
      <c r="J5" s="32">
        <v>5.4</v>
      </c>
      <c r="K5" s="32">
        <v>41</v>
      </c>
      <c r="L5" s="32">
        <v>64</v>
      </c>
      <c r="M5" s="32">
        <v>0.93</v>
      </c>
      <c r="N5" s="32">
        <v>11.3</v>
      </c>
      <c r="O5" s="66">
        <v>3.2</v>
      </c>
      <c r="P5" s="61">
        <v>2.1</v>
      </c>
    </row>
    <row r="6" spans="1:16" hidden="1" x14ac:dyDescent="0.2">
      <c r="A6" s="34">
        <v>44806</v>
      </c>
      <c r="B6" s="35">
        <v>0.7284722222222223</v>
      </c>
      <c r="C6" s="36" t="s">
        <v>6</v>
      </c>
      <c r="D6" s="37">
        <v>12</v>
      </c>
      <c r="E6" s="38">
        <f t="shared" si="0"/>
        <v>113.09733552923255</v>
      </c>
      <c r="F6" s="39">
        <v>40</v>
      </c>
      <c r="G6" s="39" t="s">
        <v>27</v>
      </c>
      <c r="H6" s="39" t="s">
        <v>18</v>
      </c>
      <c r="I6" s="39" t="s">
        <v>34</v>
      </c>
      <c r="J6" s="67">
        <v>7.4</v>
      </c>
      <c r="K6" s="39">
        <v>97</v>
      </c>
      <c r="L6" s="39">
        <v>75</v>
      </c>
      <c r="M6" s="39">
        <v>0.39</v>
      </c>
      <c r="N6" s="39">
        <v>12.7</v>
      </c>
      <c r="O6" s="67">
        <v>8.8000000000000007</v>
      </c>
      <c r="P6" s="62">
        <v>1.9</v>
      </c>
    </row>
    <row r="7" spans="1:16" hidden="1" x14ac:dyDescent="0.2">
      <c r="A7" s="40">
        <v>44806</v>
      </c>
      <c r="B7" s="12">
        <v>0.73333333333333339</v>
      </c>
      <c r="C7" s="15" t="s">
        <v>6</v>
      </c>
      <c r="D7" s="2">
        <v>12</v>
      </c>
      <c r="E7" s="13">
        <f t="shared" si="0"/>
        <v>113.09733552923255</v>
      </c>
      <c r="F7" s="1">
        <v>40</v>
      </c>
      <c r="G7" s="1" t="s">
        <v>27</v>
      </c>
      <c r="H7" s="1" t="s">
        <v>18</v>
      </c>
      <c r="I7" s="1" t="s">
        <v>34</v>
      </c>
      <c r="J7" s="59">
        <v>8.1999999999999993</v>
      </c>
      <c r="K7" s="1">
        <v>110</v>
      </c>
      <c r="L7" s="1">
        <v>78</v>
      </c>
      <c r="M7" s="1">
        <v>0.36</v>
      </c>
      <c r="N7" s="1">
        <v>13.2</v>
      </c>
      <c r="O7" s="59">
        <v>9.9</v>
      </c>
      <c r="P7" s="63">
        <v>2.2000000000000002</v>
      </c>
    </row>
    <row r="8" spans="1:16" ht="16" hidden="1" thickBot="1" x14ac:dyDescent="0.25">
      <c r="A8" s="41">
        <v>44806</v>
      </c>
      <c r="B8" s="42">
        <v>0.73749999999999993</v>
      </c>
      <c r="C8" s="43" t="s">
        <v>6</v>
      </c>
      <c r="D8" s="44">
        <v>12</v>
      </c>
      <c r="E8" s="45">
        <f t="shared" si="0"/>
        <v>113.09733552923255</v>
      </c>
      <c r="F8" s="46">
        <v>40</v>
      </c>
      <c r="G8" s="46" t="s">
        <v>27</v>
      </c>
      <c r="H8" s="46" t="s">
        <v>18</v>
      </c>
      <c r="I8" s="46" t="s">
        <v>34</v>
      </c>
      <c r="J8" s="68">
        <v>5.7</v>
      </c>
      <c r="K8" s="46">
        <v>106</v>
      </c>
      <c r="L8" s="46">
        <v>79</v>
      </c>
      <c r="M8" s="46">
        <v>0.35</v>
      </c>
      <c r="N8" s="46">
        <v>12.8</v>
      </c>
      <c r="O8" s="68">
        <v>10.4</v>
      </c>
      <c r="P8" s="64">
        <v>2.2000000000000002</v>
      </c>
    </row>
    <row r="9" spans="1:16" hidden="1" x14ac:dyDescent="0.2">
      <c r="A9" s="22">
        <v>44806</v>
      </c>
      <c r="B9" s="23">
        <v>0.74305555555555547</v>
      </c>
      <c r="C9" s="33" t="s">
        <v>28</v>
      </c>
      <c r="D9" s="24">
        <v>14</v>
      </c>
      <c r="E9" s="25">
        <f t="shared" si="0"/>
        <v>153.93804002589985</v>
      </c>
      <c r="F9" s="26">
        <v>40</v>
      </c>
      <c r="G9" s="26" t="s">
        <v>27</v>
      </c>
      <c r="H9" s="26" t="s">
        <v>18</v>
      </c>
      <c r="I9" s="26" t="s">
        <v>34</v>
      </c>
      <c r="J9" s="65">
        <v>6.4</v>
      </c>
      <c r="K9" s="26">
        <v>124</v>
      </c>
      <c r="L9" s="26">
        <v>83</v>
      </c>
      <c r="M9" s="26">
        <v>0.25</v>
      </c>
      <c r="N9" s="26">
        <v>19.600000000000001</v>
      </c>
      <c r="O9" s="65">
        <v>15.4</v>
      </c>
      <c r="P9" s="65">
        <v>2.7</v>
      </c>
    </row>
    <row r="10" spans="1:16" hidden="1" x14ac:dyDescent="0.2">
      <c r="A10" s="17">
        <v>44806</v>
      </c>
      <c r="B10" s="47">
        <v>0.74861111111111101</v>
      </c>
      <c r="C10" s="48" t="s">
        <v>28</v>
      </c>
      <c r="D10" s="49">
        <v>14</v>
      </c>
      <c r="E10" s="50">
        <f t="shared" si="0"/>
        <v>153.93804002589985</v>
      </c>
      <c r="F10" s="51">
        <v>40</v>
      </c>
      <c r="G10" s="51" t="s">
        <v>27</v>
      </c>
      <c r="H10" s="51" t="s">
        <v>18</v>
      </c>
      <c r="I10" s="51" t="s">
        <v>34</v>
      </c>
      <c r="J10" s="60">
        <v>6.6</v>
      </c>
      <c r="K10" s="21">
        <v>109</v>
      </c>
      <c r="L10" s="21">
        <v>79</v>
      </c>
      <c r="M10" s="52">
        <v>0.24</v>
      </c>
      <c r="N10" s="21">
        <v>18.8</v>
      </c>
      <c r="O10" s="60">
        <v>15.4</v>
      </c>
      <c r="P10" s="60">
        <v>2.6</v>
      </c>
    </row>
    <row r="11" spans="1:16" hidden="1" x14ac:dyDescent="0.2">
      <c r="A11" s="34">
        <v>44806</v>
      </c>
      <c r="B11" s="35">
        <v>0.75347222222222221</v>
      </c>
      <c r="C11" s="53" t="s">
        <v>29</v>
      </c>
      <c r="D11" s="37">
        <v>8</v>
      </c>
      <c r="E11" s="38">
        <f t="shared" si="0"/>
        <v>50.26548245743669</v>
      </c>
      <c r="F11" s="39">
        <v>40</v>
      </c>
      <c r="G11" s="39" t="s">
        <v>27</v>
      </c>
      <c r="H11" s="39" t="s">
        <v>18</v>
      </c>
      <c r="I11" s="39" t="s">
        <v>34</v>
      </c>
      <c r="J11" s="67">
        <v>7.1</v>
      </c>
      <c r="K11" s="39">
        <v>91</v>
      </c>
      <c r="L11" s="39">
        <v>59</v>
      </c>
      <c r="M11" s="54">
        <v>0.7</v>
      </c>
      <c r="N11" s="39">
        <v>7.8</v>
      </c>
      <c r="O11" s="67">
        <v>3.9</v>
      </c>
      <c r="P11" s="62">
        <v>2</v>
      </c>
    </row>
    <row r="12" spans="1:16" ht="16" hidden="1" thickBot="1" x14ac:dyDescent="0.25">
      <c r="A12" s="41">
        <v>44806</v>
      </c>
      <c r="B12" s="42">
        <v>0.76041666666666663</v>
      </c>
      <c r="C12" s="55" t="s">
        <v>29</v>
      </c>
      <c r="D12" s="44">
        <v>8</v>
      </c>
      <c r="E12" s="45">
        <f t="shared" si="0"/>
        <v>50.26548245743669</v>
      </c>
      <c r="F12" s="46">
        <v>40</v>
      </c>
      <c r="G12" s="46" t="s">
        <v>27</v>
      </c>
      <c r="H12" s="46" t="s">
        <v>18</v>
      </c>
      <c r="I12" s="46" t="s">
        <v>34</v>
      </c>
      <c r="J12" s="68">
        <v>5.2</v>
      </c>
      <c r="K12" s="46">
        <v>78</v>
      </c>
      <c r="L12" s="46">
        <v>59</v>
      </c>
      <c r="M12" s="56">
        <v>0.65</v>
      </c>
      <c r="N12" s="46">
        <v>8.1</v>
      </c>
      <c r="O12" s="68">
        <v>4.0999999999999996</v>
      </c>
      <c r="P12" s="64">
        <v>1.7</v>
      </c>
    </row>
    <row r="13" spans="1:16" hidden="1" x14ac:dyDescent="0.2">
      <c r="A13" s="34">
        <v>44806</v>
      </c>
      <c r="B13" s="35">
        <v>0.76527777777777783</v>
      </c>
      <c r="C13" s="57" t="s">
        <v>11</v>
      </c>
      <c r="D13" s="37">
        <v>6</v>
      </c>
      <c r="E13" s="38">
        <f t="shared" si="0"/>
        <v>28.274333882308138</v>
      </c>
      <c r="F13" s="39">
        <v>40</v>
      </c>
      <c r="G13" s="39" t="s">
        <v>27</v>
      </c>
      <c r="H13" s="39" t="s">
        <v>27</v>
      </c>
      <c r="I13" s="39" t="s">
        <v>32</v>
      </c>
      <c r="J13" s="67">
        <v>2.2000000000000002</v>
      </c>
      <c r="K13" s="39">
        <v>32</v>
      </c>
      <c r="L13" s="39">
        <v>51</v>
      </c>
      <c r="M13" s="39">
        <v>1.27</v>
      </c>
      <c r="N13" s="39">
        <v>6.3</v>
      </c>
      <c r="O13" s="67">
        <v>1.8</v>
      </c>
      <c r="P13" s="62"/>
    </row>
    <row r="14" spans="1:16" hidden="1" x14ac:dyDescent="0.2">
      <c r="A14" s="40">
        <v>44806</v>
      </c>
      <c r="B14" s="12">
        <v>0.77083333333333337</v>
      </c>
      <c r="C14" s="14" t="s">
        <v>11</v>
      </c>
      <c r="D14" s="2">
        <v>6</v>
      </c>
      <c r="E14" s="13">
        <f t="shared" si="0"/>
        <v>28.274333882308138</v>
      </c>
      <c r="F14" s="1">
        <v>40</v>
      </c>
      <c r="G14" s="1" t="s">
        <v>27</v>
      </c>
      <c r="H14" s="1" t="s">
        <v>27</v>
      </c>
      <c r="I14" s="1" t="s">
        <v>32</v>
      </c>
      <c r="J14" s="59">
        <v>5.2</v>
      </c>
      <c r="K14" s="1">
        <v>44</v>
      </c>
      <c r="L14" s="1">
        <v>49</v>
      </c>
      <c r="M14" s="1">
        <v>1.6</v>
      </c>
      <c r="N14" s="1">
        <v>10.4</v>
      </c>
      <c r="O14" s="59">
        <v>2.1</v>
      </c>
      <c r="P14" s="63"/>
    </row>
    <row r="15" spans="1:16" ht="16" hidden="1" thickBot="1" x14ac:dyDescent="0.25">
      <c r="A15" s="41">
        <v>44806</v>
      </c>
      <c r="B15" s="42">
        <v>0.77569444444444446</v>
      </c>
      <c r="C15" s="58" t="s">
        <v>11</v>
      </c>
      <c r="D15" s="44">
        <v>6</v>
      </c>
      <c r="E15" s="45">
        <f t="shared" si="0"/>
        <v>28.274333882308138</v>
      </c>
      <c r="F15" s="46">
        <v>40</v>
      </c>
      <c r="G15" s="46" t="s">
        <v>27</v>
      </c>
      <c r="H15" s="46" t="s">
        <v>27</v>
      </c>
      <c r="I15" s="46" t="s">
        <v>33</v>
      </c>
      <c r="J15" s="68">
        <v>1.4</v>
      </c>
      <c r="K15" s="46">
        <v>28</v>
      </c>
      <c r="L15" s="46"/>
      <c r="M15" s="46">
        <v>1.24</v>
      </c>
      <c r="N15" s="46">
        <v>10.1</v>
      </c>
      <c r="O15" s="68"/>
      <c r="P15" s="64"/>
    </row>
    <row r="16" spans="1:16" ht="16" hidden="1" thickBot="1" x14ac:dyDescent="0.25">
      <c r="A16" s="27">
        <v>44806</v>
      </c>
      <c r="B16" s="28">
        <v>0.78125</v>
      </c>
      <c r="C16" s="32" t="s">
        <v>2</v>
      </c>
      <c r="D16" s="30">
        <f>Nozzles!$B$4</f>
        <v>14.6</v>
      </c>
      <c r="E16" s="31">
        <f t="shared" si="0"/>
        <v>167.41547250980008</v>
      </c>
      <c r="F16" s="32">
        <v>40</v>
      </c>
      <c r="G16" s="32" t="s">
        <v>27</v>
      </c>
      <c r="H16" s="32" t="s">
        <v>18</v>
      </c>
      <c r="I16" s="32" t="s">
        <v>34</v>
      </c>
      <c r="J16" s="66">
        <v>6.6</v>
      </c>
      <c r="K16" s="32">
        <v>131</v>
      </c>
      <c r="L16" s="32">
        <v>79</v>
      </c>
      <c r="M16" s="32">
        <v>0.21</v>
      </c>
      <c r="N16" s="32">
        <v>21.6</v>
      </c>
      <c r="O16" s="66">
        <v>17</v>
      </c>
      <c r="P16" s="61">
        <v>2.6</v>
      </c>
    </row>
    <row r="17" spans="1:16" x14ac:dyDescent="0.2">
      <c r="A17" s="11">
        <v>44809</v>
      </c>
      <c r="B17" s="12">
        <v>0.47083333333333338</v>
      </c>
      <c r="C17" s="70" t="s">
        <v>8</v>
      </c>
      <c r="D17" s="2">
        <v>10</v>
      </c>
      <c r="E17" s="13">
        <f t="shared" si="0"/>
        <v>78.539816339744831</v>
      </c>
      <c r="F17" s="1">
        <v>42</v>
      </c>
      <c r="G17" s="1" t="s">
        <v>27</v>
      </c>
      <c r="H17" s="1" t="s">
        <v>18</v>
      </c>
      <c r="I17" s="1" t="s">
        <v>34</v>
      </c>
      <c r="J17" s="1">
        <v>7.3</v>
      </c>
      <c r="K17" s="1">
        <v>118</v>
      </c>
      <c r="L17" s="1">
        <v>76</v>
      </c>
      <c r="M17" s="1">
        <v>0.48</v>
      </c>
      <c r="N17" s="1">
        <v>10.6</v>
      </c>
      <c r="O17" s="1">
        <v>7.3</v>
      </c>
      <c r="P17" s="1">
        <v>2.2000000000000002</v>
      </c>
    </row>
    <row r="18" spans="1:16" x14ac:dyDescent="0.2">
      <c r="A18" s="11">
        <v>44809</v>
      </c>
      <c r="B18" s="12">
        <v>0.48194444444444445</v>
      </c>
      <c r="C18" s="70" t="s">
        <v>8</v>
      </c>
      <c r="D18" s="2">
        <v>10</v>
      </c>
      <c r="E18" s="13">
        <f t="shared" si="0"/>
        <v>78.539816339744831</v>
      </c>
      <c r="F18" s="1">
        <v>40</v>
      </c>
      <c r="G18" s="1" t="s">
        <v>27</v>
      </c>
      <c r="H18" s="1" t="s">
        <v>18</v>
      </c>
      <c r="I18" s="1" t="s">
        <v>34</v>
      </c>
      <c r="J18" s="59">
        <v>10.7</v>
      </c>
      <c r="K18" s="1">
        <v>116</v>
      </c>
      <c r="L18" s="1">
        <v>71</v>
      </c>
      <c r="M18" s="1">
        <v>0.47</v>
      </c>
      <c r="N18" s="1">
        <v>9.6</v>
      </c>
      <c r="O18" s="1">
        <v>6.9</v>
      </c>
      <c r="P18" s="1">
        <v>2.4</v>
      </c>
    </row>
    <row r="19" spans="1:16" x14ac:dyDescent="0.2">
      <c r="A19" s="11">
        <v>44809</v>
      </c>
      <c r="B19" s="12">
        <v>0.48402777777777778</v>
      </c>
      <c r="C19" s="70" t="s">
        <v>8</v>
      </c>
      <c r="D19" s="2">
        <v>10</v>
      </c>
      <c r="E19" s="13">
        <f t="shared" si="0"/>
        <v>78.539816339744831</v>
      </c>
      <c r="F19" s="1">
        <v>40</v>
      </c>
      <c r="G19" s="1" t="s">
        <v>27</v>
      </c>
      <c r="H19" s="1" t="s">
        <v>18</v>
      </c>
      <c r="I19" s="1" t="s">
        <v>34</v>
      </c>
      <c r="J19" s="59">
        <v>6.6</v>
      </c>
      <c r="K19" s="1">
        <v>115</v>
      </c>
      <c r="L19" s="1">
        <v>75</v>
      </c>
      <c r="M19" s="1">
        <v>0.5</v>
      </c>
      <c r="N19" s="1">
        <v>9.1</v>
      </c>
      <c r="O19" s="1">
        <v>6.9</v>
      </c>
      <c r="P19" s="1">
        <v>2.2999999999999998</v>
      </c>
    </row>
    <row r="20" spans="1:16" hidden="1" x14ac:dyDescent="0.2">
      <c r="A20" s="11">
        <v>44809</v>
      </c>
      <c r="B20" s="12">
        <v>0.48888888888888887</v>
      </c>
      <c r="C20" s="71" t="s">
        <v>9</v>
      </c>
      <c r="D20" s="72">
        <v>9</v>
      </c>
      <c r="E20" s="13">
        <f t="shared" si="0"/>
        <v>63.617251235193308</v>
      </c>
      <c r="F20" s="1">
        <v>40</v>
      </c>
      <c r="G20" s="1" t="s">
        <v>27</v>
      </c>
      <c r="H20" s="1" t="s">
        <v>18</v>
      </c>
      <c r="I20" s="1" t="s">
        <v>32</v>
      </c>
      <c r="J20" s="59">
        <v>4.9000000000000004</v>
      </c>
      <c r="K20" s="1">
        <v>75</v>
      </c>
      <c r="L20" s="1">
        <v>68</v>
      </c>
      <c r="M20" s="1">
        <v>0.59</v>
      </c>
      <c r="N20" s="1">
        <v>7.2</v>
      </c>
      <c r="O20" s="1">
        <v>5.3</v>
      </c>
      <c r="P20" s="1">
        <v>1.8</v>
      </c>
    </row>
    <row r="21" spans="1:16" hidden="1" x14ac:dyDescent="0.2">
      <c r="A21" s="11">
        <v>44810</v>
      </c>
      <c r="B21" s="12">
        <v>0.64930555555555558</v>
      </c>
      <c r="C21" s="71" t="s">
        <v>9</v>
      </c>
      <c r="D21" s="72">
        <v>9</v>
      </c>
      <c r="E21" s="13">
        <f t="shared" si="0"/>
        <v>63.617251235193308</v>
      </c>
      <c r="F21" s="1">
        <v>40</v>
      </c>
      <c r="G21" s="1" t="s">
        <v>27</v>
      </c>
      <c r="H21" s="1" t="s">
        <v>18</v>
      </c>
      <c r="I21" s="1" t="s">
        <v>34</v>
      </c>
      <c r="J21" s="59">
        <v>5.7</v>
      </c>
      <c r="K21" s="1">
        <v>61</v>
      </c>
      <c r="L21" s="1">
        <v>56</v>
      </c>
      <c r="M21" s="1">
        <v>0.66</v>
      </c>
      <c r="N21" s="1">
        <v>6.5</v>
      </c>
      <c r="O21" s="1">
        <v>4.5</v>
      </c>
      <c r="P21" s="1">
        <v>1.6</v>
      </c>
    </row>
    <row r="22" spans="1:16" hidden="1" x14ac:dyDescent="0.2">
      <c r="A22" s="11">
        <v>44810</v>
      </c>
      <c r="B22" s="12">
        <v>0.65555555555555556</v>
      </c>
      <c r="C22" s="71" t="s">
        <v>9</v>
      </c>
      <c r="D22" s="72">
        <v>9</v>
      </c>
      <c r="E22" s="13">
        <f t="shared" si="0"/>
        <v>63.617251235193308</v>
      </c>
      <c r="F22" s="1">
        <v>40</v>
      </c>
      <c r="G22" s="1" t="s">
        <v>27</v>
      </c>
      <c r="H22" s="1" t="s">
        <v>18</v>
      </c>
      <c r="I22" s="1" t="s">
        <v>34</v>
      </c>
      <c r="J22" s="59">
        <v>5.0999999999999996</v>
      </c>
      <c r="K22" s="1">
        <v>67</v>
      </c>
      <c r="L22" s="1">
        <v>74</v>
      </c>
      <c r="M22" s="1">
        <v>0.62</v>
      </c>
      <c r="N22" s="1">
        <v>10.16</v>
      </c>
      <c r="O22" s="1">
        <v>5.5</v>
      </c>
      <c r="P22" s="1">
        <v>1.7</v>
      </c>
    </row>
    <row r="23" spans="1:16" hidden="1" x14ac:dyDescent="0.2">
      <c r="A23" s="11">
        <v>44810</v>
      </c>
      <c r="B23" s="12">
        <v>0.66111111111111109</v>
      </c>
      <c r="C23" s="73" t="s">
        <v>35</v>
      </c>
      <c r="D23" s="2">
        <v>7</v>
      </c>
      <c r="E23" s="13">
        <f t="shared" si="0"/>
        <v>38.484510006474963</v>
      </c>
      <c r="F23" s="1">
        <v>40</v>
      </c>
      <c r="G23" s="1" t="s">
        <v>27</v>
      </c>
      <c r="H23" s="1" t="s">
        <v>18</v>
      </c>
      <c r="I23" s="1" t="s">
        <v>33</v>
      </c>
      <c r="J23" s="59">
        <v>2.7</v>
      </c>
      <c r="K23" s="1">
        <v>35</v>
      </c>
      <c r="L23" s="1">
        <v>59</v>
      </c>
      <c r="M23" s="1">
        <v>1.8</v>
      </c>
      <c r="N23" s="1">
        <v>8.1</v>
      </c>
      <c r="O23" s="1">
        <v>2.5</v>
      </c>
      <c r="P23" s="1">
        <v>-0.1</v>
      </c>
    </row>
    <row r="24" spans="1:16" hidden="1" x14ac:dyDescent="0.2">
      <c r="A24" s="11">
        <v>44810</v>
      </c>
      <c r="B24" s="12">
        <v>0.66319444444444442</v>
      </c>
      <c r="C24" s="73" t="s">
        <v>35</v>
      </c>
      <c r="D24" s="2">
        <v>7</v>
      </c>
      <c r="E24" s="13">
        <f t="shared" si="0"/>
        <v>38.484510006474963</v>
      </c>
      <c r="F24" s="1">
        <v>40</v>
      </c>
      <c r="G24" s="1" t="s">
        <v>27</v>
      </c>
      <c r="H24" s="1" t="s">
        <v>27</v>
      </c>
      <c r="I24" s="1" t="s">
        <v>33</v>
      </c>
      <c r="J24" s="59">
        <v>2.1</v>
      </c>
      <c r="K24" s="1">
        <v>23</v>
      </c>
      <c r="L24" s="1">
        <v>45</v>
      </c>
      <c r="M24" s="1">
        <v>1.3</v>
      </c>
      <c r="N24" s="1">
        <v>6.9</v>
      </c>
      <c r="O24" s="1">
        <v>1.6</v>
      </c>
      <c r="P24" s="1">
        <v>-0.4</v>
      </c>
    </row>
    <row r="25" spans="1:16" hidden="1" x14ac:dyDescent="0.2">
      <c r="A25" s="11">
        <v>44810</v>
      </c>
      <c r="B25" s="12">
        <v>0.67013888888888884</v>
      </c>
      <c r="C25" s="73" t="s">
        <v>35</v>
      </c>
      <c r="D25" s="2">
        <v>7</v>
      </c>
      <c r="E25" s="13">
        <f t="shared" si="0"/>
        <v>38.484510006474963</v>
      </c>
      <c r="F25" s="1">
        <v>40</v>
      </c>
      <c r="G25" s="1" t="s">
        <v>27</v>
      </c>
      <c r="H25" s="1" t="s">
        <v>27</v>
      </c>
      <c r="I25" s="1" t="s">
        <v>33</v>
      </c>
      <c r="J25" s="59">
        <v>2.9</v>
      </c>
      <c r="K25" s="1">
        <v>39</v>
      </c>
      <c r="L25" s="1">
        <v>60</v>
      </c>
      <c r="M25" s="1">
        <v>1.6</v>
      </c>
      <c r="N25" s="1">
        <v>9.4</v>
      </c>
      <c r="O25" s="1">
        <v>2.6</v>
      </c>
      <c r="P25" s="1">
        <v>-0.1</v>
      </c>
    </row>
    <row r="26" spans="1:16" hidden="1" x14ac:dyDescent="0.2">
      <c r="A26" s="11">
        <v>44810</v>
      </c>
      <c r="B26" s="12">
        <v>0.6791666666666667</v>
      </c>
      <c r="C26" s="1" t="s">
        <v>7</v>
      </c>
      <c r="D26" s="72">
        <v>11</v>
      </c>
      <c r="E26" s="13">
        <f t="shared" si="0"/>
        <v>95.033177771091246</v>
      </c>
      <c r="F26" s="1">
        <v>40</v>
      </c>
      <c r="G26" s="1" t="s">
        <v>27</v>
      </c>
      <c r="H26" s="1" t="s">
        <v>18</v>
      </c>
      <c r="I26" s="1" t="s">
        <v>34</v>
      </c>
      <c r="J26" s="59">
        <v>7.3</v>
      </c>
      <c r="K26" s="1">
        <v>102</v>
      </c>
      <c r="L26" s="1">
        <v>71</v>
      </c>
      <c r="M26" s="1">
        <v>0.38</v>
      </c>
      <c r="N26" s="1">
        <v>10.7</v>
      </c>
      <c r="O26" s="1">
        <v>8.5</v>
      </c>
      <c r="P26" s="1">
        <v>2.2999999999999998</v>
      </c>
    </row>
    <row r="27" spans="1:16" hidden="1" x14ac:dyDescent="0.2">
      <c r="A27" s="11">
        <v>44810</v>
      </c>
      <c r="B27" s="12">
        <v>0.68333333333333324</v>
      </c>
      <c r="C27" s="1" t="s">
        <v>7</v>
      </c>
      <c r="D27" s="72">
        <v>11</v>
      </c>
      <c r="E27" s="13">
        <f t="shared" si="0"/>
        <v>95.033177771091246</v>
      </c>
      <c r="F27" s="1">
        <v>40</v>
      </c>
      <c r="G27" s="1" t="s">
        <v>27</v>
      </c>
      <c r="H27" s="1" t="s">
        <v>18</v>
      </c>
      <c r="I27" s="1" t="s">
        <v>33</v>
      </c>
      <c r="J27" s="59">
        <v>5</v>
      </c>
      <c r="K27" s="1">
        <v>66</v>
      </c>
      <c r="L27" s="1">
        <v>70</v>
      </c>
      <c r="M27" s="1">
        <v>0.39</v>
      </c>
      <c r="N27" s="1">
        <v>11.1</v>
      </c>
      <c r="O27" s="1">
        <v>8.1999999999999993</v>
      </c>
      <c r="P27" s="1">
        <v>2.1</v>
      </c>
    </row>
    <row r="28" spans="1:16" hidden="1" x14ac:dyDescent="0.2">
      <c r="A28" s="11">
        <v>44810</v>
      </c>
      <c r="B28" s="12">
        <v>0.6875</v>
      </c>
      <c r="C28" s="1" t="s">
        <v>7</v>
      </c>
      <c r="D28" s="72">
        <v>11</v>
      </c>
      <c r="E28" s="13">
        <f t="shared" si="0"/>
        <v>95.033177771091246</v>
      </c>
      <c r="F28" s="1">
        <v>40</v>
      </c>
      <c r="G28" s="1" t="s">
        <v>27</v>
      </c>
      <c r="H28" s="1" t="s">
        <v>18</v>
      </c>
      <c r="I28" s="1" t="s">
        <v>34</v>
      </c>
      <c r="J28" s="59">
        <v>6.2</v>
      </c>
      <c r="K28" s="1">
        <v>106</v>
      </c>
      <c r="L28" s="1">
        <v>70</v>
      </c>
      <c r="M28" s="1">
        <v>0.38</v>
      </c>
      <c r="N28" s="1">
        <v>11</v>
      </c>
      <c r="O28" s="1">
        <v>8.4</v>
      </c>
      <c r="P28" s="1">
        <v>2.5</v>
      </c>
    </row>
    <row r="29" spans="1:16" hidden="1" x14ac:dyDescent="0.2">
      <c r="A29" s="11">
        <v>44810</v>
      </c>
      <c r="B29" s="12">
        <v>0.69236111111111109</v>
      </c>
      <c r="C29" s="5" t="s">
        <v>5</v>
      </c>
      <c r="D29" s="2">
        <v>13</v>
      </c>
      <c r="E29" s="13">
        <f t="shared" si="0"/>
        <v>132.73228961416876</v>
      </c>
      <c r="F29" s="1">
        <v>42</v>
      </c>
      <c r="G29" s="1" t="s">
        <v>27</v>
      </c>
      <c r="H29" s="1" t="s">
        <v>18</v>
      </c>
      <c r="I29" s="1" t="s">
        <v>34</v>
      </c>
      <c r="J29" s="59">
        <v>6.2</v>
      </c>
      <c r="K29" s="1">
        <v>115</v>
      </c>
      <c r="L29" s="1">
        <v>86</v>
      </c>
      <c r="M29" s="1">
        <v>0.25</v>
      </c>
      <c r="N29" s="1">
        <v>19.100000000000001</v>
      </c>
      <c r="O29" s="1">
        <v>15.7</v>
      </c>
      <c r="P29" s="1">
        <v>2.2000000000000002</v>
      </c>
    </row>
    <row r="30" spans="1:16" hidden="1" x14ac:dyDescent="0.2">
      <c r="A30" s="11">
        <v>44810</v>
      </c>
      <c r="B30" s="12">
        <v>0.69930555555555562</v>
      </c>
      <c r="C30" s="5" t="s">
        <v>5</v>
      </c>
      <c r="D30" s="2">
        <v>13</v>
      </c>
      <c r="E30" s="13">
        <f t="shared" si="0"/>
        <v>132.73228961416876</v>
      </c>
      <c r="F30" s="1">
        <v>40</v>
      </c>
      <c r="G30" s="1" t="s">
        <v>27</v>
      </c>
      <c r="H30" s="1" t="s">
        <v>18</v>
      </c>
      <c r="I30" s="1" t="s">
        <v>34</v>
      </c>
      <c r="J30" s="59">
        <v>6.4</v>
      </c>
      <c r="K30" s="1">
        <v>106</v>
      </c>
      <c r="L30" s="1">
        <v>81</v>
      </c>
      <c r="M30" s="1">
        <v>0.26</v>
      </c>
      <c r="N30" s="1">
        <v>17.600000000000001</v>
      </c>
      <c r="O30" s="1">
        <v>14.4</v>
      </c>
      <c r="P30" s="1">
        <v>2.4</v>
      </c>
    </row>
    <row r="31" spans="1:16" hidden="1" x14ac:dyDescent="0.2">
      <c r="A31" s="11">
        <v>44810</v>
      </c>
      <c r="B31" s="12">
        <v>0.70486111111111116</v>
      </c>
      <c r="C31" s="5" t="s">
        <v>5</v>
      </c>
      <c r="D31" s="2">
        <v>13</v>
      </c>
      <c r="E31" s="13">
        <f t="shared" si="0"/>
        <v>132.73228961416876</v>
      </c>
      <c r="F31" s="1">
        <v>40</v>
      </c>
      <c r="G31" s="1" t="s">
        <v>27</v>
      </c>
      <c r="H31" s="1" t="s">
        <v>18</v>
      </c>
      <c r="I31" s="1" t="s">
        <v>34</v>
      </c>
      <c r="J31" s="59">
        <v>6.1</v>
      </c>
      <c r="K31" s="1">
        <v>102</v>
      </c>
      <c r="L31" s="1">
        <v>82</v>
      </c>
      <c r="M31" s="1">
        <v>0.28000000000000003</v>
      </c>
      <c r="N31" s="1">
        <v>16.100000000000001</v>
      </c>
      <c r="O31" s="1">
        <v>13.5</v>
      </c>
      <c r="P31" s="1">
        <v>2.7</v>
      </c>
    </row>
    <row r="32" spans="1:16" hidden="1" x14ac:dyDescent="0.2">
      <c r="A32" s="11">
        <v>44811</v>
      </c>
      <c r="B32" s="12">
        <v>0.60069444444444442</v>
      </c>
      <c r="C32" s="12" t="s">
        <v>2</v>
      </c>
      <c r="D32" s="2">
        <f>Nozzles!$B$4</f>
        <v>14.6</v>
      </c>
      <c r="E32" s="13">
        <f t="shared" si="0"/>
        <v>167.41547250980008</v>
      </c>
      <c r="F32" s="1">
        <v>40</v>
      </c>
      <c r="G32" s="1" t="s">
        <v>27</v>
      </c>
      <c r="H32" s="1" t="s">
        <v>18</v>
      </c>
      <c r="I32" s="1" t="s">
        <v>34</v>
      </c>
      <c r="J32" s="59">
        <v>10.1</v>
      </c>
      <c r="K32" s="1">
        <v>121</v>
      </c>
      <c r="L32" s="1">
        <v>75</v>
      </c>
      <c r="M32" s="1">
        <v>0.21</v>
      </c>
      <c r="N32" s="1">
        <v>21.1</v>
      </c>
      <c r="O32" s="1">
        <v>16.5</v>
      </c>
      <c r="P32" s="1">
        <v>2.6</v>
      </c>
    </row>
    <row r="33" spans="1:16" hidden="1" x14ac:dyDescent="0.2">
      <c r="A33" s="11">
        <v>44811</v>
      </c>
      <c r="B33" s="12">
        <v>0.61458333333333337</v>
      </c>
      <c r="C33" s="74" t="s">
        <v>28</v>
      </c>
      <c r="D33" s="2">
        <v>14</v>
      </c>
      <c r="E33" s="13">
        <f t="shared" si="0"/>
        <v>153.93804002589985</v>
      </c>
      <c r="F33" s="1">
        <v>40</v>
      </c>
      <c r="G33" s="1" t="s">
        <v>27</v>
      </c>
      <c r="H33" s="1" t="s">
        <v>18</v>
      </c>
      <c r="I33" s="1" t="s">
        <v>34</v>
      </c>
      <c r="J33" s="59">
        <v>7.2</v>
      </c>
      <c r="K33" s="1">
        <v>111</v>
      </c>
      <c r="L33" s="1">
        <v>79</v>
      </c>
      <c r="M33" s="1">
        <v>0.23</v>
      </c>
      <c r="N33" s="1">
        <v>19.8</v>
      </c>
      <c r="O33" s="1">
        <v>15.6</v>
      </c>
      <c r="P33" s="1">
        <v>2.2999999999999998</v>
      </c>
    </row>
    <row r="34" spans="1:16" hidden="1" x14ac:dyDescent="0.2">
      <c r="A34" s="34">
        <v>44806</v>
      </c>
      <c r="B34" s="35">
        <v>0.60486111111111118</v>
      </c>
      <c r="C34" s="53" t="s">
        <v>29</v>
      </c>
      <c r="D34" s="37">
        <v>8</v>
      </c>
      <c r="E34" s="38">
        <f t="shared" si="0"/>
        <v>50.26548245743669</v>
      </c>
      <c r="F34" s="1">
        <v>40</v>
      </c>
      <c r="G34" s="1" t="s">
        <v>27</v>
      </c>
      <c r="H34" s="1" t="s">
        <v>18</v>
      </c>
      <c r="I34" s="1" t="s">
        <v>34</v>
      </c>
      <c r="J34" s="59">
        <v>2.9</v>
      </c>
      <c r="K34" s="1">
        <v>49</v>
      </c>
      <c r="L34" s="1">
        <v>68</v>
      </c>
      <c r="M34" s="1">
        <v>0.72</v>
      </c>
      <c r="N34" s="1">
        <v>7.6</v>
      </c>
      <c r="O34" s="1">
        <v>4.0999999999999996</v>
      </c>
      <c r="P34" s="1">
        <v>0.1</v>
      </c>
    </row>
    <row r="35" spans="1:16" hidden="1" x14ac:dyDescent="0.2">
      <c r="A35" s="11">
        <v>44811</v>
      </c>
      <c r="B35" s="12">
        <v>0.60972222222222217</v>
      </c>
      <c r="C35" s="12" t="s">
        <v>2</v>
      </c>
      <c r="D35" s="2">
        <f>Nozzles!$B$4</f>
        <v>14.6</v>
      </c>
      <c r="E35" s="13">
        <f t="shared" si="0"/>
        <v>167.41547250980008</v>
      </c>
      <c r="F35" s="39">
        <v>40</v>
      </c>
      <c r="G35" s="1" t="s">
        <v>27</v>
      </c>
      <c r="H35" s="1" t="s">
        <v>18</v>
      </c>
      <c r="I35" s="1" t="s">
        <v>34</v>
      </c>
      <c r="J35" s="59">
        <v>8.1999999999999993</v>
      </c>
      <c r="K35" s="1">
        <v>129</v>
      </c>
      <c r="L35" s="1">
        <v>77</v>
      </c>
      <c r="M35" s="1">
        <v>0.21</v>
      </c>
      <c r="N35" s="1">
        <v>20.9</v>
      </c>
      <c r="O35" s="1">
        <v>16.600000000000001</v>
      </c>
      <c r="P35" s="1">
        <v>2.9</v>
      </c>
    </row>
    <row r="36" spans="1:16" x14ac:dyDescent="0.2">
      <c r="A36" s="11">
        <v>44814</v>
      </c>
      <c r="B36" s="12">
        <v>0.50694444444444442</v>
      </c>
      <c r="C36" s="70" t="s">
        <v>8</v>
      </c>
      <c r="D36" s="2">
        <v>10</v>
      </c>
      <c r="E36" s="13">
        <f t="shared" si="0"/>
        <v>78.539816339744831</v>
      </c>
      <c r="F36" s="1">
        <v>10</v>
      </c>
      <c r="G36" s="1" t="s">
        <v>27</v>
      </c>
      <c r="H36" s="1" t="s">
        <v>18</v>
      </c>
      <c r="I36" s="1" t="s">
        <v>34</v>
      </c>
      <c r="J36" s="59">
        <v>4.4000000000000004</v>
      </c>
      <c r="K36" s="1">
        <v>47</v>
      </c>
      <c r="L36" s="1">
        <v>33</v>
      </c>
      <c r="M36" s="1">
        <v>0.61</v>
      </c>
      <c r="N36" s="1">
        <v>4.4000000000000004</v>
      </c>
      <c r="O36" s="1">
        <v>2.5</v>
      </c>
      <c r="P36" s="59">
        <v>2</v>
      </c>
    </row>
    <row r="37" spans="1:16" x14ac:dyDescent="0.2">
      <c r="A37" s="11">
        <v>44814</v>
      </c>
      <c r="B37" s="12">
        <v>0.51250000000000007</v>
      </c>
      <c r="C37" s="70" t="s">
        <v>8</v>
      </c>
      <c r="D37" s="2">
        <v>10</v>
      </c>
      <c r="E37" s="13">
        <f t="shared" si="0"/>
        <v>78.539816339744831</v>
      </c>
      <c r="F37" s="1">
        <v>22</v>
      </c>
      <c r="G37" s="1" t="s">
        <v>27</v>
      </c>
      <c r="H37" s="1" t="s">
        <v>18</v>
      </c>
      <c r="I37" s="1" t="s">
        <v>34</v>
      </c>
      <c r="J37" s="59">
        <v>5.6</v>
      </c>
      <c r="K37" s="1">
        <v>65</v>
      </c>
      <c r="L37" s="1">
        <v>53</v>
      </c>
      <c r="M37" s="1">
        <v>0.64</v>
      </c>
      <c r="N37" s="1">
        <v>10.199999999999999</v>
      </c>
      <c r="O37" s="1">
        <v>3.8</v>
      </c>
      <c r="P37" s="59">
        <v>2</v>
      </c>
    </row>
    <row r="38" spans="1:16" x14ac:dyDescent="0.2">
      <c r="A38" s="11">
        <v>44814</v>
      </c>
      <c r="B38" s="12">
        <v>0.52083333333333337</v>
      </c>
      <c r="C38" s="70" t="s">
        <v>8</v>
      </c>
      <c r="D38" s="2">
        <v>10</v>
      </c>
      <c r="E38" s="13">
        <f t="shared" si="0"/>
        <v>78.539816339744831</v>
      </c>
      <c r="F38" s="1">
        <v>30</v>
      </c>
      <c r="G38" s="1" t="s">
        <v>27</v>
      </c>
      <c r="H38" s="1" t="s">
        <v>18</v>
      </c>
      <c r="I38" s="1" t="s">
        <v>34</v>
      </c>
      <c r="J38" s="59">
        <v>9</v>
      </c>
      <c r="K38" s="1">
        <v>97</v>
      </c>
      <c r="L38" s="1">
        <v>66</v>
      </c>
      <c r="M38" s="1">
        <v>0.52</v>
      </c>
      <c r="N38" s="1">
        <v>8.8000000000000007</v>
      </c>
      <c r="O38" s="1">
        <v>5.9</v>
      </c>
      <c r="P38" s="59">
        <v>2.2999999999999998</v>
      </c>
    </row>
    <row r="39" spans="1:16" x14ac:dyDescent="0.2">
      <c r="A39" s="11">
        <v>44814</v>
      </c>
      <c r="B39" s="12">
        <v>0.52638888888888891</v>
      </c>
      <c r="C39" s="70" t="s">
        <v>8</v>
      </c>
      <c r="D39" s="2">
        <v>10</v>
      </c>
      <c r="E39" s="13">
        <f t="shared" si="0"/>
        <v>78.539816339744831</v>
      </c>
      <c r="F39" s="1">
        <v>50</v>
      </c>
      <c r="G39" s="1" t="s">
        <v>27</v>
      </c>
      <c r="H39" s="1" t="s">
        <v>18</v>
      </c>
      <c r="I39" s="1" t="s">
        <v>34</v>
      </c>
      <c r="J39" s="59">
        <v>7.7</v>
      </c>
      <c r="K39" s="1">
        <v>141</v>
      </c>
      <c r="L39" s="1">
        <v>85</v>
      </c>
      <c r="M39" s="1">
        <v>0.49</v>
      </c>
      <c r="N39" s="1">
        <v>10.7</v>
      </c>
      <c r="O39" s="1">
        <v>7.9</v>
      </c>
      <c r="P39" s="1">
        <v>2.5</v>
      </c>
    </row>
    <row r="40" spans="1:16" x14ac:dyDescent="0.2">
      <c r="A40" s="11">
        <v>44814</v>
      </c>
      <c r="B40" s="12">
        <v>0.53333333333333333</v>
      </c>
      <c r="C40" s="70" t="s">
        <v>8</v>
      </c>
      <c r="D40" s="2">
        <v>10</v>
      </c>
      <c r="E40" s="13">
        <f t="shared" si="0"/>
        <v>78.539816339744831</v>
      </c>
      <c r="F40" s="1">
        <v>60</v>
      </c>
      <c r="G40" s="1" t="s">
        <v>27</v>
      </c>
      <c r="H40" s="1" t="s">
        <v>18</v>
      </c>
      <c r="I40" s="1" t="s">
        <v>32</v>
      </c>
      <c r="J40" s="59">
        <v>5.8</v>
      </c>
      <c r="K40" s="1">
        <v>116</v>
      </c>
      <c r="L40" s="1">
        <v>91</v>
      </c>
      <c r="M40" s="1">
        <v>0.46</v>
      </c>
      <c r="N40" s="1">
        <v>12.9</v>
      </c>
      <c r="O40" s="1">
        <v>9.1999999999999993</v>
      </c>
      <c r="P40" s="1">
        <v>2.4</v>
      </c>
    </row>
    <row r="41" spans="1:16" hidden="1" x14ac:dyDescent="0.2">
      <c r="A41" s="11">
        <v>44814</v>
      </c>
      <c r="B41" s="12">
        <v>0.54861111111111105</v>
      </c>
      <c r="C41" s="74" t="s">
        <v>28</v>
      </c>
      <c r="D41" s="2">
        <v>14</v>
      </c>
      <c r="E41" s="13">
        <f t="shared" si="0"/>
        <v>153.93804002589985</v>
      </c>
      <c r="F41" s="1">
        <v>10</v>
      </c>
      <c r="G41" s="1" t="s">
        <v>27</v>
      </c>
      <c r="H41" s="1" t="s">
        <v>18</v>
      </c>
      <c r="I41" s="1" t="s">
        <v>34</v>
      </c>
      <c r="J41" s="59">
        <v>4.3</v>
      </c>
      <c r="K41" s="1">
        <v>30</v>
      </c>
      <c r="L41" s="1">
        <v>30</v>
      </c>
      <c r="M41" s="1">
        <v>0.36</v>
      </c>
      <c r="N41" s="1">
        <v>4.4000000000000004</v>
      </c>
      <c r="O41" s="1">
        <v>3.8</v>
      </c>
      <c r="P41" s="1">
        <v>1.1000000000000001</v>
      </c>
    </row>
    <row r="42" spans="1:16" hidden="1" x14ac:dyDescent="0.2">
      <c r="A42" s="11">
        <v>44814</v>
      </c>
      <c r="B42" s="12">
        <v>0.55208333333333337</v>
      </c>
      <c r="C42" s="74" t="s">
        <v>28</v>
      </c>
      <c r="D42" s="2">
        <v>14</v>
      </c>
      <c r="E42" s="13">
        <f t="shared" si="0"/>
        <v>153.93804002589985</v>
      </c>
      <c r="F42" s="1">
        <v>20</v>
      </c>
      <c r="G42" s="1" t="s">
        <v>27</v>
      </c>
      <c r="H42" s="1" t="s">
        <v>18</v>
      </c>
      <c r="I42" s="1" t="s">
        <v>34</v>
      </c>
      <c r="J42" s="59">
        <v>5.0999999999999996</v>
      </c>
      <c r="K42" s="1">
        <v>61</v>
      </c>
      <c r="L42" s="1">
        <v>54</v>
      </c>
      <c r="M42" s="1">
        <v>0.3</v>
      </c>
      <c r="N42" s="1">
        <v>11</v>
      </c>
      <c r="O42" s="1">
        <v>8.3000000000000007</v>
      </c>
      <c r="P42" s="1">
        <v>1.7</v>
      </c>
    </row>
    <row r="43" spans="1:16" hidden="1" x14ac:dyDescent="0.2">
      <c r="A43" s="11">
        <v>44814</v>
      </c>
      <c r="B43" s="12">
        <v>0.55625000000000002</v>
      </c>
      <c r="C43" s="74" t="s">
        <v>28</v>
      </c>
      <c r="D43" s="2">
        <v>14</v>
      </c>
      <c r="E43" s="13">
        <f t="shared" si="0"/>
        <v>153.93804002589985</v>
      </c>
      <c r="F43" s="1">
        <v>30</v>
      </c>
      <c r="G43" s="1" t="s">
        <v>27</v>
      </c>
      <c r="H43" s="1" t="s">
        <v>18</v>
      </c>
      <c r="I43" s="1" t="s">
        <v>34</v>
      </c>
      <c r="J43" s="59">
        <v>6</v>
      </c>
      <c r="K43" s="1">
        <v>91</v>
      </c>
      <c r="L43" s="1">
        <v>68</v>
      </c>
      <c r="M43" s="1">
        <v>0.25</v>
      </c>
      <c r="N43" s="1">
        <v>15.3</v>
      </c>
      <c r="O43" s="1">
        <v>12.4</v>
      </c>
      <c r="P43" s="1">
        <v>2.2999999999999998</v>
      </c>
    </row>
    <row r="44" spans="1:16" hidden="1" x14ac:dyDescent="0.2">
      <c r="A44" s="11">
        <v>44814</v>
      </c>
      <c r="B44" s="12">
        <v>0.55902777777777779</v>
      </c>
      <c r="C44" s="74" t="s">
        <v>28</v>
      </c>
      <c r="D44" s="2">
        <v>14</v>
      </c>
      <c r="E44" s="13">
        <f t="shared" si="0"/>
        <v>153.93804002589985</v>
      </c>
      <c r="F44" s="1">
        <v>50</v>
      </c>
      <c r="G44" s="1" t="s">
        <v>27</v>
      </c>
      <c r="H44" s="1" t="s">
        <v>18</v>
      </c>
      <c r="I44" s="1" t="s">
        <v>34</v>
      </c>
      <c r="J44" s="59">
        <v>6.5</v>
      </c>
      <c r="K44" s="1">
        <v>123</v>
      </c>
      <c r="L44" s="1">
        <v>92</v>
      </c>
      <c r="M44" s="1">
        <v>0.24</v>
      </c>
      <c r="N44" s="1">
        <v>21.2</v>
      </c>
      <c r="O44" s="1">
        <v>17.8</v>
      </c>
      <c r="P44" s="1">
        <v>2.5</v>
      </c>
    </row>
    <row r="45" spans="1:16" hidden="1" x14ac:dyDescent="0.2">
      <c r="A45" s="11">
        <v>44814</v>
      </c>
      <c r="B45" s="12">
        <v>0.57152777777777775</v>
      </c>
      <c r="C45" s="74" t="s">
        <v>28</v>
      </c>
      <c r="D45" s="2">
        <v>14</v>
      </c>
      <c r="E45" s="13">
        <f t="shared" si="0"/>
        <v>153.93804002589985</v>
      </c>
      <c r="F45" s="1">
        <v>80</v>
      </c>
      <c r="G45" s="1" t="s">
        <v>27</v>
      </c>
      <c r="H45" s="1" t="s">
        <v>18</v>
      </c>
      <c r="I45" s="1" t="s">
        <v>34</v>
      </c>
      <c r="J45" s="59">
        <v>7.3</v>
      </c>
      <c r="K45" s="1">
        <v>138</v>
      </c>
      <c r="L45" s="1">
        <v>114</v>
      </c>
      <c r="M45" s="1">
        <v>0.28999999999999998</v>
      </c>
      <c r="N45" s="1">
        <v>23.7</v>
      </c>
      <c r="O45" s="1">
        <v>17.899999999999999</v>
      </c>
      <c r="P45" s="1">
        <v>2.6</v>
      </c>
    </row>
    <row r="48" spans="1:16" x14ac:dyDescent="0.2">
      <c r="E48" s="152" t="s">
        <v>42</v>
      </c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</row>
  </sheetData>
  <autoFilter ref="E1:P45" xr:uid="{659E43E4-EB58-46DB-809D-516C61D64216}">
    <filterColumn colId="0">
      <filters>
        <filter val="78.54"/>
      </filters>
    </filterColumn>
    <filterColumn colId="2">
      <filters>
        <filter val="no"/>
      </filters>
    </filterColumn>
    <filterColumn colId="3">
      <filters>
        <filter val="yes"/>
      </filters>
    </filterColumn>
    <filterColumn colId="4">
      <filters>
        <filter val="good"/>
        <filter val="medium"/>
      </filters>
    </filterColumn>
  </autoFilter>
  <mergeCells count="1">
    <mergeCell ref="E48:P4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43E4-EB58-46DB-809D-516C61D64216}">
  <sheetPr filterMode="1"/>
  <dimension ref="A1:P48"/>
  <sheetViews>
    <sheetView topLeftCell="E1" workbookViewId="0">
      <selection activeCell="L1" activeCellId="1" sqref="F1:F45 L1:L45"/>
    </sheetView>
  </sheetViews>
  <sheetFormatPr baseColWidth="10" defaultColWidth="8.83203125" defaultRowHeight="15" x14ac:dyDescent="0.2"/>
  <cols>
    <col min="1" max="1" width="9.6640625" hidden="1" customWidth="1"/>
    <col min="2" max="2" width="5.5" hidden="1" customWidth="1"/>
    <col min="3" max="3" width="11.5" hidden="1" customWidth="1"/>
    <col min="4" max="4" width="20.6640625" hidden="1" customWidth="1"/>
    <col min="5" max="5" width="25.5" bestFit="1" customWidth="1"/>
    <col min="6" max="6" width="13.5" bestFit="1" customWidth="1"/>
    <col min="7" max="7" width="34.5" bestFit="1" customWidth="1"/>
    <col min="8" max="8" width="19.5" bestFit="1" customWidth="1"/>
    <col min="9" max="9" width="13.83203125" bestFit="1" customWidth="1"/>
    <col min="10" max="11" width="11.33203125" bestFit="1" customWidth="1"/>
    <col min="12" max="12" width="22" bestFit="1" customWidth="1"/>
    <col min="13" max="13" width="11.1640625" bestFit="1" customWidth="1"/>
    <col min="14" max="14" width="20.1640625" bestFit="1" customWidth="1"/>
    <col min="15" max="15" width="23.33203125" bestFit="1" customWidth="1"/>
    <col min="16" max="16" width="18.5" bestFit="1" customWidth="1"/>
  </cols>
  <sheetData>
    <row r="1" spans="1:16" x14ac:dyDescent="0.2">
      <c r="A1" s="16" t="s">
        <v>12</v>
      </c>
      <c r="B1" s="16" t="s">
        <v>13</v>
      </c>
      <c r="C1" s="16" t="s">
        <v>15</v>
      </c>
      <c r="D1" s="16" t="s">
        <v>16</v>
      </c>
      <c r="E1" s="16" t="s">
        <v>17</v>
      </c>
      <c r="F1" s="16" t="s">
        <v>14</v>
      </c>
      <c r="G1" s="16" t="s">
        <v>25</v>
      </c>
      <c r="H1" s="16" t="s">
        <v>30</v>
      </c>
      <c r="I1" s="16" t="s">
        <v>31</v>
      </c>
      <c r="J1" s="16" t="s">
        <v>23</v>
      </c>
      <c r="K1" s="16" t="s">
        <v>22</v>
      </c>
      <c r="L1" s="16" t="s">
        <v>26</v>
      </c>
      <c r="M1" s="16" t="s">
        <v>21</v>
      </c>
      <c r="N1" s="16" t="s">
        <v>19</v>
      </c>
      <c r="O1" s="16" t="s">
        <v>20</v>
      </c>
      <c r="P1" s="16" t="s">
        <v>24</v>
      </c>
    </row>
    <row r="2" spans="1:16" hidden="1" x14ac:dyDescent="0.2">
      <c r="A2" s="11">
        <v>44806</v>
      </c>
      <c r="B2" s="12">
        <v>0.67708333333333337</v>
      </c>
      <c r="C2" s="12" t="s">
        <v>2</v>
      </c>
      <c r="D2" s="2">
        <f>Nozzles!$B$4</f>
        <v>14.6</v>
      </c>
      <c r="E2" s="13">
        <f t="shared" ref="E2:E45" si="0">PI()*(D2/2)^2</f>
        <v>167.41547250980008</v>
      </c>
      <c r="F2" s="1">
        <v>40</v>
      </c>
      <c r="G2" s="1" t="s">
        <v>18</v>
      </c>
      <c r="H2" s="1" t="s">
        <v>18</v>
      </c>
      <c r="I2" s="1" t="s">
        <v>32</v>
      </c>
      <c r="J2" s="59">
        <v>5.4</v>
      </c>
      <c r="K2" s="1">
        <v>52</v>
      </c>
      <c r="L2" s="1">
        <v>76</v>
      </c>
      <c r="M2" s="1">
        <v>0.21</v>
      </c>
      <c r="N2" s="1">
        <v>21.4</v>
      </c>
      <c r="O2" s="59">
        <v>16.8</v>
      </c>
      <c r="P2" s="59">
        <v>1.2</v>
      </c>
    </row>
    <row r="3" spans="1:16" hidden="1" x14ac:dyDescent="0.2">
      <c r="A3" s="11">
        <v>44806</v>
      </c>
      <c r="B3" s="12">
        <v>0.81180555555555556</v>
      </c>
      <c r="C3" s="12" t="s">
        <v>2</v>
      </c>
      <c r="D3" s="2">
        <f>Nozzles!$B$4</f>
        <v>14.6</v>
      </c>
      <c r="E3" s="13">
        <f t="shared" si="0"/>
        <v>167.41547250980008</v>
      </c>
      <c r="F3" s="1">
        <v>40</v>
      </c>
      <c r="G3" s="1" t="s">
        <v>18</v>
      </c>
      <c r="H3" s="1" t="s">
        <v>18</v>
      </c>
      <c r="I3" s="1" t="s">
        <v>33</v>
      </c>
      <c r="J3" s="59">
        <v>4.9000000000000004</v>
      </c>
      <c r="K3" s="1">
        <v>59</v>
      </c>
      <c r="L3" s="1">
        <v>25</v>
      </c>
      <c r="M3" s="1">
        <v>0.79</v>
      </c>
      <c r="N3" s="1">
        <v>7.6</v>
      </c>
      <c r="O3" s="59">
        <v>1.4</v>
      </c>
      <c r="P3" s="59"/>
    </row>
    <row r="4" spans="1:16" hidden="1" x14ac:dyDescent="0.2">
      <c r="A4" s="17">
        <v>44806</v>
      </c>
      <c r="B4" s="18">
        <v>0.69513888888888886</v>
      </c>
      <c r="C4" s="18" t="s">
        <v>2</v>
      </c>
      <c r="D4" s="19">
        <f>Nozzles!$B$4</f>
        <v>14.6</v>
      </c>
      <c r="E4" s="20">
        <f t="shared" si="0"/>
        <v>167.41547250980008</v>
      </c>
      <c r="F4" s="21">
        <v>40</v>
      </c>
      <c r="G4" s="21" t="s">
        <v>18</v>
      </c>
      <c r="H4" s="21" t="s">
        <v>18</v>
      </c>
      <c r="I4" s="21" t="s">
        <v>32</v>
      </c>
      <c r="J4" s="60">
        <v>4.7</v>
      </c>
      <c r="K4" s="21">
        <v>56</v>
      </c>
      <c r="L4" s="21">
        <v>79</v>
      </c>
      <c r="M4" s="21">
        <v>0.22</v>
      </c>
      <c r="N4" s="21">
        <v>21.1</v>
      </c>
      <c r="O4" s="60">
        <v>16.5</v>
      </c>
      <c r="P4" s="60">
        <v>1.1000000000000001</v>
      </c>
    </row>
    <row r="5" spans="1:16" ht="16" hidden="1" thickBot="1" x14ac:dyDescent="0.25">
      <c r="A5" s="27">
        <v>44806</v>
      </c>
      <c r="B5" s="28">
        <v>0.71527777777777779</v>
      </c>
      <c r="C5" s="29" t="s">
        <v>11</v>
      </c>
      <c r="D5" s="30">
        <v>6</v>
      </c>
      <c r="E5" s="31">
        <f t="shared" si="0"/>
        <v>28.274333882308138</v>
      </c>
      <c r="F5" s="32">
        <v>60</v>
      </c>
      <c r="G5" s="32" t="s">
        <v>18</v>
      </c>
      <c r="H5" s="32" t="s">
        <v>18</v>
      </c>
      <c r="I5" s="32" t="s">
        <v>32</v>
      </c>
      <c r="J5" s="32">
        <v>5.4</v>
      </c>
      <c r="K5" s="32">
        <v>41</v>
      </c>
      <c r="L5" s="32">
        <v>64</v>
      </c>
      <c r="M5" s="32">
        <v>0.93</v>
      </c>
      <c r="N5" s="32">
        <v>11.3</v>
      </c>
      <c r="O5" s="66">
        <v>3.2</v>
      </c>
      <c r="P5" s="61">
        <v>2.1</v>
      </c>
    </row>
    <row r="6" spans="1:16" hidden="1" x14ac:dyDescent="0.2">
      <c r="A6" s="34">
        <v>44806</v>
      </c>
      <c r="B6" s="35">
        <v>0.7284722222222223</v>
      </c>
      <c r="C6" s="36" t="s">
        <v>6</v>
      </c>
      <c r="D6" s="37">
        <v>12</v>
      </c>
      <c r="E6" s="38">
        <f t="shared" si="0"/>
        <v>113.09733552923255</v>
      </c>
      <c r="F6" s="39">
        <v>40</v>
      </c>
      <c r="G6" s="39" t="s">
        <v>27</v>
      </c>
      <c r="H6" s="39" t="s">
        <v>18</v>
      </c>
      <c r="I6" s="39" t="s">
        <v>34</v>
      </c>
      <c r="J6" s="67">
        <v>7.4</v>
      </c>
      <c r="K6" s="39">
        <v>97</v>
      </c>
      <c r="L6" s="39">
        <v>75</v>
      </c>
      <c r="M6" s="39">
        <v>0.39</v>
      </c>
      <c r="N6" s="39">
        <v>12.7</v>
      </c>
      <c r="O6" s="67">
        <v>8.8000000000000007</v>
      </c>
      <c r="P6" s="62">
        <v>1.9</v>
      </c>
    </row>
    <row r="7" spans="1:16" hidden="1" x14ac:dyDescent="0.2">
      <c r="A7" s="40">
        <v>44806</v>
      </c>
      <c r="B7" s="12">
        <v>0.73333333333333339</v>
      </c>
      <c r="C7" s="15" t="s">
        <v>6</v>
      </c>
      <c r="D7" s="2">
        <v>12</v>
      </c>
      <c r="E7" s="13">
        <f t="shared" si="0"/>
        <v>113.09733552923255</v>
      </c>
      <c r="F7" s="1">
        <v>40</v>
      </c>
      <c r="G7" s="1" t="s">
        <v>27</v>
      </c>
      <c r="H7" s="1" t="s">
        <v>18</v>
      </c>
      <c r="I7" s="1" t="s">
        <v>34</v>
      </c>
      <c r="J7" s="59">
        <v>8.1999999999999993</v>
      </c>
      <c r="K7" s="1">
        <v>110</v>
      </c>
      <c r="L7" s="1">
        <v>78</v>
      </c>
      <c r="M7" s="1">
        <v>0.36</v>
      </c>
      <c r="N7" s="1">
        <v>13.2</v>
      </c>
      <c r="O7" s="59">
        <v>9.9</v>
      </c>
      <c r="P7" s="63">
        <v>2.2000000000000002</v>
      </c>
    </row>
    <row r="8" spans="1:16" ht="16" hidden="1" thickBot="1" x14ac:dyDescent="0.25">
      <c r="A8" s="41">
        <v>44806</v>
      </c>
      <c r="B8" s="42">
        <v>0.73749999999999993</v>
      </c>
      <c r="C8" s="43" t="s">
        <v>6</v>
      </c>
      <c r="D8" s="44">
        <v>12</v>
      </c>
      <c r="E8" s="45">
        <f t="shared" si="0"/>
        <v>113.09733552923255</v>
      </c>
      <c r="F8" s="46">
        <v>40</v>
      </c>
      <c r="G8" s="46" t="s">
        <v>27</v>
      </c>
      <c r="H8" s="46" t="s">
        <v>18</v>
      </c>
      <c r="I8" s="46" t="s">
        <v>34</v>
      </c>
      <c r="J8" s="68">
        <v>5.7</v>
      </c>
      <c r="K8" s="46">
        <v>106</v>
      </c>
      <c r="L8" s="46">
        <v>79</v>
      </c>
      <c r="M8" s="46">
        <v>0.35</v>
      </c>
      <c r="N8" s="46">
        <v>12.8</v>
      </c>
      <c r="O8" s="68">
        <v>10.4</v>
      </c>
      <c r="P8" s="64">
        <v>2.2000000000000002</v>
      </c>
    </row>
    <row r="9" spans="1:16" x14ac:dyDescent="0.2">
      <c r="A9" s="22">
        <v>44806</v>
      </c>
      <c r="B9" s="23">
        <v>0.74305555555555547</v>
      </c>
      <c r="C9" s="33" t="s">
        <v>28</v>
      </c>
      <c r="D9" s="24">
        <v>14</v>
      </c>
      <c r="E9" s="25">
        <f t="shared" si="0"/>
        <v>153.93804002589985</v>
      </c>
      <c r="F9" s="26">
        <v>40</v>
      </c>
      <c r="G9" s="26" t="s">
        <v>27</v>
      </c>
      <c r="H9" s="26" t="s">
        <v>18</v>
      </c>
      <c r="I9" s="26" t="s">
        <v>34</v>
      </c>
      <c r="J9" s="65">
        <v>6.4</v>
      </c>
      <c r="K9" s="26">
        <v>124</v>
      </c>
      <c r="L9" s="26">
        <v>83</v>
      </c>
      <c r="M9" s="26">
        <v>0.25</v>
      </c>
      <c r="N9" s="26">
        <v>19.600000000000001</v>
      </c>
      <c r="O9" s="65">
        <v>15.4</v>
      </c>
      <c r="P9" s="65">
        <v>2.7</v>
      </c>
    </row>
    <row r="10" spans="1:16" x14ac:dyDescent="0.2">
      <c r="A10" s="17">
        <v>44806</v>
      </c>
      <c r="B10" s="47">
        <v>0.74861111111111101</v>
      </c>
      <c r="C10" s="48" t="s">
        <v>28</v>
      </c>
      <c r="D10" s="49">
        <v>14</v>
      </c>
      <c r="E10" s="50">
        <f t="shared" si="0"/>
        <v>153.93804002589985</v>
      </c>
      <c r="F10" s="51">
        <v>40</v>
      </c>
      <c r="G10" s="51" t="s">
        <v>27</v>
      </c>
      <c r="H10" s="51" t="s">
        <v>18</v>
      </c>
      <c r="I10" s="51" t="s">
        <v>34</v>
      </c>
      <c r="J10" s="60">
        <v>6.6</v>
      </c>
      <c r="K10" s="21">
        <v>109</v>
      </c>
      <c r="L10" s="21">
        <v>79</v>
      </c>
      <c r="M10" s="52">
        <v>0.24</v>
      </c>
      <c r="N10" s="21">
        <v>18.8</v>
      </c>
      <c r="O10" s="60">
        <v>15.4</v>
      </c>
      <c r="P10" s="60">
        <v>2.6</v>
      </c>
    </row>
    <row r="11" spans="1:16" hidden="1" x14ac:dyDescent="0.2">
      <c r="A11" s="34">
        <v>44806</v>
      </c>
      <c r="B11" s="35">
        <v>0.75347222222222221</v>
      </c>
      <c r="C11" s="53" t="s">
        <v>29</v>
      </c>
      <c r="D11" s="37">
        <v>8</v>
      </c>
      <c r="E11" s="38">
        <f t="shared" si="0"/>
        <v>50.26548245743669</v>
      </c>
      <c r="F11" s="39">
        <v>40</v>
      </c>
      <c r="G11" s="39" t="s">
        <v>27</v>
      </c>
      <c r="H11" s="39" t="s">
        <v>18</v>
      </c>
      <c r="I11" s="39" t="s">
        <v>34</v>
      </c>
      <c r="J11" s="67">
        <v>7.1</v>
      </c>
      <c r="K11" s="39">
        <v>91</v>
      </c>
      <c r="L11" s="39">
        <v>59</v>
      </c>
      <c r="M11" s="54">
        <v>0.7</v>
      </c>
      <c r="N11" s="39">
        <v>7.8</v>
      </c>
      <c r="O11" s="67">
        <v>3.9</v>
      </c>
      <c r="P11" s="62">
        <v>2</v>
      </c>
    </row>
    <row r="12" spans="1:16" ht="16" hidden="1" thickBot="1" x14ac:dyDescent="0.25">
      <c r="A12" s="41">
        <v>44806</v>
      </c>
      <c r="B12" s="42">
        <v>0.76041666666666663</v>
      </c>
      <c r="C12" s="55" t="s">
        <v>29</v>
      </c>
      <c r="D12" s="44">
        <v>8</v>
      </c>
      <c r="E12" s="45">
        <f t="shared" si="0"/>
        <v>50.26548245743669</v>
      </c>
      <c r="F12" s="46">
        <v>40</v>
      </c>
      <c r="G12" s="46" t="s">
        <v>27</v>
      </c>
      <c r="H12" s="46" t="s">
        <v>18</v>
      </c>
      <c r="I12" s="46" t="s">
        <v>34</v>
      </c>
      <c r="J12" s="68">
        <v>5.2</v>
      </c>
      <c r="K12" s="46">
        <v>78</v>
      </c>
      <c r="L12" s="46">
        <v>59</v>
      </c>
      <c r="M12" s="56">
        <v>0.65</v>
      </c>
      <c r="N12" s="46">
        <v>8.1</v>
      </c>
      <c r="O12" s="68">
        <v>4.0999999999999996</v>
      </c>
      <c r="P12" s="64">
        <v>1.7</v>
      </c>
    </row>
    <row r="13" spans="1:16" hidden="1" x14ac:dyDescent="0.2">
      <c r="A13" s="34">
        <v>44806</v>
      </c>
      <c r="B13" s="35">
        <v>0.76527777777777783</v>
      </c>
      <c r="C13" s="57" t="s">
        <v>11</v>
      </c>
      <c r="D13" s="37">
        <v>6</v>
      </c>
      <c r="E13" s="38">
        <f t="shared" si="0"/>
        <v>28.274333882308138</v>
      </c>
      <c r="F13" s="39">
        <v>40</v>
      </c>
      <c r="G13" s="39" t="s">
        <v>27</v>
      </c>
      <c r="H13" s="39" t="s">
        <v>27</v>
      </c>
      <c r="I13" s="39" t="s">
        <v>32</v>
      </c>
      <c r="J13" s="67">
        <v>2.2000000000000002</v>
      </c>
      <c r="K13" s="39">
        <v>32</v>
      </c>
      <c r="L13" s="39">
        <v>51</v>
      </c>
      <c r="M13" s="39">
        <v>1.27</v>
      </c>
      <c r="N13" s="39">
        <v>6.3</v>
      </c>
      <c r="O13" s="67">
        <v>1.8</v>
      </c>
      <c r="P13" s="62"/>
    </row>
    <row r="14" spans="1:16" hidden="1" x14ac:dyDescent="0.2">
      <c r="A14" s="40">
        <v>44806</v>
      </c>
      <c r="B14" s="12">
        <v>0.77083333333333337</v>
      </c>
      <c r="C14" s="14" t="s">
        <v>11</v>
      </c>
      <c r="D14" s="2">
        <v>6</v>
      </c>
      <c r="E14" s="13">
        <f t="shared" si="0"/>
        <v>28.274333882308138</v>
      </c>
      <c r="F14" s="1">
        <v>40</v>
      </c>
      <c r="G14" s="1" t="s">
        <v>27</v>
      </c>
      <c r="H14" s="1" t="s">
        <v>27</v>
      </c>
      <c r="I14" s="1" t="s">
        <v>32</v>
      </c>
      <c r="J14" s="59">
        <v>5.2</v>
      </c>
      <c r="K14" s="1">
        <v>44</v>
      </c>
      <c r="L14" s="1">
        <v>49</v>
      </c>
      <c r="M14" s="1">
        <v>1.6</v>
      </c>
      <c r="N14" s="1">
        <v>10.4</v>
      </c>
      <c r="O14" s="59">
        <v>2.1</v>
      </c>
      <c r="P14" s="63"/>
    </row>
    <row r="15" spans="1:16" ht="16" hidden="1" thickBot="1" x14ac:dyDescent="0.25">
      <c r="A15" s="41">
        <v>44806</v>
      </c>
      <c r="B15" s="42">
        <v>0.77569444444444446</v>
      </c>
      <c r="C15" s="58" t="s">
        <v>11</v>
      </c>
      <c r="D15" s="44">
        <v>6</v>
      </c>
      <c r="E15" s="45">
        <f t="shared" si="0"/>
        <v>28.274333882308138</v>
      </c>
      <c r="F15" s="46">
        <v>40</v>
      </c>
      <c r="G15" s="46" t="s">
        <v>27</v>
      </c>
      <c r="H15" s="46" t="s">
        <v>27</v>
      </c>
      <c r="I15" s="46" t="s">
        <v>33</v>
      </c>
      <c r="J15" s="68">
        <v>1.4</v>
      </c>
      <c r="K15" s="46">
        <v>28</v>
      </c>
      <c r="L15" s="46"/>
      <c r="M15" s="46">
        <v>1.24</v>
      </c>
      <c r="N15" s="46">
        <v>10.1</v>
      </c>
      <c r="O15" s="68"/>
      <c r="P15" s="64"/>
    </row>
    <row r="16" spans="1:16" ht="16" hidden="1" thickBot="1" x14ac:dyDescent="0.25">
      <c r="A16" s="27">
        <v>44806</v>
      </c>
      <c r="B16" s="28">
        <v>0.78125</v>
      </c>
      <c r="C16" s="32" t="s">
        <v>2</v>
      </c>
      <c r="D16" s="30">
        <f>Nozzles!$B$4</f>
        <v>14.6</v>
      </c>
      <c r="E16" s="31">
        <f t="shared" si="0"/>
        <v>167.41547250980008</v>
      </c>
      <c r="F16" s="32">
        <v>40</v>
      </c>
      <c r="G16" s="32" t="s">
        <v>27</v>
      </c>
      <c r="H16" s="32" t="s">
        <v>18</v>
      </c>
      <c r="I16" s="32" t="s">
        <v>34</v>
      </c>
      <c r="J16" s="66">
        <v>6.6</v>
      </c>
      <c r="K16" s="32">
        <v>131</v>
      </c>
      <c r="L16" s="32">
        <v>79</v>
      </c>
      <c r="M16" s="32">
        <v>0.21</v>
      </c>
      <c r="N16" s="32">
        <v>21.6</v>
      </c>
      <c r="O16" s="66">
        <v>17</v>
      </c>
      <c r="P16" s="61">
        <v>2.6</v>
      </c>
    </row>
    <row r="17" spans="1:16" hidden="1" x14ac:dyDescent="0.2">
      <c r="A17" s="11">
        <v>44809</v>
      </c>
      <c r="B17" s="12">
        <v>0.47083333333333338</v>
      </c>
      <c r="C17" s="70" t="s">
        <v>8</v>
      </c>
      <c r="D17" s="2">
        <v>10</v>
      </c>
      <c r="E17" s="13">
        <f t="shared" si="0"/>
        <v>78.539816339744831</v>
      </c>
      <c r="F17" s="1">
        <v>42</v>
      </c>
      <c r="G17" s="1" t="s">
        <v>27</v>
      </c>
      <c r="H17" s="1" t="s">
        <v>18</v>
      </c>
      <c r="I17" s="1" t="s">
        <v>34</v>
      </c>
      <c r="J17" s="1">
        <v>7.3</v>
      </c>
      <c r="K17" s="1">
        <v>118</v>
      </c>
      <c r="L17" s="1">
        <v>76</v>
      </c>
      <c r="M17" s="1">
        <v>0.48</v>
      </c>
      <c r="N17" s="1">
        <v>10.6</v>
      </c>
      <c r="O17" s="1">
        <v>7.3</v>
      </c>
      <c r="P17" s="1">
        <v>2.2000000000000002</v>
      </c>
    </row>
    <row r="18" spans="1:16" hidden="1" x14ac:dyDescent="0.2">
      <c r="A18" s="11">
        <v>44809</v>
      </c>
      <c r="B18" s="12">
        <v>0.48194444444444445</v>
      </c>
      <c r="C18" s="70" t="s">
        <v>8</v>
      </c>
      <c r="D18" s="2">
        <v>10</v>
      </c>
      <c r="E18" s="13">
        <f t="shared" si="0"/>
        <v>78.539816339744831</v>
      </c>
      <c r="F18" s="1">
        <v>40</v>
      </c>
      <c r="G18" s="1" t="s">
        <v>27</v>
      </c>
      <c r="H18" s="1" t="s">
        <v>18</v>
      </c>
      <c r="I18" s="1" t="s">
        <v>34</v>
      </c>
      <c r="J18" s="59">
        <v>10.7</v>
      </c>
      <c r="K18" s="1">
        <v>116</v>
      </c>
      <c r="L18" s="1">
        <v>71</v>
      </c>
      <c r="M18" s="1">
        <v>0.47</v>
      </c>
      <c r="N18" s="1">
        <v>9.6</v>
      </c>
      <c r="O18" s="1">
        <v>6.9</v>
      </c>
      <c r="P18" s="1">
        <v>2.4</v>
      </c>
    </row>
    <row r="19" spans="1:16" hidden="1" x14ac:dyDescent="0.2">
      <c r="A19" s="11">
        <v>44809</v>
      </c>
      <c r="B19" s="12">
        <v>0.48402777777777778</v>
      </c>
      <c r="C19" s="70" t="s">
        <v>8</v>
      </c>
      <c r="D19" s="2">
        <v>10</v>
      </c>
      <c r="E19" s="13">
        <f t="shared" si="0"/>
        <v>78.539816339744831</v>
      </c>
      <c r="F19" s="1">
        <v>40</v>
      </c>
      <c r="G19" s="1" t="s">
        <v>27</v>
      </c>
      <c r="H19" s="1" t="s">
        <v>18</v>
      </c>
      <c r="I19" s="1" t="s">
        <v>34</v>
      </c>
      <c r="J19" s="59">
        <v>6.6</v>
      </c>
      <c r="K19" s="1">
        <v>115</v>
      </c>
      <c r="L19" s="1">
        <v>75</v>
      </c>
      <c r="M19" s="1">
        <v>0.5</v>
      </c>
      <c r="N19" s="1">
        <v>9.1</v>
      </c>
      <c r="O19" s="1">
        <v>6.9</v>
      </c>
      <c r="P19" s="1">
        <v>2.2999999999999998</v>
      </c>
    </row>
    <row r="20" spans="1:16" hidden="1" x14ac:dyDescent="0.2">
      <c r="A20" s="11">
        <v>44809</v>
      </c>
      <c r="B20" s="12">
        <v>0.48888888888888887</v>
      </c>
      <c r="C20" s="71" t="s">
        <v>9</v>
      </c>
      <c r="D20" s="72">
        <v>9</v>
      </c>
      <c r="E20" s="13">
        <f t="shared" si="0"/>
        <v>63.617251235193308</v>
      </c>
      <c r="F20" s="1">
        <v>40</v>
      </c>
      <c r="G20" s="1" t="s">
        <v>27</v>
      </c>
      <c r="H20" s="1" t="s">
        <v>18</v>
      </c>
      <c r="I20" s="1" t="s">
        <v>32</v>
      </c>
      <c r="J20" s="59">
        <v>4.9000000000000004</v>
      </c>
      <c r="K20" s="1">
        <v>75</v>
      </c>
      <c r="L20" s="1">
        <v>68</v>
      </c>
      <c r="M20" s="1">
        <v>0.59</v>
      </c>
      <c r="N20" s="1">
        <v>7.2</v>
      </c>
      <c r="O20" s="1">
        <v>5.3</v>
      </c>
      <c r="P20" s="1">
        <v>1.8</v>
      </c>
    </row>
    <row r="21" spans="1:16" hidden="1" x14ac:dyDescent="0.2">
      <c r="A21" s="11">
        <v>44810</v>
      </c>
      <c r="B21" s="12">
        <v>0.64930555555555558</v>
      </c>
      <c r="C21" s="71" t="s">
        <v>9</v>
      </c>
      <c r="D21" s="72">
        <v>9</v>
      </c>
      <c r="E21" s="13">
        <f t="shared" si="0"/>
        <v>63.617251235193308</v>
      </c>
      <c r="F21" s="1">
        <v>40</v>
      </c>
      <c r="G21" s="1" t="s">
        <v>27</v>
      </c>
      <c r="H21" s="1" t="s">
        <v>18</v>
      </c>
      <c r="I21" s="1" t="s">
        <v>34</v>
      </c>
      <c r="J21" s="59">
        <v>5.7</v>
      </c>
      <c r="K21" s="1">
        <v>61</v>
      </c>
      <c r="L21" s="1">
        <v>56</v>
      </c>
      <c r="M21" s="1">
        <v>0.66</v>
      </c>
      <c r="N21" s="1">
        <v>6.5</v>
      </c>
      <c r="O21" s="1">
        <v>4.5</v>
      </c>
      <c r="P21" s="1">
        <v>1.6</v>
      </c>
    </row>
    <row r="22" spans="1:16" hidden="1" x14ac:dyDescent="0.2">
      <c r="A22" s="11">
        <v>44810</v>
      </c>
      <c r="B22" s="12">
        <v>0.65555555555555556</v>
      </c>
      <c r="C22" s="71" t="s">
        <v>9</v>
      </c>
      <c r="D22" s="72">
        <v>9</v>
      </c>
      <c r="E22" s="13">
        <f t="shared" si="0"/>
        <v>63.617251235193308</v>
      </c>
      <c r="F22" s="1">
        <v>40</v>
      </c>
      <c r="G22" s="1" t="s">
        <v>27</v>
      </c>
      <c r="H22" s="1" t="s">
        <v>18</v>
      </c>
      <c r="I22" s="1" t="s">
        <v>34</v>
      </c>
      <c r="J22" s="59">
        <v>5.0999999999999996</v>
      </c>
      <c r="K22" s="1">
        <v>67</v>
      </c>
      <c r="L22" s="1">
        <v>74</v>
      </c>
      <c r="M22" s="1">
        <v>0.62</v>
      </c>
      <c r="N22" s="1">
        <v>10.16</v>
      </c>
      <c r="O22" s="1">
        <v>5.5</v>
      </c>
      <c r="P22" s="1">
        <v>1.7</v>
      </c>
    </row>
    <row r="23" spans="1:16" hidden="1" x14ac:dyDescent="0.2">
      <c r="A23" s="11">
        <v>44810</v>
      </c>
      <c r="B23" s="12">
        <v>0.66111111111111109</v>
      </c>
      <c r="C23" s="73" t="s">
        <v>35</v>
      </c>
      <c r="D23" s="2">
        <v>7</v>
      </c>
      <c r="E23" s="13">
        <f t="shared" si="0"/>
        <v>38.484510006474963</v>
      </c>
      <c r="F23" s="1">
        <v>40</v>
      </c>
      <c r="G23" s="1" t="s">
        <v>27</v>
      </c>
      <c r="H23" s="1" t="s">
        <v>18</v>
      </c>
      <c r="I23" s="1" t="s">
        <v>33</v>
      </c>
      <c r="J23" s="59">
        <v>2.7</v>
      </c>
      <c r="K23" s="1">
        <v>35</v>
      </c>
      <c r="L23" s="1">
        <v>59</v>
      </c>
      <c r="M23" s="1">
        <v>1.8</v>
      </c>
      <c r="N23" s="1">
        <v>8.1</v>
      </c>
      <c r="O23" s="1">
        <v>2.5</v>
      </c>
      <c r="P23" s="1">
        <v>-0.1</v>
      </c>
    </row>
    <row r="24" spans="1:16" hidden="1" x14ac:dyDescent="0.2">
      <c r="A24" s="11">
        <v>44810</v>
      </c>
      <c r="B24" s="12">
        <v>0.66319444444444442</v>
      </c>
      <c r="C24" s="73" t="s">
        <v>35</v>
      </c>
      <c r="D24" s="2">
        <v>7</v>
      </c>
      <c r="E24" s="13">
        <f t="shared" si="0"/>
        <v>38.484510006474963</v>
      </c>
      <c r="F24" s="1">
        <v>40</v>
      </c>
      <c r="G24" s="1" t="s">
        <v>27</v>
      </c>
      <c r="H24" s="1" t="s">
        <v>27</v>
      </c>
      <c r="I24" s="1" t="s">
        <v>33</v>
      </c>
      <c r="J24" s="59">
        <v>2.1</v>
      </c>
      <c r="K24" s="1">
        <v>23</v>
      </c>
      <c r="L24" s="1">
        <v>45</v>
      </c>
      <c r="M24" s="1">
        <v>1.3</v>
      </c>
      <c r="N24" s="1">
        <v>6.9</v>
      </c>
      <c r="O24" s="1">
        <v>1.6</v>
      </c>
      <c r="P24" s="1">
        <v>-0.4</v>
      </c>
    </row>
    <row r="25" spans="1:16" hidden="1" x14ac:dyDescent="0.2">
      <c r="A25" s="11">
        <v>44810</v>
      </c>
      <c r="B25" s="12">
        <v>0.67013888888888884</v>
      </c>
      <c r="C25" s="73" t="s">
        <v>35</v>
      </c>
      <c r="D25" s="2">
        <v>7</v>
      </c>
      <c r="E25" s="13">
        <f t="shared" si="0"/>
        <v>38.484510006474963</v>
      </c>
      <c r="F25" s="1">
        <v>40</v>
      </c>
      <c r="G25" s="1" t="s">
        <v>27</v>
      </c>
      <c r="H25" s="1" t="s">
        <v>27</v>
      </c>
      <c r="I25" s="1" t="s">
        <v>33</v>
      </c>
      <c r="J25" s="59">
        <v>2.9</v>
      </c>
      <c r="K25" s="1">
        <v>39</v>
      </c>
      <c r="L25" s="1">
        <v>60</v>
      </c>
      <c r="M25" s="1">
        <v>1.6</v>
      </c>
      <c r="N25" s="1">
        <v>9.4</v>
      </c>
      <c r="O25" s="1">
        <v>2.6</v>
      </c>
      <c r="P25" s="1">
        <v>-0.1</v>
      </c>
    </row>
    <row r="26" spans="1:16" hidden="1" x14ac:dyDescent="0.2">
      <c r="A26" s="11">
        <v>44810</v>
      </c>
      <c r="B26" s="12">
        <v>0.6791666666666667</v>
      </c>
      <c r="C26" s="1" t="s">
        <v>7</v>
      </c>
      <c r="D26" s="72">
        <v>11</v>
      </c>
      <c r="E26" s="13">
        <f t="shared" si="0"/>
        <v>95.033177771091246</v>
      </c>
      <c r="F26" s="1">
        <v>40</v>
      </c>
      <c r="G26" s="1" t="s">
        <v>27</v>
      </c>
      <c r="H26" s="1" t="s">
        <v>18</v>
      </c>
      <c r="I26" s="1" t="s">
        <v>34</v>
      </c>
      <c r="J26" s="59">
        <v>7.3</v>
      </c>
      <c r="K26" s="1">
        <v>102</v>
      </c>
      <c r="L26" s="1">
        <v>71</v>
      </c>
      <c r="M26" s="1">
        <v>0.38</v>
      </c>
      <c r="N26" s="1">
        <v>10.7</v>
      </c>
      <c r="O26" s="1">
        <v>8.5</v>
      </c>
      <c r="P26" s="1">
        <v>2.2999999999999998</v>
      </c>
    </row>
    <row r="27" spans="1:16" hidden="1" x14ac:dyDescent="0.2">
      <c r="A27" s="11">
        <v>44810</v>
      </c>
      <c r="B27" s="12">
        <v>0.68333333333333324</v>
      </c>
      <c r="C27" s="1" t="s">
        <v>7</v>
      </c>
      <c r="D27" s="72">
        <v>11</v>
      </c>
      <c r="E27" s="13">
        <f t="shared" si="0"/>
        <v>95.033177771091246</v>
      </c>
      <c r="F27" s="1">
        <v>40</v>
      </c>
      <c r="G27" s="1" t="s">
        <v>27</v>
      </c>
      <c r="H27" s="1" t="s">
        <v>18</v>
      </c>
      <c r="I27" s="1" t="s">
        <v>33</v>
      </c>
      <c r="J27" s="59">
        <v>5</v>
      </c>
      <c r="K27" s="1">
        <v>66</v>
      </c>
      <c r="L27" s="1">
        <v>70</v>
      </c>
      <c r="M27" s="1">
        <v>0.39</v>
      </c>
      <c r="N27" s="1">
        <v>11.1</v>
      </c>
      <c r="O27" s="1">
        <v>8.1999999999999993</v>
      </c>
      <c r="P27" s="1">
        <v>2.1</v>
      </c>
    </row>
    <row r="28" spans="1:16" hidden="1" x14ac:dyDescent="0.2">
      <c r="A28" s="11">
        <v>44810</v>
      </c>
      <c r="B28" s="12">
        <v>0.6875</v>
      </c>
      <c r="C28" s="1" t="s">
        <v>7</v>
      </c>
      <c r="D28" s="72">
        <v>11</v>
      </c>
      <c r="E28" s="13">
        <f t="shared" si="0"/>
        <v>95.033177771091246</v>
      </c>
      <c r="F28" s="1">
        <v>40</v>
      </c>
      <c r="G28" s="1" t="s">
        <v>27</v>
      </c>
      <c r="H28" s="1" t="s">
        <v>18</v>
      </c>
      <c r="I28" s="1" t="s">
        <v>34</v>
      </c>
      <c r="J28" s="59">
        <v>6.2</v>
      </c>
      <c r="K28" s="1">
        <v>106</v>
      </c>
      <c r="L28" s="1">
        <v>70</v>
      </c>
      <c r="M28" s="1">
        <v>0.38</v>
      </c>
      <c r="N28" s="1">
        <v>11</v>
      </c>
      <c r="O28" s="1">
        <v>8.4</v>
      </c>
      <c r="P28" s="1">
        <v>2.5</v>
      </c>
    </row>
    <row r="29" spans="1:16" hidden="1" x14ac:dyDescent="0.2">
      <c r="A29" s="11">
        <v>44810</v>
      </c>
      <c r="B29" s="12">
        <v>0.69236111111111109</v>
      </c>
      <c r="C29" s="5" t="s">
        <v>5</v>
      </c>
      <c r="D29" s="2">
        <v>13</v>
      </c>
      <c r="E29" s="13">
        <f t="shared" si="0"/>
        <v>132.73228961416876</v>
      </c>
      <c r="F29" s="1">
        <v>42</v>
      </c>
      <c r="G29" s="1" t="s">
        <v>27</v>
      </c>
      <c r="H29" s="1" t="s">
        <v>18</v>
      </c>
      <c r="I29" s="1" t="s">
        <v>34</v>
      </c>
      <c r="J29" s="59">
        <v>6.2</v>
      </c>
      <c r="K29" s="1">
        <v>115</v>
      </c>
      <c r="L29" s="1">
        <v>86</v>
      </c>
      <c r="M29" s="1">
        <v>0.25</v>
      </c>
      <c r="N29" s="1">
        <v>19.100000000000001</v>
      </c>
      <c r="O29" s="1">
        <v>15.7</v>
      </c>
      <c r="P29" s="1">
        <v>2.2000000000000002</v>
      </c>
    </row>
    <row r="30" spans="1:16" hidden="1" x14ac:dyDescent="0.2">
      <c r="A30" s="11">
        <v>44810</v>
      </c>
      <c r="B30" s="12">
        <v>0.69930555555555562</v>
      </c>
      <c r="C30" s="5" t="s">
        <v>5</v>
      </c>
      <c r="D30" s="2">
        <v>13</v>
      </c>
      <c r="E30" s="13">
        <f t="shared" si="0"/>
        <v>132.73228961416876</v>
      </c>
      <c r="F30" s="1">
        <v>40</v>
      </c>
      <c r="G30" s="1" t="s">
        <v>27</v>
      </c>
      <c r="H30" s="1" t="s">
        <v>18</v>
      </c>
      <c r="I30" s="1" t="s">
        <v>34</v>
      </c>
      <c r="J30" s="59">
        <v>6.4</v>
      </c>
      <c r="K30" s="1">
        <v>106</v>
      </c>
      <c r="L30" s="1">
        <v>81</v>
      </c>
      <c r="M30" s="1">
        <v>0.26</v>
      </c>
      <c r="N30" s="1">
        <v>17.600000000000001</v>
      </c>
      <c r="O30" s="1">
        <v>14.4</v>
      </c>
      <c r="P30" s="1">
        <v>2.4</v>
      </c>
    </row>
    <row r="31" spans="1:16" hidden="1" x14ac:dyDescent="0.2">
      <c r="A31" s="11">
        <v>44810</v>
      </c>
      <c r="B31" s="12">
        <v>0.70486111111111116</v>
      </c>
      <c r="C31" s="5" t="s">
        <v>5</v>
      </c>
      <c r="D31" s="2">
        <v>13</v>
      </c>
      <c r="E31" s="13">
        <f t="shared" si="0"/>
        <v>132.73228961416876</v>
      </c>
      <c r="F31" s="1">
        <v>40</v>
      </c>
      <c r="G31" s="1" t="s">
        <v>27</v>
      </c>
      <c r="H31" s="1" t="s">
        <v>18</v>
      </c>
      <c r="I31" s="1" t="s">
        <v>34</v>
      </c>
      <c r="J31" s="59">
        <v>6.1</v>
      </c>
      <c r="K31" s="1">
        <v>102</v>
      </c>
      <c r="L31" s="1">
        <v>82</v>
      </c>
      <c r="M31" s="1">
        <v>0.28000000000000003</v>
      </c>
      <c r="N31" s="1">
        <v>16.100000000000001</v>
      </c>
      <c r="O31" s="1">
        <v>13.5</v>
      </c>
      <c r="P31" s="1">
        <v>2.7</v>
      </c>
    </row>
    <row r="32" spans="1:16" hidden="1" x14ac:dyDescent="0.2">
      <c r="A32" s="11">
        <v>44811</v>
      </c>
      <c r="B32" s="12">
        <v>0.60069444444444442</v>
      </c>
      <c r="C32" s="12" t="s">
        <v>2</v>
      </c>
      <c r="D32" s="2">
        <f>Nozzles!$B$4</f>
        <v>14.6</v>
      </c>
      <c r="E32" s="13">
        <f t="shared" si="0"/>
        <v>167.41547250980008</v>
      </c>
      <c r="F32" s="1">
        <v>40</v>
      </c>
      <c r="G32" s="1" t="s">
        <v>27</v>
      </c>
      <c r="H32" s="1" t="s">
        <v>18</v>
      </c>
      <c r="I32" s="1" t="s">
        <v>34</v>
      </c>
      <c r="J32" s="59">
        <v>10.1</v>
      </c>
      <c r="K32" s="1">
        <v>121</v>
      </c>
      <c r="L32" s="1">
        <v>75</v>
      </c>
      <c r="M32" s="1">
        <v>0.21</v>
      </c>
      <c r="N32" s="1">
        <v>21.1</v>
      </c>
      <c r="O32" s="1">
        <v>16.5</v>
      </c>
      <c r="P32" s="1">
        <v>2.6</v>
      </c>
    </row>
    <row r="33" spans="1:16" x14ac:dyDescent="0.2">
      <c r="A33" s="11">
        <v>44811</v>
      </c>
      <c r="B33" s="12">
        <v>0.61458333333333337</v>
      </c>
      <c r="C33" s="74" t="s">
        <v>28</v>
      </c>
      <c r="D33" s="2">
        <v>14</v>
      </c>
      <c r="E33" s="13">
        <f t="shared" si="0"/>
        <v>153.93804002589985</v>
      </c>
      <c r="F33" s="1">
        <v>40</v>
      </c>
      <c r="G33" s="1" t="s">
        <v>27</v>
      </c>
      <c r="H33" s="1" t="s">
        <v>18</v>
      </c>
      <c r="I33" s="1" t="s">
        <v>34</v>
      </c>
      <c r="J33" s="59">
        <v>7.2</v>
      </c>
      <c r="K33" s="1">
        <v>111</v>
      </c>
      <c r="L33" s="1">
        <v>79</v>
      </c>
      <c r="M33" s="1">
        <v>0.23</v>
      </c>
      <c r="N33" s="1">
        <v>19.8</v>
      </c>
      <c r="O33" s="1">
        <v>15.6</v>
      </c>
      <c r="P33" s="1">
        <v>2.2999999999999998</v>
      </c>
    </row>
    <row r="34" spans="1:16" hidden="1" x14ac:dyDescent="0.2">
      <c r="A34" s="34">
        <v>44806</v>
      </c>
      <c r="B34" s="35">
        <v>0.60486111111111118</v>
      </c>
      <c r="C34" s="53" t="s">
        <v>29</v>
      </c>
      <c r="D34" s="37">
        <v>8</v>
      </c>
      <c r="E34" s="38">
        <f t="shared" si="0"/>
        <v>50.26548245743669</v>
      </c>
      <c r="F34" s="1">
        <v>40</v>
      </c>
      <c r="G34" s="1" t="s">
        <v>27</v>
      </c>
      <c r="H34" s="1" t="s">
        <v>18</v>
      </c>
      <c r="I34" s="1" t="s">
        <v>34</v>
      </c>
      <c r="J34" s="59">
        <v>2.9</v>
      </c>
      <c r="K34" s="1">
        <v>49</v>
      </c>
      <c r="L34" s="1">
        <v>68</v>
      </c>
      <c r="M34" s="1">
        <v>0.72</v>
      </c>
      <c r="N34" s="1">
        <v>7.6</v>
      </c>
      <c r="O34" s="1">
        <v>4.0999999999999996</v>
      </c>
      <c r="P34" s="1">
        <v>0.1</v>
      </c>
    </row>
    <row r="35" spans="1:16" hidden="1" x14ac:dyDescent="0.2">
      <c r="A35" s="11">
        <v>44811</v>
      </c>
      <c r="B35" s="12">
        <v>0.60972222222222217</v>
      </c>
      <c r="C35" s="12" t="s">
        <v>2</v>
      </c>
      <c r="D35" s="2">
        <f>Nozzles!$B$4</f>
        <v>14.6</v>
      </c>
      <c r="E35" s="13">
        <f t="shared" si="0"/>
        <v>167.41547250980008</v>
      </c>
      <c r="F35" s="39">
        <v>40</v>
      </c>
      <c r="G35" s="1" t="s">
        <v>27</v>
      </c>
      <c r="H35" s="1" t="s">
        <v>18</v>
      </c>
      <c r="I35" s="1" t="s">
        <v>34</v>
      </c>
      <c r="J35" s="59">
        <v>8.1999999999999993</v>
      </c>
      <c r="K35" s="1">
        <v>129</v>
      </c>
      <c r="L35" s="1">
        <v>77</v>
      </c>
      <c r="M35" s="1">
        <v>0.21</v>
      </c>
      <c r="N35" s="1">
        <v>20.9</v>
      </c>
      <c r="O35" s="1">
        <v>16.600000000000001</v>
      </c>
      <c r="P35" s="1">
        <v>2.9</v>
      </c>
    </row>
    <row r="36" spans="1:16" hidden="1" x14ac:dyDescent="0.2">
      <c r="A36" s="11">
        <v>44814</v>
      </c>
      <c r="B36" s="12">
        <v>0.50694444444444442</v>
      </c>
      <c r="C36" s="70" t="s">
        <v>8</v>
      </c>
      <c r="D36" s="2">
        <v>10</v>
      </c>
      <c r="E36" s="13">
        <f t="shared" si="0"/>
        <v>78.539816339744831</v>
      </c>
      <c r="F36" s="1">
        <v>10</v>
      </c>
      <c r="G36" s="1" t="s">
        <v>27</v>
      </c>
      <c r="H36" s="1" t="s">
        <v>18</v>
      </c>
      <c r="I36" s="1" t="s">
        <v>34</v>
      </c>
      <c r="J36" s="59">
        <v>4.4000000000000004</v>
      </c>
      <c r="K36" s="1">
        <v>47</v>
      </c>
      <c r="L36" s="1">
        <v>33</v>
      </c>
      <c r="M36" s="1">
        <v>0.61</v>
      </c>
      <c r="N36" s="1">
        <v>4.4000000000000004</v>
      </c>
      <c r="O36" s="1">
        <v>2.5</v>
      </c>
      <c r="P36" s="59">
        <v>2</v>
      </c>
    </row>
    <row r="37" spans="1:16" hidden="1" x14ac:dyDescent="0.2">
      <c r="A37" s="11">
        <v>44814</v>
      </c>
      <c r="B37" s="12">
        <v>0.51250000000000007</v>
      </c>
      <c r="C37" s="70" t="s">
        <v>8</v>
      </c>
      <c r="D37" s="2">
        <v>10</v>
      </c>
      <c r="E37" s="13">
        <f t="shared" si="0"/>
        <v>78.539816339744831</v>
      </c>
      <c r="F37" s="1">
        <v>22</v>
      </c>
      <c r="G37" s="1" t="s">
        <v>27</v>
      </c>
      <c r="H37" s="1" t="s">
        <v>18</v>
      </c>
      <c r="I37" s="1" t="s">
        <v>34</v>
      </c>
      <c r="J37" s="59">
        <v>5.6</v>
      </c>
      <c r="K37" s="1">
        <v>65</v>
      </c>
      <c r="L37" s="1">
        <v>53</v>
      </c>
      <c r="M37" s="1">
        <v>0.64</v>
      </c>
      <c r="N37" s="1">
        <v>10.199999999999999</v>
      </c>
      <c r="O37" s="1">
        <v>3.8</v>
      </c>
      <c r="P37" s="59">
        <v>2</v>
      </c>
    </row>
    <row r="38" spans="1:16" hidden="1" x14ac:dyDescent="0.2">
      <c r="A38" s="11">
        <v>44814</v>
      </c>
      <c r="B38" s="12">
        <v>0.52083333333333337</v>
      </c>
      <c r="C38" s="70" t="s">
        <v>8</v>
      </c>
      <c r="D38" s="2">
        <v>10</v>
      </c>
      <c r="E38" s="13">
        <f t="shared" si="0"/>
        <v>78.539816339744831</v>
      </c>
      <c r="F38" s="1">
        <v>30</v>
      </c>
      <c r="G38" s="1" t="s">
        <v>27</v>
      </c>
      <c r="H38" s="1" t="s">
        <v>18</v>
      </c>
      <c r="I38" s="1" t="s">
        <v>34</v>
      </c>
      <c r="J38" s="59">
        <v>9</v>
      </c>
      <c r="K38" s="1">
        <v>97</v>
      </c>
      <c r="L38" s="1">
        <v>66</v>
      </c>
      <c r="M38" s="1">
        <v>0.52</v>
      </c>
      <c r="N38" s="1">
        <v>8.8000000000000007</v>
      </c>
      <c r="O38" s="1">
        <v>5.9</v>
      </c>
      <c r="P38" s="59">
        <v>2.2999999999999998</v>
      </c>
    </row>
    <row r="39" spans="1:16" hidden="1" x14ac:dyDescent="0.2">
      <c r="A39" s="11">
        <v>44814</v>
      </c>
      <c r="B39" s="12">
        <v>0.52638888888888891</v>
      </c>
      <c r="C39" s="70" t="s">
        <v>8</v>
      </c>
      <c r="D39" s="2">
        <v>10</v>
      </c>
      <c r="E39" s="13">
        <f t="shared" si="0"/>
        <v>78.539816339744831</v>
      </c>
      <c r="F39" s="1">
        <v>50</v>
      </c>
      <c r="G39" s="1" t="s">
        <v>27</v>
      </c>
      <c r="H39" s="1" t="s">
        <v>18</v>
      </c>
      <c r="I39" s="1" t="s">
        <v>34</v>
      </c>
      <c r="J39" s="59">
        <v>7.7</v>
      </c>
      <c r="K39" s="1">
        <v>141</v>
      </c>
      <c r="L39" s="1">
        <v>85</v>
      </c>
      <c r="M39" s="1">
        <v>0.49</v>
      </c>
      <c r="N39" s="1">
        <v>10.7</v>
      </c>
      <c r="O39" s="1">
        <v>7.9</v>
      </c>
      <c r="P39" s="1">
        <v>2.5</v>
      </c>
    </row>
    <row r="40" spans="1:16" hidden="1" x14ac:dyDescent="0.2">
      <c r="A40" s="11">
        <v>44814</v>
      </c>
      <c r="B40" s="12">
        <v>0.53333333333333333</v>
      </c>
      <c r="C40" s="70" t="s">
        <v>8</v>
      </c>
      <c r="D40" s="2">
        <v>10</v>
      </c>
      <c r="E40" s="13">
        <f t="shared" si="0"/>
        <v>78.539816339744831</v>
      </c>
      <c r="F40" s="1">
        <v>60</v>
      </c>
      <c r="G40" s="1" t="s">
        <v>27</v>
      </c>
      <c r="H40" s="1" t="s">
        <v>18</v>
      </c>
      <c r="I40" s="1" t="s">
        <v>32</v>
      </c>
      <c r="J40" s="59">
        <v>5.8</v>
      </c>
      <c r="K40" s="1">
        <v>116</v>
      </c>
      <c r="L40" s="1">
        <v>91</v>
      </c>
      <c r="M40" s="1">
        <v>0.46</v>
      </c>
      <c r="N40" s="1">
        <v>12.9</v>
      </c>
      <c r="O40" s="1">
        <v>9.1999999999999993</v>
      </c>
      <c r="P40" s="1">
        <v>2.4</v>
      </c>
    </row>
    <row r="41" spans="1:16" x14ac:dyDescent="0.2">
      <c r="A41" s="11">
        <v>44814</v>
      </c>
      <c r="B41" s="12">
        <v>0.54861111111111105</v>
      </c>
      <c r="C41" s="74" t="s">
        <v>28</v>
      </c>
      <c r="D41" s="2">
        <v>14</v>
      </c>
      <c r="E41" s="13">
        <f t="shared" si="0"/>
        <v>153.93804002589985</v>
      </c>
      <c r="F41" s="1">
        <v>10</v>
      </c>
      <c r="G41" s="1" t="s">
        <v>27</v>
      </c>
      <c r="H41" s="1" t="s">
        <v>18</v>
      </c>
      <c r="I41" s="1" t="s">
        <v>34</v>
      </c>
      <c r="J41" s="59">
        <v>4.3</v>
      </c>
      <c r="K41" s="1">
        <v>30</v>
      </c>
      <c r="L41" s="1">
        <v>30</v>
      </c>
      <c r="M41" s="1">
        <v>0.36</v>
      </c>
      <c r="N41" s="1">
        <v>4.4000000000000004</v>
      </c>
      <c r="O41" s="1">
        <v>3.8</v>
      </c>
      <c r="P41" s="1">
        <v>1.1000000000000001</v>
      </c>
    </row>
    <row r="42" spans="1:16" x14ac:dyDescent="0.2">
      <c r="A42" s="11">
        <v>44814</v>
      </c>
      <c r="B42" s="12">
        <v>0.55208333333333337</v>
      </c>
      <c r="C42" s="74" t="s">
        <v>28</v>
      </c>
      <c r="D42" s="2">
        <v>14</v>
      </c>
      <c r="E42" s="13">
        <f t="shared" si="0"/>
        <v>153.93804002589985</v>
      </c>
      <c r="F42" s="1">
        <v>20</v>
      </c>
      <c r="G42" s="1" t="s">
        <v>27</v>
      </c>
      <c r="H42" s="1" t="s">
        <v>18</v>
      </c>
      <c r="I42" s="1" t="s">
        <v>34</v>
      </c>
      <c r="J42" s="59">
        <v>5.0999999999999996</v>
      </c>
      <c r="K42" s="1">
        <v>61</v>
      </c>
      <c r="L42" s="1">
        <v>54</v>
      </c>
      <c r="M42" s="1">
        <v>0.3</v>
      </c>
      <c r="N42" s="1">
        <v>11</v>
      </c>
      <c r="O42" s="1">
        <v>8.3000000000000007</v>
      </c>
      <c r="P42" s="1">
        <v>1.7</v>
      </c>
    </row>
    <row r="43" spans="1:16" x14ac:dyDescent="0.2">
      <c r="A43" s="11">
        <v>44814</v>
      </c>
      <c r="B43" s="12">
        <v>0.55625000000000002</v>
      </c>
      <c r="C43" s="74" t="s">
        <v>28</v>
      </c>
      <c r="D43" s="2">
        <v>14</v>
      </c>
      <c r="E43" s="13">
        <f t="shared" si="0"/>
        <v>153.93804002589985</v>
      </c>
      <c r="F43" s="1">
        <v>30</v>
      </c>
      <c r="G43" s="1" t="s">
        <v>27</v>
      </c>
      <c r="H43" s="1" t="s">
        <v>18</v>
      </c>
      <c r="I43" s="1" t="s">
        <v>34</v>
      </c>
      <c r="J43" s="59">
        <v>6</v>
      </c>
      <c r="K43" s="1">
        <v>91</v>
      </c>
      <c r="L43" s="1">
        <v>68</v>
      </c>
      <c r="M43" s="1">
        <v>0.25</v>
      </c>
      <c r="N43" s="1">
        <v>15.3</v>
      </c>
      <c r="O43" s="1">
        <v>12.4</v>
      </c>
      <c r="P43" s="1">
        <v>2.2999999999999998</v>
      </c>
    </row>
    <row r="44" spans="1:16" x14ac:dyDescent="0.2">
      <c r="A44" s="11">
        <v>44814</v>
      </c>
      <c r="B44" s="12">
        <v>0.55902777777777779</v>
      </c>
      <c r="C44" s="74" t="s">
        <v>28</v>
      </c>
      <c r="D44" s="2">
        <v>14</v>
      </c>
      <c r="E44" s="13">
        <f t="shared" si="0"/>
        <v>153.93804002589985</v>
      </c>
      <c r="F44" s="1">
        <v>50</v>
      </c>
      <c r="G44" s="1" t="s">
        <v>27</v>
      </c>
      <c r="H44" s="1" t="s">
        <v>18</v>
      </c>
      <c r="I44" s="1" t="s">
        <v>34</v>
      </c>
      <c r="J44" s="59">
        <v>6.5</v>
      </c>
      <c r="K44" s="1">
        <v>123</v>
      </c>
      <c r="L44" s="1">
        <v>92</v>
      </c>
      <c r="M44" s="1">
        <v>0.24</v>
      </c>
      <c r="N44" s="1">
        <v>21.2</v>
      </c>
      <c r="O44" s="1">
        <v>17.8</v>
      </c>
      <c r="P44" s="1">
        <v>2.5</v>
      </c>
    </row>
    <row r="45" spans="1:16" x14ac:dyDescent="0.2">
      <c r="A45" s="11">
        <v>44814</v>
      </c>
      <c r="B45" s="12">
        <v>0.57152777777777775</v>
      </c>
      <c r="C45" s="74" t="s">
        <v>28</v>
      </c>
      <c r="D45" s="2">
        <v>14</v>
      </c>
      <c r="E45" s="13">
        <f t="shared" si="0"/>
        <v>153.93804002589985</v>
      </c>
      <c r="F45" s="1">
        <v>80</v>
      </c>
      <c r="G45" s="1" t="s">
        <v>27</v>
      </c>
      <c r="H45" s="1" t="s">
        <v>18</v>
      </c>
      <c r="I45" s="1" t="s">
        <v>34</v>
      </c>
      <c r="J45" s="59">
        <v>7.3</v>
      </c>
      <c r="K45" s="1">
        <v>138</v>
      </c>
      <c r="L45" s="1">
        <v>114</v>
      </c>
      <c r="M45" s="1">
        <v>0.28999999999999998</v>
      </c>
      <c r="N45" s="1">
        <v>23.7</v>
      </c>
      <c r="O45" s="1">
        <v>17.899999999999999</v>
      </c>
      <c r="P45" s="1">
        <v>2.6</v>
      </c>
    </row>
    <row r="48" spans="1:16" x14ac:dyDescent="0.2">
      <c r="E48" s="152" t="s">
        <v>42</v>
      </c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</row>
  </sheetData>
  <autoFilter ref="E1:P45" xr:uid="{659E43E4-EB58-46DB-809D-516C61D64216}">
    <filterColumn colId="0">
      <filters>
        <filter val="153.94"/>
      </filters>
    </filterColumn>
    <filterColumn colId="2">
      <filters>
        <filter val="no"/>
      </filters>
    </filterColumn>
    <filterColumn colId="3">
      <filters>
        <filter val="yes"/>
      </filters>
    </filterColumn>
    <filterColumn colId="4">
      <filters>
        <filter val="good"/>
        <filter val="medium"/>
      </filters>
    </filterColumn>
  </autoFilter>
  <mergeCells count="1">
    <mergeCell ref="E48:P4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7E16-6BBC-D845-B288-73297F5F8120}">
  <dimension ref="D2:K48"/>
  <sheetViews>
    <sheetView workbookViewId="0">
      <selection activeCell="D4" sqref="D4:E4"/>
    </sheetView>
  </sheetViews>
  <sheetFormatPr baseColWidth="10" defaultRowHeight="15" x14ac:dyDescent="0.2"/>
  <cols>
    <col min="4" max="4" width="13.1640625" customWidth="1"/>
  </cols>
  <sheetData>
    <row r="2" spans="4:11" x14ac:dyDescent="0.2">
      <c r="D2" t="s">
        <v>79</v>
      </c>
      <c r="I2" t="s">
        <v>80</v>
      </c>
    </row>
    <row r="4" spans="4:11" x14ac:dyDescent="0.2">
      <c r="D4" s="3" t="s">
        <v>77</v>
      </c>
      <c r="E4" s="3" t="s">
        <v>78</v>
      </c>
      <c r="I4" s="3" t="s">
        <v>77</v>
      </c>
      <c r="K4" s="3" t="s">
        <v>78</v>
      </c>
    </row>
    <row r="5" spans="4:11" x14ac:dyDescent="0.2">
      <c r="D5" s="2">
        <f>Nozzles!$B$4</f>
        <v>14.6</v>
      </c>
      <c r="E5" s="1">
        <v>52</v>
      </c>
    </row>
    <row r="6" spans="4:11" x14ac:dyDescent="0.2">
      <c r="D6" s="2">
        <f>Nozzles!$B$4</f>
        <v>14.6</v>
      </c>
      <c r="E6" s="1">
        <v>59</v>
      </c>
    </row>
    <row r="7" spans="4:11" x14ac:dyDescent="0.2">
      <c r="D7" s="2">
        <f>Nozzles!$B$4</f>
        <v>14.6</v>
      </c>
      <c r="E7" s="1">
        <v>56</v>
      </c>
    </row>
    <row r="8" spans="4:11" x14ac:dyDescent="0.2">
      <c r="D8" s="2">
        <v>6</v>
      </c>
      <c r="E8" s="1">
        <v>41</v>
      </c>
    </row>
    <row r="9" spans="4:11" x14ac:dyDescent="0.2">
      <c r="D9" s="2">
        <v>12</v>
      </c>
      <c r="E9" s="1">
        <v>97</v>
      </c>
    </row>
    <row r="10" spans="4:11" x14ac:dyDescent="0.2">
      <c r="D10" s="2">
        <v>12</v>
      </c>
      <c r="E10" s="1">
        <v>110</v>
      </c>
    </row>
    <row r="11" spans="4:11" x14ac:dyDescent="0.2">
      <c r="D11" s="2">
        <v>12</v>
      </c>
      <c r="E11" s="1">
        <v>106</v>
      </c>
    </row>
    <row r="12" spans="4:11" x14ac:dyDescent="0.2">
      <c r="D12" s="2">
        <v>14</v>
      </c>
      <c r="E12" s="1">
        <v>124</v>
      </c>
    </row>
    <row r="13" spans="4:11" x14ac:dyDescent="0.2">
      <c r="D13" s="2">
        <v>14</v>
      </c>
      <c r="E13" s="1">
        <v>109</v>
      </c>
    </row>
    <row r="14" spans="4:11" x14ac:dyDescent="0.2">
      <c r="D14" s="2">
        <v>8</v>
      </c>
      <c r="E14" s="1">
        <v>91</v>
      </c>
    </row>
    <row r="15" spans="4:11" x14ac:dyDescent="0.2">
      <c r="D15" s="2">
        <v>8</v>
      </c>
      <c r="E15" s="1">
        <v>78</v>
      </c>
    </row>
    <row r="16" spans="4:11" x14ac:dyDescent="0.2">
      <c r="D16" s="2">
        <v>6</v>
      </c>
      <c r="E16" s="1">
        <v>32</v>
      </c>
    </row>
    <row r="17" spans="4:5" x14ac:dyDescent="0.2">
      <c r="D17" s="2">
        <v>6</v>
      </c>
      <c r="E17" s="1">
        <v>44</v>
      </c>
    </row>
    <row r="18" spans="4:5" x14ac:dyDescent="0.2">
      <c r="D18" s="2">
        <v>6</v>
      </c>
      <c r="E18" s="1">
        <v>28</v>
      </c>
    </row>
    <row r="19" spans="4:5" x14ac:dyDescent="0.2">
      <c r="D19" s="2">
        <f>Nozzles!$B$4</f>
        <v>14.6</v>
      </c>
      <c r="E19" s="1">
        <v>131</v>
      </c>
    </row>
    <row r="20" spans="4:5" x14ac:dyDescent="0.2">
      <c r="D20" s="2">
        <v>10</v>
      </c>
      <c r="E20" s="1">
        <v>118</v>
      </c>
    </row>
    <row r="21" spans="4:5" x14ac:dyDescent="0.2">
      <c r="D21" s="2">
        <v>10</v>
      </c>
      <c r="E21" s="1">
        <v>116</v>
      </c>
    </row>
    <row r="22" spans="4:5" x14ac:dyDescent="0.2">
      <c r="D22" s="2">
        <v>10</v>
      </c>
      <c r="E22" s="1">
        <v>115</v>
      </c>
    </row>
    <row r="23" spans="4:5" x14ac:dyDescent="0.2">
      <c r="D23" s="72">
        <v>9</v>
      </c>
      <c r="E23" s="1">
        <v>75</v>
      </c>
    </row>
    <row r="24" spans="4:5" x14ac:dyDescent="0.2">
      <c r="D24" s="72">
        <v>9</v>
      </c>
      <c r="E24" s="1">
        <v>61</v>
      </c>
    </row>
    <row r="25" spans="4:5" x14ac:dyDescent="0.2">
      <c r="D25" s="72">
        <v>9</v>
      </c>
      <c r="E25" s="1">
        <v>67</v>
      </c>
    </row>
    <row r="26" spans="4:5" x14ac:dyDescent="0.2">
      <c r="D26" s="2">
        <v>7</v>
      </c>
      <c r="E26" s="1">
        <v>35</v>
      </c>
    </row>
    <row r="27" spans="4:5" x14ac:dyDescent="0.2">
      <c r="D27" s="2">
        <v>7</v>
      </c>
      <c r="E27" s="1">
        <v>23</v>
      </c>
    </row>
    <row r="28" spans="4:5" x14ac:dyDescent="0.2">
      <c r="D28" s="2">
        <v>7</v>
      </c>
      <c r="E28" s="1">
        <v>39</v>
      </c>
    </row>
    <row r="29" spans="4:5" x14ac:dyDescent="0.2">
      <c r="D29" s="72">
        <v>11</v>
      </c>
      <c r="E29" s="1">
        <v>102</v>
      </c>
    </row>
    <row r="30" spans="4:5" x14ac:dyDescent="0.2">
      <c r="D30" s="72">
        <v>11</v>
      </c>
      <c r="E30" s="1">
        <v>66</v>
      </c>
    </row>
    <row r="31" spans="4:5" x14ac:dyDescent="0.2">
      <c r="D31" s="72">
        <v>11</v>
      </c>
      <c r="E31" s="1">
        <v>106</v>
      </c>
    </row>
    <row r="32" spans="4:5" x14ac:dyDescent="0.2">
      <c r="D32" s="2">
        <v>13</v>
      </c>
      <c r="E32" s="1">
        <v>115</v>
      </c>
    </row>
    <row r="33" spans="4:5" x14ac:dyDescent="0.2">
      <c r="D33" s="2">
        <v>13</v>
      </c>
      <c r="E33" s="1">
        <v>106</v>
      </c>
    </row>
    <row r="34" spans="4:5" x14ac:dyDescent="0.2">
      <c r="D34" s="2">
        <v>13</v>
      </c>
      <c r="E34" s="1">
        <v>102</v>
      </c>
    </row>
    <row r="35" spans="4:5" x14ac:dyDescent="0.2">
      <c r="D35" s="2">
        <f>Nozzles!$B$4</f>
        <v>14.6</v>
      </c>
      <c r="E35" s="1">
        <v>121</v>
      </c>
    </row>
    <row r="36" spans="4:5" x14ac:dyDescent="0.2">
      <c r="D36" s="2">
        <v>14</v>
      </c>
      <c r="E36" s="1">
        <v>111</v>
      </c>
    </row>
    <row r="37" spans="4:5" x14ac:dyDescent="0.2">
      <c r="D37" s="2">
        <v>8</v>
      </c>
      <c r="E37" s="1">
        <v>49</v>
      </c>
    </row>
    <row r="38" spans="4:5" x14ac:dyDescent="0.2">
      <c r="D38" s="2">
        <f>Nozzles!$B$4</f>
        <v>14.6</v>
      </c>
      <c r="E38" s="1">
        <v>129</v>
      </c>
    </row>
    <row r="39" spans="4:5" x14ac:dyDescent="0.2">
      <c r="D39" s="2">
        <v>10</v>
      </c>
      <c r="E39" s="1">
        <v>47</v>
      </c>
    </row>
    <row r="40" spans="4:5" x14ac:dyDescent="0.2">
      <c r="D40" s="2">
        <v>10</v>
      </c>
      <c r="E40" s="1">
        <v>65</v>
      </c>
    </row>
    <row r="41" spans="4:5" x14ac:dyDescent="0.2">
      <c r="D41" s="2">
        <v>10</v>
      </c>
      <c r="E41" s="1">
        <v>97</v>
      </c>
    </row>
    <row r="42" spans="4:5" x14ac:dyDescent="0.2">
      <c r="D42" s="2">
        <v>10</v>
      </c>
      <c r="E42" s="1">
        <v>141</v>
      </c>
    </row>
    <row r="43" spans="4:5" x14ac:dyDescent="0.2">
      <c r="D43" s="2">
        <v>10</v>
      </c>
      <c r="E43" s="1">
        <v>116</v>
      </c>
    </row>
    <row r="44" spans="4:5" x14ac:dyDescent="0.2">
      <c r="D44" s="2">
        <v>14</v>
      </c>
      <c r="E44" s="1">
        <v>30</v>
      </c>
    </row>
    <row r="45" spans="4:5" x14ac:dyDescent="0.2">
      <c r="D45" s="2">
        <v>14</v>
      </c>
      <c r="E45" s="1">
        <v>61</v>
      </c>
    </row>
    <row r="46" spans="4:5" x14ac:dyDescent="0.2">
      <c r="D46" s="2">
        <v>14</v>
      </c>
      <c r="E46" s="1">
        <v>91</v>
      </c>
    </row>
    <row r="47" spans="4:5" x14ac:dyDescent="0.2">
      <c r="D47" s="2">
        <v>14</v>
      </c>
      <c r="E47" s="1">
        <v>123</v>
      </c>
    </row>
    <row r="48" spans="4:5" x14ac:dyDescent="0.2">
      <c r="D48" s="2">
        <v>14</v>
      </c>
      <c r="E48" s="1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67A1-C895-4688-97CD-07B47FA2B0BB}">
  <dimension ref="A2:C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3.6640625" bestFit="1" customWidth="1"/>
  </cols>
  <sheetData>
    <row r="2" spans="1:3" x14ac:dyDescent="0.2">
      <c r="A2" s="75" t="s">
        <v>36</v>
      </c>
      <c r="B2" s="75">
        <v>520</v>
      </c>
      <c r="C2" s="75" t="s">
        <v>37</v>
      </c>
    </row>
    <row r="3" spans="1:3" x14ac:dyDescent="0.2">
      <c r="A3" s="75" t="s">
        <v>38</v>
      </c>
      <c r="B3" s="75">
        <v>1500</v>
      </c>
      <c r="C3" s="75" t="s">
        <v>37</v>
      </c>
    </row>
    <row r="5" spans="1:3" x14ac:dyDescent="0.2">
      <c r="A5" s="75" t="s">
        <v>39</v>
      </c>
      <c r="B5" s="75">
        <v>90</v>
      </c>
      <c r="C5" s="75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B5FD-3B77-4CE2-872D-14EDB05081F2}">
  <dimension ref="A1:O45"/>
  <sheetViews>
    <sheetView workbookViewId="0">
      <selection activeCell="D44" sqref="D44"/>
    </sheetView>
  </sheetViews>
  <sheetFormatPr baseColWidth="10" defaultColWidth="8.83203125" defaultRowHeight="15" x14ac:dyDescent="0.2"/>
  <cols>
    <col min="1" max="1" width="9.6640625" bestFit="1" customWidth="1"/>
    <col min="2" max="2" width="5.5" bestFit="1" customWidth="1"/>
    <col min="3" max="3" width="11.5" bestFit="1" customWidth="1"/>
    <col min="4" max="4" width="20.6640625" bestFit="1" customWidth="1"/>
    <col min="5" max="5" width="25.5" hidden="1" customWidth="1"/>
    <col min="6" max="6" width="13.5" bestFit="1" customWidth="1"/>
    <col min="7" max="7" width="34.5" bestFit="1" customWidth="1"/>
    <col min="8" max="8" width="19.5" bestFit="1" customWidth="1"/>
    <col min="9" max="9" width="19.5" customWidth="1"/>
    <col min="10" max="10" width="11.33203125" bestFit="1" customWidth="1"/>
    <col min="11" max="11" width="11.33203125" customWidth="1"/>
    <col min="12" max="12" width="22" customWidth="1"/>
    <col min="13" max="13" width="20.1640625" customWidth="1"/>
    <col min="14" max="14" width="23.33203125" customWidth="1"/>
    <col min="15" max="15" width="18.5" bestFit="1" customWidth="1"/>
  </cols>
  <sheetData>
    <row r="1" spans="1:15" s="94" customFormat="1" ht="32" x14ac:dyDescent="0.2">
      <c r="A1" s="86" t="s">
        <v>12</v>
      </c>
      <c r="B1" s="86" t="s">
        <v>13</v>
      </c>
      <c r="C1" s="86" t="s">
        <v>15</v>
      </c>
      <c r="D1" s="86" t="s">
        <v>71</v>
      </c>
      <c r="E1" s="86" t="s">
        <v>17</v>
      </c>
      <c r="F1" s="86" t="s">
        <v>70</v>
      </c>
      <c r="G1" s="86" t="s">
        <v>25</v>
      </c>
      <c r="H1" s="86" t="s">
        <v>30</v>
      </c>
      <c r="I1" s="86" t="s">
        <v>31</v>
      </c>
      <c r="J1" s="86" t="s">
        <v>74</v>
      </c>
      <c r="K1" s="86" t="s">
        <v>72</v>
      </c>
      <c r="L1" s="86" t="s">
        <v>73</v>
      </c>
      <c r="M1" s="86" t="s">
        <v>75</v>
      </c>
      <c r="N1" s="90" t="s">
        <v>76</v>
      </c>
      <c r="O1" s="90" t="s">
        <v>69</v>
      </c>
    </row>
    <row r="2" spans="1:15" x14ac:dyDescent="0.2">
      <c r="A2" s="11">
        <v>44806</v>
      </c>
      <c r="B2" s="12">
        <v>0.67708333333333337</v>
      </c>
      <c r="C2" s="12" t="s">
        <v>2</v>
      </c>
      <c r="D2" s="2">
        <f>Nozzles!$B$4</f>
        <v>14.6</v>
      </c>
      <c r="E2" s="13">
        <f>PI()*(D2/2)^2</f>
        <v>167.41547250980008</v>
      </c>
      <c r="F2" s="1">
        <v>40</v>
      </c>
      <c r="G2" s="1" t="s">
        <v>18</v>
      </c>
      <c r="H2" s="1" t="s">
        <v>18</v>
      </c>
      <c r="I2" s="1" t="s">
        <v>32</v>
      </c>
      <c r="J2" s="59">
        <v>5.4</v>
      </c>
      <c r="K2" s="1">
        <v>52</v>
      </c>
      <c r="L2" s="1">
        <v>76</v>
      </c>
      <c r="M2" s="1">
        <v>21.4</v>
      </c>
      <c r="N2" s="59">
        <v>16.8</v>
      </c>
      <c r="O2" s="59">
        <v>1.2</v>
      </c>
    </row>
    <row r="3" spans="1:15" x14ac:dyDescent="0.2">
      <c r="A3" s="11">
        <v>44806</v>
      </c>
      <c r="B3" s="12">
        <v>0.81180555555555556</v>
      </c>
      <c r="C3" s="12" t="s">
        <v>2</v>
      </c>
      <c r="D3" s="2">
        <f>Nozzles!$B$4</f>
        <v>14.6</v>
      </c>
      <c r="E3" s="13">
        <f>PI()*(D3/2)^2</f>
        <v>167.41547250980008</v>
      </c>
      <c r="F3" s="1">
        <v>40</v>
      </c>
      <c r="G3" s="1" t="s">
        <v>18</v>
      </c>
      <c r="H3" s="1" t="s">
        <v>18</v>
      </c>
      <c r="I3" s="1" t="s">
        <v>33</v>
      </c>
      <c r="J3" s="59">
        <v>4.9000000000000004</v>
      </c>
      <c r="K3" s="1">
        <v>59</v>
      </c>
      <c r="L3" s="1">
        <v>25</v>
      </c>
      <c r="M3" s="1">
        <v>7.6</v>
      </c>
      <c r="N3" s="59">
        <v>1.4</v>
      </c>
      <c r="O3" s="59"/>
    </row>
    <row r="4" spans="1:15" ht="16" thickBot="1" x14ac:dyDescent="0.25">
      <c r="A4" s="17">
        <v>44806</v>
      </c>
      <c r="B4" s="12">
        <v>0.69513888888888886</v>
      </c>
      <c r="C4" s="12" t="s">
        <v>2</v>
      </c>
      <c r="D4" s="2">
        <f>Nozzles!$B$4</f>
        <v>14.6</v>
      </c>
      <c r="E4" s="13">
        <f>PI()*(D4/2)^2</f>
        <v>167.41547250980008</v>
      </c>
      <c r="F4" s="1">
        <v>40</v>
      </c>
      <c r="G4" s="1" t="s">
        <v>18</v>
      </c>
      <c r="H4" s="1" t="s">
        <v>18</v>
      </c>
      <c r="I4" s="1" t="s">
        <v>32</v>
      </c>
      <c r="J4" s="59">
        <v>4.7</v>
      </c>
      <c r="K4" s="1">
        <v>56</v>
      </c>
      <c r="L4" s="1">
        <v>79</v>
      </c>
      <c r="M4" s="1">
        <v>21.1</v>
      </c>
      <c r="N4" s="59">
        <v>16.5</v>
      </c>
      <c r="O4" s="59">
        <v>1.1000000000000001</v>
      </c>
    </row>
    <row r="5" spans="1:15" ht="16" thickBot="1" x14ac:dyDescent="0.25">
      <c r="A5" s="27">
        <v>44806</v>
      </c>
      <c r="B5" s="12">
        <v>0.71527777777777779</v>
      </c>
      <c r="C5" s="14" t="s">
        <v>11</v>
      </c>
      <c r="D5" s="2">
        <v>6</v>
      </c>
      <c r="E5" s="13">
        <f>PI()*(D5/2)^2</f>
        <v>28.274333882308138</v>
      </c>
      <c r="F5" s="1">
        <v>60</v>
      </c>
      <c r="G5" s="1" t="s">
        <v>18</v>
      </c>
      <c r="H5" s="1" t="s">
        <v>18</v>
      </c>
      <c r="I5" s="1" t="s">
        <v>32</v>
      </c>
      <c r="J5" s="1">
        <v>5.4</v>
      </c>
      <c r="K5" s="1">
        <v>41</v>
      </c>
      <c r="L5" s="1">
        <v>64</v>
      </c>
      <c r="M5" s="1">
        <v>11.3</v>
      </c>
      <c r="N5" s="59">
        <v>3.2</v>
      </c>
      <c r="O5" s="59">
        <v>2.1</v>
      </c>
    </row>
    <row r="6" spans="1:15" x14ac:dyDescent="0.2">
      <c r="A6" s="34">
        <v>44806</v>
      </c>
      <c r="B6" s="12">
        <v>0.7284722222222223</v>
      </c>
      <c r="C6" s="15" t="s">
        <v>6</v>
      </c>
      <c r="D6" s="2">
        <v>12</v>
      </c>
      <c r="E6" s="13">
        <f t="shared" ref="E6:E31" si="0">PI()*(D6/2)^2</f>
        <v>113.09733552923255</v>
      </c>
      <c r="F6" s="1">
        <v>40</v>
      </c>
      <c r="G6" s="1" t="s">
        <v>27</v>
      </c>
      <c r="H6" s="1" t="s">
        <v>18</v>
      </c>
      <c r="I6" s="1" t="s">
        <v>34</v>
      </c>
      <c r="J6" s="59">
        <v>7.4</v>
      </c>
      <c r="K6" s="1">
        <v>97</v>
      </c>
      <c r="L6" s="1">
        <v>75</v>
      </c>
      <c r="M6" s="1">
        <v>12.7</v>
      </c>
      <c r="N6" s="59">
        <v>8.8000000000000007</v>
      </c>
      <c r="O6" s="59">
        <v>1.9</v>
      </c>
    </row>
    <row r="7" spans="1:15" x14ac:dyDescent="0.2">
      <c r="A7" s="40">
        <v>44806</v>
      </c>
      <c r="B7" s="12">
        <v>0.73333333333333339</v>
      </c>
      <c r="C7" s="15" t="s">
        <v>6</v>
      </c>
      <c r="D7" s="2">
        <v>12</v>
      </c>
      <c r="E7" s="13">
        <f t="shared" si="0"/>
        <v>113.09733552923255</v>
      </c>
      <c r="F7" s="1">
        <v>40</v>
      </c>
      <c r="G7" s="1" t="s">
        <v>27</v>
      </c>
      <c r="H7" s="1" t="s">
        <v>18</v>
      </c>
      <c r="I7" s="1" t="s">
        <v>34</v>
      </c>
      <c r="J7" s="59">
        <v>8.1999999999999993</v>
      </c>
      <c r="K7" s="1">
        <v>110</v>
      </c>
      <c r="L7" s="1">
        <v>78</v>
      </c>
      <c r="M7" s="1">
        <v>13.2</v>
      </c>
      <c r="N7" s="59">
        <v>9.9</v>
      </c>
      <c r="O7" s="59">
        <v>2.2000000000000002</v>
      </c>
    </row>
    <row r="8" spans="1:15" ht="16" thickBot="1" x14ac:dyDescent="0.25">
      <c r="A8" s="41">
        <v>44806</v>
      </c>
      <c r="B8" s="12">
        <v>0.73749999999999993</v>
      </c>
      <c r="C8" s="15" t="s">
        <v>6</v>
      </c>
      <c r="D8" s="2">
        <v>12</v>
      </c>
      <c r="E8" s="13">
        <f t="shared" si="0"/>
        <v>113.09733552923255</v>
      </c>
      <c r="F8" s="1">
        <v>40</v>
      </c>
      <c r="G8" s="1" t="s">
        <v>27</v>
      </c>
      <c r="H8" s="1" t="s">
        <v>18</v>
      </c>
      <c r="I8" s="1" t="s">
        <v>34</v>
      </c>
      <c r="J8" s="59">
        <v>5.7</v>
      </c>
      <c r="K8" s="1">
        <v>106</v>
      </c>
      <c r="L8" s="1">
        <v>79</v>
      </c>
      <c r="M8" s="1">
        <v>12.8</v>
      </c>
      <c r="N8" s="59">
        <v>10.4</v>
      </c>
      <c r="O8" s="59">
        <v>2.2000000000000002</v>
      </c>
    </row>
    <row r="9" spans="1:15" x14ac:dyDescent="0.2">
      <c r="A9" s="22">
        <v>44806</v>
      </c>
      <c r="B9" s="12">
        <v>0.74305555555555547</v>
      </c>
      <c r="C9" s="74" t="s">
        <v>28</v>
      </c>
      <c r="D9" s="2">
        <v>14</v>
      </c>
      <c r="E9" s="13">
        <f t="shared" si="0"/>
        <v>153.93804002589985</v>
      </c>
      <c r="F9" s="1">
        <v>40</v>
      </c>
      <c r="G9" s="1" t="s">
        <v>27</v>
      </c>
      <c r="H9" s="1" t="s">
        <v>18</v>
      </c>
      <c r="I9" s="1" t="s">
        <v>34</v>
      </c>
      <c r="J9" s="59">
        <v>6.4</v>
      </c>
      <c r="K9" s="1">
        <v>124</v>
      </c>
      <c r="L9" s="1">
        <v>83</v>
      </c>
      <c r="M9" s="1">
        <v>19.600000000000001</v>
      </c>
      <c r="N9" s="59">
        <v>15.4</v>
      </c>
      <c r="O9" s="59">
        <v>2.7</v>
      </c>
    </row>
    <row r="10" spans="1:15" ht="16" thickBot="1" x14ac:dyDescent="0.25">
      <c r="A10" s="17">
        <v>44806</v>
      </c>
      <c r="B10" s="12">
        <v>0.74861111111111101</v>
      </c>
      <c r="C10" s="74" t="s">
        <v>28</v>
      </c>
      <c r="D10" s="2">
        <v>14</v>
      </c>
      <c r="E10" s="13">
        <f t="shared" si="0"/>
        <v>153.93804002589985</v>
      </c>
      <c r="F10" s="1">
        <v>40</v>
      </c>
      <c r="G10" s="1" t="s">
        <v>27</v>
      </c>
      <c r="H10" s="1" t="s">
        <v>18</v>
      </c>
      <c r="I10" s="1" t="s">
        <v>34</v>
      </c>
      <c r="J10" s="59">
        <v>6.6</v>
      </c>
      <c r="K10" s="1">
        <v>109</v>
      </c>
      <c r="L10" s="1">
        <v>79</v>
      </c>
      <c r="M10" s="1">
        <v>18.8</v>
      </c>
      <c r="N10" s="59">
        <v>15.4</v>
      </c>
      <c r="O10" s="59">
        <v>2.6</v>
      </c>
    </row>
    <row r="11" spans="1:15" x14ac:dyDescent="0.2">
      <c r="A11" s="34">
        <v>44806</v>
      </c>
      <c r="B11" s="12">
        <v>0.75347222222222221</v>
      </c>
      <c r="C11" s="9" t="s">
        <v>29</v>
      </c>
      <c r="D11" s="2">
        <v>8</v>
      </c>
      <c r="E11" s="13">
        <f t="shared" si="0"/>
        <v>50.26548245743669</v>
      </c>
      <c r="F11" s="1">
        <v>40</v>
      </c>
      <c r="G11" s="1" t="s">
        <v>27</v>
      </c>
      <c r="H11" s="1" t="s">
        <v>18</v>
      </c>
      <c r="I11" s="1" t="s">
        <v>34</v>
      </c>
      <c r="J11" s="59">
        <v>7.1</v>
      </c>
      <c r="K11" s="1">
        <v>91</v>
      </c>
      <c r="L11" s="1">
        <v>59</v>
      </c>
      <c r="M11" s="1">
        <v>7.8</v>
      </c>
      <c r="N11" s="59">
        <v>3.9</v>
      </c>
      <c r="O11" s="59">
        <v>2</v>
      </c>
    </row>
    <row r="12" spans="1:15" ht="16" thickBot="1" x14ac:dyDescent="0.25">
      <c r="A12" s="41">
        <v>44806</v>
      </c>
      <c r="B12" s="12">
        <v>0.76041666666666663</v>
      </c>
      <c r="C12" s="9" t="s">
        <v>29</v>
      </c>
      <c r="D12" s="2">
        <v>8</v>
      </c>
      <c r="E12" s="13">
        <f t="shared" si="0"/>
        <v>50.26548245743669</v>
      </c>
      <c r="F12" s="1">
        <v>40</v>
      </c>
      <c r="G12" s="1" t="s">
        <v>27</v>
      </c>
      <c r="H12" s="1" t="s">
        <v>18</v>
      </c>
      <c r="I12" s="1" t="s">
        <v>34</v>
      </c>
      <c r="J12" s="59">
        <v>5.2</v>
      </c>
      <c r="K12" s="1">
        <v>78</v>
      </c>
      <c r="L12" s="1">
        <v>59</v>
      </c>
      <c r="M12" s="1">
        <v>8.1</v>
      </c>
      <c r="N12" s="59">
        <v>4.0999999999999996</v>
      </c>
      <c r="O12" s="59">
        <v>1.7</v>
      </c>
    </row>
    <row r="13" spans="1:15" x14ac:dyDescent="0.2">
      <c r="A13" s="34">
        <v>44806</v>
      </c>
      <c r="B13" s="12">
        <v>0.76527777777777783</v>
      </c>
      <c r="C13" s="14" t="s">
        <v>11</v>
      </c>
      <c r="D13" s="2">
        <v>6</v>
      </c>
      <c r="E13" s="13">
        <f>PI()*(D13/2)^2</f>
        <v>28.274333882308138</v>
      </c>
      <c r="F13" s="1">
        <v>40</v>
      </c>
      <c r="G13" s="1" t="s">
        <v>27</v>
      </c>
      <c r="H13" s="1" t="s">
        <v>27</v>
      </c>
      <c r="I13" s="1" t="s">
        <v>32</v>
      </c>
      <c r="J13" s="59">
        <v>2.2000000000000002</v>
      </c>
      <c r="K13" s="1">
        <v>32</v>
      </c>
      <c r="L13" s="1">
        <v>51</v>
      </c>
      <c r="M13" s="1">
        <v>6.3</v>
      </c>
      <c r="N13" s="59">
        <v>1.8</v>
      </c>
      <c r="O13" s="59"/>
    </row>
    <row r="14" spans="1:15" x14ac:dyDescent="0.2">
      <c r="A14" s="40">
        <v>44806</v>
      </c>
      <c r="B14" s="12">
        <v>0.77083333333333337</v>
      </c>
      <c r="C14" s="14" t="s">
        <v>11</v>
      </c>
      <c r="D14" s="2">
        <v>6</v>
      </c>
      <c r="E14" s="13">
        <f t="shared" ref="E14:E15" si="1">PI()*(D14/2)^2</f>
        <v>28.274333882308138</v>
      </c>
      <c r="F14" s="1">
        <v>40</v>
      </c>
      <c r="G14" s="1" t="s">
        <v>27</v>
      </c>
      <c r="H14" s="1" t="s">
        <v>27</v>
      </c>
      <c r="I14" s="1" t="s">
        <v>32</v>
      </c>
      <c r="J14" s="59">
        <v>5.2</v>
      </c>
      <c r="K14" s="1">
        <v>44</v>
      </c>
      <c r="L14" s="1">
        <v>49</v>
      </c>
      <c r="M14" s="1">
        <v>10.4</v>
      </c>
      <c r="N14" s="59">
        <v>2.1</v>
      </c>
      <c r="O14" s="59"/>
    </row>
    <row r="15" spans="1:15" ht="16" thickBot="1" x14ac:dyDescent="0.25">
      <c r="A15" s="41">
        <v>44806</v>
      </c>
      <c r="B15" s="12">
        <v>0.77569444444444446</v>
      </c>
      <c r="C15" s="14" t="s">
        <v>11</v>
      </c>
      <c r="D15" s="2">
        <v>6</v>
      </c>
      <c r="E15" s="13">
        <f t="shared" si="1"/>
        <v>28.274333882308138</v>
      </c>
      <c r="F15" s="1">
        <v>40</v>
      </c>
      <c r="G15" s="1" t="s">
        <v>27</v>
      </c>
      <c r="H15" s="1" t="s">
        <v>27</v>
      </c>
      <c r="I15" s="1" t="s">
        <v>33</v>
      </c>
      <c r="J15" s="59">
        <v>1.4</v>
      </c>
      <c r="K15" s="1">
        <v>28</v>
      </c>
      <c r="L15" s="1"/>
      <c r="M15" s="1">
        <v>10.1</v>
      </c>
      <c r="N15" s="59"/>
      <c r="O15" s="59"/>
    </row>
    <row r="16" spans="1:15" ht="16" thickBot="1" x14ac:dyDescent="0.25">
      <c r="A16" s="27">
        <v>44806</v>
      </c>
      <c r="B16" s="12">
        <v>0.78125</v>
      </c>
      <c r="C16" s="1" t="s">
        <v>2</v>
      </c>
      <c r="D16" s="2">
        <f>Nozzles!$B$4</f>
        <v>14.6</v>
      </c>
      <c r="E16" s="13">
        <f>PI()*(D16/2)^2</f>
        <v>167.41547250980008</v>
      </c>
      <c r="F16" s="1">
        <v>40</v>
      </c>
      <c r="G16" s="1" t="s">
        <v>27</v>
      </c>
      <c r="H16" s="1" t="s">
        <v>18</v>
      </c>
      <c r="I16" s="1" t="s">
        <v>34</v>
      </c>
      <c r="J16" s="59">
        <v>6.6</v>
      </c>
      <c r="K16" s="1">
        <v>131</v>
      </c>
      <c r="L16" s="1">
        <v>79</v>
      </c>
      <c r="M16" s="1">
        <v>21.6</v>
      </c>
      <c r="N16" s="59">
        <v>17</v>
      </c>
      <c r="O16" s="59">
        <v>2.6</v>
      </c>
    </row>
    <row r="17" spans="1:15" x14ac:dyDescent="0.2">
      <c r="A17" s="11">
        <v>44809</v>
      </c>
      <c r="B17" s="12">
        <v>0.47083333333333338</v>
      </c>
      <c r="C17" s="70" t="s">
        <v>8</v>
      </c>
      <c r="D17" s="2">
        <v>10</v>
      </c>
      <c r="E17" s="13">
        <f t="shared" si="0"/>
        <v>78.539816339744831</v>
      </c>
      <c r="F17" s="1">
        <v>42</v>
      </c>
      <c r="G17" s="1" t="s">
        <v>27</v>
      </c>
      <c r="H17" s="1" t="s">
        <v>18</v>
      </c>
      <c r="I17" s="1" t="s">
        <v>34</v>
      </c>
      <c r="J17" s="1">
        <v>7.3</v>
      </c>
      <c r="K17" s="1">
        <v>118</v>
      </c>
      <c r="L17" s="1">
        <v>76</v>
      </c>
      <c r="M17" s="1">
        <v>10.6</v>
      </c>
      <c r="N17" s="1">
        <v>7.3</v>
      </c>
      <c r="O17" s="1">
        <v>2.2000000000000002</v>
      </c>
    </row>
    <row r="18" spans="1:15" x14ac:dyDescent="0.2">
      <c r="A18" s="11">
        <v>44809</v>
      </c>
      <c r="B18" s="12">
        <v>0.48194444444444445</v>
      </c>
      <c r="C18" s="70" t="s">
        <v>8</v>
      </c>
      <c r="D18" s="2">
        <v>10</v>
      </c>
      <c r="E18" s="13">
        <f t="shared" si="0"/>
        <v>78.539816339744831</v>
      </c>
      <c r="F18" s="1">
        <v>40</v>
      </c>
      <c r="G18" s="1" t="s">
        <v>27</v>
      </c>
      <c r="H18" s="1" t="s">
        <v>18</v>
      </c>
      <c r="I18" s="1" t="s">
        <v>34</v>
      </c>
      <c r="J18" s="59">
        <v>10.7</v>
      </c>
      <c r="K18" s="1">
        <v>116</v>
      </c>
      <c r="L18" s="1">
        <v>71</v>
      </c>
      <c r="M18" s="1">
        <v>9.6</v>
      </c>
      <c r="N18" s="1">
        <v>6.9</v>
      </c>
      <c r="O18" s="1">
        <v>2.4</v>
      </c>
    </row>
    <row r="19" spans="1:15" x14ac:dyDescent="0.2">
      <c r="A19" s="11">
        <v>44809</v>
      </c>
      <c r="B19" s="12">
        <v>0.48402777777777778</v>
      </c>
      <c r="C19" s="70" t="s">
        <v>8</v>
      </c>
      <c r="D19" s="2">
        <v>10</v>
      </c>
      <c r="E19" s="13">
        <f t="shared" si="0"/>
        <v>78.539816339744831</v>
      </c>
      <c r="F19" s="1">
        <v>40</v>
      </c>
      <c r="G19" s="1" t="s">
        <v>27</v>
      </c>
      <c r="H19" s="1" t="s">
        <v>18</v>
      </c>
      <c r="I19" s="1" t="s">
        <v>34</v>
      </c>
      <c r="J19" s="59">
        <v>6.6</v>
      </c>
      <c r="K19" s="1">
        <v>115</v>
      </c>
      <c r="L19" s="1">
        <v>75</v>
      </c>
      <c r="M19" s="1">
        <v>9.1</v>
      </c>
      <c r="N19" s="1">
        <v>6.9</v>
      </c>
      <c r="O19" s="1">
        <v>2.2999999999999998</v>
      </c>
    </row>
    <row r="20" spans="1:15" x14ac:dyDescent="0.2">
      <c r="A20" s="11">
        <v>44809</v>
      </c>
      <c r="B20" s="12">
        <v>0.48888888888888887</v>
      </c>
      <c r="C20" s="71" t="s">
        <v>9</v>
      </c>
      <c r="D20" s="72">
        <v>9</v>
      </c>
      <c r="E20" s="13">
        <f t="shared" si="0"/>
        <v>63.617251235193308</v>
      </c>
      <c r="F20" s="1">
        <v>40</v>
      </c>
      <c r="G20" s="1" t="s">
        <v>27</v>
      </c>
      <c r="H20" s="1" t="s">
        <v>18</v>
      </c>
      <c r="I20" s="1" t="s">
        <v>32</v>
      </c>
      <c r="J20" s="59">
        <v>4.9000000000000004</v>
      </c>
      <c r="K20" s="1">
        <v>75</v>
      </c>
      <c r="L20" s="1">
        <v>68</v>
      </c>
      <c r="M20" s="1">
        <v>7.2</v>
      </c>
      <c r="N20" s="1">
        <v>5.3</v>
      </c>
      <c r="O20" s="1">
        <v>1.8</v>
      </c>
    </row>
    <row r="21" spans="1:15" x14ac:dyDescent="0.2">
      <c r="A21" s="11">
        <v>44810</v>
      </c>
      <c r="B21" s="12">
        <v>0.64930555555555558</v>
      </c>
      <c r="C21" s="71" t="s">
        <v>9</v>
      </c>
      <c r="D21" s="72">
        <v>9</v>
      </c>
      <c r="E21" s="13">
        <f t="shared" si="0"/>
        <v>63.617251235193308</v>
      </c>
      <c r="F21" s="1">
        <v>40</v>
      </c>
      <c r="G21" s="1" t="s">
        <v>27</v>
      </c>
      <c r="H21" s="1" t="s">
        <v>18</v>
      </c>
      <c r="I21" s="1" t="s">
        <v>34</v>
      </c>
      <c r="J21" s="59">
        <v>5.7</v>
      </c>
      <c r="K21" s="1">
        <v>61</v>
      </c>
      <c r="L21" s="1">
        <v>56</v>
      </c>
      <c r="M21" s="1">
        <v>6.5</v>
      </c>
      <c r="N21" s="1">
        <v>4.5</v>
      </c>
      <c r="O21" s="1">
        <v>1.6</v>
      </c>
    </row>
    <row r="22" spans="1:15" x14ac:dyDescent="0.2">
      <c r="A22" s="11">
        <v>44810</v>
      </c>
      <c r="B22" s="12">
        <v>0.65555555555555556</v>
      </c>
      <c r="C22" s="71" t="s">
        <v>9</v>
      </c>
      <c r="D22" s="72">
        <v>9</v>
      </c>
      <c r="E22" s="13">
        <f t="shared" si="0"/>
        <v>63.617251235193308</v>
      </c>
      <c r="F22" s="1">
        <v>40</v>
      </c>
      <c r="G22" s="1" t="s">
        <v>27</v>
      </c>
      <c r="H22" s="1" t="s">
        <v>18</v>
      </c>
      <c r="I22" s="1" t="s">
        <v>34</v>
      </c>
      <c r="J22" s="59">
        <v>5.0999999999999996</v>
      </c>
      <c r="K22" s="1">
        <v>67</v>
      </c>
      <c r="L22" s="1">
        <v>74</v>
      </c>
      <c r="M22" s="1">
        <v>10.16</v>
      </c>
      <c r="N22" s="1">
        <v>5.5</v>
      </c>
      <c r="O22" s="1">
        <v>1.7</v>
      </c>
    </row>
    <row r="23" spans="1:15" x14ac:dyDescent="0.2">
      <c r="A23" s="11">
        <v>44810</v>
      </c>
      <c r="B23" s="12">
        <v>0.66111111111111109</v>
      </c>
      <c r="C23" s="73" t="s">
        <v>35</v>
      </c>
      <c r="D23" s="2">
        <v>7</v>
      </c>
      <c r="E23" s="13">
        <f t="shared" si="0"/>
        <v>38.484510006474963</v>
      </c>
      <c r="F23" s="1">
        <v>40</v>
      </c>
      <c r="G23" s="1" t="s">
        <v>27</v>
      </c>
      <c r="H23" s="1" t="s">
        <v>18</v>
      </c>
      <c r="I23" s="1" t="s">
        <v>33</v>
      </c>
      <c r="J23" s="59">
        <v>2.7</v>
      </c>
      <c r="K23" s="1">
        <v>35</v>
      </c>
      <c r="L23" s="1">
        <v>59</v>
      </c>
      <c r="M23" s="1">
        <v>8.1</v>
      </c>
      <c r="N23" s="1">
        <v>2.5</v>
      </c>
      <c r="O23" s="1">
        <v>-0.1</v>
      </c>
    </row>
    <row r="24" spans="1:15" x14ac:dyDescent="0.2">
      <c r="A24" s="11">
        <v>44810</v>
      </c>
      <c r="B24" s="12">
        <v>0.66319444444444442</v>
      </c>
      <c r="C24" s="73" t="s">
        <v>35</v>
      </c>
      <c r="D24" s="2">
        <v>7</v>
      </c>
      <c r="E24" s="13">
        <f t="shared" si="0"/>
        <v>38.484510006474963</v>
      </c>
      <c r="F24" s="1">
        <v>40</v>
      </c>
      <c r="G24" s="1" t="s">
        <v>27</v>
      </c>
      <c r="H24" s="1" t="s">
        <v>27</v>
      </c>
      <c r="I24" s="1" t="s">
        <v>33</v>
      </c>
      <c r="J24" s="59">
        <v>2.1</v>
      </c>
      <c r="K24" s="1">
        <v>23</v>
      </c>
      <c r="L24" s="1">
        <v>45</v>
      </c>
      <c r="M24" s="1">
        <v>6.9</v>
      </c>
      <c r="N24" s="1">
        <v>1.6</v>
      </c>
      <c r="O24" s="1">
        <v>-0.4</v>
      </c>
    </row>
    <row r="25" spans="1:15" x14ac:dyDescent="0.2">
      <c r="A25" s="11">
        <v>44810</v>
      </c>
      <c r="B25" s="12">
        <v>0.67013888888888884</v>
      </c>
      <c r="C25" s="73" t="s">
        <v>35</v>
      </c>
      <c r="D25" s="2">
        <v>7</v>
      </c>
      <c r="E25" s="13">
        <f t="shared" si="0"/>
        <v>38.484510006474963</v>
      </c>
      <c r="F25" s="1">
        <v>40</v>
      </c>
      <c r="G25" s="1" t="s">
        <v>27</v>
      </c>
      <c r="H25" s="1" t="s">
        <v>27</v>
      </c>
      <c r="I25" s="1" t="s">
        <v>33</v>
      </c>
      <c r="J25" s="59">
        <v>2.9</v>
      </c>
      <c r="K25" s="1">
        <v>39</v>
      </c>
      <c r="L25" s="1">
        <v>60</v>
      </c>
      <c r="M25" s="1">
        <v>9.4</v>
      </c>
      <c r="N25" s="1">
        <v>2.6</v>
      </c>
      <c r="O25" s="1">
        <v>-0.1</v>
      </c>
    </row>
    <row r="26" spans="1:15" x14ac:dyDescent="0.2">
      <c r="A26" s="11">
        <v>44810</v>
      </c>
      <c r="B26" s="12">
        <v>0.6791666666666667</v>
      </c>
      <c r="C26" s="1" t="s">
        <v>7</v>
      </c>
      <c r="D26" s="72">
        <v>11</v>
      </c>
      <c r="E26" s="13">
        <f t="shared" si="0"/>
        <v>95.033177771091246</v>
      </c>
      <c r="F26" s="1">
        <v>40</v>
      </c>
      <c r="G26" s="1" t="s">
        <v>27</v>
      </c>
      <c r="H26" s="1" t="s">
        <v>18</v>
      </c>
      <c r="I26" s="1" t="s">
        <v>34</v>
      </c>
      <c r="J26" s="59">
        <v>7.3</v>
      </c>
      <c r="K26" s="1">
        <v>102</v>
      </c>
      <c r="L26" s="1">
        <v>71</v>
      </c>
      <c r="M26" s="1">
        <v>10.7</v>
      </c>
      <c r="N26" s="1">
        <v>8.5</v>
      </c>
      <c r="O26" s="1">
        <v>2.2999999999999998</v>
      </c>
    </row>
    <row r="27" spans="1:15" x14ac:dyDescent="0.2">
      <c r="A27" s="11">
        <v>44810</v>
      </c>
      <c r="B27" s="12">
        <v>0.68333333333333324</v>
      </c>
      <c r="C27" s="1" t="s">
        <v>7</v>
      </c>
      <c r="D27" s="72">
        <v>11</v>
      </c>
      <c r="E27" s="13">
        <f t="shared" si="0"/>
        <v>95.033177771091246</v>
      </c>
      <c r="F27" s="1">
        <v>40</v>
      </c>
      <c r="G27" s="1" t="s">
        <v>27</v>
      </c>
      <c r="H27" s="1" t="s">
        <v>18</v>
      </c>
      <c r="I27" s="1" t="s">
        <v>33</v>
      </c>
      <c r="J27" s="59">
        <v>5</v>
      </c>
      <c r="K27" s="1">
        <v>66</v>
      </c>
      <c r="L27" s="1">
        <v>70</v>
      </c>
      <c r="M27" s="1">
        <v>11.1</v>
      </c>
      <c r="N27" s="1">
        <v>8.1999999999999993</v>
      </c>
      <c r="O27" s="1">
        <v>2.1</v>
      </c>
    </row>
    <row r="28" spans="1:15" x14ac:dyDescent="0.2">
      <c r="A28" s="11">
        <v>44810</v>
      </c>
      <c r="B28" s="12">
        <v>0.6875</v>
      </c>
      <c r="C28" s="1" t="s">
        <v>7</v>
      </c>
      <c r="D28" s="72">
        <v>11</v>
      </c>
      <c r="E28" s="13">
        <f t="shared" si="0"/>
        <v>95.033177771091246</v>
      </c>
      <c r="F28" s="1">
        <v>40</v>
      </c>
      <c r="G28" s="1" t="s">
        <v>27</v>
      </c>
      <c r="H28" s="1" t="s">
        <v>18</v>
      </c>
      <c r="I28" s="1" t="s">
        <v>34</v>
      </c>
      <c r="J28" s="59">
        <v>6.2</v>
      </c>
      <c r="K28" s="1">
        <v>106</v>
      </c>
      <c r="L28" s="1">
        <v>70</v>
      </c>
      <c r="M28" s="1">
        <v>11</v>
      </c>
      <c r="N28" s="1">
        <v>8.4</v>
      </c>
      <c r="O28" s="1">
        <v>2.5</v>
      </c>
    </row>
    <row r="29" spans="1:15" x14ac:dyDescent="0.2">
      <c r="A29" s="11">
        <v>44810</v>
      </c>
      <c r="B29" s="12">
        <v>0.69236111111111109</v>
      </c>
      <c r="C29" s="5" t="s">
        <v>5</v>
      </c>
      <c r="D29" s="2">
        <v>13</v>
      </c>
      <c r="E29" s="13">
        <f t="shared" si="0"/>
        <v>132.73228961416876</v>
      </c>
      <c r="F29" s="1">
        <v>42</v>
      </c>
      <c r="G29" s="1" t="s">
        <v>27</v>
      </c>
      <c r="H29" s="1" t="s">
        <v>18</v>
      </c>
      <c r="I29" s="1" t="s">
        <v>34</v>
      </c>
      <c r="J29" s="59">
        <v>6.2</v>
      </c>
      <c r="K29" s="1">
        <v>115</v>
      </c>
      <c r="L29" s="1">
        <v>86</v>
      </c>
      <c r="M29" s="1">
        <v>19.100000000000001</v>
      </c>
      <c r="N29" s="1">
        <v>15.7</v>
      </c>
      <c r="O29" s="1">
        <v>2.2000000000000002</v>
      </c>
    </row>
    <row r="30" spans="1:15" x14ac:dyDescent="0.2">
      <c r="A30" s="11">
        <v>44810</v>
      </c>
      <c r="B30" s="12">
        <v>0.69930555555555562</v>
      </c>
      <c r="C30" s="5" t="s">
        <v>5</v>
      </c>
      <c r="D30" s="2">
        <v>13</v>
      </c>
      <c r="E30" s="13">
        <f t="shared" si="0"/>
        <v>132.73228961416876</v>
      </c>
      <c r="F30" s="1">
        <v>40</v>
      </c>
      <c r="G30" s="1" t="s">
        <v>27</v>
      </c>
      <c r="H30" s="1" t="s">
        <v>18</v>
      </c>
      <c r="I30" s="1" t="s">
        <v>34</v>
      </c>
      <c r="J30" s="59">
        <v>6.4</v>
      </c>
      <c r="K30" s="1">
        <v>106</v>
      </c>
      <c r="L30" s="1">
        <v>81</v>
      </c>
      <c r="M30" s="1">
        <v>17.600000000000001</v>
      </c>
      <c r="N30" s="1">
        <v>14.4</v>
      </c>
      <c r="O30" s="1">
        <v>2.4</v>
      </c>
    </row>
    <row r="31" spans="1:15" x14ac:dyDescent="0.2">
      <c r="A31" s="11">
        <v>44810</v>
      </c>
      <c r="B31" s="12">
        <v>0.70486111111111116</v>
      </c>
      <c r="C31" s="5" t="s">
        <v>5</v>
      </c>
      <c r="D31" s="2">
        <v>13</v>
      </c>
      <c r="E31" s="13">
        <f t="shared" si="0"/>
        <v>132.73228961416876</v>
      </c>
      <c r="F31" s="1">
        <v>40</v>
      </c>
      <c r="G31" s="1" t="s">
        <v>27</v>
      </c>
      <c r="H31" s="1" t="s">
        <v>18</v>
      </c>
      <c r="I31" s="1" t="s">
        <v>34</v>
      </c>
      <c r="J31" s="59">
        <v>6.1</v>
      </c>
      <c r="K31" s="1">
        <v>102</v>
      </c>
      <c r="L31" s="1">
        <v>82</v>
      </c>
      <c r="M31" s="1">
        <v>16.100000000000001</v>
      </c>
      <c r="N31" s="1">
        <v>13.5</v>
      </c>
      <c r="O31" s="1">
        <v>2.7</v>
      </c>
    </row>
    <row r="32" spans="1:15" x14ac:dyDescent="0.2">
      <c r="A32" s="11">
        <v>44811</v>
      </c>
      <c r="B32" s="12">
        <v>0.60069444444444442</v>
      </c>
      <c r="C32" s="12" t="s">
        <v>2</v>
      </c>
      <c r="D32" s="2">
        <f>Nozzles!$B$4</f>
        <v>14.6</v>
      </c>
      <c r="E32" s="13">
        <f>PI()*(D32/2)^2</f>
        <v>167.41547250980008</v>
      </c>
      <c r="F32" s="1">
        <v>40</v>
      </c>
      <c r="G32" s="1" t="s">
        <v>27</v>
      </c>
      <c r="H32" s="1" t="s">
        <v>18</v>
      </c>
      <c r="I32" s="1" t="s">
        <v>34</v>
      </c>
      <c r="J32" s="59">
        <v>10.1</v>
      </c>
      <c r="K32" s="1">
        <v>121</v>
      </c>
      <c r="L32" s="1">
        <v>75</v>
      </c>
      <c r="M32" s="1">
        <v>21.1</v>
      </c>
      <c r="N32" s="1">
        <v>16.5</v>
      </c>
      <c r="O32" s="1">
        <v>2.6</v>
      </c>
    </row>
    <row r="33" spans="1:15" ht="16" thickBot="1" x14ac:dyDescent="0.25">
      <c r="A33" s="11">
        <v>44811</v>
      </c>
      <c r="B33" s="12">
        <v>0.61458333333333337</v>
      </c>
      <c r="C33" s="74" t="s">
        <v>28</v>
      </c>
      <c r="D33" s="2">
        <v>14</v>
      </c>
      <c r="E33" s="13">
        <f t="shared" ref="E33:E34" si="2">PI()*(D33/2)^2</f>
        <v>153.93804002589985</v>
      </c>
      <c r="F33" s="1">
        <v>40</v>
      </c>
      <c r="G33" s="1" t="s">
        <v>27</v>
      </c>
      <c r="H33" s="1" t="s">
        <v>18</v>
      </c>
      <c r="I33" s="1" t="s">
        <v>34</v>
      </c>
      <c r="J33" s="59">
        <v>7.2</v>
      </c>
      <c r="K33" s="1">
        <v>111</v>
      </c>
      <c r="L33" s="1">
        <v>79</v>
      </c>
      <c r="M33" s="1">
        <v>19.8</v>
      </c>
      <c r="N33" s="1">
        <v>15.6</v>
      </c>
      <c r="O33" s="1">
        <v>2.2999999999999998</v>
      </c>
    </row>
    <row r="34" spans="1:15" x14ac:dyDescent="0.2">
      <c r="A34" s="34">
        <v>44806</v>
      </c>
      <c r="B34" s="12">
        <v>0.60486111111111118</v>
      </c>
      <c r="C34" s="9" t="s">
        <v>29</v>
      </c>
      <c r="D34" s="2">
        <v>8</v>
      </c>
      <c r="E34" s="13">
        <f t="shared" si="2"/>
        <v>50.26548245743669</v>
      </c>
      <c r="F34" s="1">
        <v>40</v>
      </c>
      <c r="G34" s="1" t="s">
        <v>27</v>
      </c>
      <c r="H34" s="1" t="s">
        <v>27</v>
      </c>
      <c r="I34" s="1" t="s">
        <v>34</v>
      </c>
      <c r="J34" s="59">
        <v>2.9</v>
      </c>
      <c r="K34" s="1">
        <v>49</v>
      </c>
      <c r="L34" s="1">
        <v>68</v>
      </c>
      <c r="M34" s="1">
        <v>7.6</v>
      </c>
      <c r="N34" s="1">
        <v>4.0999999999999996</v>
      </c>
      <c r="O34" s="1">
        <v>0.1</v>
      </c>
    </row>
    <row r="35" spans="1:15" x14ac:dyDescent="0.2">
      <c r="A35" s="11">
        <v>44811</v>
      </c>
      <c r="B35" s="12">
        <v>0.60972222222222217</v>
      </c>
      <c r="C35" s="12" t="s">
        <v>2</v>
      </c>
      <c r="D35" s="2">
        <f>Nozzles!$B$4</f>
        <v>14.6</v>
      </c>
      <c r="E35" s="13">
        <f>PI()*(D35/2)^2</f>
        <v>167.41547250980008</v>
      </c>
      <c r="F35" s="1">
        <v>40</v>
      </c>
      <c r="G35" s="1" t="s">
        <v>27</v>
      </c>
      <c r="H35" s="1" t="s">
        <v>18</v>
      </c>
      <c r="I35" s="1" t="s">
        <v>34</v>
      </c>
      <c r="J35" s="59">
        <v>8.1999999999999993</v>
      </c>
      <c r="K35" s="1">
        <v>129</v>
      </c>
      <c r="L35" s="1">
        <v>77</v>
      </c>
      <c r="M35" s="1">
        <v>20.9</v>
      </c>
      <c r="N35" s="1">
        <v>16.600000000000001</v>
      </c>
      <c r="O35" s="1">
        <v>2.9</v>
      </c>
    </row>
    <row r="36" spans="1:15" x14ac:dyDescent="0.2">
      <c r="A36" s="11">
        <v>44814</v>
      </c>
      <c r="B36" s="12">
        <v>0.50694444444444442</v>
      </c>
      <c r="C36" s="70" t="s">
        <v>8</v>
      </c>
      <c r="D36" s="2">
        <v>10</v>
      </c>
      <c r="E36" s="13">
        <f t="shared" ref="E36:E45" si="3">PI()*(D36/2)^2</f>
        <v>78.539816339744831</v>
      </c>
      <c r="F36" s="1">
        <v>10</v>
      </c>
      <c r="G36" s="1" t="s">
        <v>27</v>
      </c>
      <c r="H36" s="1" t="s">
        <v>18</v>
      </c>
      <c r="I36" s="1" t="s">
        <v>34</v>
      </c>
      <c r="J36" s="59">
        <v>4.4000000000000004</v>
      </c>
      <c r="K36" s="1">
        <v>47</v>
      </c>
      <c r="L36" s="1">
        <v>33</v>
      </c>
      <c r="M36" s="1">
        <v>4.4000000000000004</v>
      </c>
      <c r="N36" s="1">
        <v>2.5</v>
      </c>
      <c r="O36" s="59">
        <v>2</v>
      </c>
    </row>
    <row r="37" spans="1:15" x14ac:dyDescent="0.2">
      <c r="A37" s="11">
        <v>44814</v>
      </c>
      <c r="B37" s="12">
        <v>0.51250000000000007</v>
      </c>
      <c r="C37" s="70" t="s">
        <v>8</v>
      </c>
      <c r="D37" s="2">
        <v>10</v>
      </c>
      <c r="E37" s="13">
        <f t="shared" si="3"/>
        <v>78.539816339744831</v>
      </c>
      <c r="F37" s="1">
        <v>22</v>
      </c>
      <c r="G37" s="1" t="s">
        <v>27</v>
      </c>
      <c r="H37" s="1" t="s">
        <v>18</v>
      </c>
      <c r="I37" s="1" t="s">
        <v>34</v>
      </c>
      <c r="J37" s="59">
        <v>5.6</v>
      </c>
      <c r="K37" s="1">
        <v>65</v>
      </c>
      <c r="L37" s="1">
        <v>53</v>
      </c>
      <c r="M37" s="1">
        <v>10.199999999999999</v>
      </c>
      <c r="N37" s="1">
        <v>3.8</v>
      </c>
      <c r="O37" s="59">
        <v>2</v>
      </c>
    </row>
    <row r="38" spans="1:15" x14ac:dyDescent="0.2">
      <c r="A38" s="11">
        <v>44814</v>
      </c>
      <c r="B38" s="12">
        <v>0.52083333333333337</v>
      </c>
      <c r="C38" s="70" t="s">
        <v>8</v>
      </c>
      <c r="D38" s="2">
        <v>10</v>
      </c>
      <c r="E38" s="13">
        <f t="shared" si="3"/>
        <v>78.539816339744831</v>
      </c>
      <c r="F38" s="1">
        <v>30</v>
      </c>
      <c r="G38" s="1" t="s">
        <v>27</v>
      </c>
      <c r="H38" s="1" t="s">
        <v>18</v>
      </c>
      <c r="I38" s="1" t="s">
        <v>34</v>
      </c>
      <c r="J38" s="59">
        <v>9</v>
      </c>
      <c r="K38" s="1">
        <v>97</v>
      </c>
      <c r="L38" s="1">
        <v>66</v>
      </c>
      <c r="M38" s="1">
        <v>8.8000000000000007</v>
      </c>
      <c r="N38" s="1">
        <v>5.9</v>
      </c>
      <c r="O38" s="59">
        <v>2.2999999999999998</v>
      </c>
    </row>
    <row r="39" spans="1:15" x14ac:dyDescent="0.2">
      <c r="A39" s="11">
        <v>44814</v>
      </c>
      <c r="B39" s="12">
        <v>0.52638888888888891</v>
      </c>
      <c r="C39" s="70" t="s">
        <v>8</v>
      </c>
      <c r="D39" s="2">
        <v>10</v>
      </c>
      <c r="E39" s="13">
        <f t="shared" si="3"/>
        <v>78.539816339744831</v>
      </c>
      <c r="F39" s="1">
        <v>50</v>
      </c>
      <c r="G39" s="1" t="s">
        <v>27</v>
      </c>
      <c r="H39" s="1" t="s">
        <v>18</v>
      </c>
      <c r="I39" s="1" t="s">
        <v>34</v>
      </c>
      <c r="J39" s="59">
        <v>7.7</v>
      </c>
      <c r="K39" s="1">
        <v>141</v>
      </c>
      <c r="L39" s="1">
        <v>85</v>
      </c>
      <c r="M39" s="1">
        <v>10.7</v>
      </c>
      <c r="N39" s="1">
        <v>7.9</v>
      </c>
      <c r="O39" s="1">
        <v>2.5</v>
      </c>
    </row>
    <row r="40" spans="1:15" x14ac:dyDescent="0.2">
      <c r="A40" s="11">
        <v>44814</v>
      </c>
      <c r="B40" s="12">
        <v>0.53333333333333333</v>
      </c>
      <c r="C40" s="70" t="s">
        <v>8</v>
      </c>
      <c r="D40" s="2">
        <v>10</v>
      </c>
      <c r="E40" s="13">
        <f t="shared" si="3"/>
        <v>78.539816339744831</v>
      </c>
      <c r="F40" s="1">
        <v>60</v>
      </c>
      <c r="G40" s="1" t="s">
        <v>27</v>
      </c>
      <c r="H40" s="1" t="s">
        <v>18</v>
      </c>
      <c r="I40" s="1" t="s">
        <v>32</v>
      </c>
      <c r="J40" s="59">
        <v>5.8</v>
      </c>
      <c r="K40" s="1">
        <v>116</v>
      </c>
      <c r="L40" s="1">
        <v>91</v>
      </c>
      <c r="M40" s="1">
        <v>12.9</v>
      </c>
      <c r="N40" s="1">
        <v>9.1999999999999993</v>
      </c>
      <c r="O40" s="1">
        <v>2.4</v>
      </c>
    </row>
    <row r="41" spans="1:15" x14ac:dyDescent="0.2">
      <c r="A41" s="11">
        <v>44814</v>
      </c>
      <c r="B41" s="12">
        <v>0.54861111111111105</v>
      </c>
      <c r="C41" s="74" t="s">
        <v>28</v>
      </c>
      <c r="D41" s="2">
        <v>14</v>
      </c>
      <c r="E41" s="13">
        <f t="shared" si="3"/>
        <v>153.93804002589985</v>
      </c>
      <c r="F41" s="1">
        <v>10</v>
      </c>
      <c r="G41" s="1" t="s">
        <v>27</v>
      </c>
      <c r="H41" s="1" t="s">
        <v>18</v>
      </c>
      <c r="I41" s="1" t="s">
        <v>34</v>
      </c>
      <c r="J41" s="59">
        <v>4.3</v>
      </c>
      <c r="K41" s="1">
        <v>30</v>
      </c>
      <c r="L41" s="1">
        <v>30</v>
      </c>
      <c r="M41" s="1">
        <v>4.4000000000000004</v>
      </c>
      <c r="N41" s="1">
        <v>3.8</v>
      </c>
      <c r="O41" s="1">
        <v>1.1000000000000001</v>
      </c>
    </row>
    <row r="42" spans="1:15" x14ac:dyDescent="0.2">
      <c r="A42" s="11">
        <v>44814</v>
      </c>
      <c r="B42" s="12">
        <v>0.55208333333333337</v>
      </c>
      <c r="C42" s="74" t="s">
        <v>28</v>
      </c>
      <c r="D42" s="2">
        <v>14</v>
      </c>
      <c r="E42" s="13">
        <f t="shared" si="3"/>
        <v>153.93804002589985</v>
      </c>
      <c r="F42" s="1">
        <v>20</v>
      </c>
      <c r="G42" s="1" t="s">
        <v>27</v>
      </c>
      <c r="H42" s="1" t="s">
        <v>18</v>
      </c>
      <c r="I42" s="1" t="s">
        <v>34</v>
      </c>
      <c r="J42" s="59">
        <v>5.0999999999999996</v>
      </c>
      <c r="K42" s="1">
        <v>61</v>
      </c>
      <c r="L42" s="1">
        <v>54</v>
      </c>
      <c r="M42" s="1">
        <v>11</v>
      </c>
      <c r="N42" s="1">
        <v>8.3000000000000007</v>
      </c>
      <c r="O42" s="1">
        <v>1.7</v>
      </c>
    </row>
    <row r="43" spans="1:15" x14ac:dyDescent="0.2">
      <c r="A43" s="11">
        <v>44814</v>
      </c>
      <c r="B43" s="12">
        <v>0.55625000000000002</v>
      </c>
      <c r="C43" s="74" t="s">
        <v>28</v>
      </c>
      <c r="D43" s="2">
        <v>14</v>
      </c>
      <c r="E43" s="13">
        <f t="shared" si="3"/>
        <v>153.93804002589985</v>
      </c>
      <c r="F43" s="1">
        <v>30</v>
      </c>
      <c r="G43" s="1" t="s">
        <v>27</v>
      </c>
      <c r="H43" s="1" t="s">
        <v>18</v>
      </c>
      <c r="I43" s="1" t="s">
        <v>34</v>
      </c>
      <c r="J43" s="59">
        <v>6</v>
      </c>
      <c r="K43" s="1">
        <v>91</v>
      </c>
      <c r="L43" s="1">
        <v>68</v>
      </c>
      <c r="M43" s="1">
        <v>15.3</v>
      </c>
      <c r="N43" s="1">
        <v>12.4</v>
      </c>
      <c r="O43" s="1">
        <v>2.2999999999999998</v>
      </c>
    </row>
    <row r="44" spans="1:15" x14ac:dyDescent="0.2">
      <c r="A44" s="11">
        <v>44814</v>
      </c>
      <c r="B44" s="12">
        <v>0.55902777777777779</v>
      </c>
      <c r="C44" s="74" t="s">
        <v>28</v>
      </c>
      <c r="D44" s="2">
        <v>14</v>
      </c>
      <c r="E44" s="13">
        <f t="shared" si="3"/>
        <v>153.93804002589985</v>
      </c>
      <c r="F44" s="1">
        <v>50</v>
      </c>
      <c r="G44" s="1" t="s">
        <v>27</v>
      </c>
      <c r="H44" s="1" t="s">
        <v>18</v>
      </c>
      <c r="I44" s="1" t="s">
        <v>34</v>
      </c>
      <c r="J44" s="59">
        <v>6.5</v>
      </c>
      <c r="K44" s="1">
        <v>123</v>
      </c>
      <c r="L44" s="1">
        <v>92</v>
      </c>
      <c r="M44" s="1">
        <v>21.2</v>
      </c>
      <c r="N44" s="1">
        <v>17.8</v>
      </c>
      <c r="O44" s="1">
        <v>2.5</v>
      </c>
    </row>
    <row r="45" spans="1:15" x14ac:dyDescent="0.2">
      <c r="A45" s="11">
        <v>44814</v>
      </c>
      <c r="B45" s="12">
        <v>0.57152777777777775</v>
      </c>
      <c r="C45" s="74" t="s">
        <v>28</v>
      </c>
      <c r="D45" s="2">
        <v>14</v>
      </c>
      <c r="E45" s="13">
        <f t="shared" si="3"/>
        <v>153.93804002589985</v>
      </c>
      <c r="F45" s="1">
        <v>80</v>
      </c>
      <c r="G45" s="1" t="s">
        <v>27</v>
      </c>
      <c r="H45" s="1" t="s">
        <v>18</v>
      </c>
      <c r="I45" s="1" t="s">
        <v>34</v>
      </c>
      <c r="J45" s="59">
        <v>7.3</v>
      </c>
      <c r="K45" s="1">
        <v>138</v>
      </c>
      <c r="L45" s="1">
        <v>114</v>
      </c>
      <c r="M45" s="1">
        <v>23.7</v>
      </c>
      <c r="N45" s="1">
        <v>17.899999999999999</v>
      </c>
      <c r="O45" s="1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4F1A-1080-0547-9D45-30AD6786EF6A}">
  <dimension ref="D1:AC45"/>
  <sheetViews>
    <sheetView tabSelected="1" topLeftCell="L1" zoomScale="125" workbookViewId="0">
      <selection activeCell="X13" sqref="X13"/>
    </sheetView>
  </sheetViews>
  <sheetFormatPr baseColWidth="10" defaultRowHeight="15" x14ac:dyDescent="0.2"/>
  <cols>
    <col min="3" max="3" width="40.83203125" customWidth="1"/>
    <col min="4" max="15" width="12.83203125" customWidth="1"/>
    <col min="17" max="17" width="9" customWidth="1"/>
    <col min="18" max="20" width="5.83203125" customWidth="1"/>
    <col min="21" max="22" width="6.5" customWidth="1"/>
  </cols>
  <sheetData>
    <row r="1" spans="4:29" ht="18" customHeight="1" x14ac:dyDescent="0.2">
      <c r="D1" s="86" t="s">
        <v>81</v>
      </c>
      <c r="E1" s="86" t="s">
        <v>82</v>
      </c>
      <c r="F1" s="86" t="s">
        <v>83</v>
      </c>
      <c r="G1" s="86" t="s">
        <v>25</v>
      </c>
      <c r="H1" s="86" t="s">
        <v>30</v>
      </c>
      <c r="I1" s="86" t="s">
        <v>31</v>
      </c>
      <c r="J1" s="86" t="s">
        <v>85</v>
      </c>
      <c r="K1" s="87" t="s">
        <v>84</v>
      </c>
      <c r="L1" s="86" t="s">
        <v>89</v>
      </c>
      <c r="M1" s="86" t="s">
        <v>88</v>
      </c>
      <c r="N1" s="90" t="s">
        <v>87</v>
      </c>
      <c r="O1" s="90" t="s">
        <v>86</v>
      </c>
      <c r="Q1" s="149" t="s">
        <v>81</v>
      </c>
      <c r="R1" s="149" t="s">
        <v>84</v>
      </c>
      <c r="S1" s="149"/>
      <c r="T1" s="150"/>
      <c r="U1" s="151" t="s">
        <v>93</v>
      </c>
      <c r="V1" s="149"/>
      <c r="X1" s="150" t="s">
        <v>96</v>
      </c>
      <c r="Y1" s="151" t="s">
        <v>93</v>
      </c>
      <c r="AA1" s="150" t="s">
        <v>96</v>
      </c>
      <c r="AB1" s="151" t="s">
        <v>93</v>
      </c>
    </row>
    <row r="2" spans="4:29" x14ac:dyDescent="0.2">
      <c r="D2" s="138">
        <f>Nozzles!$B$4</f>
        <v>14.6</v>
      </c>
      <c r="E2" s="139">
        <f>PI()*(D2/2)^2</f>
        <v>167.41547250980008</v>
      </c>
      <c r="F2" s="140">
        <v>40</v>
      </c>
      <c r="G2" s="140" t="s">
        <v>18</v>
      </c>
      <c r="H2" s="140" t="s">
        <v>18</v>
      </c>
      <c r="I2" s="140" t="s">
        <v>32</v>
      </c>
      <c r="J2" s="141">
        <v>5.4</v>
      </c>
      <c r="K2" s="140">
        <v>52</v>
      </c>
      <c r="L2" s="140">
        <v>76</v>
      </c>
      <c r="M2" s="140">
        <v>21.4</v>
      </c>
      <c r="N2" s="141">
        <v>16.8</v>
      </c>
      <c r="O2" s="141">
        <v>1.2</v>
      </c>
      <c r="Q2" s="153"/>
      <c r="R2" s="154" t="s">
        <v>90</v>
      </c>
      <c r="S2" s="154" t="s">
        <v>91</v>
      </c>
      <c r="T2" s="155" t="s">
        <v>95</v>
      </c>
      <c r="U2" s="156" t="s">
        <v>92</v>
      </c>
      <c r="V2" s="157" t="s">
        <v>94</v>
      </c>
      <c r="X2" s="150"/>
      <c r="Y2" s="151"/>
      <c r="AA2" s="150"/>
      <c r="AB2" s="151"/>
    </row>
    <row r="3" spans="4:29" x14ac:dyDescent="0.2">
      <c r="D3" s="138">
        <f>Nozzles!$B$4</f>
        <v>14.6</v>
      </c>
      <c r="E3" s="139">
        <f>PI()*(D3/2)^2</f>
        <v>167.41547250980008</v>
      </c>
      <c r="F3" s="140">
        <v>40</v>
      </c>
      <c r="G3" s="140" t="s">
        <v>18</v>
      </c>
      <c r="H3" s="140" t="s">
        <v>18</v>
      </c>
      <c r="I3" s="140" t="s">
        <v>33</v>
      </c>
      <c r="J3" s="141">
        <v>4.9000000000000004</v>
      </c>
      <c r="K3" s="140">
        <v>59</v>
      </c>
      <c r="L3" s="140">
        <v>25</v>
      </c>
      <c r="M3" s="140">
        <v>7.6</v>
      </c>
      <c r="N3" s="141">
        <v>1.4</v>
      </c>
      <c r="O3" s="141"/>
      <c r="Q3" s="158">
        <v>6</v>
      </c>
      <c r="R3" s="146">
        <v>32</v>
      </c>
      <c r="S3" s="146">
        <v>44</v>
      </c>
      <c r="T3" s="147">
        <v>28</v>
      </c>
      <c r="U3" s="148">
        <f>AVERAGE(R3:T3) * 0.3048</f>
        <v>10.5664</v>
      </c>
      <c r="V3" s="59">
        <f>((MAX(R3:T3) - MIN(R3:T3))/2)*0.3048</f>
        <v>2.4384000000000001</v>
      </c>
      <c r="X3" s="159">
        <v>10</v>
      </c>
      <c r="Y3" s="148">
        <f>47*0.3048</f>
        <v>14.325600000000001</v>
      </c>
      <c r="AA3" s="159">
        <v>10</v>
      </c>
      <c r="AB3" s="148">
        <f>30*0.3048</f>
        <v>9.1440000000000001</v>
      </c>
    </row>
    <row r="4" spans="4:29" x14ac:dyDescent="0.2">
      <c r="D4" s="138">
        <f>Nozzles!$B$4</f>
        <v>14.6</v>
      </c>
      <c r="E4" s="139">
        <f>PI()*(D4/2)^2</f>
        <v>167.41547250980008</v>
      </c>
      <c r="F4" s="140">
        <v>40</v>
      </c>
      <c r="G4" s="140" t="s">
        <v>18</v>
      </c>
      <c r="H4" s="140" t="s">
        <v>18</v>
      </c>
      <c r="I4" s="140" t="s">
        <v>32</v>
      </c>
      <c r="J4" s="141">
        <v>4.7</v>
      </c>
      <c r="K4" s="140">
        <v>56</v>
      </c>
      <c r="L4" s="140">
        <v>79</v>
      </c>
      <c r="M4" s="140">
        <v>21.1</v>
      </c>
      <c r="N4" s="141">
        <v>16.5</v>
      </c>
      <c r="O4" s="141">
        <v>1.1000000000000001</v>
      </c>
      <c r="Q4" s="158">
        <v>7</v>
      </c>
      <c r="R4" s="146">
        <v>35</v>
      </c>
      <c r="S4" s="146">
        <v>23</v>
      </c>
      <c r="T4" s="147">
        <v>39</v>
      </c>
      <c r="U4" s="148">
        <f>AVERAGE(R4:T4) * 0.3048</f>
        <v>9.8552000000000017</v>
      </c>
      <c r="V4" s="59">
        <f>((MAX(R4:T4) - MIN(R4:T4))/2)*0.3048</f>
        <v>2.4384000000000001</v>
      </c>
      <c r="X4" s="159">
        <v>22</v>
      </c>
      <c r="Y4" s="148">
        <f>65*0.3048</f>
        <v>19.812000000000001</v>
      </c>
      <c r="AA4" s="159">
        <v>20</v>
      </c>
      <c r="AB4" s="148">
        <f>61*0.3048</f>
        <v>18.5928</v>
      </c>
    </row>
    <row r="5" spans="4:29" x14ac:dyDescent="0.2">
      <c r="D5" s="134">
        <f>Nozzles!$B$4</f>
        <v>14.6</v>
      </c>
      <c r="E5" s="135">
        <f>PI()*(D5/2)^2</f>
        <v>167.41547250980008</v>
      </c>
      <c r="F5" s="136">
        <v>40</v>
      </c>
      <c r="G5" s="136" t="s">
        <v>27</v>
      </c>
      <c r="H5" s="136" t="s">
        <v>18</v>
      </c>
      <c r="I5" s="136" t="s">
        <v>34</v>
      </c>
      <c r="J5" s="137">
        <v>6.6</v>
      </c>
      <c r="K5" s="136">
        <v>131</v>
      </c>
      <c r="L5" s="136">
        <v>79</v>
      </c>
      <c r="M5" s="136">
        <v>21.6</v>
      </c>
      <c r="N5" s="137">
        <v>17</v>
      </c>
      <c r="O5" s="137">
        <v>2.6</v>
      </c>
      <c r="Q5" s="158">
        <v>8</v>
      </c>
      <c r="R5" s="146">
        <v>49</v>
      </c>
      <c r="S5" s="146">
        <v>78</v>
      </c>
      <c r="T5" s="147">
        <v>91</v>
      </c>
      <c r="U5" s="148">
        <f>AVERAGE(R5:T5) * 0.3048</f>
        <v>22.148800000000001</v>
      </c>
      <c r="V5" s="59">
        <f>((MAX(R5:T5) - MIN(R5:T5))/2)*0.3048</f>
        <v>6.4008000000000003</v>
      </c>
      <c r="X5" s="159">
        <v>30</v>
      </c>
      <c r="Y5" s="148">
        <f>97*0.3048</f>
        <v>29.5656</v>
      </c>
      <c r="AA5" s="159">
        <v>30</v>
      </c>
      <c r="AB5" s="148">
        <f>91*0.3048</f>
        <v>27.736800000000002</v>
      </c>
    </row>
    <row r="6" spans="4:29" x14ac:dyDescent="0.2">
      <c r="D6" s="134">
        <f>Nozzles!$B$4</f>
        <v>14.6</v>
      </c>
      <c r="E6" s="135">
        <f>PI()*(D6/2)^2</f>
        <v>167.41547250980008</v>
      </c>
      <c r="F6" s="136">
        <v>40</v>
      </c>
      <c r="G6" s="136" t="s">
        <v>27</v>
      </c>
      <c r="H6" s="136" t="s">
        <v>18</v>
      </c>
      <c r="I6" s="136" t="s">
        <v>34</v>
      </c>
      <c r="J6" s="137">
        <v>10.1</v>
      </c>
      <c r="K6" s="136">
        <v>121</v>
      </c>
      <c r="L6" s="136">
        <v>75</v>
      </c>
      <c r="M6" s="136">
        <v>21.1</v>
      </c>
      <c r="N6" s="136">
        <v>16.5</v>
      </c>
      <c r="O6" s="136">
        <v>2.6</v>
      </c>
      <c r="Q6" s="1">
        <v>9</v>
      </c>
      <c r="R6" s="146">
        <v>75</v>
      </c>
      <c r="S6" s="146">
        <v>61</v>
      </c>
      <c r="T6" s="147">
        <v>67</v>
      </c>
      <c r="U6" s="148">
        <f>AVERAGE(R6:T6) * 0.3048</f>
        <v>20.624800000000004</v>
      </c>
      <c r="V6" s="59">
        <f>((MAX(R6:T6) - MIN(R6:T6))/2)*0.3048</f>
        <v>2.1335999999999999</v>
      </c>
      <c r="X6" s="159">
        <v>42</v>
      </c>
      <c r="Y6" s="148">
        <f>118*0.3048</f>
        <v>35.9664</v>
      </c>
      <c r="AA6" s="159">
        <v>40</v>
      </c>
      <c r="AB6" s="148">
        <f>111*0.3048</f>
        <v>33.832799999999999</v>
      </c>
    </row>
    <row r="7" spans="4:29" x14ac:dyDescent="0.2">
      <c r="D7" s="134">
        <f>Nozzles!$B$4</f>
        <v>14.6</v>
      </c>
      <c r="E7" s="135">
        <f>PI()*(D7/2)^2</f>
        <v>167.41547250980008</v>
      </c>
      <c r="F7" s="136">
        <v>40</v>
      </c>
      <c r="G7" s="136" t="s">
        <v>27</v>
      </c>
      <c r="H7" s="136" t="s">
        <v>18</v>
      </c>
      <c r="I7" s="136" t="s">
        <v>34</v>
      </c>
      <c r="J7" s="137">
        <v>8.1999999999999993</v>
      </c>
      <c r="K7" s="136">
        <v>129</v>
      </c>
      <c r="L7" s="136">
        <v>77</v>
      </c>
      <c r="M7" s="136">
        <v>20.9</v>
      </c>
      <c r="N7" s="136">
        <v>16.600000000000001</v>
      </c>
      <c r="O7" s="136">
        <v>2.9</v>
      </c>
      <c r="Q7" s="1">
        <v>10</v>
      </c>
      <c r="R7" s="146">
        <v>118</v>
      </c>
      <c r="S7" s="146">
        <v>116</v>
      </c>
      <c r="T7" s="147">
        <v>115</v>
      </c>
      <c r="U7" s="148">
        <f>AVERAGE(R7:T7) * 0.3048</f>
        <v>35.458399999999997</v>
      </c>
      <c r="V7" s="59">
        <f>((MAX(R7:T7) - MIN(R7:T7))/2)*0.3048</f>
        <v>0.45720000000000005</v>
      </c>
      <c r="X7" s="159">
        <v>50</v>
      </c>
      <c r="Y7" s="148">
        <f>141*0.3048</f>
        <v>42.976800000000004</v>
      </c>
      <c r="AA7" s="159">
        <v>50</v>
      </c>
      <c r="AB7" s="148">
        <f>123*0.3048</f>
        <v>37.490400000000001</v>
      </c>
    </row>
    <row r="8" spans="4:29" x14ac:dyDescent="0.2">
      <c r="D8" s="127">
        <v>14</v>
      </c>
      <c r="E8" s="128">
        <f>PI()*(D8/2)^2</f>
        <v>153.93804002589985</v>
      </c>
      <c r="F8" s="129">
        <v>40</v>
      </c>
      <c r="G8" s="129" t="s">
        <v>27</v>
      </c>
      <c r="H8" s="129" t="s">
        <v>18</v>
      </c>
      <c r="I8" s="129" t="s">
        <v>34</v>
      </c>
      <c r="J8" s="130">
        <v>6.4</v>
      </c>
      <c r="K8" s="129">
        <v>124</v>
      </c>
      <c r="L8" s="129">
        <v>83</v>
      </c>
      <c r="M8" s="129">
        <v>19.600000000000001</v>
      </c>
      <c r="N8" s="130">
        <v>15.4</v>
      </c>
      <c r="O8" s="130">
        <v>2.7</v>
      </c>
      <c r="Q8" s="1">
        <v>11</v>
      </c>
      <c r="R8" s="146">
        <v>102</v>
      </c>
      <c r="S8" s="146">
        <v>66</v>
      </c>
      <c r="T8" s="147">
        <v>106</v>
      </c>
      <c r="U8" s="148">
        <f>AVERAGE(R8:T8) * 0.3048</f>
        <v>27.8384</v>
      </c>
      <c r="V8" s="59">
        <f>((MAX(R8:T8) - MIN(R8:T8))/2)*0.3048</f>
        <v>6.0960000000000001</v>
      </c>
      <c r="X8" s="159">
        <v>60</v>
      </c>
      <c r="Y8" s="148">
        <f>116*0.3048</f>
        <v>35.3568</v>
      </c>
      <c r="AA8" s="159">
        <v>80</v>
      </c>
      <c r="AB8" s="148">
        <f>138*0.3048</f>
        <v>42.062400000000004</v>
      </c>
    </row>
    <row r="9" spans="4:29" x14ac:dyDescent="0.2">
      <c r="D9" s="127">
        <v>14</v>
      </c>
      <c r="E9" s="128">
        <f>PI()*(D9/2)^2</f>
        <v>153.93804002589985</v>
      </c>
      <c r="F9" s="129">
        <v>40</v>
      </c>
      <c r="G9" s="129" t="s">
        <v>27</v>
      </c>
      <c r="H9" s="129" t="s">
        <v>18</v>
      </c>
      <c r="I9" s="129" t="s">
        <v>34</v>
      </c>
      <c r="J9" s="130">
        <v>6.6</v>
      </c>
      <c r="K9" s="129">
        <v>109</v>
      </c>
      <c r="L9" s="129">
        <v>79</v>
      </c>
      <c r="M9" s="129">
        <v>18.8</v>
      </c>
      <c r="N9" s="130">
        <v>15.4</v>
      </c>
      <c r="O9" s="130">
        <v>2.6</v>
      </c>
      <c r="Q9" s="1">
        <v>12</v>
      </c>
      <c r="R9" s="146">
        <v>97</v>
      </c>
      <c r="S9" s="146">
        <v>110</v>
      </c>
      <c r="T9" s="147">
        <v>106</v>
      </c>
      <c r="U9" s="148">
        <f>AVERAGE(R9:T9) * 0.3048</f>
        <v>31.800799999999999</v>
      </c>
      <c r="V9" s="59">
        <f>((MAX(R9:T9) - MIN(R9:T9))/2)*0.3048</f>
        <v>1.9812000000000001</v>
      </c>
    </row>
    <row r="10" spans="4:29" x14ac:dyDescent="0.2">
      <c r="D10" s="127">
        <v>14</v>
      </c>
      <c r="E10" s="128">
        <f>PI()*(D10/2)^2</f>
        <v>153.93804002589985</v>
      </c>
      <c r="F10" s="129">
        <v>40</v>
      </c>
      <c r="G10" s="129" t="s">
        <v>27</v>
      </c>
      <c r="H10" s="129" t="s">
        <v>18</v>
      </c>
      <c r="I10" s="129" t="s">
        <v>34</v>
      </c>
      <c r="J10" s="130">
        <v>7.2</v>
      </c>
      <c r="K10" s="129">
        <v>111</v>
      </c>
      <c r="L10" s="129">
        <v>79</v>
      </c>
      <c r="M10" s="129">
        <v>19.8</v>
      </c>
      <c r="N10" s="129">
        <v>15.6</v>
      </c>
      <c r="O10" s="129">
        <v>2.2999999999999998</v>
      </c>
      <c r="Q10" s="1">
        <v>13</v>
      </c>
      <c r="R10" s="146">
        <v>115</v>
      </c>
      <c r="S10" s="146">
        <v>106</v>
      </c>
      <c r="T10" s="147">
        <v>102</v>
      </c>
      <c r="U10" s="148">
        <f>AVERAGE(R10:T10) * 0.3048</f>
        <v>32.816800000000001</v>
      </c>
      <c r="V10" s="59">
        <f>((MAX(R10:T10) - MIN(R10:T10))/2)*0.3048</f>
        <v>1.9812000000000001</v>
      </c>
      <c r="X10" t="s">
        <v>97</v>
      </c>
      <c r="AA10" t="s">
        <v>98</v>
      </c>
    </row>
    <row r="11" spans="4:29" x14ac:dyDescent="0.2">
      <c r="D11" s="131">
        <v>14</v>
      </c>
      <c r="E11" s="132">
        <f>PI()*(D11/2)^2</f>
        <v>153.93804002589985</v>
      </c>
      <c r="F11" s="8">
        <v>10</v>
      </c>
      <c r="G11" s="7" t="s">
        <v>27</v>
      </c>
      <c r="H11" s="7" t="s">
        <v>18</v>
      </c>
      <c r="I11" s="7" t="s">
        <v>34</v>
      </c>
      <c r="J11" s="133">
        <v>4.3</v>
      </c>
      <c r="K11" s="7">
        <v>30</v>
      </c>
      <c r="L11" s="7">
        <v>30</v>
      </c>
      <c r="M11" s="7">
        <v>4.4000000000000004</v>
      </c>
      <c r="N11" s="7">
        <v>3.8</v>
      </c>
      <c r="O11" s="7">
        <v>1.1000000000000001</v>
      </c>
      <c r="Q11" s="1">
        <v>14</v>
      </c>
      <c r="R11" s="146">
        <v>124</v>
      </c>
      <c r="S11" s="146">
        <v>109</v>
      </c>
      <c r="T11" s="147">
        <v>111</v>
      </c>
      <c r="U11" s="148">
        <f>AVERAGE(R11:T11) * 0.3048</f>
        <v>34.950400000000002</v>
      </c>
      <c r="V11" s="59">
        <f>((MAX(R11:T11) - MIN(R11:T11))/2)*0.3048</f>
        <v>2.286</v>
      </c>
    </row>
    <row r="12" spans="4:29" x14ac:dyDescent="0.2">
      <c r="D12" s="131">
        <v>14</v>
      </c>
      <c r="E12" s="132">
        <f>PI()*(D12/2)^2</f>
        <v>153.93804002589985</v>
      </c>
      <c r="F12" s="8">
        <v>20</v>
      </c>
      <c r="G12" s="7" t="s">
        <v>27</v>
      </c>
      <c r="H12" s="7" t="s">
        <v>18</v>
      </c>
      <c r="I12" s="7" t="s">
        <v>34</v>
      </c>
      <c r="J12" s="133">
        <v>5.0999999999999996</v>
      </c>
      <c r="K12" s="7">
        <v>61</v>
      </c>
      <c r="L12" s="7">
        <v>54</v>
      </c>
      <c r="M12" s="7">
        <v>11</v>
      </c>
      <c r="N12" s="7">
        <v>8.3000000000000007</v>
      </c>
      <c r="O12" s="7">
        <v>1.7</v>
      </c>
      <c r="Q12" s="1">
        <v>14.6</v>
      </c>
      <c r="R12" s="146">
        <v>131</v>
      </c>
      <c r="S12" s="146">
        <v>121</v>
      </c>
      <c r="T12" s="147">
        <v>129</v>
      </c>
      <c r="U12" s="148">
        <f>AVERAGE(R12:T12) * 0.3048</f>
        <v>38.709600000000002</v>
      </c>
      <c r="V12" s="59">
        <f>((MAX(R12:T12) - MIN(R12:T12))/2)*0.3048</f>
        <v>1.524</v>
      </c>
    </row>
    <row r="13" spans="4:29" x14ac:dyDescent="0.2">
      <c r="D13" s="131">
        <v>14</v>
      </c>
      <c r="E13" s="132">
        <f>PI()*(D13/2)^2</f>
        <v>153.93804002589985</v>
      </c>
      <c r="F13" s="8">
        <v>30</v>
      </c>
      <c r="G13" s="7" t="s">
        <v>27</v>
      </c>
      <c r="H13" s="7" t="s">
        <v>18</v>
      </c>
      <c r="I13" s="7" t="s">
        <v>34</v>
      </c>
      <c r="J13" s="133">
        <v>6</v>
      </c>
      <c r="K13" s="7">
        <v>91</v>
      </c>
      <c r="L13" s="7">
        <v>68</v>
      </c>
      <c r="M13" s="7">
        <v>15.3</v>
      </c>
      <c r="N13" s="7">
        <v>12.4</v>
      </c>
      <c r="O13" s="7">
        <v>2.2999999999999998</v>
      </c>
    </row>
    <row r="14" spans="4:29" x14ac:dyDescent="0.2">
      <c r="D14" s="127">
        <v>14</v>
      </c>
      <c r="E14" s="128">
        <f>PI()*(D14/2)^2</f>
        <v>153.93804002589985</v>
      </c>
      <c r="F14" s="8">
        <v>50</v>
      </c>
      <c r="G14" s="129" t="s">
        <v>27</v>
      </c>
      <c r="H14" s="129" t="s">
        <v>18</v>
      </c>
      <c r="I14" s="129" t="s">
        <v>34</v>
      </c>
      <c r="J14" s="130">
        <v>6.5</v>
      </c>
      <c r="K14" s="129">
        <v>123</v>
      </c>
      <c r="L14" s="129">
        <v>92</v>
      </c>
      <c r="M14" s="129">
        <v>21.2</v>
      </c>
      <c r="N14" s="129">
        <v>17.8</v>
      </c>
      <c r="O14" s="129">
        <v>2.5</v>
      </c>
      <c r="AA14" s="160"/>
      <c r="AB14" s="161"/>
      <c r="AC14" s="162"/>
    </row>
    <row r="15" spans="4:29" x14ac:dyDescent="0.2">
      <c r="D15" s="127">
        <v>14</v>
      </c>
      <c r="E15" s="128">
        <f>PI()*(D15/2)^2</f>
        <v>153.93804002589985</v>
      </c>
      <c r="F15" s="8">
        <v>80</v>
      </c>
      <c r="G15" s="129" t="s">
        <v>27</v>
      </c>
      <c r="H15" s="129" t="s">
        <v>18</v>
      </c>
      <c r="I15" s="129" t="s">
        <v>34</v>
      </c>
      <c r="J15" s="130">
        <v>7.3</v>
      </c>
      <c r="K15" s="129">
        <v>138</v>
      </c>
      <c r="L15" s="129">
        <v>114</v>
      </c>
      <c r="M15" s="129">
        <v>23.7</v>
      </c>
      <c r="N15" s="129">
        <v>17.899999999999999</v>
      </c>
      <c r="O15" s="129">
        <v>2.6</v>
      </c>
      <c r="AA15" s="160"/>
      <c r="AB15" s="161"/>
      <c r="AC15" s="162"/>
    </row>
    <row r="16" spans="4:29" x14ac:dyDescent="0.2">
      <c r="D16" s="142">
        <v>13</v>
      </c>
      <c r="E16" s="143">
        <f>PI()*(D16/2)^2</f>
        <v>132.73228961416876</v>
      </c>
      <c r="F16" s="144">
        <v>40</v>
      </c>
      <c r="G16" s="144" t="s">
        <v>27</v>
      </c>
      <c r="H16" s="144" t="s">
        <v>18</v>
      </c>
      <c r="I16" s="144" t="s">
        <v>34</v>
      </c>
      <c r="J16" s="145">
        <v>6.4</v>
      </c>
      <c r="K16" s="144">
        <v>106</v>
      </c>
      <c r="L16" s="144">
        <v>81</v>
      </c>
      <c r="M16" s="144">
        <v>17.600000000000001</v>
      </c>
      <c r="N16" s="144">
        <v>14.4</v>
      </c>
      <c r="O16" s="144">
        <v>2.4</v>
      </c>
      <c r="AA16" s="160"/>
      <c r="AB16" s="161"/>
      <c r="AC16" s="162"/>
    </row>
    <row r="17" spans="4:29" x14ac:dyDescent="0.2">
      <c r="D17" s="142">
        <v>13</v>
      </c>
      <c r="E17" s="143">
        <f>PI()*(D17/2)^2</f>
        <v>132.73228961416876</v>
      </c>
      <c r="F17" s="144">
        <v>40</v>
      </c>
      <c r="G17" s="144" t="s">
        <v>27</v>
      </c>
      <c r="H17" s="144" t="s">
        <v>18</v>
      </c>
      <c r="I17" s="144" t="s">
        <v>34</v>
      </c>
      <c r="J17" s="145">
        <v>6.1</v>
      </c>
      <c r="K17" s="144">
        <v>102</v>
      </c>
      <c r="L17" s="144">
        <v>82</v>
      </c>
      <c r="M17" s="144">
        <v>16.100000000000001</v>
      </c>
      <c r="N17" s="144">
        <v>13.5</v>
      </c>
      <c r="O17" s="144">
        <v>2.7</v>
      </c>
      <c r="AA17" s="72"/>
      <c r="AB17" s="163"/>
      <c r="AC17" s="162"/>
    </row>
    <row r="18" spans="4:29" x14ac:dyDescent="0.2">
      <c r="D18" s="142">
        <v>13</v>
      </c>
      <c r="E18" s="143">
        <f>PI()*(D18/2)^2</f>
        <v>132.73228961416876</v>
      </c>
      <c r="F18" s="144">
        <v>42</v>
      </c>
      <c r="G18" s="144" t="s">
        <v>27</v>
      </c>
      <c r="H18" s="144" t="s">
        <v>18</v>
      </c>
      <c r="I18" s="144" t="s">
        <v>34</v>
      </c>
      <c r="J18" s="145">
        <v>6.2</v>
      </c>
      <c r="K18" s="144">
        <v>115</v>
      </c>
      <c r="L18" s="144">
        <v>86</v>
      </c>
      <c r="M18" s="144">
        <v>19.100000000000001</v>
      </c>
      <c r="N18" s="144">
        <v>15.7</v>
      </c>
      <c r="O18" s="144">
        <v>2.2000000000000002</v>
      </c>
      <c r="AA18" s="72"/>
      <c r="AB18" s="163"/>
      <c r="AC18" s="162"/>
    </row>
    <row r="19" spans="4:29" x14ac:dyDescent="0.2">
      <c r="D19" s="122">
        <v>12</v>
      </c>
      <c r="E19" s="123">
        <f>PI()*(D19/2)^2</f>
        <v>113.09733552923255</v>
      </c>
      <c r="F19" s="124">
        <v>40</v>
      </c>
      <c r="G19" s="124" t="s">
        <v>27</v>
      </c>
      <c r="H19" s="124" t="s">
        <v>18</v>
      </c>
      <c r="I19" s="124" t="s">
        <v>34</v>
      </c>
      <c r="J19" s="125">
        <v>7.4</v>
      </c>
      <c r="K19" s="126">
        <v>97</v>
      </c>
      <c r="L19" s="124">
        <v>75</v>
      </c>
      <c r="M19" s="124">
        <v>12.7</v>
      </c>
      <c r="N19" s="125">
        <v>8.8000000000000007</v>
      </c>
      <c r="O19" s="125">
        <v>1.9</v>
      </c>
    </row>
    <row r="20" spans="4:29" x14ac:dyDescent="0.2">
      <c r="D20" s="122">
        <v>12</v>
      </c>
      <c r="E20" s="123">
        <f>PI()*(D20/2)^2</f>
        <v>113.09733552923255</v>
      </c>
      <c r="F20" s="124">
        <v>40</v>
      </c>
      <c r="G20" s="124" t="s">
        <v>27</v>
      </c>
      <c r="H20" s="124" t="s">
        <v>18</v>
      </c>
      <c r="I20" s="124" t="s">
        <v>34</v>
      </c>
      <c r="J20" s="125">
        <v>8.1999999999999993</v>
      </c>
      <c r="K20" s="126">
        <v>110</v>
      </c>
      <c r="L20" s="124">
        <v>78</v>
      </c>
      <c r="M20" s="124">
        <v>13.2</v>
      </c>
      <c r="N20" s="125">
        <v>9.9</v>
      </c>
      <c r="O20" s="125">
        <v>2.2000000000000002</v>
      </c>
    </row>
    <row r="21" spans="4:29" x14ac:dyDescent="0.2">
      <c r="D21" s="122">
        <v>12</v>
      </c>
      <c r="E21" s="123">
        <f>PI()*(D21/2)^2</f>
        <v>113.09733552923255</v>
      </c>
      <c r="F21" s="124">
        <v>40</v>
      </c>
      <c r="G21" s="124" t="s">
        <v>27</v>
      </c>
      <c r="H21" s="124" t="s">
        <v>18</v>
      </c>
      <c r="I21" s="124" t="s">
        <v>34</v>
      </c>
      <c r="J21" s="125">
        <v>5.7</v>
      </c>
      <c r="K21" s="126">
        <v>106</v>
      </c>
      <c r="L21" s="124">
        <v>79</v>
      </c>
      <c r="M21" s="124">
        <v>12.8</v>
      </c>
      <c r="N21" s="125">
        <v>10.4</v>
      </c>
      <c r="O21" s="125">
        <v>2.2000000000000002</v>
      </c>
    </row>
    <row r="22" spans="4:29" x14ac:dyDescent="0.2">
      <c r="D22" s="117">
        <v>11</v>
      </c>
      <c r="E22" s="118">
        <f>PI()*(D22/2)^2</f>
        <v>95.033177771091246</v>
      </c>
      <c r="F22" s="119">
        <v>40</v>
      </c>
      <c r="G22" s="119" t="s">
        <v>27</v>
      </c>
      <c r="H22" s="119" t="s">
        <v>18</v>
      </c>
      <c r="I22" s="119" t="s">
        <v>34</v>
      </c>
      <c r="J22" s="120">
        <v>7.3</v>
      </c>
      <c r="K22" s="121">
        <v>102</v>
      </c>
      <c r="L22" s="119">
        <v>71</v>
      </c>
      <c r="M22" s="119">
        <v>10.7</v>
      </c>
      <c r="N22" s="119">
        <v>8.5</v>
      </c>
      <c r="O22" s="119">
        <v>2.2999999999999998</v>
      </c>
    </row>
    <row r="23" spans="4:29" x14ac:dyDescent="0.2">
      <c r="D23" s="117">
        <v>11</v>
      </c>
      <c r="E23" s="118">
        <f>PI()*(D23/2)^2</f>
        <v>95.033177771091246</v>
      </c>
      <c r="F23" s="119">
        <v>40</v>
      </c>
      <c r="G23" s="119" t="s">
        <v>27</v>
      </c>
      <c r="H23" s="119" t="s">
        <v>18</v>
      </c>
      <c r="I23" s="119" t="s">
        <v>33</v>
      </c>
      <c r="J23" s="120">
        <v>5</v>
      </c>
      <c r="K23" s="121">
        <v>66</v>
      </c>
      <c r="L23" s="119">
        <v>70</v>
      </c>
      <c r="M23" s="119">
        <v>11.1</v>
      </c>
      <c r="N23" s="119">
        <v>8.1999999999999993</v>
      </c>
      <c r="O23" s="119">
        <v>2.1</v>
      </c>
    </row>
    <row r="24" spans="4:29" x14ac:dyDescent="0.2">
      <c r="D24" s="117">
        <v>11</v>
      </c>
      <c r="E24" s="118">
        <f>PI()*(D24/2)^2</f>
        <v>95.033177771091246</v>
      </c>
      <c r="F24" s="119">
        <v>40</v>
      </c>
      <c r="G24" s="119" t="s">
        <v>27</v>
      </c>
      <c r="H24" s="119" t="s">
        <v>18</v>
      </c>
      <c r="I24" s="119" t="s">
        <v>34</v>
      </c>
      <c r="J24" s="120">
        <v>6.2</v>
      </c>
      <c r="K24" s="121">
        <v>106</v>
      </c>
      <c r="L24" s="119">
        <v>70</v>
      </c>
      <c r="M24" s="119">
        <v>11</v>
      </c>
      <c r="N24" s="119">
        <v>8.4</v>
      </c>
      <c r="O24" s="119">
        <v>2.5</v>
      </c>
    </row>
    <row r="25" spans="4:29" x14ac:dyDescent="0.2">
      <c r="D25" s="101">
        <v>10</v>
      </c>
      <c r="E25" s="102">
        <f>PI()*(D25/2)^2</f>
        <v>78.539816339744831</v>
      </c>
      <c r="F25" s="8">
        <v>10</v>
      </c>
      <c r="G25" s="103" t="s">
        <v>27</v>
      </c>
      <c r="H25" s="103" t="s">
        <v>18</v>
      </c>
      <c r="I25" s="103" t="s">
        <v>34</v>
      </c>
      <c r="J25" s="104">
        <v>4.4000000000000004</v>
      </c>
      <c r="K25" s="106">
        <v>47</v>
      </c>
      <c r="L25" s="103">
        <v>33</v>
      </c>
      <c r="M25" s="103">
        <v>4.4000000000000004</v>
      </c>
      <c r="N25" s="103">
        <v>2.5</v>
      </c>
      <c r="O25" s="104">
        <v>2</v>
      </c>
    </row>
    <row r="26" spans="4:29" x14ac:dyDescent="0.2">
      <c r="D26" s="101">
        <v>10</v>
      </c>
      <c r="E26" s="102">
        <f>PI()*(D26/2)^2</f>
        <v>78.539816339744831</v>
      </c>
      <c r="F26" s="103">
        <v>40</v>
      </c>
      <c r="G26" s="103" t="s">
        <v>27</v>
      </c>
      <c r="H26" s="103" t="s">
        <v>18</v>
      </c>
      <c r="I26" s="103" t="s">
        <v>34</v>
      </c>
      <c r="J26" s="104">
        <v>10.7</v>
      </c>
      <c r="K26" s="106">
        <v>116</v>
      </c>
      <c r="L26" s="103">
        <v>71</v>
      </c>
      <c r="M26" s="103">
        <v>9.6</v>
      </c>
      <c r="N26" s="103">
        <v>6.9</v>
      </c>
      <c r="O26" s="103">
        <v>2.4</v>
      </c>
    </row>
    <row r="27" spans="4:29" x14ac:dyDescent="0.2">
      <c r="D27" s="101">
        <v>10</v>
      </c>
      <c r="E27" s="102">
        <f>PI()*(D27/2)^2</f>
        <v>78.539816339744831</v>
      </c>
      <c r="F27" s="103">
        <v>40</v>
      </c>
      <c r="G27" s="103" t="s">
        <v>27</v>
      </c>
      <c r="H27" s="103" t="s">
        <v>18</v>
      </c>
      <c r="I27" s="103" t="s">
        <v>34</v>
      </c>
      <c r="J27" s="104">
        <v>6.6</v>
      </c>
      <c r="K27" s="106">
        <v>115</v>
      </c>
      <c r="L27" s="103">
        <v>75</v>
      </c>
      <c r="M27" s="103">
        <v>9.1</v>
      </c>
      <c r="N27" s="103">
        <v>6.9</v>
      </c>
      <c r="O27" s="103">
        <v>2.2999999999999998</v>
      </c>
    </row>
    <row r="28" spans="4:29" x14ac:dyDescent="0.2">
      <c r="D28" s="101">
        <v>10</v>
      </c>
      <c r="E28" s="102">
        <f>PI()*(D28/2)^2</f>
        <v>78.539816339744831</v>
      </c>
      <c r="F28" s="8">
        <v>22</v>
      </c>
      <c r="G28" s="103" t="s">
        <v>27</v>
      </c>
      <c r="H28" s="103" t="s">
        <v>18</v>
      </c>
      <c r="I28" s="103" t="s">
        <v>34</v>
      </c>
      <c r="J28" s="104">
        <v>5.6</v>
      </c>
      <c r="K28" s="106">
        <v>65</v>
      </c>
      <c r="L28" s="103">
        <v>53</v>
      </c>
      <c r="M28" s="103">
        <v>10.199999999999999</v>
      </c>
      <c r="N28" s="103">
        <v>3.8</v>
      </c>
      <c r="O28" s="104">
        <v>2</v>
      </c>
    </row>
    <row r="29" spans="4:29" x14ac:dyDescent="0.2">
      <c r="D29" s="101">
        <v>10</v>
      </c>
      <c r="E29" s="102">
        <f>PI()*(D29/2)^2</f>
        <v>78.539816339744831</v>
      </c>
      <c r="F29" s="8">
        <v>30</v>
      </c>
      <c r="G29" s="103" t="s">
        <v>27</v>
      </c>
      <c r="H29" s="103" t="s">
        <v>18</v>
      </c>
      <c r="I29" s="103" t="s">
        <v>34</v>
      </c>
      <c r="J29" s="104">
        <v>9</v>
      </c>
      <c r="K29" s="106">
        <v>97</v>
      </c>
      <c r="L29" s="103">
        <v>66</v>
      </c>
      <c r="M29" s="103">
        <v>8.8000000000000007</v>
      </c>
      <c r="N29" s="103">
        <v>5.9</v>
      </c>
      <c r="O29" s="104">
        <v>2.2999999999999998</v>
      </c>
    </row>
    <row r="30" spans="4:29" x14ac:dyDescent="0.2">
      <c r="D30" s="101">
        <v>10</v>
      </c>
      <c r="E30" s="102">
        <f>PI()*(D30/2)^2</f>
        <v>78.539816339744831</v>
      </c>
      <c r="F30" s="103">
        <v>42</v>
      </c>
      <c r="G30" s="103" t="s">
        <v>27</v>
      </c>
      <c r="H30" s="103" t="s">
        <v>18</v>
      </c>
      <c r="I30" s="103" t="s">
        <v>34</v>
      </c>
      <c r="J30" s="103">
        <v>7.3</v>
      </c>
      <c r="K30" s="106">
        <v>118</v>
      </c>
      <c r="L30" s="103">
        <v>76</v>
      </c>
      <c r="M30" s="103">
        <v>10.6</v>
      </c>
      <c r="N30" s="103">
        <v>7.3</v>
      </c>
      <c r="O30" s="103">
        <v>2.2000000000000002</v>
      </c>
    </row>
    <row r="31" spans="4:29" x14ac:dyDescent="0.2">
      <c r="D31" s="101">
        <v>10</v>
      </c>
      <c r="E31" s="102">
        <f>PI()*(D31/2)^2</f>
        <v>78.539816339744831</v>
      </c>
      <c r="F31" s="8">
        <v>50</v>
      </c>
      <c r="G31" s="103" t="s">
        <v>27</v>
      </c>
      <c r="H31" s="103" t="s">
        <v>18</v>
      </c>
      <c r="I31" s="103" t="s">
        <v>34</v>
      </c>
      <c r="J31" s="104">
        <v>7.7</v>
      </c>
      <c r="K31" s="106">
        <v>141</v>
      </c>
      <c r="L31" s="103">
        <v>85</v>
      </c>
      <c r="M31" s="103">
        <v>10.7</v>
      </c>
      <c r="N31" s="103">
        <v>7.9</v>
      </c>
      <c r="O31" s="103">
        <v>2.5</v>
      </c>
    </row>
    <row r="32" spans="4:29" x14ac:dyDescent="0.2">
      <c r="D32" s="101">
        <v>10</v>
      </c>
      <c r="E32" s="102">
        <f>PI()*(D32/2)^2</f>
        <v>78.539816339744831</v>
      </c>
      <c r="F32" s="8">
        <v>60</v>
      </c>
      <c r="G32" s="103" t="s">
        <v>27</v>
      </c>
      <c r="H32" s="103" t="s">
        <v>18</v>
      </c>
      <c r="I32" s="103" t="s">
        <v>32</v>
      </c>
      <c r="J32" s="104">
        <v>5.8</v>
      </c>
      <c r="K32" s="106">
        <v>116</v>
      </c>
      <c r="L32" s="103">
        <v>91</v>
      </c>
      <c r="M32" s="103">
        <v>12.9</v>
      </c>
      <c r="N32" s="103">
        <v>9.1999999999999993</v>
      </c>
      <c r="O32" s="103">
        <v>2.4</v>
      </c>
    </row>
    <row r="33" spans="4:15" x14ac:dyDescent="0.2">
      <c r="D33" s="112">
        <v>9</v>
      </c>
      <c r="E33" s="113">
        <f>PI()*(D33/2)^2</f>
        <v>63.617251235193308</v>
      </c>
      <c r="F33" s="114">
        <v>40</v>
      </c>
      <c r="G33" s="114" t="s">
        <v>27</v>
      </c>
      <c r="H33" s="114" t="s">
        <v>18</v>
      </c>
      <c r="I33" s="114" t="s">
        <v>32</v>
      </c>
      <c r="J33" s="115">
        <v>4.9000000000000004</v>
      </c>
      <c r="K33" s="116">
        <v>75</v>
      </c>
      <c r="L33" s="114">
        <v>68</v>
      </c>
      <c r="M33" s="114">
        <v>7.2</v>
      </c>
      <c r="N33" s="114">
        <v>5.3</v>
      </c>
      <c r="O33" s="114">
        <v>1.8</v>
      </c>
    </row>
    <row r="34" spans="4:15" x14ac:dyDescent="0.2">
      <c r="D34" s="112">
        <v>9</v>
      </c>
      <c r="E34" s="113">
        <f>PI()*(D34/2)^2</f>
        <v>63.617251235193308</v>
      </c>
      <c r="F34" s="114">
        <v>40</v>
      </c>
      <c r="G34" s="114" t="s">
        <v>27</v>
      </c>
      <c r="H34" s="114" t="s">
        <v>18</v>
      </c>
      <c r="I34" s="114" t="s">
        <v>34</v>
      </c>
      <c r="J34" s="115">
        <v>5.7</v>
      </c>
      <c r="K34" s="116">
        <v>61</v>
      </c>
      <c r="L34" s="114">
        <v>56</v>
      </c>
      <c r="M34" s="114">
        <v>6.5</v>
      </c>
      <c r="N34" s="114">
        <v>4.5</v>
      </c>
      <c r="O34" s="114">
        <v>1.6</v>
      </c>
    </row>
    <row r="35" spans="4:15" x14ac:dyDescent="0.2">
      <c r="D35" s="112">
        <v>9</v>
      </c>
      <c r="E35" s="113">
        <f>PI()*(D35/2)^2</f>
        <v>63.617251235193308</v>
      </c>
      <c r="F35" s="114">
        <v>40</v>
      </c>
      <c r="G35" s="114" t="s">
        <v>27</v>
      </c>
      <c r="H35" s="114" t="s">
        <v>18</v>
      </c>
      <c r="I35" s="114" t="s">
        <v>34</v>
      </c>
      <c r="J35" s="115">
        <v>5.0999999999999996</v>
      </c>
      <c r="K35" s="116">
        <v>67</v>
      </c>
      <c r="L35" s="114">
        <v>74</v>
      </c>
      <c r="M35" s="114">
        <v>10.16</v>
      </c>
      <c r="N35" s="114">
        <v>5.5</v>
      </c>
      <c r="O35" s="114">
        <v>1.7</v>
      </c>
    </row>
    <row r="36" spans="4:15" x14ac:dyDescent="0.2">
      <c r="D36" s="107">
        <v>8</v>
      </c>
      <c r="E36" s="108">
        <f>PI()*(D36/2)^2</f>
        <v>50.26548245743669</v>
      </c>
      <c r="F36" s="109">
        <v>40</v>
      </c>
      <c r="G36" s="109" t="s">
        <v>27</v>
      </c>
      <c r="H36" s="109" t="s">
        <v>18</v>
      </c>
      <c r="I36" s="109" t="s">
        <v>34</v>
      </c>
      <c r="J36" s="110">
        <v>7.1</v>
      </c>
      <c r="K36" s="111">
        <v>91</v>
      </c>
      <c r="L36" s="109">
        <v>59</v>
      </c>
      <c r="M36" s="109">
        <v>7.8</v>
      </c>
      <c r="N36" s="110">
        <v>3.9</v>
      </c>
      <c r="O36" s="110">
        <v>2</v>
      </c>
    </row>
    <row r="37" spans="4:15" x14ac:dyDescent="0.2">
      <c r="D37" s="107">
        <v>8</v>
      </c>
      <c r="E37" s="108">
        <f>PI()*(D37/2)^2</f>
        <v>50.26548245743669</v>
      </c>
      <c r="F37" s="109">
        <v>40</v>
      </c>
      <c r="G37" s="109" t="s">
        <v>27</v>
      </c>
      <c r="H37" s="109" t="s">
        <v>18</v>
      </c>
      <c r="I37" s="109" t="s">
        <v>34</v>
      </c>
      <c r="J37" s="110">
        <v>5.2</v>
      </c>
      <c r="K37" s="111">
        <v>78</v>
      </c>
      <c r="L37" s="109">
        <v>59</v>
      </c>
      <c r="M37" s="109">
        <v>8.1</v>
      </c>
      <c r="N37" s="110">
        <v>4.0999999999999996</v>
      </c>
      <c r="O37" s="110">
        <v>1.7</v>
      </c>
    </row>
    <row r="38" spans="4:15" x14ac:dyDescent="0.2">
      <c r="D38" s="107">
        <v>8</v>
      </c>
      <c r="E38" s="108">
        <f>PI()*(D38/2)^2</f>
        <v>50.26548245743669</v>
      </c>
      <c r="F38" s="109">
        <v>40</v>
      </c>
      <c r="G38" s="109" t="s">
        <v>27</v>
      </c>
      <c r="H38" s="109" t="s">
        <v>27</v>
      </c>
      <c r="I38" s="109" t="s">
        <v>34</v>
      </c>
      <c r="J38" s="110">
        <v>2.9</v>
      </c>
      <c r="K38" s="111">
        <v>49</v>
      </c>
      <c r="L38" s="109">
        <v>68</v>
      </c>
      <c r="M38" s="109">
        <v>7.6</v>
      </c>
      <c r="N38" s="109">
        <v>4.0999999999999996</v>
      </c>
      <c r="O38" s="109">
        <v>0.1</v>
      </c>
    </row>
    <row r="39" spans="4:15" x14ac:dyDescent="0.2">
      <c r="D39" s="101">
        <v>7</v>
      </c>
      <c r="E39" s="102">
        <f>PI()*(D39/2)^2</f>
        <v>38.484510006474963</v>
      </c>
      <c r="F39" s="103">
        <v>40</v>
      </c>
      <c r="G39" s="103" t="s">
        <v>27</v>
      </c>
      <c r="H39" s="103" t="s">
        <v>18</v>
      </c>
      <c r="I39" s="103" t="s">
        <v>33</v>
      </c>
      <c r="J39" s="104">
        <v>2.7</v>
      </c>
      <c r="K39" s="106">
        <v>35</v>
      </c>
      <c r="L39" s="103">
        <v>59</v>
      </c>
      <c r="M39" s="103">
        <v>8.1</v>
      </c>
      <c r="N39" s="103">
        <v>2.5</v>
      </c>
      <c r="O39" s="103">
        <v>-0.1</v>
      </c>
    </row>
    <row r="40" spans="4:15" x14ac:dyDescent="0.2">
      <c r="D40" s="101">
        <v>7</v>
      </c>
      <c r="E40" s="102">
        <f>PI()*(D40/2)^2</f>
        <v>38.484510006474963</v>
      </c>
      <c r="F40" s="103">
        <v>40</v>
      </c>
      <c r="G40" s="103" t="s">
        <v>27</v>
      </c>
      <c r="H40" s="103" t="s">
        <v>27</v>
      </c>
      <c r="I40" s="103" t="s">
        <v>33</v>
      </c>
      <c r="J40" s="104">
        <v>2.1</v>
      </c>
      <c r="K40" s="106">
        <v>23</v>
      </c>
      <c r="L40" s="103">
        <v>45</v>
      </c>
      <c r="M40" s="103">
        <v>6.9</v>
      </c>
      <c r="N40" s="103">
        <v>1.6</v>
      </c>
      <c r="O40" s="103">
        <v>-0.4</v>
      </c>
    </row>
    <row r="41" spans="4:15" x14ac:dyDescent="0.2">
      <c r="D41" s="101">
        <v>7</v>
      </c>
      <c r="E41" s="102">
        <f>PI()*(D41/2)^2</f>
        <v>38.484510006474963</v>
      </c>
      <c r="F41" s="103">
        <v>40</v>
      </c>
      <c r="G41" s="103" t="s">
        <v>27</v>
      </c>
      <c r="H41" s="103" t="s">
        <v>27</v>
      </c>
      <c r="I41" s="103" t="s">
        <v>33</v>
      </c>
      <c r="J41" s="104">
        <v>2.9</v>
      </c>
      <c r="K41" s="106">
        <v>39</v>
      </c>
      <c r="L41" s="103">
        <v>60</v>
      </c>
      <c r="M41" s="103">
        <v>9.4</v>
      </c>
      <c r="N41" s="103">
        <v>2.6</v>
      </c>
      <c r="O41" s="103">
        <v>-0.1</v>
      </c>
    </row>
    <row r="42" spans="4:15" x14ac:dyDescent="0.2">
      <c r="D42" s="97">
        <v>6</v>
      </c>
      <c r="E42" s="98">
        <f>PI()*(D42/2)^2</f>
        <v>28.274333882308138</v>
      </c>
      <c r="F42" s="99">
        <v>60</v>
      </c>
      <c r="G42" s="99" t="s">
        <v>18</v>
      </c>
      <c r="H42" s="99" t="s">
        <v>18</v>
      </c>
      <c r="I42" s="99" t="s">
        <v>32</v>
      </c>
      <c r="J42" s="99">
        <v>5.4</v>
      </c>
      <c r="K42" s="105">
        <v>41</v>
      </c>
      <c r="L42" s="99">
        <v>64</v>
      </c>
      <c r="M42" s="99">
        <v>11.3</v>
      </c>
      <c r="N42" s="100">
        <v>3.2</v>
      </c>
      <c r="O42" s="100">
        <v>2.1</v>
      </c>
    </row>
    <row r="43" spans="4:15" x14ac:dyDescent="0.2">
      <c r="D43" s="2">
        <v>6</v>
      </c>
      <c r="E43" s="13">
        <f>PI()*(D43/2)^2</f>
        <v>28.274333882308138</v>
      </c>
      <c r="F43" s="1">
        <v>40</v>
      </c>
      <c r="G43" s="1" t="s">
        <v>27</v>
      </c>
      <c r="H43" s="1" t="s">
        <v>27</v>
      </c>
      <c r="I43" s="1" t="s">
        <v>32</v>
      </c>
      <c r="J43" s="59">
        <v>2.2000000000000002</v>
      </c>
      <c r="K43" s="5">
        <v>32</v>
      </c>
      <c r="L43" s="1">
        <v>51</v>
      </c>
      <c r="M43" s="1">
        <v>6.3</v>
      </c>
      <c r="N43" s="59">
        <v>1.8</v>
      </c>
      <c r="O43" s="59"/>
    </row>
    <row r="44" spans="4:15" x14ac:dyDescent="0.2">
      <c r="D44" s="97">
        <v>6</v>
      </c>
      <c r="E44" s="98">
        <f>PI()*(D44/2)^2</f>
        <v>28.274333882308138</v>
      </c>
      <c r="F44" s="99">
        <v>40</v>
      </c>
      <c r="G44" s="99" t="s">
        <v>27</v>
      </c>
      <c r="H44" s="99" t="s">
        <v>27</v>
      </c>
      <c r="I44" s="99" t="s">
        <v>32</v>
      </c>
      <c r="J44" s="100">
        <v>5.2</v>
      </c>
      <c r="K44" s="105">
        <v>44</v>
      </c>
      <c r="L44" s="99">
        <v>49</v>
      </c>
      <c r="M44" s="99">
        <v>10.4</v>
      </c>
      <c r="N44" s="100">
        <v>2.1</v>
      </c>
      <c r="O44" s="100"/>
    </row>
    <row r="45" spans="4:15" x14ac:dyDescent="0.2">
      <c r="D45" s="97">
        <v>6</v>
      </c>
      <c r="E45" s="98">
        <f>PI()*(D45/2)^2</f>
        <v>28.274333882308138</v>
      </c>
      <c r="F45" s="99">
        <v>40</v>
      </c>
      <c r="G45" s="99" t="s">
        <v>27</v>
      </c>
      <c r="H45" s="99" t="s">
        <v>27</v>
      </c>
      <c r="I45" s="99" t="s">
        <v>33</v>
      </c>
      <c r="J45" s="100">
        <v>1.4</v>
      </c>
      <c r="K45" s="105">
        <v>28</v>
      </c>
      <c r="L45" s="99"/>
      <c r="M45" s="99">
        <v>10.1</v>
      </c>
      <c r="N45" s="100"/>
      <c r="O45" s="100"/>
    </row>
  </sheetData>
  <autoFilter ref="D1:O45" xr:uid="{83831802-DF26-134D-94C2-229AFA6294AB}">
    <sortState ref="D2:O45">
      <sortCondition descending="1" ref="D1:D45"/>
    </sortState>
  </autoFilter>
  <mergeCells count="7">
    <mergeCell ref="Y1:Y2"/>
    <mergeCell ref="AA1:AA2"/>
    <mergeCell ref="AB1:AB2"/>
    <mergeCell ref="R1:T1"/>
    <mergeCell ref="Q1:Q2"/>
    <mergeCell ref="U1:V1"/>
    <mergeCell ref="X1:X2"/>
  </mergeCells>
  <pageMargins left="0.7" right="0.7" top="0.75" bottom="0.75" header="0.3" footer="0.3"/>
  <ignoredErrors>
    <ignoredError sqref="U3:V1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60F6-8598-D945-9376-A0BA4FFFC04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2F22-222B-4197-8FD8-F6D29546583D}">
  <sheetPr filterMode="1"/>
  <dimension ref="A1:AK35"/>
  <sheetViews>
    <sheetView workbookViewId="0">
      <pane xSplit="6" ySplit="1" topLeftCell="J6" activePane="bottomRight" state="frozen"/>
      <selection pane="topRight" activeCell="G1" sqref="G1"/>
      <selection pane="bottomLeft" activeCell="A2" sqref="A2"/>
      <selection pane="bottomRight" activeCell="S22" sqref="S22"/>
    </sheetView>
  </sheetViews>
  <sheetFormatPr baseColWidth="10" defaultColWidth="8.83203125" defaultRowHeight="15" x14ac:dyDescent="0.2"/>
  <cols>
    <col min="1" max="1" width="9.6640625" hidden="1" customWidth="1"/>
    <col min="2" max="2" width="5.5" hidden="1" customWidth="1"/>
    <col min="3" max="3" width="11.5" bestFit="1" customWidth="1"/>
    <col min="4" max="4" width="20.6640625" bestFit="1" customWidth="1"/>
    <col min="5" max="5" width="25.5" bestFit="1" customWidth="1"/>
    <col min="6" max="6" width="13.5" bestFit="1" customWidth="1"/>
    <col min="7" max="7" width="34.5" hidden="1" customWidth="1"/>
    <col min="8" max="9" width="19.5" hidden="1" customWidth="1"/>
    <col min="10" max="10" width="11.33203125" bestFit="1" customWidth="1"/>
    <col min="11" max="11" width="11.33203125" hidden="1" customWidth="1"/>
    <col min="12" max="12" width="11.33203125" customWidth="1"/>
    <col min="13" max="13" width="22" hidden="1" customWidth="1"/>
    <col min="14" max="14" width="22" style="77" customWidth="1"/>
    <col min="15" max="15" width="13.5" bestFit="1" customWidth="1"/>
    <col min="16" max="16" width="20.1640625" hidden="1" customWidth="1"/>
    <col min="17" max="17" width="20.1640625" customWidth="1"/>
    <col min="18" max="18" width="23.33203125" hidden="1" customWidth="1"/>
    <col min="19" max="19" width="26.6640625" bestFit="1" customWidth="1"/>
    <col min="20" max="20" width="18.5" bestFit="1" customWidth="1"/>
    <col min="21" max="21" width="18.5" customWidth="1"/>
    <col min="22" max="22" width="18.6640625" bestFit="1" customWidth="1"/>
    <col min="23" max="23" width="20.6640625" bestFit="1" customWidth="1"/>
    <col min="24" max="33" width="20.6640625" customWidth="1"/>
    <col min="34" max="34" width="15.33203125" customWidth="1"/>
    <col min="35" max="35" width="25.5" bestFit="1" customWidth="1"/>
    <col min="36" max="36" width="23.1640625" bestFit="1" customWidth="1"/>
    <col min="37" max="37" width="22" customWidth="1"/>
    <col min="38" max="38" width="23.5" customWidth="1"/>
  </cols>
  <sheetData>
    <row r="1" spans="1:37" s="94" customFormat="1" ht="48" x14ac:dyDescent="0.2">
      <c r="A1" s="86" t="s">
        <v>12</v>
      </c>
      <c r="B1" s="86" t="s">
        <v>13</v>
      </c>
      <c r="C1" s="86" t="s">
        <v>15</v>
      </c>
      <c r="D1" s="86" t="s">
        <v>16</v>
      </c>
      <c r="E1" s="86" t="s">
        <v>17</v>
      </c>
      <c r="F1" s="86" t="s">
        <v>14</v>
      </c>
      <c r="G1" s="86" t="s">
        <v>25</v>
      </c>
      <c r="H1" s="86" t="s">
        <v>30</v>
      </c>
      <c r="I1" s="86" t="s">
        <v>31</v>
      </c>
      <c r="J1" s="86" t="s">
        <v>23</v>
      </c>
      <c r="K1" s="86" t="s">
        <v>22</v>
      </c>
      <c r="L1" s="87" t="s">
        <v>47</v>
      </c>
      <c r="M1" s="86" t="s">
        <v>26</v>
      </c>
      <c r="N1" s="88" t="s">
        <v>46</v>
      </c>
      <c r="O1" s="87" t="s">
        <v>48</v>
      </c>
      <c r="P1" s="86" t="s">
        <v>19</v>
      </c>
      <c r="Q1" s="89" t="s">
        <v>49</v>
      </c>
      <c r="R1" s="90" t="s">
        <v>20</v>
      </c>
      <c r="S1" s="89" t="s">
        <v>50</v>
      </c>
      <c r="T1" s="90" t="s">
        <v>24</v>
      </c>
      <c r="U1" s="91" t="s">
        <v>68</v>
      </c>
      <c r="V1" s="91" t="s">
        <v>52</v>
      </c>
      <c r="W1" s="92" t="s">
        <v>53</v>
      </c>
      <c r="X1" s="93" t="s">
        <v>54</v>
      </c>
      <c r="Y1" s="93" t="s">
        <v>55</v>
      </c>
      <c r="Z1" s="93" t="s">
        <v>67</v>
      </c>
      <c r="AA1" s="91" t="s">
        <v>56</v>
      </c>
      <c r="AB1" s="93" t="s">
        <v>66</v>
      </c>
      <c r="AC1" s="91" t="s">
        <v>57</v>
      </c>
      <c r="AD1" s="93" t="s">
        <v>51</v>
      </c>
      <c r="AE1" s="93" t="s">
        <v>59</v>
      </c>
      <c r="AF1" s="91" t="s">
        <v>65</v>
      </c>
      <c r="AG1" s="91" t="s">
        <v>58</v>
      </c>
      <c r="AH1" s="91" t="s">
        <v>64</v>
      </c>
      <c r="AI1" s="93" t="s">
        <v>61</v>
      </c>
      <c r="AJ1" s="93" t="s">
        <v>62</v>
      </c>
      <c r="AK1" s="93" t="s">
        <v>63</v>
      </c>
    </row>
    <row r="2" spans="1:37" hidden="1" x14ac:dyDescent="0.2">
      <c r="A2" s="34">
        <v>44806</v>
      </c>
      <c r="B2" s="12">
        <v>0.75347222222222221</v>
      </c>
      <c r="C2" s="9" t="s">
        <v>29</v>
      </c>
      <c r="D2" s="2">
        <v>8</v>
      </c>
      <c r="E2" s="13">
        <f t="shared" ref="E2:E31" si="0">PI()*(D2/2)^2</f>
        <v>50.26548245743669</v>
      </c>
      <c r="F2" s="1">
        <v>40</v>
      </c>
      <c r="G2" s="1" t="s">
        <v>27</v>
      </c>
      <c r="H2" s="1" t="s">
        <v>18</v>
      </c>
      <c r="I2" s="1" t="s">
        <v>34</v>
      </c>
      <c r="J2" s="59">
        <v>7.1</v>
      </c>
      <c r="K2" s="1">
        <v>91</v>
      </c>
      <c r="L2" s="13">
        <f t="shared" ref="L2:L31" si="1">K2/3.281</f>
        <v>27.735446510210302</v>
      </c>
      <c r="M2" s="1">
        <v>59</v>
      </c>
      <c r="N2" s="13">
        <f t="shared" ref="N2:N31" si="2">M2/2.237</f>
        <v>26.374608851139918</v>
      </c>
      <c r="O2" s="78">
        <v>0.7</v>
      </c>
      <c r="P2" s="1">
        <v>7.8</v>
      </c>
      <c r="Q2" s="1">
        <f t="shared" ref="Q2:Q31" si="3">P2*9.8</f>
        <v>76.44</v>
      </c>
      <c r="R2" s="59">
        <v>3.9</v>
      </c>
      <c r="S2" s="59">
        <f t="shared" ref="S2:S31" si="4">R2*9.8</f>
        <v>38.22</v>
      </c>
      <c r="T2" s="59">
        <v>2</v>
      </c>
      <c r="U2" s="96">
        <f>O2+T2</f>
        <v>2.7</v>
      </c>
      <c r="V2" s="81">
        <f t="shared" ref="V2:V31" si="5">S2*(O2^2)/2</f>
        <v>9.3638999999999992</v>
      </c>
      <c r="W2" s="78">
        <f t="shared" ref="W2:W31" si="6">S2*O2</f>
        <v>26.753999999999998</v>
      </c>
      <c r="X2" s="83">
        <f>'Physical characteristics'!$B$5/1000*Calculations!V2*9.81</f>
        <v>8.2673873100000002</v>
      </c>
      <c r="Y2" s="84">
        <f>('Physical characteristics'!$B$5/1000*Calculations!W2^2)/2</f>
        <v>32.209943219999992</v>
      </c>
      <c r="Z2" s="84">
        <f>Y2+X2</f>
        <v>40.477330529999989</v>
      </c>
      <c r="AA2" s="85">
        <f t="shared" ref="AA2:AA31" si="7">(S2^3*O2^4)/4</f>
        <v>3351.2298590861988</v>
      </c>
      <c r="AB2" s="84">
        <f t="shared" ref="AB2:AB31" si="8">AA2*$AH$35/10000</f>
        <v>4.5735197979578883</v>
      </c>
      <c r="AC2" s="79">
        <f t="shared" ref="AC2:AC31" si="9">W2/9.81+O2</f>
        <v>3.4272171253822625</v>
      </c>
      <c r="AD2" s="84">
        <f>'Physical characteristics'!$B$5/1000*9.81*L2</f>
        <v>24.487625723864678</v>
      </c>
      <c r="AE2" s="84">
        <f>Z2-AD2</f>
        <v>15.989704806135311</v>
      </c>
      <c r="AF2" s="95">
        <f t="shared" ref="AF2:AF31" si="10">W2^3*(AC2-O2)-(3*W2^2*9.81/2)*(AC2^2-O2^2)+W2*9.81^2*(AC2^3-O2^3)-9.81^3/4*(AC2^4-O2^4)</f>
        <v>3929.4309716162825</v>
      </c>
      <c r="AG2" s="80">
        <f t="shared" ref="AG2:AG31" si="11">AF2+AA2</f>
        <v>7280.6608307024817</v>
      </c>
      <c r="AH2" s="82">
        <f t="shared" ref="AH2:AH31" si="12">(10000)*(Y2+X2-AD2)/AF2</f>
        <v>40.692163627850448</v>
      </c>
      <c r="AI2" s="84">
        <f t="shared" ref="AI2:AI31" si="13">AG2*$AH$35/10000</f>
        <v>9.9361272880619342</v>
      </c>
      <c r="AJ2" s="84">
        <f t="shared" ref="AJ2:AJ31" si="14">X2+Y2+AB2</f>
        <v>45.050850327957875</v>
      </c>
      <c r="AK2" s="79">
        <f t="shared" ref="AK2:AK31" si="15">AE2+AD2</f>
        <v>40.477330529999989</v>
      </c>
    </row>
    <row r="3" spans="1:37" hidden="1" x14ac:dyDescent="0.2">
      <c r="A3" s="40">
        <v>44806</v>
      </c>
      <c r="B3" s="12">
        <v>0.76041666666666663</v>
      </c>
      <c r="C3" s="9" t="s">
        <v>29</v>
      </c>
      <c r="D3" s="2">
        <v>8</v>
      </c>
      <c r="E3" s="13">
        <f t="shared" si="0"/>
        <v>50.26548245743669</v>
      </c>
      <c r="F3" s="1">
        <v>40</v>
      </c>
      <c r="G3" s="1" t="s">
        <v>27</v>
      </c>
      <c r="H3" s="1" t="s">
        <v>18</v>
      </c>
      <c r="I3" s="1" t="s">
        <v>34</v>
      </c>
      <c r="J3" s="59">
        <v>5.2</v>
      </c>
      <c r="K3" s="1">
        <v>78</v>
      </c>
      <c r="L3" s="13">
        <f t="shared" si="1"/>
        <v>23.773239865894542</v>
      </c>
      <c r="M3" s="1">
        <v>59</v>
      </c>
      <c r="N3" s="13">
        <f t="shared" si="2"/>
        <v>26.374608851139918</v>
      </c>
      <c r="O3" s="78">
        <v>0.65</v>
      </c>
      <c r="P3" s="1">
        <v>8.1</v>
      </c>
      <c r="Q3" s="1">
        <f t="shared" si="3"/>
        <v>79.38</v>
      </c>
      <c r="R3" s="59">
        <v>4.0999999999999996</v>
      </c>
      <c r="S3" s="59">
        <f t="shared" si="4"/>
        <v>40.18</v>
      </c>
      <c r="T3" s="59">
        <v>1.7</v>
      </c>
      <c r="U3" s="96">
        <f t="shared" ref="U3:U31" si="16">O3+T3</f>
        <v>2.35</v>
      </c>
      <c r="V3" s="81">
        <f t="shared" si="5"/>
        <v>8.4880250000000004</v>
      </c>
      <c r="W3" s="78">
        <f t="shared" si="6"/>
        <v>26.117000000000001</v>
      </c>
      <c r="X3" s="83">
        <f>'Physical characteristics'!$B$5/1000*Calculations!V3*9.81</f>
        <v>7.4940772725000002</v>
      </c>
      <c r="Y3" s="84">
        <f>('Physical characteristics'!$B$5/1000*Calculations!W3^2)/2</f>
        <v>30.694396005000002</v>
      </c>
      <c r="Z3" s="84">
        <f t="shared" ref="Z3:Z31" si="17">Y3+X3</f>
        <v>38.188473277500002</v>
      </c>
      <c r="AA3" s="85">
        <f t="shared" si="7"/>
        <v>2894.8311183371129</v>
      </c>
      <c r="AB3" s="84">
        <f t="shared" si="8"/>
        <v>3.9506593066312314</v>
      </c>
      <c r="AC3" s="79">
        <f t="shared" si="9"/>
        <v>3.312283384301733</v>
      </c>
      <c r="AD3" s="84">
        <f>'Physical characteristics'!$B$5/1000*9.81*L3</f>
        <v>20.989393477598291</v>
      </c>
      <c r="AE3" s="84">
        <f>Z3-AD3</f>
        <v>17.19907979990171</v>
      </c>
      <c r="AF3" s="95">
        <f t="shared" si="10"/>
        <v>3827.8034581572065</v>
      </c>
      <c r="AG3" s="80">
        <f t="shared" si="11"/>
        <v>6722.6345764943198</v>
      </c>
      <c r="AH3" s="82">
        <f t="shared" si="12"/>
        <v>44.931982500955648</v>
      </c>
      <c r="AI3" s="84">
        <f t="shared" si="13"/>
        <v>9.1745728054645443</v>
      </c>
      <c r="AJ3" s="84">
        <f t="shared" si="14"/>
        <v>42.139132584131232</v>
      </c>
      <c r="AK3" s="79">
        <f t="shared" si="15"/>
        <v>38.188473277500002</v>
      </c>
    </row>
    <row r="4" spans="1:37" ht="16" hidden="1" thickBot="1" x14ac:dyDescent="0.25">
      <c r="A4" s="41">
        <v>44810</v>
      </c>
      <c r="B4" s="12">
        <v>0.64930555555555558</v>
      </c>
      <c r="C4" s="71" t="s">
        <v>9</v>
      </c>
      <c r="D4" s="72">
        <v>9</v>
      </c>
      <c r="E4" s="13">
        <f t="shared" si="0"/>
        <v>63.617251235193308</v>
      </c>
      <c r="F4" s="1">
        <v>40</v>
      </c>
      <c r="G4" s="1" t="s">
        <v>27</v>
      </c>
      <c r="H4" s="1" t="s">
        <v>18</v>
      </c>
      <c r="I4" s="1" t="s">
        <v>34</v>
      </c>
      <c r="J4" s="59">
        <v>5.7</v>
      </c>
      <c r="K4" s="1">
        <v>61</v>
      </c>
      <c r="L4" s="13">
        <f t="shared" si="1"/>
        <v>18.591892715635478</v>
      </c>
      <c r="M4" s="1">
        <v>56</v>
      </c>
      <c r="N4" s="13">
        <f t="shared" si="2"/>
        <v>25.033527045149754</v>
      </c>
      <c r="O4" s="1">
        <v>0.66</v>
      </c>
      <c r="P4" s="1">
        <v>6.5</v>
      </c>
      <c r="Q4" s="1">
        <f t="shared" si="3"/>
        <v>63.7</v>
      </c>
      <c r="R4" s="1">
        <v>4.5</v>
      </c>
      <c r="S4" s="59">
        <f t="shared" si="4"/>
        <v>44.1</v>
      </c>
      <c r="T4" s="1">
        <v>1.6</v>
      </c>
      <c r="U4" s="96">
        <f t="shared" si="16"/>
        <v>2.2600000000000002</v>
      </c>
      <c r="V4" s="81">
        <f t="shared" si="5"/>
        <v>9.6049800000000012</v>
      </c>
      <c r="W4" s="78">
        <f t="shared" si="6"/>
        <v>29.106000000000002</v>
      </c>
      <c r="X4" s="83">
        <f>'Physical characteristics'!$B$5/1000*Calculations!V4*9.81</f>
        <v>8.4802368420000018</v>
      </c>
      <c r="Y4" s="84">
        <f>('Physical characteristics'!$B$5/1000*Calculations!W4^2)/2</f>
        <v>38.122165620000004</v>
      </c>
      <c r="Z4" s="84">
        <f t="shared" si="17"/>
        <v>46.602402462000008</v>
      </c>
      <c r="AA4" s="85">
        <f t="shared" si="7"/>
        <v>4068.4737592976412</v>
      </c>
      <c r="AB4" s="84">
        <f t="shared" si="8"/>
        <v>5.552363182480617</v>
      </c>
      <c r="AC4" s="79">
        <f t="shared" si="9"/>
        <v>3.6269724770642204</v>
      </c>
      <c r="AD4" s="84">
        <f>'Physical characteristics'!$B$5/1000*9.81*L4</f>
        <v>16.414782078634563</v>
      </c>
      <c r="AE4" s="84">
        <f>Z4-AD4</f>
        <v>30.187620383365445</v>
      </c>
      <c r="AF4" s="95">
        <f t="shared" si="10"/>
        <v>6640.451098788064</v>
      </c>
      <c r="AG4" s="80">
        <f t="shared" si="11"/>
        <v>10708.924858085706</v>
      </c>
      <c r="AH4" s="82">
        <f t="shared" si="12"/>
        <v>45.460195300398993</v>
      </c>
      <c r="AI4" s="84">
        <f t="shared" si="13"/>
        <v>14.614777831638605</v>
      </c>
      <c r="AJ4" s="84">
        <f t="shared" si="14"/>
        <v>52.154765644480626</v>
      </c>
      <c r="AK4" s="79">
        <f t="shared" si="15"/>
        <v>46.602402462000008</v>
      </c>
    </row>
    <row r="5" spans="1:37" hidden="1" x14ac:dyDescent="0.2">
      <c r="A5" s="22">
        <v>44810</v>
      </c>
      <c r="B5" s="12">
        <v>0.65555555555555556</v>
      </c>
      <c r="C5" s="71" t="s">
        <v>9</v>
      </c>
      <c r="D5" s="72">
        <v>9</v>
      </c>
      <c r="E5" s="13">
        <f t="shared" si="0"/>
        <v>63.617251235193308</v>
      </c>
      <c r="F5" s="1">
        <v>40</v>
      </c>
      <c r="G5" s="1" t="s">
        <v>27</v>
      </c>
      <c r="H5" s="1" t="s">
        <v>18</v>
      </c>
      <c r="I5" s="1" t="s">
        <v>34</v>
      </c>
      <c r="J5" s="59">
        <v>5.0999999999999996</v>
      </c>
      <c r="K5" s="1">
        <v>67</v>
      </c>
      <c r="L5" s="13">
        <f t="shared" si="1"/>
        <v>20.42060347455044</v>
      </c>
      <c r="M5" s="1">
        <v>74</v>
      </c>
      <c r="N5" s="13">
        <f t="shared" si="2"/>
        <v>33.080017881090747</v>
      </c>
      <c r="O5" s="1">
        <v>0.62</v>
      </c>
      <c r="P5" s="1">
        <v>10.16</v>
      </c>
      <c r="Q5" s="1">
        <f t="shared" si="3"/>
        <v>99.568000000000012</v>
      </c>
      <c r="R5" s="1">
        <v>5.5</v>
      </c>
      <c r="S5" s="59">
        <f t="shared" si="4"/>
        <v>53.900000000000006</v>
      </c>
      <c r="T5" s="1">
        <v>1.7</v>
      </c>
      <c r="U5" s="96">
        <f t="shared" si="16"/>
        <v>2.3199999999999998</v>
      </c>
      <c r="V5" s="81">
        <f t="shared" si="5"/>
        <v>10.359580000000001</v>
      </c>
      <c r="W5" s="78">
        <f t="shared" si="6"/>
        <v>33.418000000000006</v>
      </c>
      <c r="X5" s="83">
        <f>'Physical characteristics'!$B$5/1000*Calculations!V5*9.81</f>
        <v>9.1464731820000011</v>
      </c>
      <c r="Y5" s="84">
        <f>('Physical characteristics'!$B$5/1000*Calculations!W5^2)/2</f>
        <v>50.254322580000014</v>
      </c>
      <c r="Z5" s="84">
        <f t="shared" si="17"/>
        <v>59.400795762000016</v>
      </c>
      <c r="AA5" s="85">
        <f t="shared" si="7"/>
        <v>5784.5963901479618</v>
      </c>
      <c r="AB5" s="84">
        <f t="shared" si="8"/>
        <v>7.8944051067721608</v>
      </c>
      <c r="AC5" s="79">
        <f t="shared" si="9"/>
        <v>4.0265239551478089</v>
      </c>
      <c r="AD5" s="84">
        <f>'Physical characteristics'!$B$5/1000*9.81*L5</f>
        <v>18.029350807680583</v>
      </c>
      <c r="AE5" s="84">
        <f>Z5-AD5</f>
        <v>41.371444954319429</v>
      </c>
      <c r="AF5" s="95">
        <f t="shared" si="10"/>
        <v>14194.904014635598</v>
      </c>
      <c r="AG5" s="80">
        <f t="shared" si="11"/>
        <v>19979.500404783561</v>
      </c>
      <c r="AH5" s="82">
        <f t="shared" si="12"/>
        <v>29.145279821310215</v>
      </c>
      <c r="AI5" s="84">
        <f t="shared" si="13"/>
        <v>27.26659897912867</v>
      </c>
      <c r="AJ5" s="84">
        <f t="shared" si="14"/>
        <v>67.29520086877217</v>
      </c>
      <c r="AK5" s="79">
        <f t="shared" si="15"/>
        <v>59.400795762000016</v>
      </c>
    </row>
    <row r="6" spans="1:37" ht="16" thickBot="1" x14ac:dyDescent="0.25">
      <c r="A6" s="17">
        <v>44814</v>
      </c>
      <c r="B6" s="12">
        <v>0.50694444444444442</v>
      </c>
      <c r="C6" s="70" t="s">
        <v>8</v>
      </c>
      <c r="D6" s="2">
        <v>10</v>
      </c>
      <c r="E6" s="13">
        <f t="shared" si="0"/>
        <v>78.539816339744831</v>
      </c>
      <c r="F6" s="1">
        <v>10</v>
      </c>
      <c r="G6" s="1" t="s">
        <v>27</v>
      </c>
      <c r="H6" s="1" t="s">
        <v>18</v>
      </c>
      <c r="I6" s="1" t="s">
        <v>34</v>
      </c>
      <c r="J6" s="59">
        <v>4.4000000000000004</v>
      </c>
      <c r="K6" s="1">
        <v>47</v>
      </c>
      <c r="L6" s="13">
        <f t="shared" si="1"/>
        <v>14.324900944833891</v>
      </c>
      <c r="M6" s="1">
        <v>33</v>
      </c>
      <c r="N6" s="13">
        <f t="shared" si="2"/>
        <v>14.751899865891819</v>
      </c>
      <c r="O6" s="1">
        <v>0.61</v>
      </c>
      <c r="P6" s="1">
        <v>4.4000000000000004</v>
      </c>
      <c r="Q6" s="1">
        <f t="shared" si="3"/>
        <v>43.120000000000005</v>
      </c>
      <c r="R6" s="1">
        <v>2.5</v>
      </c>
      <c r="S6" s="59">
        <f t="shared" si="4"/>
        <v>24.5</v>
      </c>
      <c r="T6" s="59">
        <v>2</v>
      </c>
      <c r="U6" s="96">
        <f t="shared" si="16"/>
        <v>2.61</v>
      </c>
      <c r="V6" s="81">
        <f t="shared" si="5"/>
        <v>4.5582250000000002</v>
      </c>
      <c r="W6" s="78">
        <f t="shared" si="6"/>
        <v>14.945</v>
      </c>
      <c r="X6" s="83">
        <f>'Physical characteristics'!$B$5/1000*Calculations!V6*9.81</f>
        <v>4.0244568525000002</v>
      </c>
      <c r="Y6" s="84">
        <f>('Physical characteristics'!$B$5/1000*Calculations!W6^2)/2</f>
        <v>10.050886125</v>
      </c>
      <c r="Z6" s="84">
        <f t="shared" si="17"/>
        <v>14.0753429775</v>
      </c>
      <c r="AA6" s="85">
        <f t="shared" si="7"/>
        <v>509.0466711903124</v>
      </c>
      <c r="AB6" s="84">
        <f t="shared" si="8"/>
        <v>0.6947106365924659</v>
      </c>
      <c r="AC6" s="79">
        <f t="shared" si="9"/>
        <v>2.133445463812436</v>
      </c>
      <c r="AD6" s="84">
        <f>'Physical characteristics'!$B$5/1000*9.81*L6</f>
        <v>12.647455044193842</v>
      </c>
      <c r="AE6" s="84">
        <f>Y6+X6-AD6</f>
        <v>1.4278879333061578</v>
      </c>
      <c r="AF6" s="95">
        <f t="shared" si="10"/>
        <v>131.6362982031751</v>
      </c>
      <c r="AG6" s="80">
        <f t="shared" si="11"/>
        <v>640.6829693934875</v>
      </c>
      <c r="AH6" s="82">
        <f t="shared" si="12"/>
        <v>108.47220354846752</v>
      </c>
      <c r="AI6" s="84">
        <f t="shared" si="13"/>
        <v>0.8743584797058811</v>
      </c>
      <c r="AJ6" s="84">
        <f t="shared" si="14"/>
        <v>14.770053614092467</v>
      </c>
      <c r="AK6" s="79">
        <f t="shared" si="15"/>
        <v>14.0753429775</v>
      </c>
    </row>
    <row r="7" spans="1:37" x14ac:dyDescent="0.2">
      <c r="A7" s="34">
        <v>44814</v>
      </c>
      <c r="B7" s="12">
        <v>0.51250000000000007</v>
      </c>
      <c r="C7" s="70" t="s">
        <v>8</v>
      </c>
      <c r="D7" s="2">
        <v>10</v>
      </c>
      <c r="E7" s="13">
        <f t="shared" si="0"/>
        <v>78.539816339744831</v>
      </c>
      <c r="F7" s="1">
        <v>22</v>
      </c>
      <c r="G7" s="1" t="s">
        <v>27</v>
      </c>
      <c r="H7" s="1" t="s">
        <v>18</v>
      </c>
      <c r="I7" s="1" t="s">
        <v>34</v>
      </c>
      <c r="J7" s="59">
        <v>5.6</v>
      </c>
      <c r="K7" s="1">
        <v>65</v>
      </c>
      <c r="L7" s="13">
        <f t="shared" si="1"/>
        <v>19.811033221578786</v>
      </c>
      <c r="M7" s="1">
        <v>53</v>
      </c>
      <c r="N7" s="13">
        <f t="shared" si="2"/>
        <v>23.692445239159589</v>
      </c>
      <c r="O7" s="1">
        <v>0.64</v>
      </c>
      <c r="P7" s="1">
        <v>10.199999999999999</v>
      </c>
      <c r="Q7" s="1">
        <f t="shared" si="3"/>
        <v>99.96</v>
      </c>
      <c r="R7" s="1">
        <v>3.8</v>
      </c>
      <c r="S7" s="59">
        <f t="shared" si="4"/>
        <v>37.24</v>
      </c>
      <c r="T7" s="59">
        <v>2</v>
      </c>
      <c r="U7" s="96">
        <f t="shared" si="16"/>
        <v>2.64</v>
      </c>
      <c r="V7" s="81">
        <f t="shared" si="5"/>
        <v>7.6267520000000006</v>
      </c>
      <c r="W7" s="78">
        <f t="shared" si="6"/>
        <v>23.833600000000001</v>
      </c>
      <c r="X7" s="83">
        <f>'Physical characteristics'!$B$5/1000*Calculations!V7*9.81</f>
        <v>6.7336593408000009</v>
      </c>
      <c r="Y7" s="84">
        <f>('Physical characteristics'!$B$5/1000*Calculations!W7^2)/2</f>
        <v>25.561822003200003</v>
      </c>
      <c r="Z7" s="84">
        <f t="shared" si="17"/>
        <v>32.295481344000002</v>
      </c>
      <c r="AA7" s="85">
        <f t="shared" si="7"/>
        <v>2166.1519676283292</v>
      </c>
      <c r="AB7" s="84">
        <f t="shared" si="8"/>
        <v>2.9562099067818006</v>
      </c>
      <c r="AC7" s="79">
        <f t="shared" si="9"/>
        <v>3.0695208970438328</v>
      </c>
      <c r="AD7" s="84">
        <f>'Physical characteristics'!$B$5/1000*9.81*L7</f>
        <v>17.491161231331912</v>
      </c>
      <c r="AE7" s="84">
        <f>Y7+X7-AD7</f>
        <v>14.804320112668091</v>
      </c>
      <c r="AF7" s="95">
        <f t="shared" si="10"/>
        <v>2380.8414966102973</v>
      </c>
      <c r="AG7" s="80">
        <f t="shared" si="11"/>
        <v>4546.993464238627</v>
      </c>
      <c r="AH7" s="82">
        <f t="shared" si="12"/>
        <v>62.18104033277988</v>
      </c>
      <c r="AI7" s="84">
        <f t="shared" si="13"/>
        <v>6.2054127900230025</v>
      </c>
      <c r="AJ7" s="84">
        <f t="shared" si="14"/>
        <v>35.251691250781803</v>
      </c>
      <c r="AK7" s="79">
        <f t="shared" si="15"/>
        <v>32.295481344000002</v>
      </c>
    </row>
    <row r="8" spans="1:37" ht="16" thickBot="1" x14ac:dyDescent="0.25">
      <c r="A8" s="41">
        <v>44814</v>
      </c>
      <c r="B8" s="12">
        <v>0.52083333333333337</v>
      </c>
      <c r="C8" s="70" t="s">
        <v>8</v>
      </c>
      <c r="D8" s="2">
        <v>10</v>
      </c>
      <c r="E8" s="13">
        <f t="shared" si="0"/>
        <v>78.539816339744831</v>
      </c>
      <c r="F8" s="1">
        <v>30</v>
      </c>
      <c r="G8" s="1" t="s">
        <v>27</v>
      </c>
      <c r="H8" s="1" t="s">
        <v>18</v>
      </c>
      <c r="I8" s="1" t="s">
        <v>34</v>
      </c>
      <c r="J8" s="59">
        <v>9</v>
      </c>
      <c r="K8" s="1">
        <v>97</v>
      </c>
      <c r="L8" s="13">
        <f t="shared" si="1"/>
        <v>29.564157269125264</v>
      </c>
      <c r="M8" s="1">
        <v>66</v>
      </c>
      <c r="N8" s="13">
        <f t="shared" si="2"/>
        <v>29.503799731783637</v>
      </c>
      <c r="O8" s="1">
        <v>0.52</v>
      </c>
      <c r="P8" s="1">
        <v>8.8000000000000007</v>
      </c>
      <c r="Q8" s="1">
        <f t="shared" si="3"/>
        <v>86.240000000000009</v>
      </c>
      <c r="R8" s="1">
        <v>5.9</v>
      </c>
      <c r="S8" s="59">
        <f t="shared" si="4"/>
        <v>57.820000000000007</v>
      </c>
      <c r="T8" s="59">
        <v>2.2999999999999998</v>
      </c>
      <c r="U8" s="96">
        <f t="shared" si="16"/>
        <v>2.82</v>
      </c>
      <c r="V8" s="81">
        <f t="shared" si="5"/>
        <v>7.8172640000000015</v>
      </c>
      <c r="W8" s="78">
        <f t="shared" si="6"/>
        <v>30.066400000000005</v>
      </c>
      <c r="X8" s="83">
        <f>'Physical characteristics'!$B$5/1000*Calculations!V8*9.81</f>
        <v>6.9018623856000021</v>
      </c>
      <c r="Y8" s="84">
        <f>('Physical characteristics'!$B$5/1000*Calculations!W8^2)/2</f>
        <v>40.679478403200015</v>
      </c>
      <c r="Z8" s="84">
        <f t="shared" si="17"/>
        <v>47.58134078880002</v>
      </c>
      <c r="AA8" s="85">
        <f t="shared" si="7"/>
        <v>3533.3580228901446</v>
      </c>
      <c r="AB8" s="84">
        <f t="shared" si="8"/>
        <v>4.8220753426229725</v>
      </c>
      <c r="AC8" s="79">
        <f t="shared" si="9"/>
        <v>3.5848725790010199</v>
      </c>
      <c r="AD8" s="84">
        <f>'Physical characteristics'!$B$5/1000*9.81*L8</f>
        <v>26.102194452910695</v>
      </c>
      <c r="AE8" s="84">
        <f>Y8+X8-AD8</f>
        <v>21.479146335889325</v>
      </c>
      <c r="AF8" s="95">
        <f t="shared" si="10"/>
        <v>9882.196231842172</v>
      </c>
      <c r="AG8" s="80">
        <f t="shared" si="11"/>
        <v>13415.554254732317</v>
      </c>
      <c r="AH8" s="82">
        <f t="shared" si="12"/>
        <v>21.735195124621939</v>
      </c>
      <c r="AI8" s="84">
        <f t="shared" si="13"/>
        <v>18.308592834430897</v>
      </c>
      <c r="AJ8" s="84">
        <f t="shared" si="14"/>
        <v>52.403416131422993</v>
      </c>
      <c r="AK8" s="79">
        <f t="shared" si="15"/>
        <v>47.58134078880002</v>
      </c>
    </row>
    <row r="9" spans="1:37" ht="16" thickBot="1" x14ac:dyDescent="0.25">
      <c r="A9" s="27">
        <v>44809</v>
      </c>
      <c r="B9" s="12">
        <v>0.48194444444444445</v>
      </c>
      <c r="C9" s="70" t="s">
        <v>8</v>
      </c>
      <c r="D9" s="2">
        <v>10</v>
      </c>
      <c r="E9" s="13">
        <f t="shared" si="0"/>
        <v>78.539816339744831</v>
      </c>
      <c r="F9" s="1">
        <v>40</v>
      </c>
      <c r="G9" s="1" t="s">
        <v>27</v>
      </c>
      <c r="H9" s="1" t="s">
        <v>18</v>
      </c>
      <c r="I9" s="1" t="s">
        <v>34</v>
      </c>
      <c r="J9" s="59">
        <v>10.7</v>
      </c>
      <c r="K9" s="1">
        <v>116</v>
      </c>
      <c r="L9" s="13">
        <f t="shared" si="1"/>
        <v>35.35507467235599</v>
      </c>
      <c r="M9" s="1">
        <v>71</v>
      </c>
      <c r="N9" s="13">
        <f t="shared" si="2"/>
        <v>31.738936075100579</v>
      </c>
      <c r="O9" s="1">
        <v>0.47</v>
      </c>
      <c r="P9" s="1">
        <v>9.6</v>
      </c>
      <c r="Q9" s="1">
        <f t="shared" si="3"/>
        <v>94.08</v>
      </c>
      <c r="R9" s="1">
        <v>6.9</v>
      </c>
      <c r="S9" s="59">
        <f t="shared" si="4"/>
        <v>67.62</v>
      </c>
      <c r="T9" s="1">
        <v>2.4</v>
      </c>
      <c r="U9" s="96">
        <f t="shared" si="16"/>
        <v>2.87</v>
      </c>
      <c r="V9" s="81">
        <f t="shared" si="5"/>
        <v>7.468629</v>
      </c>
      <c r="W9" s="78">
        <f t="shared" si="6"/>
        <v>31.781400000000001</v>
      </c>
      <c r="X9" s="83">
        <f>'Physical characteristics'!$B$5/1000*Calculations!V9*9.81</f>
        <v>6.5940525441000002</v>
      </c>
      <c r="Y9" s="84">
        <f>('Physical characteristics'!$B$5/1000*Calculations!W9^2)/2</f>
        <v>45.452582368200005</v>
      </c>
      <c r="Z9" s="84">
        <f t="shared" si="17"/>
        <v>52.046634912300007</v>
      </c>
      <c r="AA9" s="85">
        <f t="shared" si="7"/>
        <v>3771.8719422225254</v>
      </c>
      <c r="AB9" s="84">
        <f t="shared" si="8"/>
        <v>5.1475821499813383</v>
      </c>
      <c r="AC9" s="79">
        <f t="shared" si="9"/>
        <v>3.7096941896024465</v>
      </c>
      <c r="AD9" s="84">
        <f>'Physical characteristics'!$B$5/1000*9.81*L9</f>
        <v>31.214995428223105</v>
      </c>
      <c r="AE9" s="84">
        <f>Z9-AD9</f>
        <v>20.831639484076902</v>
      </c>
      <c r="AF9" s="95">
        <f t="shared" si="10"/>
        <v>13877.589603742432</v>
      </c>
      <c r="AG9" s="80">
        <f t="shared" si="11"/>
        <v>17649.461545964958</v>
      </c>
      <c r="AH9" s="82">
        <f t="shared" si="12"/>
        <v>15.01099259950672</v>
      </c>
      <c r="AI9" s="84">
        <f t="shared" si="13"/>
        <v>24.086727917188483</v>
      </c>
      <c r="AJ9" s="84">
        <f t="shared" si="14"/>
        <v>57.194217062281346</v>
      </c>
      <c r="AK9" s="79">
        <f t="shared" si="15"/>
        <v>52.046634912300007</v>
      </c>
    </row>
    <row r="10" spans="1:37" x14ac:dyDescent="0.2">
      <c r="A10" s="11">
        <v>44809</v>
      </c>
      <c r="B10" s="12">
        <v>0.48402777777777778</v>
      </c>
      <c r="C10" s="70" t="s">
        <v>8</v>
      </c>
      <c r="D10" s="2">
        <v>10</v>
      </c>
      <c r="E10" s="13">
        <f t="shared" si="0"/>
        <v>78.539816339744831</v>
      </c>
      <c r="F10" s="1">
        <v>40</v>
      </c>
      <c r="G10" s="1" t="s">
        <v>27</v>
      </c>
      <c r="H10" s="1" t="s">
        <v>18</v>
      </c>
      <c r="I10" s="1" t="s">
        <v>34</v>
      </c>
      <c r="J10" s="59">
        <v>6.6</v>
      </c>
      <c r="K10" s="1">
        <v>115</v>
      </c>
      <c r="L10" s="13">
        <f t="shared" si="1"/>
        <v>35.050289545870157</v>
      </c>
      <c r="M10" s="1">
        <v>75</v>
      </c>
      <c r="N10" s="13">
        <f t="shared" si="2"/>
        <v>33.52704514975413</v>
      </c>
      <c r="O10" s="1">
        <v>0.5</v>
      </c>
      <c r="P10" s="1">
        <v>9.1</v>
      </c>
      <c r="Q10" s="1">
        <f t="shared" si="3"/>
        <v>89.18</v>
      </c>
      <c r="R10" s="1">
        <v>6.9</v>
      </c>
      <c r="S10" s="59">
        <f t="shared" si="4"/>
        <v>67.62</v>
      </c>
      <c r="T10" s="1">
        <v>2.2999999999999998</v>
      </c>
      <c r="U10" s="96">
        <f t="shared" si="16"/>
        <v>2.8</v>
      </c>
      <c r="V10" s="81">
        <f t="shared" si="5"/>
        <v>8.4525000000000006</v>
      </c>
      <c r="W10" s="78">
        <f t="shared" si="6"/>
        <v>33.81</v>
      </c>
      <c r="X10" s="83">
        <f>'Physical characteristics'!$B$5/1000*Calculations!V10*9.81</f>
        <v>7.46271225</v>
      </c>
      <c r="Y10" s="84">
        <f>('Physical characteristics'!$B$5/1000*Calculations!W10^2)/2</f>
        <v>51.440224500000006</v>
      </c>
      <c r="Z10" s="84">
        <f t="shared" si="17"/>
        <v>58.902936750000009</v>
      </c>
      <c r="AA10" s="85">
        <f t="shared" si="7"/>
        <v>4831.0944176250014</v>
      </c>
      <c r="AB10" s="84">
        <f t="shared" si="8"/>
        <v>6.5931335342173725</v>
      </c>
      <c r="AC10" s="79">
        <f t="shared" si="9"/>
        <v>3.9464831804281344</v>
      </c>
      <c r="AD10" s="84">
        <f>'Physical characteristics'!$B$5/1000*9.81*L10</f>
        <v>30.945900640048762</v>
      </c>
      <c r="AE10" s="84">
        <f>Z10-AD10</f>
        <v>27.957036109951247</v>
      </c>
      <c r="AF10" s="95">
        <f t="shared" si="10"/>
        <v>17774.71417155963</v>
      </c>
      <c r="AG10" s="80">
        <f t="shared" si="11"/>
        <v>22605.808589184631</v>
      </c>
      <c r="AH10" s="82">
        <f t="shared" si="12"/>
        <v>15.728543277890683</v>
      </c>
      <c r="AI10" s="84">
        <f t="shared" si="13"/>
        <v>30.850797312862891</v>
      </c>
      <c r="AJ10" s="84">
        <f t="shared" si="14"/>
        <v>65.496070284217382</v>
      </c>
      <c r="AK10" s="79">
        <f t="shared" si="15"/>
        <v>58.902936750000009</v>
      </c>
    </row>
    <row r="11" spans="1:37" x14ac:dyDescent="0.2">
      <c r="A11" s="11">
        <v>44809</v>
      </c>
      <c r="B11" s="12">
        <v>0.47083333333333338</v>
      </c>
      <c r="C11" s="70" t="s">
        <v>8</v>
      </c>
      <c r="D11" s="2">
        <v>10</v>
      </c>
      <c r="E11" s="13">
        <f t="shared" si="0"/>
        <v>78.539816339744831</v>
      </c>
      <c r="F11" s="1">
        <v>42</v>
      </c>
      <c r="G11" s="1" t="s">
        <v>27</v>
      </c>
      <c r="H11" s="1" t="s">
        <v>18</v>
      </c>
      <c r="I11" s="1" t="s">
        <v>34</v>
      </c>
      <c r="J11" s="1">
        <v>7.3</v>
      </c>
      <c r="K11" s="1">
        <v>118</v>
      </c>
      <c r="L11" s="13">
        <f t="shared" si="1"/>
        <v>35.96464492532764</v>
      </c>
      <c r="M11" s="1">
        <v>76</v>
      </c>
      <c r="N11" s="13">
        <f t="shared" si="2"/>
        <v>33.974072418417521</v>
      </c>
      <c r="O11" s="1">
        <v>0.48</v>
      </c>
      <c r="P11" s="1">
        <v>10.6</v>
      </c>
      <c r="Q11" s="1">
        <f t="shared" si="3"/>
        <v>103.88000000000001</v>
      </c>
      <c r="R11" s="1">
        <v>7.3</v>
      </c>
      <c r="S11" s="59">
        <f t="shared" si="4"/>
        <v>71.540000000000006</v>
      </c>
      <c r="T11" s="1">
        <v>2.2000000000000002</v>
      </c>
      <c r="U11" s="96">
        <f t="shared" si="16"/>
        <v>2.68</v>
      </c>
      <c r="V11" s="81">
        <f t="shared" si="5"/>
        <v>8.2414079999999998</v>
      </c>
      <c r="W11" s="78">
        <f t="shared" si="6"/>
        <v>34.339200000000005</v>
      </c>
      <c r="X11" s="83">
        <f>'Physical characteristics'!$B$5/1000*Calculations!V11*9.81</f>
        <v>7.2763391231999996</v>
      </c>
      <c r="Y11" s="84">
        <f>('Physical characteristics'!$B$5/1000*Calculations!W11^2)/2</f>
        <v>53.063129548800013</v>
      </c>
      <c r="Z11" s="84">
        <f t="shared" si="17"/>
        <v>60.33946867200001</v>
      </c>
      <c r="AA11" s="85">
        <f t="shared" si="7"/>
        <v>4859.0544485390756</v>
      </c>
      <c r="AB11" s="84">
        <f t="shared" si="8"/>
        <v>6.6312913927690094</v>
      </c>
      <c r="AC11" s="79">
        <f t="shared" si="9"/>
        <v>3.9804281345565751</v>
      </c>
      <c r="AD11" s="84">
        <f>'Physical characteristics'!$B$5/1000*9.81*L11</f>
        <v>31.753185004571773</v>
      </c>
      <c r="AE11" s="84">
        <f>Y11+X11-AD11</f>
        <v>28.586283667428237</v>
      </c>
      <c r="AF11" s="95">
        <f t="shared" si="10"/>
        <v>19631.070069079396</v>
      </c>
      <c r="AG11" s="80">
        <f t="shared" si="11"/>
        <v>24490.124517618471</v>
      </c>
      <c r="AH11" s="82">
        <f t="shared" si="12"/>
        <v>14.561755200728495</v>
      </c>
      <c r="AI11" s="84">
        <f t="shared" si="13"/>
        <v>33.422377469005774</v>
      </c>
      <c r="AJ11" s="84">
        <f t="shared" si="14"/>
        <v>66.970760064769024</v>
      </c>
      <c r="AK11" s="79">
        <f t="shared" si="15"/>
        <v>60.33946867200001</v>
      </c>
    </row>
    <row r="12" spans="1:37" x14ac:dyDescent="0.2">
      <c r="A12" s="11">
        <v>44814</v>
      </c>
      <c r="B12" s="12">
        <v>0.52638888888888891</v>
      </c>
      <c r="C12" s="70" t="s">
        <v>8</v>
      </c>
      <c r="D12" s="2">
        <v>10</v>
      </c>
      <c r="E12" s="13">
        <f t="shared" si="0"/>
        <v>78.539816339744831</v>
      </c>
      <c r="F12" s="1">
        <v>50</v>
      </c>
      <c r="G12" s="1" t="s">
        <v>27</v>
      </c>
      <c r="H12" s="1" t="s">
        <v>18</v>
      </c>
      <c r="I12" s="1" t="s">
        <v>34</v>
      </c>
      <c r="J12" s="59">
        <v>7.7</v>
      </c>
      <c r="K12" s="1">
        <v>141</v>
      </c>
      <c r="L12" s="13">
        <f t="shared" si="1"/>
        <v>42.974702834501677</v>
      </c>
      <c r="M12" s="1">
        <v>85</v>
      </c>
      <c r="N12" s="13">
        <f t="shared" si="2"/>
        <v>37.997317836388021</v>
      </c>
      <c r="O12" s="1">
        <v>0.49</v>
      </c>
      <c r="P12" s="1">
        <v>10.7</v>
      </c>
      <c r="Q12" s="1">
        <f t="shared" si="3"/>
        <v>104.86</v>
      </c>
      <c r="R12" s="1">
        <v>7.9</v>
      </c>
      <c r="S12" s="59">
        <f t="shared" si="4"/>
        <v>77.420000000000016</v>
      </c>
      <c r="T12" s="1">
        <v>2.5</v>
      </c>
      <c r="U12" s="96">
        <f t="shared" si="16"/>
        <v>2.99</v>
      </c>
      <c r="V12" s="81">
        <f t="shared" si="5"/>
        <v>9.2942710000000019</v>
      </c>
      <c r="W12" s="78">
        <f t="shared" si="6"/>
        <v>37.935800000000008</v>
      </c>
      <c r="X12" s="83">
        <f>'Physical characteristics'!$B$5/1000*Calculations!V12*9.81</f>
        <v>8.2059118659000028</v>
      </c>
      <c r="Y12" s="84">
        <f>('Physical characteristics'!$B$5/1000*Calculations!W12^2)/2</f>
        <v>64.760621473800029</v>
      </c>
      <c r="Z12" s="84">
        <f t="shared" si="17"/>
        <v>72.966533339700035</v>
      </c>
      <c r="AA12" s="85">
        <f t="shared" si="7"/>
        <v>6687.8085122879656</v>
      </c>
      <c r="AB12" s="84">
        <f t="shared" si="8"/>
        <v>9.1270446737546695</v>
      </c>
      <c r="AC12" s="79">
        <f t="shared" si="9"/>
        <v>4.357054026503568</v>
      </c>
      <c r="AD12" s="84">
        <f>'Physical characteristics'!$B$5/1000*9.81*L12</f>
        <v>37.942365132581529</v>
      </c>
      <c r="AE12" s="84">
        <f>Y12+X12-AD12</f>
        <v>35.024168207118507</v>
      </c>
      <c r="AF12" s="95">
        <f t="shared" si="10"/>
        <v>30683.615276135766</v>
      </c>
      <c r="AG12" s="80">
        <f t="shared" si="11"/>
        <v>37371.42378842373</v>
      </c>
      <c r="AH12" s="82">
        <f t="shared" si="12"/>
        <v>11.414615876232361</v>
      </c>
      <c r="AI12" s="84">
        <f t="shared" si="13"/>
        <v>51.001857157251479</v>
      </c>
      <c r="AJ12" s="84">
        <f t="shared" si="14"/>
        <v>82.093578013454703</v>
      </c>
      <c r="AK12" s="79">
        <f t="shared" si="15"/>
        <v>72.966533339700035</v>
      </c>
    </row>
    <row r="13" spans="1:37" hidden="1" x14ac:dyDescent="0.2">
      <c r="A13" s="11">
        <v>44810</v>
      </c>
      <c r="B13" s="12">
        <v>0.6791666666666667</v>
      </c>
      <c r="C13" s="1" t="s">
        <v>7</v>
      </c>
      <c r="D13" s="72">
        <v>11</v>
      </c>
      <c r="E13" s="13">
        <f t="shared" si="0"/>
        <v>95.033177771091246</v>
      </c>
      <c r="F13" s="1">
        <v>40</v>
      </c>
      <c r="G13" s="1" t="s">
        <v>27</v>
      </c>
      <c r="H13" s="1" t="s">
        <v>18</v>
      </c>
      <c r="I13" s="1" t="s">
        <v>34</v>
      </c>
      <c r="J13" s="59">
        <v>7.3</v>
      </c>
      <c r="K13" s="1">
        <v>102</v>
      </c>
      <c r="L13" s="13">
        <f t="shared" si="1"/>
        <v>31.088082901554404</v>
      </c>
      <c r="M13" s="1">
        <v>71</v>
      </c>
      <c r="N13" s="13">
        <f t="shared" si="2"/>
        <v>31.738936075100579</v>
      </c>
      <c r="O13" s="1">
        <v>0.38</v>
      </c>
      <c r="P13" s="1">
        <v>10.7</v>
      </c>
      <c r="Q13" s="1">
        <f t="shared" si="3"/>
        <v>104.86</v>
      </c>
      <c r="R13" s="1">
        <v>8.5</v>
      </c>
      <c r="S13" s="59">
        <f t="shared" si="4"/>
        <v>83.300000000000011</v>
      </c>
      <c r="T13" s="1">
        <v>2.2999999999999998</v>
      </c>
      <c r="U13" s="96">
        <f t="shared" si="16"/>
        <v>2.6799999999999997</v>
      </c>
      <c r="V13" s="81">
        <f t="shared" si="5"/>
        <v>6.014260000000001</v>
      </c>
      <c r="W13" s="78">
        <f t="shared" si="6"/>
        <v>31.654000000000003</v>
      </c>
      <c r="X13" s="83">
        <f>'Physical characteristics'!$B$5/1000*Calculations!V13*9.81</f>
        <v>5.3099901540000012</v>
      </c>
      <c r="Y13" s="84">
        <f>('Physical characteristics'!$B$5/1000*Calculations!W13^2)/2</f>
        <v>45.08890722000001</v>
      </c>
      <c r="Z13" s="84">
        <f t="shared" si="17"/>
        <v>50.398897374000015</v>
      </c>
      <c r="AA13" s="85">
        <f t="shared" si="7"/>
        <v>3013.071234855081</v>
      </c>
      <c r="AB13" s="84">
        <f t="shared" si="8"/>
        <v>4.1120249952131624</v>
      </c>
      <c r="AC13" s="79">
        <f t="shared" si="9"/>
        <v>3.6067074413863405</v>
      </c>
      <c r="AD13" s="84">
        <f>'Physical characteristics'!$B$5/1000*9.81*L13</f>
        <v>27.447668393782383</v>
      </c>
      <c r="AE13" s="84">
        <f t="shared" ref="AE13:AE19" si="18">Z13-AD13</f>
        <v>22.951228980217632</v>
      </c>
      <c r="AF13" s="95">
        <f t="shared" si="10"/>
        <v>15494.603265853119</v>
      </c>
      <c r="AG13" s="80">
        <f t="shared" si="11"/>
        <v>18507.674500708199</v>
      </c>
      <c r="AH13" s="82">
        <f t="shared" si="12"/>
        <v>14.812401832060692</v>
      </c>
      <c r="AI13" s="84">
        <f t="shared" si="13"/>
        <v>25.257955825874049</v>
      </c>
      <c r="AJ13" s="84">
        <f t="shared" si="14"/>
        <v>54.510922369213176</v>
      </c>
      <c r="AK13" s="79">
        <f t="shared" si="15"/>
        <v>50.398897374000015</v>
      </c>
    </row>
    <row r="14" spans="1:37" hidden="1" x14ac:dyDescent="0.2">
      <c r="A14" s="11">
        <v>44810</v>
      </c>
      <c r="B14" s="12">
        <v>0.6875</v>
      </c>
      <c r="C14" s="1" t="s">
        <v>7</v>
      </c>
      <c r="D14" s="72">
        <v>11</v>
      </c>
      <c r="E14" s="13">
        <f t="shared" si="0"/>
        <v>95.033177771091246</v>
      </c>
      <c r="F14" s="1">
        <v>40</v>
      </c>
      <c r="G14" s="1" t="s">
        <v>27</v>
      </c>
      <c r="H14" s="1" t="s">
        <v>18</v>
      </c>
      <c r="I14" s="1" t="s">
        <v>34</v>
      </c>
      <c r="J14" s="59">
        <v>6.2</v>
      </c>
      <c r="K14" s="1">
        <v>106</v>
      </c>
      <c r="L14" s="13">
        <f t="shared" si="1"/>
        <v>32.307223407497716</v>
      </c>
      <c r="M14" s="1">
        <v>70</v>
      </c>
      <c r="N14" s="13">
        <f t="shared" si="2"/>
        <v>31.291908806437192</v>
      </c>
      <c r="O14" s="1">
        <v>0.38</v>
      </c>
      <c r="P14" s="1">
        <v>11</v>
      </c>
      <c r="Q14" s="1">
        <f t="shared" si="3"/>
        <v>107.80000000000001</v>
      </c>
      <c r="R14" s="1">
        <v>8.4</v>
      </c>
      <c r="S14" s="59">
        <f t="shared" si="4"/>
        <v>82.320000000000007</v>
      </c>
      <c r="T14" s="1">
        <v>2.5</v>
      </c>
      <c r="U14" s="96">
        <f t="shared" si="16"/>
        <v>2.88</v>
      </c>
      <c r="V14" s="81">
        <f t="shared" si="5"/>
        <v>5.9435040000000008</v>
      </c>
      <c r="W14" s="78">
        <f t="shared" si="6"/>
        <v>31.281600000000005</v>
      </c>
      <c r="X14" s="83">
        <f>'Physical characteristics'!$B$5/1000*Calculations!V14*9.81</f>
        <v>5.2475196816000009</v>
      </c>
      <c r="Y14" s="84">
        <f>('Physical characteristics'!$B$5/1000*Calculations!W14^2)/2</f>
        <v>44.034232435200011</v>
      </c>
      <c r="Z14" s="84">
        <f t="shared" si="17"/>
        <v>49.281752116800014</v>
      </c>
      <c r="AA14" s="85">
        <f t="shared" si="7"/>
        <v>2907.9737401726779</v>
      </c>
      <c r="AB14" s="84">
        <f t="shared" si="8"/>
        <v>3.9685954207414165</v>
      </c>
      <c r="AC14" s="79">
        <f t="shared" si="9"/>
        <v>3.5687461773700306</v>
      </c>
      <c r="AD14" s="84">
        <f>'Physical characteristics'!$B$5/1000*9.81*L14</f>
        <v>28.524047546479736</v>
      </c>
      <c r="AE14" s="84">
        <f t="shared" si="18"/>
        <v>20.757704570320278</v>
      </c>
      <c r="AF14" s="95">
        <f t="shared" si="10"/>
        <v>14684.240268754336</v>
      </c>
      <c r="AG14" s="80">
        <f t="shared" si="11"/>
        <v>17592.214008927014</v>
      </c>
      <c r="AH14" s="82">
        <f t="shared" si="12"/>
        <v>14.136042580622492</v>
      </c>
      <c r="AI14" s="84">
        <f t="shared" si="13"/>
        <v>24.00860055647717</v>
      </c>
      <c r="AJ14" s="84">
        <f t="shared" si="14"/>
        <v>53.25034753754143</v>
      </c>
      <c r="AK14" s="79">
        <f t="shared" si="15"/>
        <v>49.281752116800014</v>
      </c>
    </row>
    <row r="15" spans="1:37" hidden="1" x14ac:dyDescent="0.2">
      <c r="A15" s="11">
        <v>44806</v>
      </c>
      <c r="B15" s="12">
        <v>0.7284722222222223</v>
      </c>
      <c r="C15" s="15" t="s">
        <v>6</v>
      </c>
      <c r="D15" s="2">
        <v>12</v>
      </c>
      <c r="E15" s="13">
        <f t="shared" si="0"/>
        <v>113.09733552923255</v>
      </c>
      <c r="F15" s="1">
        <v>40</v>
      </c>
      <c r="G15" s="1" t="s">
        <v>27</v>
      </c>
      <c r="H15" s="1" t="s">
        <v>18</v>
      </c>
      <c r="I15" s="1" t="s">
        <v>34</v>
      </c>
      <c r="J15" s="59">
        <v>7.4</v>
      </c>
      <c r="K15" s="1">
        <v>97</v>
      </c>
      <c r="L15" s="13">
        <f t="shared" si="1"/>
        <v>29.564157269125264</v>
      </c>
      <c r="M15" s="1">
        <v>75</v>
      </c>
      <c r="N15" s="13">
        <f t="shared" si="2"/>
        <v>33.52704514975413</v>
      </c>
      <c r="O15" s="1">
        <v>0.39</v>
      </c>
      <c r="P15" s="1">
        <v>12.7</v>
      </c>
      <c r="Q15" s="1">
        <f t="shared" si="3"/>
        <v>124.46000000000001</v>
      </c>
      <c r="R15" s="59">
        <v>8.8000000000000007</v>
      </c>
      <c r="S15" s="59">
        <f t="shared" si="4"/>
        <v>86.240000000000009</v>
      </c>
      <c r="T15" s="59">
        <v>1.9</v>
      </c>
      <c r="U15" s="96">
        <f t="shared" si="16"/>
        <v>2.29</v>
      </c>
      <c r="V15" s="81">
        <f t="shared" si="5"/>
        <v>6.5585520000000015</v>
      </c>
      <c r="W15" s="78">
        <f t="shared" si="6"/>
        <v>33.633600000000001</v>
      </c>
      <c r="X15" s="83">
        <f>'Physical characteristics'!$B$5/1000*Calculations!V15*9.81</f>
        <v>5.7905455608000018</v>
      </c>
      <c r="Y15" s="84">
        <f>('Physical characteristics'!$B$5/1000*Calculations!W15^2)/2</f>
        <v>50.904857203199995</v>
      </c>
      <c r="Z15" s="84">
        <f t="shared" si="17"/>
        <v>56.695402763999994</v>
      </c>
      <c r="AA15" s="85">
        <f t="shared" si="7"/>
        <v>3709.5794779973544</v>
      </c>
      <c r="AB15" s="84">
        <f t="shared" si="8"/>
        <v>5.0625698320035175</v>
      </c>
      <c r="AC15" s="79">
        <f t="shared" si="9"/>
        <v>3.8185015290519879</v>
      </c>
      <c r="AD15" s="84">
        <f>'Physical characteristics'!$B$5/1000*9.81*L15</f>
        <v>26.102194452910695</v>
      </c>
      <c r="AE15" s="84">
        <f t="shared" si="18"/>
        <v>30.593208311089299</v>
      </c>
      <c r="AF15" s="95">
        <f t="shared" si="10"/>
        <v>20112.54280011871</v>
      </c>
      <c r="AG15" s="80">
        <f t="shared" si="11"/>
        <v>23822.122278116065</v>
      </c>
      <c r="AH15" s="82">
        <f t="shared" si="12"/>
        <v>15.21100967447474</v>
      </c>
      <c r="AI15" s="84">
        <f t="shared" si="13"/>
        <v>32.510735595452665</v>
      </c>
      <c r="AJ15" s="84">
        <f t="shared" si="14"/>
        <v>61.757972596003512</v>
      </c>
      <c r="AK15" s="79">
        <f t="shared" si="15"/>
        <v>56.695402763999994</v>
      </c>
    </row>
    <row r="16" spans="1:37" hidden="1" x14ac:dyDescent="0.2">
      <c r="A16" s="11">
        <v>44806</v>
      </c>
      <c r="B16" s="12">
        <v>0.73333333333333339</v>
      </c>
      <c r="C16" s="15" t="s">
        <v>6</v>
      </c>
      <c r="D16" s="2">
        <v>12</v>
      </c>
      <c r="E16" s="13">
        <f t="shared" si="0"/>
        <v>113.09733552923255</v>
      </c>
      <c r="F16" s="1">
        <v>40</v>
      </c>
      <c r="G16" s="1" t="s">
        <v>27</v>
      </c>
      <c r="H16" s="1" t="s">
        <v>18</v>
      </c>
      <c r="I16" s="1" t="s">
        <v>34</v>
      </c>
      <c r="J16" s="59">
        <v>8.1999999999999993</v>
      </c>
      <c r="K16" s="1">
        <v>110</v>
      </c>
      <c r="L16" s="13">
        <f t="shared" si="1"/>
        <v>33.526363913441024</v>
      </c>
      <c r="M16" s="1">
        <v>78</v>
      </c>
      <c r="N16" s="13">
        <f t="shared" si="2"/>
        <v>34.868126955744302</v>
      </c>
      <c r="O16" s="1">
        <v>0.36</v>
      </c>
      <c r="P16" s="1">
        <v>13.2</v>
      </c>
      <c r="Q16" s="1">
        <f t="shared" si="3"/>
        <v>129.36000000000001</v>
      </c>
      <c r="R16" s="59">
        <v>9.9</v>
      </c>
      <c r="S16" s="59">
        <f t="shared" si="4"/>
        <v>97.02000000000001</v>
      </c>
      <c r="T16" s="59">
        <v>2.2000000000000002</v>
      </c>
      <c r="U16" s="96">
        <f t="shared" si="16"/>
        <v>2.56</v>
      </c>
      <c r="V16" s="81">
        <f t="shared" si="5"/>
        <v>6.2868960000000005</v>
      </c>
      <c r="W16" s="78">
        <f t="shared" si="6"/>
        <v>34.927199999999999</v>
      </c>
      <c r="X16" s="83">
        <f>'Physical characteristics'!$B$5/1000*Calculations!V16*9.81</f>
        <v>5.5507004784000005</v>
      </c>
      <c r="Y16" s="84">
        <f>('Physical characteristics'!$B$5/1000*Calculations!W16^2)/2</f>
        <v>54.895918492799993</v>
      </c>
      <c r="Z16" s="84">
        <f t="shared" si="17"/>
        <v>60.446618971199996</v>
      </c>
      <c r="AA16" s="85">
        <f t="shared" si="7"/>
        <v>3834.7214487634487</v>
      </c>
      <c r="AB16" s="84">
        <f t="shared" si="8"/>
        <v>5.2333546796326393</v>
      </c>
      <c r="AC16" s="79">
        <f t="shared" si="9"/>
        <v>3.9203669724770638</v>
      </c>
      <c r="AD16" s="84">
        <f>'Physical characteristics'!$B$5/1000*9.81*L16</f>
        <v>29.600426699177081</v>
      </c>
      <c r="AE16" s="84">
        <f t="shared" si="18"/>
        <v>30.846192272022915</v>
      </c>
      <c r="AF16" s="95">
        <f t="shared" si="10"/>
        <v>24755.779802423429</v>
      </c>
      <c r="AG16" s="80">
        <f t="shared" si="11"/>
        <v>28590.501251186877</v>
      </c>
      <c r="AH16" s="82">
        <f t="shared" si="12"/>
        <v>12.460198191374797</v>
      </c>
      <c r="AI16" s="84">
        <f t="shared" si="13"/>
        <v>39.018279558268773</v>
      </c>
      <c r="AJ16" s="84">
        <f t="shared" si="14"/>
        <v>65.679973650832636</v>
      </c>
      <c r="AK16" s="79">
        <f t="shared" si="15"/>
        <v>60.446618971199996</v>
      </c>
    </row>
    <row r="17" spans="1:37" hidden="1" x14ac:dyDescent="0.2">
      <c r="A17" s="11">
        <v>44806</v>
      </c>
      <c r="B17" s="12">
        <v>0.73749999999999993</v>
      </c>
      <c r="C17" s="15" t="s">
        <v>6</v>
      </c>
      <c r="D17" s="2">
        <v>12</v>
      </c>
      <c r="E17" s="13">
        <f t="shared" si="0"/>
        <v>113.09733552923255</v>
      </c>
      <c r="F17" s="1">
        <v>40</v>
      </c>
      <c r="G17" s="1" t="s">
        <v>27</v>
      </c>
      <c r="H17" s="1" t="s">
        <v>18</v>
      </c>
      <c r="I17" s="1" t="s">
        <v>34</v>
      </c>
      <c r="J17" s="59">
        <v>5.7</v>
      </c>
      <c r="K17" s="1">
        <v>106</v>
      </c>
      <c r="L17" s="13">
        <f t="shared" si="1"/>
        <v>32.307223407497716</v>
      </c>
      <c r="M17" s="1">
        <v>79</v>
      </c>
      <c r="N17" s="13">
        <f t="shared" si="2"/>
        <v>35.315154224407685</v>
      </c>
      <c r="O17" s="1">
        <v>0.35</v>
      </c>
      <c r="P17" s="1">
        <v>12.8</v>
      </c>
      <c r="Q17" s="1">
        <f t="shared" si="3"/>
        <v>125.44000000000001</v>
      </c>
      <c r="R17" s="59">
        <v>10.4</v>
      </c>
      <c r="S17" s="59">
        <f t="shared" si="4"/>
        <v>101.92000000000002</v>
      </c>
      <c r="T17" s="59">
        <v>2.2000000000000002</v>
      </c>
      <c r="U17" s="96">
        <f t="shared" si="16"/>
        <v>2.5500000000000003</v>
      </c>
      <c r="V17" s="81">
        <f t="shared" si="5"/>
        <v>6.2426000000000004</v>
      </c>
      <c r="W17" s="78">
        <f t="shared" si="6"/>
        <v>35.672000000000004</v>
      </c>
      <c r="X17" s="83">
        <f>'Physical characteristics'!$B$5/1000*Calculations!V17*9.81</f>
        <v>5.5115915400000004</v>
      </c>
      <c r="Y17" s="84">
        <f>('Physical characteristics'!$B$5/1000*Calculations!W17^2)/2</f>
        <v>57.262121280000009</v>
      </c>
      <c r="Z17" s="84">
        <f t="shared" si="17"/>
        <v>62.773712820000007</v>
      </c>
      <c r="AA17" s="85">
        <f t="shared" si="7"/>
        <v>3971.8279811392013</v>
      </c>
      <c r="AB17" s="84">
        <f t="shared" si="8"/>
        <v>5.4204679086908341</v>
      </c>
      <c r="AC17" s="79">
        <f t="shared" si="9"/>
        <v>3.9862895005096841</v>
      </c>
      <c r="AD17" s="84">
        <f>'Physical characteristics'!$B$5/1000*9.81*L17</f>
        <v>28.524047546479736</v>
      </c>
      <c r="AE17" s="84">
        <f t="shared" si="18"/>
        <v>34.249665273520272</v>
      </c>
      <c r="AF17" s="95">
        <f t="shared" si="10"/>
        <v>27524.182405532658</v>
      </c>
      <c r="AG17" s="80">
        <f t="shared" si="11"/>
        <v>31496.01038667186</v>
      </c>
      <c r="AH17" s="82">
        <f t="shared" si="12"/>
        <v>12.443481433488726</v>
      </c>
      <c r="AI17" s="84">
        <f t="shared" si="13"/>
        <v>42.983511462090348</v>
      </c>
      <c r="AJ17" s="84">
        <f t="shared" si="14"/>
        <v>68.194180728690839</v>
      </c>
      <c r="AK17" s="79">
        <f t="shared" si="15"/>
        <v>62.773712820000007</v>
      </c>
    </row>
    <row r="18" spans="1:37" hidden="1" x14ac:dyDescent="0.2">
      <c r="A18" s="11">
        <v>44810</v>
      </c>
      <c r="B18" s="12">
        <v>0.69930555555555562</v>
      </c>
      <c r="C18" s="5" t="s">
        <v>5</v>
      </c>
      <c r="D18" s="2">
        <v>13</v>
      </c>
      <c r="E18" s="13">
        <f t="shared" si="0"/>
        <v>132.73228961416876</v>
      </c>
      <c r="F18" s="1">
        <v>40</v>
      </c>
      <c r="G18" s="1" t="s">
        <v>27</v>
      </c>
      <c r="H18" s="1" t="s">
        <v>18</v>
      </c>
      <c r="I18" s="1" t="s">
        <v>34</v>
      </c>
      <c r="J18" s="59">
        <v>6.4</v>
      </c>
      <c r="K18" s="1">
        <v>106</v>
      </c>
      <c r="L18" s="13">
        <f t="shared" si="1"/>
        <v>32.307223407497716</v>
      </c>
      <c r="M18" s="1">
        <v>81</v>
      </c>
      <c r="N18" s="13">
        <f t="shared" si="2"/>
        <v>36.209208761734466</v>
      </c>
      <c r="O18" s="1">
        <v>0.26</v>
      </c>
      <c r="P18" s="1">
        <v>17.600000000000001</v>
      </c>
      <c r="Q18" s="1">
        <f t="shared" si="3"/>
        <v>172.48000000000002</v>
      </c>
      <c r="R18" s="1">
        <v>14.4</v>
      </c>
      <c r="S18" s="59">
        <f t="shared" si="4"/>
        <v>141.12</v>
      </c>
      <c r="T18" s="1">
        <v>2.4</v>
      </c>
      <c r="U18" s="96">
        <f t="shared" si="16"/>
        <v>2.66</v>
      </c>
      <c r="V18" s="81">
        <f t="shared" si="5"/>
        <v>4.7698560000000008</v>
      </c>
      <c r="W18" s="78">
        <f t="shared" si="6"/>
        <v>36.691200000000002</v>
      </c>
      <c r="X18" s="83">
        <f>'Physical characteristics'!$B$5/1000*Calculations!V18*9.81</f>
        <v>4.2113058624000006</v>
      </c>
      <c r="Y18" s="84">
        <f>('Physical characteristics'!$B$5/1000*Calculations!W18^2)/2</f>
        <v>60.580987084800007</v>
      </c>
      <c r="Z18" s="84">
        <f t="shared" si="17"/>
        <v>64.792292947200011</v>
      </c>
      <c r="AA18" s="85">
        <f t="shared" si="7"/>
        <v>3210.6953859150649</v>
      </c>
      <c r="AB18" s="84">
        <f t="shared" si="8"/>
        <v>4.3817283594801291</v>
      </c>
      <c r="AC18" s="79">
        <f t="shared" si="9"/>
        <v>4.0001834862385319</v>
      </c>
      <c r="AD18" s="84">
        <f>'Physical characteristics'!$B$5/1000*9.81*L18</f>
        <v>28.524047546479736</v>
      </c>
      <c r="AE18" s="84">
        <f t="shared" si="18"/>
        <v>36.268245400720275</v>
      </c>
      <c r="AF18" s="95">
        <f t="shared" si="10"/>
        <v>34621.196203435866</v>
      </c>
      <c r="AG18" s="80">
        <f t="shared" si="11"/>
        <v>37831.891589350933</v>
      </c>
      <c r="AH18" s="82">
        <f t="shared" si="12"/>
        <v>10.47573434135732</v>
      </c>
      <c r="AI18" s="84">
        <f t="shared" si="13"/>
        <v>51.630270812063252</v>
      </c>
      <c r="AJ18" s="84">
        <f t="shared" si="14"/>
        <v>69.174021306680146</v>
      </c>
      <c r="AK18" s="79">
        <f t="shared" si="15"/>
        <v>64.792292947200011</v>
      </c>
    </row>
    <row r="19" spans="1:37" hidden="1" x14ac:dyDescent="0.2">
      <c r="A19" s="11">
        <v>44810</v>
      </c>
      <c r="B19" s="12">
        <v>0.70486111111111116</v>
      </c>
      <c r="C19" s="5" t="s">
        <v>5</v>
      </c>
      <c r="D19" s="2">
        <v>13</v>
      </c>
      <c r="E19" s="13">
        <f t="shared" si="0"/>
        <v>132.73228961416876</v>
      </c>
      <c r="F19" s="1">
        <v>40</v>
      </c>
      <c r="G19" s="1" t="s">
        <v>27</v>
      </c>
      <c r="H19" s="1" t="s">
        <v>18</v>
      </c>
      <c r="I19" s="1" t="s">
        <v>34</v>
      </c>
      <c r="J19" s="59">
        <v>6.1</v>
      </c>
      <c r="K19" s="1">
        <v>102</v>
      </c>
      <c r="L19" s="13">
        <f t="shared" si="1"/>
        <v>31.088082901554404</v>
      </c>
      <c r="M19" s="1">
        <v>82</v>
      </c>
      <c r="N19" s="13">
        <f t="shared" si="2"/>
        <v>36.656236030397849</v>
      </c>
      <c r="O19" s="1">
        <v>0.28000000000000003</v>
      </c>
      <c r="P19" s="1">
        <v>16.100000000000001</v>
      </c>
      <c r="Q19" s="1">
        <f t="shared" si="3"/>
        <v>157.78000000000003</v>
      </c>
      <c r="R19" s="1">
        <v>13.5</v>
      </c>
      <c r="S19" s="59">
        <f t="shared" si="4"/>
        <v>132.30000000000001</v>
      </c>
      <c r="T19" s="1">
        <v>2.7</v>
      </c>
      <c r="U19" s="96">
        <f t="shared" si="16"/>
        <v>2.9800000000000004</v>
      </c>
      <c r="V19" s="81">
        <f t="shared" si="5"/>
        <v>5.186160000000001</v>
      </c>
      <c r="W19" s="78">
        <f t="shared" si="6"/>
        <v>37.044000000000004</v>
      </c>
      <c r="X19" s="83">
        <f>'Physical characteristics'!$B$5/1000*Calculations!V19*9.81</f>
        <v>4.5788606640000005</v>
      </c>
      <c r="Y19" s="84">
        <f>('Physical characteristics'!$B$5/1000*Calculations!W19^2)/2</f>
        <v>61.75160712000001</v>
      </c>
      <c r="Z19" s="84">
        <f t="shared" si="17"/>
        <v>66.330467784000007</v>
      </c>
      <c r="AA19" s="85">
        <f t="shared" si="7"/>
        <v>3558.3746086828824</v>
      </c>
      <c r="AB19" s="84">
        <f t="shared" si="8"/>
        <v>4.856216196939541</v>
      </c>
      <c r="AC19" s="79">
        <f t="shared" si="9"/>
        <v>4.0561467889908256</v>
      </c>
      <c r="AD19" s="84">
        <f>'Physical characteristics'!$B$5/1000*9.81*L19</f>
        <v>27.447668393782383</v>
      </c>
      <c r="AE19" s="84">
        <f t="shared" si="18"/>
        <v>38.882799390217627</v>
      </c>
      <c r="AF19" s="95">
        <f t="shared" si="10"/>
        <v>35260.445702603058</v>
      </c>
      <c r="AG19" s="80">
        <f t="shared" si="11"/>
        <v>38818.820311285941</v>
      </c>
      <c r="AH19" s="82">
        <f t="shared" si="12"/>
        <v>11.02731364151394</v>
      </c>
      <c r="AI19" s="84">
        <f t="shared" si="13"/>
        <v>52.977160831172185</v>
      </c>
      <c r="AJ19" s="84">
        <f t="shared" si="14"/>
        <v>71.186683980939549</v>
      </c>
      <c r="AK19" s="79">
        <f t="shared" si="15"/>
        <v>66.330467784000007</v>
      </c>
    </row>
    <row r="20" spans="1:37" hidden="1" x14ac:dyDescent="0.2">
      <c r="A20" s="11">
        <v>44810</v>
      </c>
      <c r="B20" s="12">
        <v>0.69236111111111109</v>
      </c>
      <c r="C20" s="5" t="s">
        <v>5</v>
      </c>
      <c r="D20" s="2">
        <v>13</v>
      </c>
      <c r="E20" s="13">
        <f t="shared" si="0"/>
        <v>132.73228961416876</v>
      </c>
      <c r="F20" s="1">
        <v>42</v>
      </c>
      <c r="G20" s="1" t="s">
        <v>27</v>
      </c>
      <c r="H20" s="1" t="s">
        <v>18</v>
      </c>
      <c r="I20" s="1" t="s">
        <v>34</v>
      </c>
      <c r="J20" s="59">
        <v>6.2</v>
      </c>
      <c r="K20" s="1">
        <v>115</v>
      </c>
      <c r="L20" s="13">
        <f t="shared" si="1"/>
        <v>35.050289545870157</v>
      </c>
      <c r="M20" s="1">
        <v>86</v>
      </c>
      <c r="N20" s="13">
        <f t="shared" si="2"/>
        <v>38.444345105051404</v>
      </c>
      <c r="O20" s="1">
        <v>0.25</v>
      </c>
      <c r="P20" s="1">
        <v>19.100000000000001</v>
      </c>
      <c r="Q20" s="1">
        <f t="shared" si="3"/>
        <v>187.18000000000004</v>
      </c>
      <c r="R20" s="1">
        <v>15.7</v>
      </c>
      <c r="S20" s="59">
        <f t="shared" si="4"/>
        <v>153.86000000000001</v>
      </c>
      <c r="T20" s="1">
        <v>2.2000000000000002</v>
      </c>
      <c r="U20" s="96">
        <f t="shared" si="16"/>
        <v>2.4500000000000002</v>
      </c>
      <c r="V20" s="81">
        <f t="shared" si="5"/>
        <v>4.8081250000000004</v>
      </c>
      <c r="W20" s="78">
        <f t="shared" si="6"/>
        <v>38.465000000000003</v>
      </c>
      <c r="X20" s="83">
        <f>'Physical characteristics'!$B$5/1000*Calculations!V20*9.81</f>
        <v>4.2450935625000001</v>
      </c>
      <c r="Y20" s="84">
        <f>('Physical characteristics'!$B$5/1000*Calculations!W20^2)/2</f>
        <v>66.580030125000008</v>
      </c>
      <c r="Z20" s="84">
        <f t="shared" si="17"/>
        <v>70.82512368750001</v>
      </c>
      <c r="AA20" s="85">
        <f t="shared" si="7"/>
        <v>3556.9456371640636</v>
      </c>
      <c r="AB20" s="84">
        <f t="shared" si="8"/>
        <v>4.8542660383986957</v>
      </c>
      <c r="AC20" s="79">
        <f t="shared" si="9"/>
        <v>4.1709989806320085</v>
      </c>
      <c r="AD20" s="84">
        <f>'Physical characteristics'!$B$5/1000*9.81*L20</f>
        <v>30.945900640048762</v>
      </c>
      <c r="AE20" s="84">
        <f>Y20+X20-AD20</f>
        <v>39.879223047451248</v>
      </c>
      <c r="AF20" s="95">
        <f t="shared" si="10"/>
        <v>42862.228287169375</v>
      </c>
      <c r="AG20" s="80">
        <f t="shared" si="11"/>
        <v>46419.173924333438</v>
      </c>
      <c r="AH20" s="82">
        <f t="shared" si="12"/>
        <v>9.3040480257506637</v>
      </c>
      <c r="AI20" s="84">
        <f t="shared" si="13"/>
        <v>63.349582056325566</v>
      </c>
      <c r="AJ20" s="84">
        <f t="shared" si="14"/>
        <v>75.679389725898702</v>
      </c>
      <c r="AK20" s="79">
        <f t="shared" si="15"/>
        <v>70.82512368750001</v>
      </c>
    </row>
    <row r="21" spans="1:37" hidden="1" x14ac:dyDescent="0.2">
      <c r="A21" s="11">
        <v>44814</v>
      </c>
      <c r="B21" s="12">
        <v>0.54861111111111105</v>
      </c>
      <c r="C21" s="74" t="s">
        <v>28</v>
      </c>
      <c r="D21" s="2">
        <v>14</v>
      </c>
      <c r="E21" s="13">
        <f t="shared" si="0"/>
        <v>153.93804002589985</v>
      </c>
      <c r="F21" s="1">
        <v>10</v>
      </c>
      <c r="G21" s="1" t="s">
        <v>27</v>
      </c>
      <c r="H21" s="1" t="s">
        <v>18</v>
      </c>
      <c r="I21" s="1" t="s">
        <v>34</v>
      </c>
      <c r="J21" s="59">
        <v>4.3</v>
      </c>
      <c r="K21" s="1">
        <v>30</v>
      </c>
      <c r="L21" s="13">
        <f t="shared" si="1"/>
        <v>9.1435537945748244</v>
      </c>
      <c r="M21" s="1">
        <v>30</v>
      </c>
      <c r="N21" s="13">
        <f t="shared" si="2"/>
        <v>13.410818059901654</v>
      </c>
      <c r="O21" s="1">
        <v>0.36</v>
      </c>
      <c r="P21" s="1">
        <v>4.4000000000000004</v>
      </c>
      <c r="Q21" s="1">
        <f t="shared" si="3"/>
        <v>43.120000000000005</v>
      </c>
      <c r="R21" s="1">
        <v>3.8</v>
      </c>
      <c r="S21" s="59">
        <f t="shared" si="4"/>
        <v>37.24</v>
      </c>
      <c r="T21" s="1">
        <v>1.1000000000000001</v>
      </c>
      <c r="U21" s="96">
        <f t="shared" si="16"/>
        <v>1.46</v>
      </c>
      <c r="V21" s="81">
        <f t="shared" si="5"/>
        <v>2.4131520000000002</v>
      </c>
      <c r="W21" s="78">
        <f t="shared" si="6"/>
        <v>13.4064</v>
      </c>
      <c r="X21" s="83">
        <f>'Physical characteristics'!$B$5/1000*Calculations!V21*9.81</f>
        <v>2.1305719008000001</v>
      </c>
      <c r="Y21" s="84">
        <f>('Physical characteristics'!$B$5/1000*Calculations!W21^2)/2</f>
        <v>8.0879202431999992</v>
      </c>
      <c r="Z21" s="84">
        <f t="shared" si="17"/>
        <v>10.218492143999999</v>
      </c>
      <c r="AA21" s="85">
        <f t="shared" si="7"/>
        <v>216.85978789687294</v>
      </c>
      <c r="AB21" s="84">
        <f t="shared" si="8"/>
        <v>0.29595479123528123</v>
      </c>
      <c r="AC21" s="79">
        <f t="shared" si="9"/>
        <v>1.7266055045871558</v>
      </c>
      <c r="AD21" s="84">
        <f>'Physical characteristics'!$B$5/1000*9.81*L21</f>
        <v>8.0728436452301118</v>
      </c>
      <c r="AE21" s="84">
        <f>Y21+X21-AD21</f>
        <v>2.1456484987698872</v>
      </c>
      <c r="AF21" s="95">
        <f t="shared" si="10"/>
        <v>238.35298247162382</v>
      </c>
      <c r="AG21" s="80">
        <f t="shared" si="11"/>
        <v>455.21277036849676</v>
      </c>
      <c r="AH21" s="82">
        <f t="shared" si="12"/>
        <v>90.019788152863953</v>
      </c>
      <c r="AI21" s="84">
        <f t="shared" si="13"/>
        <v>0.62124196342988824</v>
      </c>
      <c r="AJ21" s="84">
        <f t="shared" si="14"/>
        <v>10.514446935235281</v>
      </c>
      <c r="AK21" s="79">
        <f t="shared" si="15"/>
        <v>10.218492143999999</v>
      </c>
    </row>
    <row r="22" spans="1:37" hidden="1" x14ac:dyDescent="0.2">
      <c r="A22" s="11">
        <v>44814</v>
      </c>
      <c r="B22" s="12">
        <v>0.55208333333333337</v>
      </c>
      <c r="C22" s="74" t="s">
        <v>28</v>
      </c>
      <c r="D22" s="2">
        <v>14</v>
      </c>
      <c r="E22" s="13">
        <f t="shared" si="0"/>
        <v>153.93804002589985</v>
      </c>
      <c r="F22" s="1">
        <v>20</v>
      </c>
      <c r="G22" s="1" t="s">
        <v>27</v>
      </c>
      <c r="H22" s="1" t="s">
        <v>18</v>
      </c>
      <c r="I22" s="1" t="s">
        <v>34</v>
      </c>
      <c r="J22" s="59">
        <v>5.0999999999999996</v>
      </c>
      <c r="K22" s="1">
        <v>61</v>
      </c>
      <c r="L22" s="13">
        <f t="shared" si="1"/>
        <v>18.591892715635478</v>
      </c>
      <c r="M22" s="1">
        <v>54</v>
      </c>
      <c r="N22" s="13">
        <f t="shared" si="2"/>
        <v>24.139472507822976</v>
      </c>
      <c r="O22" s="1">
        <v>0.3</v>
      </c>
      <c r="P22" s="1">
        <v>11</v>
      </c>
      <c r="Q22" s="1">
        <f t="shared" si="3"/>
        <v>107.80000000000001</v>
      </c>
      <c r="R22" s="1">
        <v>8.3000000000000007</v>
      </c>
      <c r="S22" s="59">
        <f t="shared" si="4"/>
        <v>81.340000000000018</v>
      </c>
      <c r="T22" s="1">
        <v>1.7</v>
      </c>
      <c r="U22" s="96">
        <f t="shared" si="16"/>
        <v>2</v>
      </c>
      <c r="V22" s="81">
        <f t="shared" si="5"/>
        <v>3.6603000000000008</v>
      </c>
      <c r="W22" s="78">
        <f t="shared" si="6"/>
        <v>24.402000000000005</v>
      </c>
      <c r="X22" s="83">
        <f>'Physical characteristics'!$B$5/1000*Calculations!V22*9.81</f>
        <v>3.231678870000001</v>
      </c>
      <c r="Y22" s="84">
        <f>('Physical characteristics'!$B$5/1000*Calculations!W22^2)/2</f>
        <v>26.795592180000007</v>
      </c>
      <c r="Z22" s="84">
        <f t="shared" si="17"/>
        <v>30.027271050000007</v>
      </c>
      <c r="AA22" s="85">
        <f t="shared" si="7"/>
        <v>1089.7767339606005</v>
      </c>
      <c r="AB22" s="84">
        <f t="shared" si="8"/>
        <v>1.4872496598850857</v>
      </c>
      <c r="AC22" s="79">
        <f t="shared" si="9"/>
        <v>2.787461773700306</v>
      </c>
      <c r="AD22" s="84">
        <f>'Physical characteristics'!$B$5/1000*9.81*L22</f>
        <v>16.414782078634563</v>
      </c>
      <c r="AE22" s="84">
        <f>Y22+X22-AD22</f>
        <v>13.612488971365444</v>
      </c>
      <c r="AF22" s="95">
        <f t="shared" si="10"/>
        <v>5402.0083612354847</v>
      </c>
      <c r="AG22" s="80">
        <f t="shared" si="11"/>
        <v>6491.7850951960854</v>
      </c>
      <c r="AH22" s="82">
        <f t="shared" si="12"/>
        <v>25.198940951383779</v>
      </c>
      <c r="AI22" s="84">
        <f t="shared" si="13"/>
        <v>8.8595258771844065</v>
      </c>
      <c r="AJ22" s="84">
        <f t="shared" si="14"/>
        <v>31.514520709885094</v>
      </c>
      <c r="AK22" s="79">
        <f t="shared" si="15"/>
        <v>30.027271050000007</v>
      </c>
    </row>
    <row r="23" spans="1:37" hidden="1" x14ac:dyDescent="0.2">
      <c r="A23" s="11">
        <v>44814</v>
      </c>
      <c r="B23" s="12">
        <v>0.55625000000000002</v>
      </c>
      <c r="C23" s="74" t="s">
        <v>28</v>
      </c>
      <c r="D23" s="2">
        <v>14</v>
      </c>
      <c r="E23" s="13">
        <f t="shared" si="0"/>
        <v>153.93804002589985</v>
      </c>
      <c r="F23" s="1">
        <v>30</v>
      </c>
      <c r="G23" s="1" t="s">
        <v>27</v>
      </c>
      <c r="H23" s="1" t="s">
        <v>18</v>
      </c>
      <c r="I23" s="1" t="s">
        <v>34</v>
      </c>
      <c r="J23" s="59">
        <v>6</v>
      </c>
      <c r="K23" s="1">
        <v>91</v>
      </c>
      <c r="L23" s="13">
        <f t="shared" si="1"/>
        <v>27.735446510210302</v>
      </c>
      <c r="M23" s="1">
        <v>68</v>
      </c>
      <c r="N23" s="13">
        <f t="shared" si="2"/>
        <v>30.397854269110415</v>
      </c>
      <c r="O23" s="1">
        <v>0.25</v>
      </c>
      <c r="P23" s="1">
        <v>15.3</v>
      </c>
      <c r="Q23" s="1">
        <f t="shared" si="3"/>
        <v>149.94000000000003</v>
      </c>
      <c r="R23" s="1">
        <v>12.4</v>
      </c>
      <c r="S23" s="59">
        <f t="shared" si="4"/>
        <v>121.52000000000001</v>
      </c>
      <c r="T23" s="1">
        <v>2.2999999999999998</v>
      </c>
      <c r="U23" s="96">
        <f t="shared" si="16"/>
        <v>2.5499999999999998</v>
      </c>
      <c r="V23" s="81">
        <f t="shared" si="5"/>
        <v>3.7975000000000003</v>
      </c>
      <c r="W23" s="78">
        <f t="shared" si="6"/>
        <v>30.380000000000003</v>
      </c>
      <c r="X23" s="83">
        <f>'Physical characteristics'!$B$5/1000*Calculations!V23*9.81</f>
        <v>3.35281275</v>
      </c>
      <c r="Y23" s="84">
        <f>('Physical characteristics'!$B$5/1000*Calculations!W23^2)/2</f>
        <v>41.532498000000011</v>
      </c>
      <c r="Z23" s="84">
        <f t="shared" si="17"/>
        <v>44.885310750000009</v>
      </c>
      <c r="AA23" s="85">
        <f t="shared" si="7"/>
        <v>1752.4406795000004</v>
      </c>
      <c r="AB23" s="84">
        <f t="shared" si="8"/>
        <v>2.3916062100931148</v>
      </c>
      <c r="AC23" s="79">
        <f t="shared" si="9"/>
        <v>3.3468399592252802</v>
      </c>
      <c r="AD23" s="84">
        <f>'Physical characteristics'!$B$5/1000*9.81*L23</f>
        <v>24.487625723864678</v>
      </c>
      <c r="AE23" s="84">
        <f>Y23+X23-AD23</f>
        <v>20.397685026135331</v>
      </c>
      <c r="AF23" s="95">
        <f t="shared" si="10"/>
        <v>15501.488925946251</v>
      </c>
      <c r="AG23" s="80">
        <f t="shared" si="11"/>
        <v>17253.92960544625</v>
      </c>
      <c r="AH23" s="82">
        <f t="shared" si="12"/>
        <v>13.158532785837025</v>
      </c>
      <c r="AI23" s="84">
        <f t="shared" si="13"/>
        <v>23.546934099171992</v>
      </c>
      <c r="AJ23" s="84">
        <f t="shared" si="14"/>
        <v>47.276916960093125</v>
      </c>
      <c r="AK23" s="79">
        <f t="shared" si="15"/>
        <v>44.885310750000009</v>
      </c>
    </row>
    <row r="24" spans="1:37" hidden="1" x14ac:dyDescent="0.2">
      <c r="A24" s="11">
        <v>44806</v>
      </c>
      <c r="B24" s="12">
        <v>0.74305555555555547</v>
      </c>
      <c r="C24" s="74" t="s">
        <v>28</v>
      </c>
      <c r="D24" s="2">
        <v>14</v>
      </c>
      <c r="E24" s="13">
        <f t="shared" si="0"/>
        <v>153.93804002589985</v>
      </c>
      <c r="F24" s="1">
        <v>40</v>
      </c>
      <c r="G24" s="1" t="s">
        <v>27</v>
      </c>
      <c r="H24" s="1" t="s">
        <v>18</v>
      </c>
      <c r="I24" s="1" t="s">
        <v>34</v>
      </c>
      <c r="J24" s="59">
        <v>6.4</v>
      </c>
      <c r="K24" s="1">
        <v>124</v>
      </c>
      <c r="L24" s="13">
        <f t="shared" si="1"/>
        <v>37.793355684242606</v>
      </c>
      <c r="M24" s="1">
        <v>83</v>
      </c>
      <c r="N24" s="13">
        <f t="shared" si="2"/>
        <v>37.10326329906124</v>
      </c>
      <c r="O24" s="1">
        <v>0.25</v>
      </c>
      <c r="P24" s="1">
        <v>19.600000000000001</v>
      </c>
      <c r="Q24" s="1">
        <f t="shared" si="3"/>
        <v>192.08000000000004</v>
      </c>
      <c r="R24" s="59">
        <v>15.4</v>
      </c>
      <c r="S24" s="59">
        <f t="shared" si="4"/>
        <v>150.92000000000002</v>
      </c>
      <c r="T24" s="59">
        <v>2.7</v>
      </c>
      <c r="U24" s="96">
        <f t="shared" si="16"/>
        <v>2.95</v>
      </c>
      <c r="V24" s="81">
        <f t="shared" si="5"/>
        <v>4.7162500000000005</v>
      </c>
      <c r="W24" s="78">
        <f t="shared" si="6"/>
        <v>37.730000000000004</v>
      </c>
      <c r="X24" s="83">
        <f>'Physical characteristics'!$B$5/1000*Calculations!V24*9.81</f>
        <v>4.1639771250000006</v>
      </c>
      <c r="Y24" s="84">
        <f>('Physical characteristics'!$B$5/1000*Calculations!W24^2)/2</f>
        <v>64.05988050000002</v>
      </c>
      <c r="Z24" s="84">
        <f t="shared" si="17"/>
        <v>68.223857625000022</v>
      </c>
      <c r="AA24" s="85">
        <f t="shared" si="7"/>
        <v>3356.9156823125013</v>
      </c>
      <c r="AB24" s="84">
        <f t="shared" si="8"/>
        <v>4.5812794044864225</v>
      </c>
      <c r="AC24" s="79">
        <f t="shared" si="9"/>
        <v>4.0960754332313964</v>
      </c>
      <c r="AD24" s="84">
        <f>'Physical characteristics'!$B$5/1000*9.81*L24</f>
        <v>33.367753733617796</v>
      </c>
      <c r="AE24" s="84">
        <f>Z24-AD24</f>
        <v>34.856103891382226</v>
      </c>
      <c r="AF24" s="95">
        <f t="shared" si="10"/>
        <v>39468.630638825896</v>
      </c>
      <c r="AG24" s="80">
        <f t="shared" si="11"/>
        <v>42825.546321138398</v>
      </c>
      <c r="AH24" s="82">
        <f t="shared" si="12"/>
        <v>8.8313436081295773</v>
      </c>
      <c r="AI24" s="84">
        <f t="shared" si="13"/>
        <v>58.445255083605765</v>
      </c>
      <c r="AJ24" s="84">
        <f t="shared" si="14"/>
        <v>72.805137029486445</v>
      </c>
      <c r="AK24" s="79">
        <f t="shared" si="15"/>
        <v>68.223857625000022</v>
      </c>
    </row>
    <row r="25" spans="1:37" hidden="1" x14ac:dyDescent="0.2">
      <c r="A25" s="11">
        <v>44806</v>
      </c>
      <c r="B25" s="12">
        <v>0.74861111111111101</v>
      </c>
      <c r="C25" s="74" t="s">
        <v>28</v>
      </c>
      <c r="D25" s="2">
        <v>14</v>
      </c>
      <c r="E25" s="13">
        <f t="shared" si="0"/>
        <v>153.93804002589985</v>
      </c>
      <c r="F25" s="1">
        <v>40</v>
      </c>
      <c r="G25" s="1" t="s">
        <v>27</v>
      </c>
      <c r="H25" s="1" t="s">
        <v>18</v>
      </c>
      <c r="I25" s="1" t="s">
        <v>34</v>
      </c>
      <c r="J25" s="59">
        <v>6.6</v>
      </c>
      <c r="K25" s="1">
        <v>109</v>
      </c>
      <c r="L25" s="13">
        <f t="shared" si="1"/>
        <v>33.221578786955192</v>
      </c>
      <c r="M25" s="1">
        <v>79</v>
      </c>
      <c r="N25" s="13">
        <f t="shared" si="2"/>
        <v>35.315154224407685</v>
      </c>
      <c r="O25" s="78">
        <v>0.24</v>
      </c>
      <c r="P25" s="1">
        <v>18.8</v>
      </c>
      <c r="Q25" s="1">
        <f t="shared" si="3"/>
        <v>184.24</v>
      </c>
      <c r="R25" s="59">
        <v>15.4</v>
      </c>
      <c r="S25" s="59">
        <f t="shared" si="4"/>
        <v>150.92000000000002</v>
      </c>
      <c r="T25" s="59">
        <v>2.6</v>
      </c>
      <c r="U25" s="96">
        <f t="shared" si="16"/>
        <v>2.84</v>
      </c>
      <c r="V25" s="81">
        <f t="shared" si="5"/>
        <v>4.3464960000000001</v>
      </c>
      <c r="W25" s="78">
        <f t="shared" si="6"/>
        <v>36.220800000000004</v>
      </c>
      <c r="X25" s="83">
        <f>'Physical characteristics'!$B$5/1000*Calculations!V25*9.81</f>
        <v>3.8375213183999999</v>
      </c>
      <c r="Y25" s="84">
        <f>('Physical characteristics'!$B$5/1000*Calculations!W25^2)/2</f>
        <v>59.037585868800008</v>
      </c>
      <c r="Z25" s="84">
        <f t="shared" si="17"/>
        <v>62.875107187200008</v>
      </c>
      <c r="AA25" s="85">
        <f t="shared" si="7"/>
        <v>2851.1847869821759</v>
      </c>
      <c r="AB25" s="84">
        <f t="shared" si="8"/>
        <v>3.8910939025993918</v>
      </c>
      <c r="AC25" s="79">
        <f t="shared" si="9"/>
        <v>3.9322324159021411</v>
      </c>
      <c r="AD25" s="84">
        <f>'Physical characteristics'!$B$5/1000*9.81*L25</f>
        <v>29.331331911002739</v>
      </c>
      <c r="AE25" s="84">
        <f>Z25-AD25</f>
        <v>33.543775276197266</v>
      </c>
      <c r="AF25" s="95">
        <f t="shared" si="10"/>
        <v>33522.545660997457</v>
      </c>
      <c r="AG25" s="80">
        <f t="shared" si="11"/>
        <v>36373.730447979629</v>
      </c>
      <c r="AH25" s="82">
        <f t="shared" si="12"/>
        <v>10.006332936470427</v>
      </c>
      <c r="AI25" s="84">
        <f t="shared" si="13"/>
        <v>49.640276353583168</v>
      </c>
      <c r="AJ25" s="84">
        <f t="shared" si="14"/>
        <v>66.766201089799395</v>
      </c>
      <c r="AK25" s="79">
        <f t="shared" si="15"/>
        <v>62.875107187200001</v>
      </c>
    </row>
    <row r="26" spans="1:37" hidden="1" x14ac:dyDescent="0.2">
      <c r="A26" s="11">
        <v>44811</v>
      </c>
      <c r="B26" s="12">
        <v>0.61458333333333337</v>
      </c>
      <c r="C26" s="74" t="s">
        <v>28</v>
      </c>
      <c r="D26" s="2">
        <v>14</v>
      </c>
      <c r="E26" s="13">
        <f t="shared" si="0"/>
        <v>153.93804002589985</v>
      </c>
      <c r="F26" s="1">
        <v>40</v>
      </c>
      <c r="G26" s="1" t="s">
        <v>27</v>
      </c>
      <c r="H26" s="1" t="s">
        <v>18</v>
      </c>
      <c r="I26" s="1" t="s">
        <v>34</v>
      </c>
      <c r="J26" s="59">
        <v>7.2</v>
      </c>
      <c r="K26" s="1">
        <v>111</v>
      </c>
      <c r="L26" s="13">
        <f t="shared" si="1"/>
        <v>33.831149039926849</v>
      </c>
      <c r="M26" s="1">
        <v>79</v>
      </c>
      <c r="N26" s="13">
        <f t="shared" si="2"/>
        <v>35.315154224407685</v>
      </c>
      <c r="O26" s="1">
        <v>0.23</v>
      </c>
      <c r="P26" s="1">
        <v>19.8</v>
      </c>
      <c r="Q26" s="1">
        <f t="shared" si="3"/>
        <v>194.04000000000002</v>
      </c>
      <c r="R26" s="1">
        <v>15.6</v>
      </c>
      <c r="S26" s="59">
        <f t="shared" si="4"/>
        <v>152.88</v>
      </c>
      <c r="T26" s="1">
        <v>2.2999999999999998</v>
      </c>
      <c r="U26" s="96">
        <f t="shared" si="16"/>
        <v>2.5299999999999998</v>
      </c>
      <c r="V26" s="81">
        <f t="shared" si="5"/>
        <v>4.0436760000000005</v>
      </c>
      <c r="W26" s="78">
        <f t="shared" si="6"/>
        <v>35.162399999999998</v>
      </c>
      <c r="X26" s="83">
        <f>'Physical characteristics'!$B$5/1000*Calculations!V26*9.81</f>
        <v>3.5701615404000004</v>
      </c>
      <c r="Y26" s="84">
        <f>('Physical characteristics'!$B$5/1000*Calculations!W26^2)/2</f>
        <v>55.63774681919999</v>
      </c>
      <c r="Z26" s="84">
        <f t="shared" si="17"/>
        <v>59.20790835959999</v>
      </c>
      <c r="AA26" s="85">
        <f t="shared" si="7"/>
        <v>2499.7891278541711</v>
      </c>
      <c r="AB26" s="84">
        <f t="shared" si="8"/>
        <v>3.411534137523589</v>
      </c>
      <c r="AC26" s="79">
        <f t="shared" si="9"/>
        <v>3.8143425076452595</v>
      </c>
      <c r="AD26" s="84">
        <f>'Physical characteristics'!$B$5/1000*9.81*L26</f>
        <v>29.869521487351417</v>
      </c>
      <c r="AE26" s="84">
        <f>Z26-AD26</f>
        <v>29.338386872248574</v>
      </c>
      <c r="AF26" s="95">
        <f t="shared" si="10"/>
        <v>29879.068503631308</v>
      </c>
      <c r="AG26" s="80">
        <f t="shared" si="11"/>
        <v>32378.85763148548</v>
      </c>
      <c r="AH26" s="82">
        <f t="shared" si="12"/>
        <v>9.8190433442337657</v>
      </c>
      <c r="AI26" s="84">
        <f t="shared" si="13"/>
        <v>44.188358495122174</v>
      </c>
      <c r="AJ26" s="84">
        <f t="shared" si="14"/>
        <v>62.619442497123579</v>
      </c>
      <c r="AK26" s="79">
        <f t="shared" si="15"/>
        <v>59.20790835959999</v>
      </c>
    </row>
    <row r="27" spans="1:37" hidden="1" x14ac:dyDescent="0.2">
      <c r="A27" s="11">
        <v>44814</v>
      </c>
      <c r="B27" s="12">
        <v>0.55902777777777779</v>
      </c>
      <c r="C27" s="74" t="s">
        <v>28</v>
      </c>
      <c r="D27" s="2">
        <v>14</v>
      </c>
      <c r="E27" s="13">
        <f t="shared" si="0"/>
        <v>153.93804002589985</v>
      </c>
      <c r="F27" s="1">
        <v>50</v>
      </c>
      <c r="G27" s="1" t="s">
        <v>27</v>
      </c>
      <c r="H27" s="1" t="s">
        <v>18</v>
      </c>
      <c r="I27" s="1" t="s">
        <v>34</v>
      </c>
      <c r="J27" s="59">
        <v>6.5</v>
      </c>
      <c r="K27" s="1">
        <v>123</v>
      </c>
      <c r="L27" s="13">
        <f t="shared" si="1"/>
        <v>37.48857055775678</v>
      </c>
      <c r="M27" s="1">
        <v>92</v>
      </c>
      <c r="N27" s="13">
        <f t="shared" si="2"/>
        <v>41.12650871703174</v>
      </c>
      <c r="O27" s="1">
        <v>0.24</v>
      </c>
      <c r="P27" s="1">
        <v>21.2</v>
      </c>
      <c r="Q27" s="1">
        <f t="shared" si="3"/>
        <v>207.76000000000002</v>
      </c>
      <c r="R27" s="1">
        <v>17.8</v>
      </c>
      <c r="S27" s="59">
        <f t="shared" si="4"/>
        <v>174.44000000000003</v>
      </c>
      <c r="T27" s="1">
        <v>2.5</v>
      </c>
      <c r="U27" s="96">
        <f t="shared" si="16"/>
        <v>2.74</v>
      </c>
      <c r="V27" s="81">
        <f t="shared" si="5"/>
        <v>5.0238720000000008</v>
      </c>
      <c r="W27" s="78">
        <f t="shared" si="6"/>
        <v>41.865600000000008</v>
      </c>
      <c r="X27" s="83">
        <f>'Physical characteristics'!$B$5/1000*Calculations!V27*9.81</f>
        <v>4.4355765888000009</v>
      </c>
      <c r="Y27" s="84">
        <f>('Physical characteristics'!$B$5/1000*Calculations!W27^2)/2</f>
        <v>78.872780851200034</v>
      </c>
      <c r="Z27" s="84">
        <f t="shared" si="17"/>
        <v>83.308357440000037</v>
      </c>
      <c r="AA27" s="85">
        <f t="shared" si="7"/>
        <v>4402.7417253386666</v>
      </c>
      <c r="AB27" s="84">
        <f t="shared" si="8"/>
        <v>6.0085482920656128</v>
      </c>
      <c r="AC27" s="79">
        <f t="shared" si="9"/>
        <v>4.5076452599388386</v>
      </c>
      <c r="AD27" s="84">
        <f>'Physical characteristics'!$B$5/1000*9.81*L27</f>
        <v>33.098658945443461</v>
      </c>
      <c r="AE27" s="84">
        <f>Y27+X27-AD27</f>
        <v>50.209698494556577</v>
      </c>
      <c r="AF27" s="95">
        <f t="shared" si="10"/>
        <v>62107.837114408991</v>
      </c>
      <c r="AG27" s="80">
        <f t="shared" si="11"/>
        <v>66510.578839747657</v>
      </c>
      <c r="AH27" s="82">
        <f t="shared" si="12"/>
        <v>8.0842774160795798</v>
      </c>
      <c r="AI27" s="84">
        <f t="shared" si="13"/>
        <v>90.768900340417005</v>
      </c>
      <c r="AJ27" s="84">
        <f t="shared" si="14"/>
        <v>89.316905732065649</v>
      </c>
      <c r="AK27" s="79">
        <f t="shared" si="15"/>
        <v>83.308357440000037</v>
      </c>
    </row>
    <row r="28" spans="1:37" hidden="1" x14ac:dyDescent="0.2">
      <c r="A28" s="11">
        <v>44814</v>
      </c>
      <c r="B28" s="12">
        <v>0.57152777777777775</v>
      </c>
      <c r="C28" s="74" t="s">
        <v>28</v>
      </c>
      <c r="D28" s="2">
        <v>14</v>
      </c>
      <c r="E28" s="13">
        <f t="shared" si="0"/>
        <v>153.93804002589985</v>
      </c>
      <c r="F28" s="1">
        <v>80</v>
      </c>
      <c r="G28" s="1" t="s">
        <v>27</v>
      </c>
      <c r="H28" s="1" t="s">
        <v>18</v>
      </c>
      <c r="I28" s="1" t="s">
        <v>34</v>
      </c>
      <c r="J28" s="59">
        <v>7.3</v>
      </c>
      <c r="K28" s="1">
        <v>138</v>
      </c>
      <c r="L28" s="13">
        <f t="shared" si="1"/>
        <v>42.060347455044194</v>
      </c>
      <c r="M28" s="1">
        <v>114</v>
      </c>
      <c r="N28" s="13">
        <f t="shared" si="2"/>
        <v>50.961108627626281</v>
      </c>
      <c r="O28" s="1">
        <v>0.28999999999999998</v>
      </c>
      <c r="P28" s="1">
        <v>23.7</v>
      </c>
      <c r="Q28" s="1">
        <f t="shared" si="3"/>
        <v>232.26000000000002</v>
      </c>
      <c r="R28" s="1">
        <v>17.899999999999999</v>
      </c>
      <c r="S28" s="59">
        <f t="shared" si="4"/>
        <v>175.42</v>
      </c>
      <c r="T28" s="1">
        <v>2.6</v>
      </c>
      <c r="U28" s="96">
        <f t="shared" si="16"/>
        <v>2.89</v>
      </c>
      <c r="V28" s="81">
        <f t="shared" si="5"/>
        <v>7.3764109999999992</v>
      </c>
      <c r="W28" s="78">
        <f t="shared" si="6"/>
        <v>50.871799999999993</v>
      </c>
      <c r="X28" s="83">
        <f>'Physical characteristics'!$B$5/1000*Calculations!V28*9.81</f>
        <v>6.5126332718999995</v>
      </c>
      <c r="Y28" s="84">
        <f>('Physical characteristics'!$B$5/1000*Calculations!W28^2)/2</f>
        <v>116.45730158579997</v>
      </c>
      <c r="Z28" s="84">
        <f t="shared" si="17"/>
        <v>122.96993485769997</v>
      </c>
      <c r="AA28" s="85">
        <f t="shared" si="7"/>
        <v>9544.8546716423589</v>
      </c>
      <c r="AB28" s="84">
        <f t="shared" si="8"/>
        <v>13.026137759852279</v>
      </c>
      <c r="AC28" s="79">
        <f t="shared" si="9"/>
        <v>5.4757084607543316</v>
      </c>
      <c r="AD28" s="84">
        <f>'Physical characteristics'!$B$5/1000*9.81*L28</f>
        <v>37.135080768058522</v>
      </c>
      <c r="AE28" s="84">
        <f>Y28+X28-AD28</f>
        <v>85.834854089641453</v>
      </c>
      <c r="AF28" s="95">
        <f t="shared" si="10"/>
        <v>135582.57395749906</v>
      </c>
      <c r="AG28" s="80">
        <f t="shared" si="11"/>
        <v>145127.42862914142</v>
      </c>
      <c r="AH28" s="82">
        <f t="shared" si="12"/>
        <v>6.3308175663155666</v>
      </c>
      <c r="AI28" s="84">
        <f t="shared" si="13"/>
        <v>198.05957692292876</v>
      </c>
      <c r="AJ28" s="84">
        <f t="shared" si="14"/>
        <v>135.99607261755224</v>
      </c>
      <c r="AK28" s="79">
        <f t="shared" si="15"/>
        <v>122.96993485769997</v>
      </c>
    </row>
    <row r="29" spans="1:37" hidden="1" x14ac:dyDescent="0.2">
      <c r="A29" s="11">
        <v>44806</v>
      </c>
      <c r="B29" s="12">
        <v>0.78125</v>
      </c>
      <c r="C29" s="1" t="s">
        <v>2</v>
      </c>
      <c r="D29" s="2">
        <f>Nozzles!$B$4</f>
        <v>14.6</v>
      </c>
      <c r="E29" s="13">
        <f t="shared" si="0"/>
        <v>167.41547250980008</v>
      </c>
      <c r="F29" s="1">
        <v>40</v>
      </c>
      <c r="G29" s="1" t="s">
        <v>27</v>
      </c>
      <c r="H29" s="1" t="s">
        <v>18</v>
      </c>
      <c r="I29" s="1" t="s">
        <v>34</v>
      </c>
      <c r="J29" s="59">
        <v>6.6</v>
      </c>
      <c r="K29" s="1">
        <v>131</v>
      </c>
      <c r="L29" s="13">
        <f t="shared" si="1"/>
        <v>39.926851569643397</v>
      </c>
      <c r="M29" s="1">
        <v>79</v>
      </c>
      <c r="N29" s="13">
        <f t="shared" si="2"/>
        <v>35.315154224407685</v>
      </c>
      <c r="O29" s="1">
        <v>0.21</v>
      </c>
      <c r="P29" s="1">
        <v>21.6</v>
      </c>
      <c r="Q29" s="1">
        <f t="shared" si="3"/>
        <v>211.68000000000004</v>
      </c>
      <c r="R29" s="59">
        <v>17</v>
      </c>
      <c r="S29" s="59">
        <f t="shared" si="4"/>
        <v>166.60000000000002</v>
      </c>
      <c r="T29" s="59">
        <v>2.6</v>
      </c>
      <c r="U29" s="96">
        <f t="shared" si="16"/>
        <v>2.81</v>
      </c>
      <c r="V29" s="81">
        <f t="shared" si="5"/>
        <v>3.67353</v>
      </c>
      <c r="W29" s="78">
        <f t="shared" si="6"/>
        <v>34.986000000000004</v>
      </c>
      <c r="X29" s="83">
        <f>'Physical characteristics'!$B$5/1000*Calculations!V29*9.81</f>
        <v>3.2433596369999997</v>
      </c>
      <c r="Y29" s="84">
        <f>('Physical characteristics'!$B$5/1000*Calculations!W29^2)/2</f>
        <v>55.080908820000019</v>
      </c>
      <c r="Z29" s="84">
        <f t="shared" si="17"/>
        <v>58.324268457000016</v>
      </c>
      <c r="AA29" s="85">
        <f t="shared" si="7"/>
        <v>2248.2374553059403</v>
      </c>
      <c r="AB29" s="84">
        <f t="shared" si="8"/>
        <v>3.0682343332772577</v>
      </c>
      <c r="AC29" s="79">
        <f t="shared" si="9"/>
        <v>3.7763608562691133</v>
      </c>
      <c r="AD29" s="84">
        <f>'Physical characteristics'!$B$5/1000*9.81*L29</f>
        <v>35.251417250838152</v>
      </c>
      <c r="AE29" s="84">
        <f>Z29-AD29</f>
        <v>23.072851206161864</v>
      </c>
      <c r="AF29" s="95">
        <f t="shared" si="10"/>
        <v>29951.250887819486</v>
      </c>
      <c r="AG29" s="80">
        <f t="shared" si="11"/>
        <v>32199.488343125427</v>
      </c>
      <c r="AH29" s="82">
        <f t="shared" si="12"/>
        <v>7.7034683100815284</v>
      </c>
      <c r="AI29" s="84">
        <f t="shared" si="13"/>
        <v>43.94356806714358</v>
      </c>
      <c r="AJ29" s="84">
        <f t="shared" si="14"/>
        <v>61.392502790277277</v>
      </c>
      <c r="AK29" s="79">
        <f t="shared" si="15"/>
        <v>58.324268457000016</v>
      </c>
    </row>
    <row r="30" spans="1:37" hidden="1" x14ac:dyDescent="0.2">
      <c r="A30" s="11">
        <v>44811</v>
      </c>
      <c r="B30" s="12">
        <v>0.60069444444444442</v>
      </c>
      <c r="C30" s="12" t="s">
        <v>2</v>
      </c>
      <c r="D30" s="2">
        <f>Nozzles!$B$4</f>
        <v>14.6</v>
      </c>
      <c r="E30" s="13">
        <f t="shared" si="0"/>
        <v>167.41547250980008</v>
      </c>
      <c r="F30" s="1">
        <v>40</v>
      </c>
      <c r="G30" s="1" t="s">
        <v>27</v>
      </c>
      <c r="H30" s="1" t="s">
        <v>18</v>
      </c>
      <c r="I30" s="1" t="s">
        <v>34</v>
      </c>
      <c r="J30" s="59">
        <v>10.1</v>
      </c>
      <c r="K30" s="1">
        <v>121</v>
      </c>
      <c r="L30" s="13">
        <f t="shared" si="1"/>
        <v>36.879000304785123</v>
      </c>
      <c r="M30" s="1">
        <v>75</v>
      </c>
      <c r="N30" s="13">
        <f t="shared" si="2"/>
        <v>33.52704514975413</v>
      </c>
      <c r="O30" s="1">
        <v>0.21</v>
      </c>
      <c r="P30" s="1">
        <v>21.1</v>
      </c>
      <c r="Q30" s="1">
        <f t="shared" si="3"/>
        <v>206.78000000000003</v>
      </c>
      <c r="R30" s="1">
        <v>16.5</v>
      </c>
      <c r="S30" s="59">
        <f t="shared" si="4"/>
        <v>161.70000000000002</v>
      </c>
      <c r="T30" s="1">
        <v>2.6</v>
      </c>
      <c r="U30" s="96">
        <f t="shared" si="16"/>
        <v>2.81</v>
      </c>
      <c r="V30" s="81">
        <f t="shared" si="5"/>
        <v>3.5654849999999998</v>
      </c>
      <c r="W30" s="78">
        <f t="shared" si="6"/>
        <v>33.957000000000001</v>
      </c>
      <c r="X30" s="83">
        <f>'Physical characteristics'!$B$5/1000*Calculations!V30*9.81</f>
        <v>3.1479667065000001</v>
      </c>
      <c r="Y30" s="84">
        <f>('Physical characteristics'!$B$5/1000*Calculations!W30^2)/2</f>
        <v>51.888503204999999</v>
      </c>
      <c r="Z30" s="84">
        <f t="shared" si="17"/>
        <v>55.036469911499999</v>
      </c>
      <c r="AA30" s="85">
        <f t="shared" si="7"/>
        <v>2055.6408872208826</v>
      </c>
      <c r="AB30" s="84">
        <f t="shared" si="8"/>
        <v>2.8053922561313049</v>
      </c>
      <c r="AC30" s="79">
        <f t="shared" si="9"/>
        <v>3.6714678899082567</v>
      </c>
      <c r="AD30" s="84">
        <f>'Physical characteristics'!$B$5/1000*9.81*L30</f>
        <v>32.560469369094783</v>
      </c>
      <c r="AE30" s="84">
        <f>Z30-AD30</f>
        <v>22.476000542405217</v>
      </c>
      <c r="AF30" s="95">
        <f t="shared" si="10"/>
        <v>26378.940706474314</v>
      </c>
      <c r="AG30" s="80">
        <f t="shared" si="11"/>
        <v>28434.581593695195</v>
      </c>
      <c r="AH30" s="82">
        <f t="shared" si="12"/>
        <v>8.5204333231200682</v>
      </c>
      <c r="AI30" s="84">
        <f t="shared" si="13"/>
        <v>38.805491516142801</v>
      </c>
      <c r="AJ30" s="84">
        <f t="shared" si="14"/>
        <v>57.841862167631305</v>
      </c>
      <c r="AK30" s="79">
        <f t="shared" si="15"/>
        <v>55.036469911499999</v>
      </c>
    </row>
    <row r="31" spans="1:37" hidden="1" x14ac:dyDescent="0.2">
      <c r="A31" s="11">
        <v>44811</v>
      </c>
      <c r="B31" s="12">
        <v>0.60972222222222217</v>
      </c>
      <c r="C31" s="12" t="s">
        <v>2</v>
      </c>
      <c r="D31" s="2">
        <f>Nozzles!$B$4</f>
        <v>14.6</v>
      </c>
      <c r="E31" s="13">
        <f t="shared" si="0"/>
        <v>167.41547250980008</v>
      </c>
      <c r="F31" s="1">
        <v>40</v>
      </c>
      <c r="G31" s="1" t="s">
        <v>27</v>
      </c>
      <c r="H31" s="1" t="s">
        <v>18</v>
      </c>
      <c r="I31" s="1" t="s">
        <v>34</v>
      </c>
      <c r="J31" s="59">
        <v>8.1999999999999993</v>
      </c>
      <c r="K31" s="1">
        <v>129</v>
      </c>
      <c r="L31" s="13">
        <f t="shared" si="1"/>
        <v>39.317281316671746</v>
      </c>
      <c r="M31" s="1">
        <v>77</v>
      </c>
      <c r="N31" s="13">
        <f t="shared" si="2"/>
        <v>34.421099687080911</v>
      </c>
      <c r="O31" s="1">
        <v>0.21</v>
      </c>
      <c r="P31" s="1">
        <v>20.9</v>
      </c>
      <c r="Q31" s="1">
        <f t="shared" si="3"/>
        <v>204.82</v>
      </c>
      <c r="R31" s="1">
        <v>16.600000000000001</v>
      </c>
      <c r="S31" s="59">
        <f t="shared" si="4"/>
        <v>162.68000000000004</v>
      </c>
      <c r="T31" s="1">
        <v>2.9</v>
      </c>
      <c r="U31" s="96">
        <f t="shared" si="16"/>
        <v>3.11</v>
      </c>
      <c r="V31" s="81">
        <f t="shared" si="5"/>
        <v>3.5870940000000004</v>
      </c>
      <c r="W31" s="78">
        <f t="shared" si="6"/>
        <v>34.162800000000004</v>
      </c>
      <c r="X31" s="83">
        <f>'Physical characteristics'!$B$5/1000*Calculations!V31*9.81</f>
        <v>3.1670452926000006</v>
      </c>
      <c r="Y31" s="84">
        <f>('Physical characteristics'!$B$5/1000*Calculations!W31^2)/2</f>
        <v>52.519360672800012</v>
      </c>
      <c r="Z31" s="84">
        <f t="shared" si="17"/>
        <v>55.686405965400013</v>
      </c>
      <c r="AA31" s="85">
        <f t="shared" si="7"/>
        <v>2093.243150591521</v>
      </c>
      <c r="AB31" s="84">
        <f t="shared" si="8"/>
        <v>2.8567091467072721</v>
      </c>
      <c r="AC31" s="79">
        <f t="shared" si="9"/>
        <v>3.6924464831804285</v>
      </c>
      <c r="AD31" s="84">
        <f>'Physical characteristics'!$B$5/1000*9.81*L31</f>
        <v>34.713227674489488</v>
      </c>
      <c r="AE31" s="84">
        <f>Z31-AD31</f>
        <v>20.973178290910525</v>
      </c>
      <c r="AF31" s="95">
        <f t="shared" si="10"/>
        <v>27066.361469763498</v>
      </c>
      <c r="AG31" s="80">
        <f t="shared" si="11"/>
        <v>29159.604620355021</v>
      </c>
      <c r="AH31" s="82">
        <f t="shared" si="12"/>
        <v>7.7487985647203379</v>
      </c>
      <c r="AI31" s="84">
        <f t="shared" si="13"/>
        <v>39.794951298322069</v>
      </c>
      <c r="AJ31" s="84">
        <f t="shared" si="14"/>
        <v>58.543115112107287</v>
      </c>
      <c r="AK31" s="79">
        <f t="shared" si="15"/>
        <v>55.686405965400013</v>
      </c>
    </row>
    <row r="35" spans="33:34" x14ac:dyDescent="0.2">
      <c r="AG35" t="s">
        <v>60</v>
      </c>
      <c r="AH35" s="82">
        <f>MEDIAN(AH2:AH31)</f>
        <v>13.647287683229759</v>
      </c>
    </row>
  </sheetData>
  <autoFilter ref="A1:AK31" xr:uid="{7D4D2F22-222B-4197-8FD8-F6D29546583D}">
    <filterColumn colId="3">
      <filters>
        <filter val="10.0"/>
      </filters>
    </filterColumn>
    <sortState ref="A2:AK31">
      <sortCondition ref="D1:D3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FDA5-13CC-414B-9431-5B4C8C73CE0A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4F13-6C86-2745-9CE8-BC744A744337}">
  <dimension ref="A1:O22"/>
  <sheetViews>
    <sheetView workbookViewId="0">
      <selection activeCell="C2" sqref="C2"/>
    </sheetView>
  </sheetViews>
  <sheetFormatPr baseColWidth="10" defaultColWidth="11.5" defaultRowHeight="15" x14ac:dyDescent="0.2"/>
  <cols>
    <col min="1" max="13" width="16.33203125" customWidth="1"/>
    <col min="14" max="15" width="19.5" customWidth="1"/>
  </cols>
  <sheetData>
    <row r="1" spans="1:15" ht="16" thickBot="1" x14ac:dyDescent="0.25">
      <c r="A1" s="16" t="s">
        <v>17</v>
      </c>
      <c r="B1" s="16" t="s">
        <v>14</v>
      </c>
      <c r="C1" s="16" t="s">
        <v>45</v>
      </c>
      <c r="D1" s="16" t="s">
        <v>25</v>
      </c>
      <c r="E1" s="16" t="s">
        <v>30</v>
      </c>
      <c r="F1" s="16" t="s">
        <v>31</v>
      </c>
      <c r="G1" s="16" t="s">
        <v>23</v>
      </c>
      <c r="H1" s="16" t="s">
        <v>22</v>
      </c>
      <c r="I1" s="16" t="s">
        <v>26</v>
      </c>
      <c r="J1" s="16" t="s">
        <v>21</v>
      </c>
      <c r="K1" s="16" t="s">
        <v>19</v>
      </c>
      <c r="L1" s="16" t="s">
        <v>20</v>
      </c>
      <c r="M1" s="16" t="s">
        <v>24</v>
      </c>
      <c r="N1" s="76" t="s">
        <v>43</v>
      </c>
      <c r="O1" s="76" t="s">
        <v>44</v>
      </c>
    </row>
    <row r="2" spans="1:15" ht="16" thickBot="1" x14ac:dyDescent="0.25">
      <c r="A2" s="38">
        <v>113.09733552923255</v>
      </c>
      <c r="B2" s="39">
        <v>40</v>
      </c>
      <c r="C2" s="39">
        <f>6894.76*B2</f>
        <v>275790.40000000002</v>
      </c>
      <c r="D2" s="39" t="s">
        <v>27</v>
      </c>
      <c r="E2" s="39" t="s">
        <v>18</v>
      </c>
      <c r="F2" s="39" t="s">
        <v>34</v>
      </c>
      <c r="G2" s="67">
        <v>7.4</v>
      </c>
      <c r="H2" s="39">
        <v>97</v>
      </c>
      <c r="I2" s="39">
        <v>75</v>
      </c>
      <c r="J2" s="39">
        <v>0.39</v>
      </c>
      <c r="K2" s="67">
        <v>12.7</v>
      </c>
      <c r="L2" s="67">
        <v>8.8000000000000007</v>
      </c>
      <c r="M2" s="62">
        <v>1.9</v>
      </c>
    </row>
    <row r="3" spans="1:15" ht="16" thickBot="1" x14ac:dyDescent="0.25">
      <c r="A3" s="13">
        <v>113.09733552923255</v>
      </c>
      <c r="B3" s="1">
        <v>40</v>
      </c>
      <c r="C3" s="39">
        <f t="shared" ref="C3:C22" si="0">6894.76*B3</f>
        <v>275790.40000000002</v>
      </c>
      <c r="D3" s="1" t="s">
        <v>27</v>
      </c>
      <c r="E3" s="1" t="s">
        <v>18</v>
      </c>
      <c r="F3" s="1" t="s">
        <v>34</v>
      </c>
      <c r="G3" s="59">
        <v>8.1999999999999993</v>
      </c>
      <c r="H3" s="1">
        <v>110</v>
      </c>
      <c r="I3" s="1">
        <v>78</v>
      </c>
      <c r="J3" s="1">
        <v>0.36</v>
      </c>
      <c r="K3" s="59">
        <v>13.2</v>
      </c>
      <c r="L3" s="59">
        <v>9.9</v>
      </c>
      <c r="M3" s="63">
        <v>2.2000000000000002</v>
      </c>
    </row>
    <row r="4" spans="1:15" ht="16" thickBot="1" x14ac:dyDescent="0.25">
      <c r="A4" s="45">
        <v>113.09733552923255</v>
      </c>
      <c r="B4" s="46">
        <v>40</v>
      </c>
      <c r="C4" s="39">
        <f t="shared" si="0"/>
        <v>275790.40000000002</v>
      </c>
      <c r="D4" s="46" t="s">
        <v>27</v>
      </c>
      <c r="E4" s="46" t="s">
        <v>18</v>
      </c>
      <c r="F4" s="46" t="s">
        <v>34</v>
      </c>
      <c r="G4" s="68">
        <v>5.7</v>
      </c>
      <c r="H4" s="46">
        <v>106</v>
      </c>
      <c r="I4" s="46">
        <v>79</v>
      </c>
      <c r="J4" s="46">
        <v>0.35</v>
      </c>
      <c r="K4" s="68">
        <v>12.8</v>
      </c>
      <c r="L4" s="68">
        <v>10.4</v>
      </c>
      <c r="M4" s="64">
        <v>2.2000000000000002</v>
      </c>
    </row>
    <row r="5" spans="1:15" ht="16" thickBot="1" x14ac:dyDescent="0.25">
      <c r="A5" s="25">
        <v>153.93804002589985</v>
      </c>
      <c r="B5" s="26">
        <v>40</v>
      </c>
      <c r="C5" s="39">
        <f t="shared" si="0"/>
        <v>275790.40000000002</v>
      </c>
      <c r="D5" s="26" t="s">
        <v>27</v>
      </c>
      <c r="E5" s="26" t="s">
        <v>18</v>
      </c>
      <c r="F5" s="26" t="s">
        <v>34</v>
      </c>
      <c r="G5" s="65">
        <v>6.4</v>
      </c>
      <c r="H5" s="26">
        <v>124</v>
      </c>
      <c r="I5" s="26">
        <v>83</v>
      </c>
      <c r="J5" s="26">
        <v>0.25</v>
      </c>
      <c r="K5" s="65">
        <v>19.600000000000001</v>
      </c>
      <c r="L5" s="65">
        <v>15.4</v>
      </c>
      <c r="M5" s="65">
        <v>2.7</v>
      </c>
    </row>
    <row r="6" spans="1:15" ht="16" thickBot="1" x14ac:dyDescent="0.25">
      <c r="A6" s="50">
        <v>153.93804002589985</v>
      </c>
      <c r="B6" s="51">
        <v>40</v>
      </c>
      <c r="C6" s="39">
        <f t="shared" si="0"/>
        <v>275790.40000000002</v>
      </c>
      <c r="D6" s="51" t="s">
        <v>27</v>
      </c>
      <c r="E6" s="51" t="s">
        <v>18</v>
      </c>
      <c r="F6" s="51" t="s">
        <v>34</v>
      </c>
      <c r="G6" s="60">
        <v>6.6</v>
      </c>
      <c r="H6" s="21">
        <v>109</v>
      </c>
      <c r="I6" s="21">
        <v>79</v>
      </c>
      <c r="J6" s="52">
        <v>0.24</v>
      </c>
      <c r="K6" s="60">
        <v>18.8</v>
      </c>
      <c r="L6" s="60">
        <v>15.4</v>
      </c>
      <c r="M6" s="60">
        <v>2.6</v>
      </c>
    </row>
    <row r="7" spans="1:15" ht="16" thickBot="1" x14ac:dyDescent="0.25">
      <c r="A7" s="38">
        <v>50.26548245743669</v>
      </c>
      <c r="B7" s="39">
        <v>40</v>
      </c>
      <c r="C7" s="39">
        <f t="shared" si="0"/>
        <v>275790.40000000002</v>
      </c>
      <c r="D7" s="39" t="s">
        <v>27</v>
      </c>
      <c r="E7" s="39" t="s">
        <v>18</v>
      </c>
      <c r="F7" s="39" t="s">
        <v>34</v>
      </c>
      <c r="G7" s="67">
        <v>7.1</v>
      </c>
      <c r="H7" s="39">
        <v>91</v>
      </c>
      <c r="I7" s="39">
        <v>59</v>
      </c>
      <c r="J7" s="54">
        <v>0.7</v>
      </c>
      <c r="K7" s="67">
        <v>7.8</v>
      </c>
      <c r="L7" s="67">
        <v>3.9</v>
      </c>
      <c r="M7" s="62">
        <v>2</v>
      </c>
    </row>
    <row r="8" spans="1:15" ht="16" thickBot="1" x14ac:dyDescent="0.25">
      <c r="A8" s="45">
        <v>50.26548245743669</v>
      </c>
      <c r="B8" s="46">
        <v>40</v>
      </c>
      <c r="C8" s="39">
        <f t="shared" si="0"/>
        <v>275790.40000000002</v>
      </c>
      <c r="D8" s="46" t="s">
        <v>27</v>
      </c>
      <c r="E8" s="46" t="s">
        <v>18</v>
      </c>
      <c r="F8" s="46" t="s">
        <v>34</v>
      </c>
      <c r="G8" s="68">
        <v>5.2</v>
      </c>
      <c r="H8" s="46">
        <v>78</v>
      </c>
      <c r="I8" s="46">
        <v>59</v>
      </c>
      <c r="J8" s="56">
        <v>0.65</v>
      </c>
      <c r="K8" s="68">
        <v>8.1</v>
      </c>
      <c r="L8" s="68">
        <v>4.0999999999999996</v>
      </c>
      <c r="M8" s="64">
        <v>1.7</v>
      </c>
    </row>
    <row r="9" spans="1:15" ht="16" thickBot="1" x14ac:dyDescent="0.25">
      <c r="A9" s="31">
        <v>167.41547250980008</v>
      </c>
      <c r="B9" s="32">
        <v>40</v>
      </c>
      <c r="C9" s="39">
        <f t="shared" si="0"/>
        <v>275790.40000000002</v>
      </c>
      <c r="D9" s="32" t="s">
        <v>27</v>
      </c>
      <c r="E9" s="32" t="s">
        <v>18</v>
      </c>
      <c r="F9" s="32" t="s">
        <v>34</v>
      </c>
      <c r="G9" s="66">
        <v>6.6</v>
      </c>
      <c r="H9" s="32">
        <v>131</v>
      </c>
      <c r="I9" s="32">
        <v>79</v>
      </c>
      <c r="J9" s="32">
        <v>0.21</v>
      </c>
      <c r="K9" s="66">
        <v>21.6</v>
      </c>
      <c r="L9" s="66">
        <v>17</v>
      </c>
      <c r="M9" s="61">
        <v>2.6</v>
      </c>
    </row>
    <row r="10" spans="1:15" ht="16" thickBot="1" x14ac:dyDescent="0.25">
      <c r="A10" s="13">
        <v>78.539816339744831</v>
      </c>
      <c r="B10" s="1">
        <v>40</v>
      </c>
      <c r="C10" s="39">
        <f t="shared" si="0"/>
        <v>275790.40000000002</v>
      </c>
      <c r="D10" s="1" t="s">
        <v>27</v>
      </c>
      <c r="E10" s="1" t="s">
        <v>18</v>
      </c>
      <c r="F10" s="1" t="s">
        <v>34</v>
      </c>
      <c r="G10" s="59">
        <v>10.7</v>
      </c>
      <c r="H10" s="1">
        <v>116</v>
      </c>
      <c r="I10" s="1">
        <v>71</v>
      </c>
      <c r="J10" s="1">
        <v>0.47</v>
      </c>
      <c r="K10" s="59">
        <v>9.6</v>
      </c>
      <c r="L10" s="1">
        <v>6.9</v>
      </c>
      <c r="M10" s="1">
        <v>2.4</v>
      </c>
    </row>
    <row r="11" spans="1:15" ht="16" thickBot="1" x14ac:dyDescent="0.25">
      <c r="A11" s="13">
        <v>78.539816339744831</v>
      </c>
      <c r="B11" s="1">
        <v>40</v>
      </c>
      <c r="C11" s="39">
        <f t="shared" si="0"/>
        <v>275790.40000000002</v>
      </c>
      <c r="D11" s="1" t="s">
        <v>27</v>
      </c>
      <c r="E11" s="1" t="s">
        <v>18</v>
      </c>
      <c r="F11" s="1" t="s">
        <v>34</v>
      </c>
      <c r="G11" s="59">
        <v>6.6</v>
      </c>
      <c r="H11" s="1">
        <v>115</v>
      </c>
      <c r="I11" s="1">
        <v>75</v>
      </c>
      <c r="J11" s="1">
        <v>0.5</v>
      </c>
      <c r="K11" s="59">
        <v>9.1</v>
      </c>
      <c r="L11" s="1">
        <v>6.9</v>
      </c>
      <c r="M11" s="1">
        <v>2.2999999999999998</v>
      </c>
    </row>
    <row r="12" spans="1:15" ht="16" thickBot="1" x14ac:dyDescent="0.25">
      <c r="A12" s="13">
        <v>63.617251235193308</v>
      </c>
      <c r="B12" s="1">
        <v>40</v>
      </c>
      <c r="C12" s="39">
        <f t="shared" si="0"/>
        <v>275790.40000000002</v>
      </c>
      <c r="D12" s="1" t="s">
        <v>27</v>
      </c>
      <c r="E12" s="1" t="s">
        <v>18</v>
      </c>
      <c r="F12" s="1" t="s">
        <v>32</v>
      </c>
      <c r="G12" s="59">
        <v>4.9000000000000004</v>
      </c>
      <c r="H12" s="1">
        <v>75</v>
      </c>
      <c r="I12" s="1">
        <v>68</v>
      </c>
      <c r="J12" s="1">
        <v>0.59</v>
      </c>
      <c r="K12" s="59">
        <v>7.2</v>
      </c>
      <c r="L12" s="1">
        <v>5.3</v>
      </c>
      <c r="M12" s="1">
        <v>1.8</v>
      </c>
    </row>
    <row r="13" spans="1:15" ht="16" thickBot="1" x14ac:dyDescent="0.25">
      <c r="A13" s="13">
        <v>63.617251235193308</v>
      </c>
      <c r="B13" s="1">
        <v>40</v>
      </c>
      <c r="C13" s="39">
        <f t="shared" si="0"/>
        <v>275790.40000000002</v>
      </c>
      <c r="D13" s="1" t="s">
        <v>27</v>
      </c>
      <c r="E13" s="1" t="s">
        <v>18</v>
      </c>
      <c r="F13" s="1" t="s">
        <v>34</v>
      </c>
      <c r="G13" s="59">
        <v>5.7</v>
      </c>
      <c r="H13" s="1">
        <v>61</v>
      </c>
      <c r="I13" s="1">
        <v>56</v>
      </c>
      <c r="J13" s="1">
        <v>0.66</v>
      </c>
      <c r="K13" s="59">
        <v>6.5</v>
      </c>
      <c r="L13" s="1">
        <v>4.5</v>
      </c>
      <c r="M13" s="1">
        <v>1.6</v>
      </c>
    </row>
    <row r="14" spans="1:15" ht="16" thickBot="1" x14ac:dyDescent="0.25">
      <c r="A14" s="13">
        <v>63.617251235193308</v>
      </c>
      <c r="B14" s="1">
        <v>40</v>
      </c>
      <c r="C14" s="39">
        <f t="shared" si="0"/>
        <v>275790.40000000002</v>
      </c>
      <c r="D14" s="1" t="s">
        <v>27</v>
      </c>
      <c r="E14" s="1" t="s">
        <v>18</v>
      </c>
      <c r="F14" s="1" t="s">
        <v>34</v>
      </c>
      <c r="G14" s="59">
        <v>5.0999999999999996</v>
      </c>
      <c r="H14" s="1">
        <v>67</v>
      </c>
      <c r="I14" s="1">
        <v>74</v>
      </c>
      <c r="J14" s="1">
        <v>0.62</v>
      </c>
      <c r="K14" s="59">
        <v>10.16</v>
      </c>
      <c r="L14" s="1">
        <v>5.5</v>
      </c>
      <c r="M14" s="1">
        <v>1.7</v>
      </c>
    </row>
    <row r="15" spans="1:15" ht="16" thickBot="1" x14ac:dyDescent="0.25">
      <c r="A15" s="13">
        <v>95.033177771091246</v>
      </c>
      <c r="B15" s="1">
        <v>40</v>
      </c>
      <c r="C15" s="39">
        <f t="shared" si="0"/>
        <v>275790.40000000002</v>
      </c>
      <c r="D15" s="1" t="s">
        <v>27</v>
      </c>
      <c r="E15" s="1" t="s">
        <v>18</v>
      </c>
      <c r="F15" s="1" t="s">
        <v>34</v>
      </c>
      <c r="G15" s="59">
        <v>7.3</v>
      </c>
      <c r="H15" s="1">
        <v>102</v>
      </c>
      <c r="I15" s="1">
        <v>71</v>
      </c>
      <c r="J15" s="1">
        <v>0.38</v>
      </c>
      <c r="K15" s="59">
        <v>10.7</v>
      </c>
      <c r="L15" s="1">
        <v>8.5</v>
      </c>
      <c r="M15" s="1">
        <v>2.2999999999999998</v>
      </c>
    </row>
    <row r="16" spans="1:15" ht="16" thickBot="1" x14ac:dyDescent="0.25">
      <c r="A16" s="13">
        <v>95.033177771091246</v>
      </c>
      <c r="B16" s="1">
        <v>40</v>
      </c>
      <c r="C16" s="39">
        <f t="shared" si="0"/>
        <v>275790.40000000002</v>
      </c>
      <c r="D16" s="1" t="s">
        <v>27</v>
      </c>
      <c r="E16" s="1" t="s">
        <v>18</v>
      </c>
      <c r="F16" s="1" t="s">
        <v>34</v>
      </c>
      <c r="G16" s="59">
        <v>6.2</v>
      </c>
      <c r="H16" s="1">
        <v>106</v>
      </c>
      <c r="I16" s="1">
        <v>70</v>
      </c>
      <c r="J16" s="1">
        <v>0.38</v>
      </c>
      <c r="K16" s="59">
        <v>11</v>
      </c>
      <c r="L16" s="1">
        <v>8.4</v>
      </c>
      <c r="M16" s="1">
        <v>2.5</v>
      </c>
    </row>
    <row r="17" spans="1:13" ht="16" thickBot="1" x14ac:dyDescent="0.25">
      <c r="A17" s="13">
        <v>132.73228961416876</v>
      </c>
      <c r="B17" s="1">
        <v>40</v>
      </c>
      <c r="C17" s="39">
        <f t="shared" si="0"/>
        <v>275790.40000000002</v>
      </c>
      <c r="D17" s="1" t="s">
        <v>27</v>
      </c>
      <c r="E17" s="1" t="s">
        <v>18</v>
      </c>
      <c r="F17" s="1" t="s">
        <v>34</v>
      </c>
      <c r="G17" s="59">
        <v>6.4</v>
      </c>
      <c r="H17" s="1">
        <v>106</v>
      </c>
      <c r="I17" s="1">
        <v>81</v>
      </c>
      <c r="J17" s="1">
        <v>0.26</v>
      </c>
      <c r="K17" s="59">
        <v>17.600000000000001</v>
      </c>
      <c r="L17" s="1">
        <v>14.4</v>
      </c>
      <c r="M17" s="1">
        <v>2.4</v>
      </c>
    </row>
    <row r="18" spans="1:13" ht="16" thickBot="1" x14ac:dyDescent="0.25">
      <c r="A18" s="13">
        <v>132.73228961416876</v>
      </c>
      <c r="B18" s="1">
        <v>40</v>
      </c>
      <c r="C18" s="39">
        <f t="shared" si="0"/>
        <v>275790.40000000002</v>
      </c>
      <c r="D18" s="1" t="s">
        <v>27</v>
      </c>
      <c r="E18" s="1" t="s">
        <v>18</v>
      </c>
      <c r="F18" s="1" t="s">
        <v>34</v>
      </c>
      <c r="G18" s="59">
        <v>6.1</v>
      </c>
      <c r="H18" s="1">
        <v>102</v>
      </c>
      <c r="I18" s="1">
        <v>82</v>
      </c>
      <c r="J18" s="1">
        <v>0.28000000000000003</v>
      </c>
      <c r="K18" s="59">
        <v>16.100000000000001</v>
      </c>
      <c r="L18" s="1">
        <v>13.5</v>
      </c>
      <c r="M18" s="1">
        <v>2.7</v>
      </c>
    </row>
    <row r="19" spans="1:13" ht="16" thickBot="1" x14ac:dyDescent="0.25">
      <c r="A19" s="13">
        <v>167.41547250980008</v>
      </c>
      <c r="B19" s="1">
        <v>40</v>
      </c>
      <c r="C19" s="39">
        <f t="shared" si="0"/>
        <v>275790.40000000002</v>
      </c>
      <c r="D19" s="1" t="s">
        <v>27</v>
      </c>
      <c r="E19" s="1" t="s">
        <v>18</v>
      </c>
      <c r="F19" s="1" t="s">
        <v>34</v>
      </c>
      <c r="G19" s="59">
        <v>10.1</v>
      </c>
      <c r="H19" s="1">
        <v>121</v>
      </c>
      <c r="I19" s="1">
        <v>75</v>
      </c>
      <c r="J19" s="1">
        <v>0.21</v>
      </c>
      <c r="K19" s="59">
        <v>21.1</v>
      </c>
      <c r="L19" s="1">
        <v>16.5</v>
      </c>
      <c r="M19" s="1">
        <v>2.6</v>
      </c>
    </row>
    <row r="20" spans="1:13" ht="16" thickBot="1" x14ac:dyDescent="0.25">
      <c r="A20" s="13">
        <v>153.93804002589985</v>
      </c>
      <c r="B20" s="1">
        <v>40</v>
      </c>
      <c r="C20" s="39">
        <f t="shared" si="0"/>
        <v>275790.40000000002</v>
      </c>
      <c r="D20" s="1" t="s">
        <v>27</v>
      </c>
      <c r="E20" s="1" t="s">
        <v>18</v>
      </c>
      <c r="F20" s="1" t="s">
        <v>34</v>
      </c>
      <c r="G20" s="59">
        <v>7.2</v>
      </c>
      <c r="H20" s="1">
        <v>111</v>
      </c>
      <c r="I20" s="1">
        <v>79</v>
      </c>
      <c r="J20" s="1">
        <v>0.23</v>
      </c>
      <c r="K20" s="59">
        <v>19.8</v>
      </c>
      <c r="L20" s="1">
        <v>15.6</v>
      </c>
      <c r="M20" s="1">
        <v>2.2999999999999998</v>
      </c>
    </row>
    <row r="21" spans="1:13" ht="16" thickBot="1" x14ac:dyDescent="0.25">
      <c r="A21" s="38">
        <v>50.26548245743669</v>
      </c>
      <c r="B21" s="1">
        <v>40</v>
      </c>
      <c r="C21" s="39">
        <f t="shared" si="0"/>
        <v>275790.40000000002</v>
      </c>
      <c r="D21" s="1" t="s">
        <v>27</v>
      </c>
      <c r="E21" s="1" t="s">
        <v>18</v>
      </c>
      <c r="F21" s="1" t="s">
        <v>34</v>
      </c>
      <c r="G21" s="59">
        <v>2.9</v>
      </c>
      <c r="H21" s="1">
        <v>49</v>
      </c>
      <c r="I21" s="1">
        <v>68</v>
      </c>
      <c r="J21" s="1">
        <v>0.72</v>
      </c>
      <c r="K21" s="59">
        <v>7.6</v>
      </c>
      <c r="L21" s="1">
        <v>4.0999999999999996</v>
      </c>
      <c r="M21" s="1">
        <v>0.1</v>
      </c>
    </row>
    <row r="22" spans="1:13" x14ac:dyDescent="0.2">
      <c r="A22" s="13">
        <v>167.41547250980008</v>
      </c>
      <c r="B22" s="39">
        <v>40</v>
      </c>
      <c r="C22" s="39">
        <f t="shared" si="0"/>
        <v>275790.40000000002</v>
      </c>
      <c r="D22" s="1" t="s">
        <v>27</v>
      </c>
      <c r="E22" s="1" t="s">
        <v>18</v>
      </c>
      <c r="F22" s="1" t="s">
        <v>34</v>
      </c>
      <c r="G22" s="59">
        <v>8.1999999999999993</v>
      </c>
      <c r="H22" s="1">
        <v>129</v>
      </c>
      <c r="I22" s="1">
        <v>77</v>
      </c>
      <c r="J22" s="1">
        <v>0.21</v>
      </c>
      <c r="K22" s="59">
        <v>20.9</v>
      </c>
      <c r="L22" s="1">
        <v>16.600000000000001</v>
      </c>
      <c r="M22" s="1">
        <v>2.9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4AA9-72BD-4A84-A184-C2C88263314D}">
  <sheetPr filterMode="1"/>
  <dimension ref="A1:P48"/>
  <sheetViews>
    <sheetView topLeftCell="E11" workbookViewId="0">
      <selection activeCell="U83" sqref="U83"/>
    </sheetView>
  </sheetViews>
  <sheetFormatPr baseColWidth="10" defaultColWidth="8.83203125" defaultRowHeight="15" x14ac:dyDescent="0.2"/>
  <cols>
    <col min="1" max="1" width="9.6640625" hidden="1" customWidth="1"/>
    <col min="2" max="2" width="5.5" hidden="1" customWidth="1"/>
    <col min="3" max="3" width="11.5" hidden="1" customWidth="1"/>
    <col min="4" max="4" width="20.6640625" hidden="1" customWidth="1"/>
    <col min="5" max="5" width="25.5" bestFit="1" customWidth="1"/>
    <col min="6" max="6" width="13.5" bestFit="1" customWidth="1"/>
    <col min="7" max="7" width="34.5" bestFit="1" customWidth="1"/>
    <col min="8" max="8" width="19.5" bestFit="1" customWidth="1"/>
    <col min="9" max="9" width="13.83203125" bestFit="1" customWidth="1"/>
    <col min="10" max="11" width="11.33203125" bestFit="1" customWidth="1"/>
    <col min="12" max="12" width="22" bestFit="1" customWidth="1"/>
    <col min="13" max="13" width="11.1640625" bestFit="1" customWidth="1"/>
    <col min="14" max="14" width="20.1640625" bestFit="1" customWidth="1"/>
    <col min="15" max="15" width="23.33203125" bestFit="1" customWidth="1"/>
    <col min="16" max="16" width="18.5" bestFit="1" customWidth="1"/>
  </cols>
  <sheetData>
    <row r="1" spans="1:16" ht="16" thickBot="1" x14ac:dyDescent="0.25">
      <c r="A1" s="16" t="s">
        <v>12</v>
      </c>
      <c r="B1" s="16" t="s">
        <v>13</v>
      </c>
      <c r="C1" s="16" t="s">
        <v>15</v>
      </c>
      <c r="D1" s="16" t="s">
        <v>16</v>
      </c>
      <c r="E1" s="16" t="s">
        <v>17</v>
      </c>
      <c r="F1" s="16" t="s">
        <v>14</v>
      </c>
      <c r="G1" s="16" t="s">
        <v>25</v>
      </c>
      <c r="H1" s="16" t="s">
        <v>30</v>
      </c>
      <c r="I1" s="16" t="s">
        <v>31</v>
      </c>
      <c r="J1" s="16" t="s">
        <v>23</v>
      </c>
      <c r="K1" s="16" t="s">
        <v>22</v>
      </c>
      <c r="L1" s="16" t="s">
        <v>26</v>
      </c>
      <c r="M1" s="16" t="s">
        <v>21</v>
      </c>
      <c r="N1" s="16" t="s">
        <v>19</v>
      </c>
      <c r="O1" s="16" t="s">
        <v>20</v>
      </c>
      <c r="P1" s="16" t="s">
        <v>24</v>
      </c>
    </row>
    <row r="2" spans="1:16" ht="16" hidden="1" thickBot="1" x14ac:dyDescent="0.25">
      <c r="A2" s="11">
        <v>44806</v>
      </c>
      <c r="B2" s="12">
        <v>0.67708333333333337</v>
      </c>
      <c r="C2" s="12" t="s">
        <v>2</v>
      </c>
      <c r="D2" s="2">
        <f>Nozzles!$B$4</f>
        <v>14.6</v>
      </c>
      <c r="E2" s="13">
        <f t="shared" ref="E2:E45" si="0">PI()*(D2/2)^2</f>
        <v>167.41547250980008</v>
      </c>
      <c r="F2" s="1">
        <v>40</v>
      </c>
      <c r="G2" s="1" t="s">
        <v>18</v>
      </c>
      <c r="H2" s="1" t="s">
        <v>18</v>
      </c>
      <c r="I2" s="1" t="s">
        <v>32</v>
      </c>
      <c r="J2" s="59">
        <v>5.4</v>
      </c>
      <c r="K2" s="1">
        <v>52</v>
      </c>
      <c r="L2" s="1">
        <v>76</v>
      </c>
      <c r="M2" s="1">
        <v>0.21</v>
      </c>
      <c r="N2" s="59">
        <v>21.4</v>
      </c>
      <c r="O2" s="59">
        <v>16.8</v>
      </c>
      <c r="P2" s="59">
        <v>1.2</v>
      </c>
    </row>
    <row r="3" spans="1:16" ht="16" hidden="1" thickBot="1" x14ac:dyDescent="0.25">
      <c r="A3" s="11">
        <v>44806</v>
      </c>
      <c r="B3" s="12">
        <v>0.81180555555555556</v>
      </c>
      <c r="C3" s="12" t="s">
        <v>2</v>
      </c>
      <c r="D3" s="2">
        <f>Nozzles!$B$4</f>
        <v>14.6</v>
      </c>
      <c r="E3" s="13">
        <f t="shared" si="0"/>
        <v>167.41547250980008</v>
      </c>
      <c r="F3" s="1">
        <v>40</v>
      </c>
      <c r="G3" s="1" t="s">
        <v>18</v>
      </c>
      <c r="H3" s="1" t="s">
        <v>18</v>
      </c>
      <c r="I3" s="1" t="s">
        <v>33</v>
      </c>
      <c r="J3" s="59">
        <v>4.9000000000000004</v>
      </c>
      <c r="K3" s="1">
        <v>59</v>
      </c>
      <c r="L3" s="1">
        <v>25</v>
      </c>
      <c r="M3" s="1">
        <v>0.79</v>
      </c>
      <c r="N3" s="1">
        <v>7.6</v>
      </c>
      <c r="O3" s="59">
        <v>1.4</v>
      </c>
      <c r="P3" s="59"/>
    </row>
    <row r="4" spans="1:16" ht="16" hidden="1" thickBot="1" x14ac:dyDescent="0.25">
      <c r="A4" s="17">
        <v>44806</v>
      </c>
      <c r="B4" s="18">
        <v>0.69513888888888886</v>
      </c>
      <c r="C4" s="18" t="s">
        <v>2</v>
      </c>
      <c r="D4" s="19">
        <f>Nozzles!$B$4</f>
        <v>14.6</v>
      </c>
      <c r="E4" s="20">
        <f t="shared" si="0"/>
        <v>167.41547250980008</v>
      </c>
      <c r="F4" s="21">
        <v>40</v>
      </c>
      <c r="G4" s="21" t="s">
        <v>18</v>
      </c>
      <c r="H4" s="21" t="s">
        <v>18</v>
      </c>
      <c r="I4" s="21" t="s">
        <v>32</v>
      </c>
      <c r="J4" s="60">
        <v>4.7</v>
      </c>
      <c r="K4" s="21">
        <v>56</v>
      </c>
      <c r="L4" s="21">
        <v>79</v>
      </c>
      <c r="M4" s="21">
        <v>0.22</v>
      </c>
      <c r="N4" s="60">
        <v>21.1</v>
      </c>
      <c r="O4" s="60">
        <v>16.5</v>
      </c>
      <c r="P4" s="60">
        <v>1.1000000000000001</v>
      </c>
    </row>
    <row r="5" spans="1:16" ht="16" hidden="1" thickBot="1" x14ac:dyDescent="0.25">
      <c r="A5" s="27">
        <v>44806</v>
      </c>
      <c r="B5" s="28">
        <v>0.71527777777777779</v>
      </c>
      <c r="C5" s="29" t="s">
        <v>11</v>
      </c>
      <c r="D5" s="30">
        <v>6</v>
      </c>
      <c r="E5" s="31">
        <f t="shared" si="0"/>
        <v>28.274333882308138</v>
      </c>
      <c r="F5" s="32">
        <v>60</v>
      </c>
      <c r="G5" s="32" t="s">
        <v>18</v>
      </c>
      <c r="H5" s="32" t="s">
        <v>18</v>
      </c>
      <c r="I5" s="32" t="s">
        <v>32</v>
      </c>
      <c r="J5" s="32">
        <v>5.4</v>
      </c>
      <c r="K5" s="32">
        <v>41</v>
      </c>
      <c r="L5" s="32">
        <v>64</v>
      </c>
      <c r="M5" s="32">
        <v>0.93</v>
      </c>
      <c r="N5" s="32">
        <v>11.3</v>
      </c>
      <c r="O5" s="66">
        <v>3.2</v>
      </c>
      <c r="P5" s="61">
        <v>2.1</v>
      </c>
    </row>
    <row r="6" spans="1:16" x14ac:dyDescent="0.2">
      <c r="A6" s="34">
        <v>44806</v>
      </c>
      <c r="B6" s="35">
        <v>0.7284722222222223</v>
      </c>
      <c r="C6" s="36" t="s">
        <v>6</v>
      </c>
      <c r="D6" s="37">
        <v>12</v>
      </c>
      <c r="E6" s="38">
        <f t="shared" si="0"/>
        <v>113.09733552923255</v>
      </c>
      <c r="F6" s="39">
        <v>40</v>
      </c>
      <c r="G6" s="39" t="s">
        <v>27</v>
      </c>
      <c r="H6" s="39" t="s">
        <v>18</v>
      </c>
      <c r="I6" s="39" t="s">
        <v>34</v>
      </c>
      <c r="J6" s="67">
        <v>7.4</v>
      </c>
      <c r="K6" s="39">
        <v>97</v>
      </c>
      <c r="L6" s="39">
        <v>75</v>
      </c>
      <c r="M6" s="39">
        <v>0.39</v>
      </c>
      <c r="N6" s="67">
        <v>12.7</v>
      </c>
      <c r="O6" s="67">
        <v>8.8000000000000007</v>
      </c>
      <c r="P6" s="62">
        <v>1.9</v>
      </c>
    </row>
    <row r="7" spans="1:16" x14ac:dyDescent="0.2">
      <c r="A7" s="40">
        <v>44806</v>
      </c>
      <c r="B7" s="12">
        <v>0.73333333333333339</v>
      </c>
      <c r="C7" s="15" t="s">
        <v>6</v>
      </c>
      <c r="D7" s="2">
        <v>12</v>
      </c>
      <c r="E7" s="13">
        <f t="shared" si="0"/>
        <v>113.09733552923255</v>
      </c>
      <c r="F7" s="1">
        <v>40</v>
      </c>
      <c r="G7" s="1" t="s">
        <v>27</v>
      </c>
      <c r="H7" s="1" t="s">
        <v>18</v>
      </c>
      <c r="I7" s="1" t="s">
        <v>34</v>
      </c>
      <c r="J7" s="59">
        <v>8.1999999999999993</v>
      </c>
      <c r="K7" s="1">
        <v>110</v>
      </c>
      <c r="L7" s="1">
        <v>78</v>
      </c>
      <c r="M7" s="1">
        <v>0.36</v>
      </c>
      <c r="N7" s="59">
        <v>13.2</v>
      </c>
      <c r="O7" s="59">
        <v>9.9</v>
      </c>
      <c r="P7" s="63">
        <v>2.2000000000000002</v>
      </c>
    </row>
    <row r="8" spans="1:16" ht="16" thickBot="1" x14ac:dyDescent="0.25">
      <c r="A8" s="41">
        <v>44806</v>
      </c>
      <c r="B8" s="42">
        <v>0.73749999999999993</v>
      </c>
      <c r="C8" s="43" t="s">
        <v>6</v>
      </c>
      <c r="D8" s="44">
        <v>12</v>
      </c>
      <c r="E8" s="45">
        <f t="shared" si="0"/>
        <v>113.09733552923255</v>
      </c>
      <c r="F8" s="46">
        <v>40</v>
      </c>
      <c r="G8" s="46" t="s">
        <v>27</v>
      </c>
      <c r="H8" s="46" t="s">
        <v>18</v>
      </c>
      <c r="I8" s="46" t="s">
        <v>34</v>
      </c>
      <c r="J8" s="68">
        <v>5.7</v>
      </c>
      <c r="K8" s="46">
        <v>106</v>
      </c>
      <c r="L8" s="46">
        <v>79</v>
      </c>
      <c r="M8" s="46">
        <v>0.35</v>
      </c>
      <c r="N8" s="68">
        <v>12.8</v>
      </c>
      <c r="O8" s="68">
        <v>10.4</v>
      </c>
      <c r="P8" s="64">
        <v>2.2000000000000002</v>
      </c>
    </row>
    <row r="9" spans="1:16" x14ac:dyDescent="0.2">
      <c r="A9" s="22">
        <v>44806</v>
      </c>
      <c r="B9" s="23">
        <v>0.74305555555555547</v>
      </c>
      <c r="C9" s="33" t="s">
        <v>28</v>
      </c>
      <c r="D9" s="24">
        <v>14</v>
      </c>
      <c r="E9" s="25">
        <f t="shared" si="0"/>
        <v>153.93804002589985</v>
      </c>
      <c r="F9" s="26">
        <v>40</v>
      </c>
      <c r="G9" s="26" t="s">
        <v>27</v>
      </c>
      <c r="H9" s="26" t="s">
        <v>18</v>
      </c>
      <c r="I9" s="26" t="s">
        <v>34</v>
      </c>
      <c r="J9" s="65">
        <v>6.4</v>
      </c>
      <c r="K9" s="26">
        <v>124</v>
      </c>
      <c r="L9" s="26">
        <v>83</v>
      </c>
      <c r="M9" s="26">
        <v>0.25</v>
      </c>
      <c r="N9" s="65">
        <v>19.600000000000001</v>
      </c>
      <c r="O9" s="65">
        <v>15.4</v>
      </c>
      <c r="P9" s="65">
        <v>2.7</v>
      </c>
    </row>
    <row r="10" spans="1:16" ht="16" thickBot="1" x14ac:dyDescent="0.25">
      <c r="A10" s="17">
        <v>44806</v>
      </c>
      <c r="B10" s="47">
        <v>0.74861111111111101</v>
      </c>
      <c r="C10" s="48" t="s">
        <v>28</v>
      </c>
      <c r="D10" s="49">
        <v>14</v>
      </c>
      <c r="E10" s="50">
        <f t="shared" si="0"/>
        <v>153.93804002589985</v>
      </c>
      <c r="F10" s="51">
        <v>40</v>
      </c>
      <c r="G10" s="51" t="s">
        <v>27</v>
      </c>
      <c r="H10" s="51" t="s">
        <v>18</v>
      </c>
      <c r="I10" s="51" t="s">
        <v>34</v>
      </c>
      <c r="J10" s="60">
        <v>6.6</v>
      </c>
      <c r="K10" s="21">
        <v>109</v>
      </c>
      <c r="L10" s="21">
        <v>79</v>
      </c>
      <c r="M10" s="52">
        <v>0.24</v>
      </c>
      <c r="N10" s="60">
        <v>18.8</v>
      </c>
      <c r="O10" s="60">
        <v>15.4</v>
      </c>
      <c r="P10" s="60">
        <v>2.6</v>
      </c>
    </row>
    <row r="11" spans="1:16" x14ac:dyDescent="0.2">
      <c r="A11" s="34">
        <v>44806</v>
      </c>
      <c r="B11" s="35">
        <v>0.75347222222222221</v>
      </c>
      <c r="C11" s="53" t="s">
        <v>29</v>
      </c>
      <c r="D11" s="37">
        <v>8</v>
      </c>
      <c r="E11" s="38">
        <f t="shared" si="0"/>
        <v>50.26548245743669</v>
      </c>
      <c r="F11" s="39">
        <v>40</v>
      </c>
      <c r="G11" s="39" t="s">
        <v>27</v>
      </c>
      <c r="H11" s="39" t="s">
        <v>18</v>
      </c>
      <c r="I11" s="39" t="s">
        <v>34</v>
      </c>
      <c r="J11" s="67">
        <v>7.1</v>
      </c>
      <c r="K11" s="39">
        <v>91</v>
      </c>
      <c r="L11" s="39">
        <v>59</v>
      </c>
      <c r="M11" s="54">
        <v>0.7</v>
      </c>
      <c r="N11" s="67">
        <v>7.8</v>
      </c>
      <c r="O11" s="67">
        <v>3.9</v>
      </c>
      <c r="P11" s="62">
        <v>2</v>
      </c>
    </row>
    <row r="12" spans="1:16" ht="16" thickBot="1" x14ac:dyDescent="0.25">
      <c r="A12" s="41">
        <v>44806</v>
      </c>
      <c r="B12" s="42">
        <v>0.76041666666666663</v>
      </c>
      <c r="C12" s="55" t="s">
        <v>29</v>
      </c>
      <c r="D12" s="44">
        <v>8</v>
      </c>
      <c r="E12" s="45">
        <f t="shared" si="0"/>
        <v>50.26548245743669</v>
      </c>
      <c r="F12" s="46">
        <v>40</v>
      </c>
      <c r="G12" s="46" t="s">
        <v>27</v>
      </c>
      <c r="H12" s="46" t="s">
        <v>18</v>
      </c>
      <c r="I12" s="46" t="s">
        <v>34</v>
      </c>
      <c r="J12" s="68">
        <v>5.2</v>
      </c>
      <c r="K12" s="46">
        <v>78</v>
      </c>
      <c r="L12" s="46">
        <v>59</v>
      </c>
      <c r="M12" s="56">
        <v>0.65</v>
      </c>
      <c r="N12" s="68">
        <v>8.1</v>
      </c>
      <c r="O12" s="68">
        <v>4.0999999999999996</v>
      </c>
      <c r="P12" s="64">
        <v>1.7</v>
      </c>
    </row>
    <row r="13" spans="1:16" ht="16" hidden="1" thickBot="1" x14ac:dyDescent="0.25">
      <c r="A13" s="34">
        <v>44806</v>
      </c>
      <c r="B13" s="35">
        <v>0.76527777777777783</v>
      </c>
      <c r="C13" s="57" t="s">
        <v>11</v>
      </c>
      <c r="D13" s="37">
        <v>6</v>
      </c>
      <c r="E13" s="38">
        <f t="shared" si="0"/>
        <v>28.274333882308138</v>
      </c>
      <c r="F13" s="39">
        <v>40</v>
      </c>
      <c r="G13" s="39" t="s">
        <v>27</v>
      </c>
      <c r="H13" s="39" t="s">
        <v>27</v>
      </c>
      <c r="I13" s="39" t="s">
        <v>32</v>
      </c>
      <c r="J13" s="67">
        <v>2.2000000000000002</v>
      </c>
      <c r="K13" s="39">
        <v>32</v>
      </c>
      <c r="L13" s="39">
        <v>51</v>
      </c>
      <c r="M13" s="39">
        <v>1.27</v>
      </c>
      <c r="N13" s="39">
        <v>6.3</v>
      </c>
      <c r="O13" s="67">
        <v>1.8</v>
      </c>
      <c r="P13" s="62"/>
    </row>
    <row r="14" spans="1:16" ht="16" hidden="1" thickBot="1" x14ac:dyDescent="0.25">
      <c r="A14" s="40">
        <v>44806</v>
      </c>
      <c r="B14" s="12">
        <v>0.77083333333333337</v>
      </c>
      <c r="C14" s="14" t="s">
        <v>11</v>
      </c>
      <c r="D14" s="2">
        <v>6</v>
      </c>
      <c r="E14" s="13">
        <f t="shared" si="0"/>
        <v>28.274333882308138</v>
      </c>
      <c r="F14" s="1">
        <v>40</v>
      </c>
      <c r="G14" s="1" t="s">
        <v>27</v>
      </c>
      <c r="H14" s="1" t="s">
        <v>27</v>
      </c>
      <c r="I14" s="1" t="s">
        <v>32</v>
      </c>
      <c r="J14" s="59">
        <v>5.2</v>
      </c>
      <c r="K14" s="1">
        <v>44</v>
      </c>
      <c r="L14" s="1">
        <v>49</v>
      </c>
      <c r="M14" s="1">
        <v>1.6</v>
      </c>
      <c r="N14" s="1">
        <v>10.4</v>
      </c>
      <c r="O14" s="59">
        <v>2.1</v>
      </c>
      <c r="P14" s="63"/>
    </row>
    <row r="15" spans="1:16" ht="16" hidden="1" thickBot="1" x14ac:dyDescent="0.25">
      <c r="A15" s="41">
        <v>44806</v>
      </c>
      <c r="B15" s="42">
        <v>0.77569444444444446</v>
      </c>
      <c r="C15" s="58" t="s">
        <v>11</v>
      </c>
      <c r="D15" s="44">
        <v>6</v>
      </c>
      <c r="E15" s="45">
        <f t="shared" si="0"/>
        <v>28.274333882308138</v>
      </c>
      <c r="F15" s="46">
        <v>40</v>
      </c>
      <c r="G15" s="46" t="s">
        <v>27</v>
      </c>
      <c r="H15" s="46" t="s">
        <v>27</v>
      </c>
      <c r="I15" s="46" t="s">
        <v>33</v>
      </c>
      <c r="J15" s="68">
        <v>1.4</v>
      </c>
      <c r="K15" s="46">
        <v>28</v>
      </c>
      <c r="L15" s="46"/>
      <c r="M15" s="46">
        <v>1.24</v>
      </c>
      <c r="N15" s="46">
        <v>10.1</v>
      </c>
      <c r="O15" s="68"/>
      <c r="P15" s="64"/>
    </row>
    <row r="16" spans="1:16" ht="16" thickBot="1" x14ac:dyDescent="0.25">
      <c r="A16" s="27">
        <v>44806</v>
      </c>
      <c r="B16" s="28">
        <v>0.78125</v>
      </c>
      <c r="C16" s="32" t="s">
        <v>2</v>
      </c>
      <c r="D16" s="30">
        <f>Nozzles!$B$4</f>
        <v>14.6</v>
      </c>
      <c r="E16" s="31">
        <f t="shared" si="0"/>
        <v>167.41547250980008</v>
      </c>
      <c r="F16" s="32">
        <v>40</v>
      </c>
      <c r="G16" s="32" t="s">
        <v>27</v>
      </c>
      <c r="H16" s="32" t="s">
        <v>18</v>
      </c>
      <c r="I16" s="32" t="s">
        <v>34</v>
      </c>
      <c r="J16" s="66">
        <v>6.6</v>
      </c>
      <c r="K16" s="32">
        <v>131</v>
      </c>
      <c r="L16" s="32">
        <v>79</v>
      </c>
      <c r="M16" s="32">
        <v>0.21</v>
      </c>
      <c r="N16" s="66">
        <v>21.6</v>
      </c>
      <c r="O16" s="66">
        <v>17</v>
      </c>
      <c r="P16" s="61">
        <v>2.6</v>
      </c>
    </row>
    <row r="17" spans="1:16" hidden="1" x14ac:dyDescent="0.2">
      <c r="A17" s="11">
        <v>44809</v>
      </c>
      <c r="B17" s="12">
        <v>0.47083333333333338</v>
      </c>
      <c r="C17" s="70" t="s">
        <v>8</v>
      </c>
      <c r="D17" s="2">
        <v>10</v>
      </c>
      <c r="E17" s="13">
        <f t="shared" si="0"/>
        <v>78.539816339744831</v>
      </c>
      <c r="F17" s="1">
        <v>42</v>
      </c>
      <c r="G17" s="1" t="s">
        <v>27</v>
      </c>
      <c r="H17" s="1" t="s">
        <v>18</v>
      </c>
      <c r="I17" s="1" t="s">
        <v>34</v>
      </c>
      <c r="J17" s="1">
        <v>7.3</v>
      </c>
      <c r="K17" s="1">
        <v>118</v>
      </c>
      <c r="L17" s="1">
        <v>76</v>
      </c>
      <c r="M17" s="1">
        <v>0.48</v>
      </c>
      <c r="N17" s="1">
        <v>10.6</v>
      </c>
      <c r="O17" s="1">
        <v>7.3</v>
      </c>
      <c r="P17" s="1">
        <v>2.2000000000000002</v>
      </c>
    </row>
    <row r="18" spans="1:16" x14ac:dyDescent="0.2">
      <c r="A18" s="11">
        <v>44809</v>
      </c>
      <c r="B18" s="12">
        <v>0.48194444444444445</v>
      </c>
      <c r="C18" s="70" t="s">
        <v>8</v>
      </c>
      <c r="D18" s="2">
        <v>10</v>
      </c>
      <c r="E18" s="13">
        <f t="shared" si="0"/>
        <v>78.539816339744831</v>
      </c>
      <c r="F18" s="1">
        <v>40</v>
      </c>
      <c r="G18" s="1" t="s">
        <v>27</v>
      </c>
      <c r="H18" s="1" t="s">
        <v>18</v>
      </c>
      <c r="I18" s="1" t="s">
        <v>34</v>
      </c>
      <c r="J18" s="59">
        <v>10.7</v>
      </c>
      <c r="K18" s="1">
        <v>116</v>
      </c>
      <c r="L18" s="1">
        <v>71</v>
      </c>
      <c r="M18" s="1">
        <v>0.47</v>
      </c>
      <c r="N18" s="59">
        <v>9.6</v>
      </c>
      <c r="O18" s="1">
        <v>6.9</v>
      </c>
      <c r="P18" s="1">
        <v>2.4</v>
      </c>
    </row>
    <row r="19" spans="1:16" x14ac:dyDescent="0.2">
      <c r="A19" s="11">
        <v>44809</v>
      </c>
      <c r="B19" s="12">
        <v>0.48402777777777778</v>
      </c>
      <c r="C19" s="70" t="s">
        <v>8</v>
      </c>
      <c r="D19" s="2">
        <v>10</v>
      </c>
      <c r="E19" s="13">
        <f t="shared" si="0"/>
        <v>78.539816339744831</v>
      </c>
      <c r="F19" s="1">
        <v>40</v>
      </c>
      <c r="G19" s="1" t="s">
        <v>27</v>
      </c>
      <c r="H19" s="1" t="s">
        <v>18</v>
      </c>
      <c r="I19" s="1" t="s">
        <v>34</v>
      </c>
      <c r="J19" s="59">
        <v>6.6</v>
      </c>
      <c r="K19" s="1">
        <v>115</v>
      </c>
      <c r="L19" s="1">
        <v>75</v>
      </c>
      <c r="M19" s="1">
        <v>0.5</v>
      </c>
      <c r="N19" s="59">
        <v>9.1</v>
      </c>
      <c r="O19" s="1">
        <v>6.9</v>
      </c>
      <c r="P19" s="1">
        <v>2.2999999999999998</v>
      </c>
    </row>
    <row r="20" spans="1:16" x14ac:dyDescent="0.2">
      <c r="A20" s="11">
        <v>44809</v>
      </c>
      <c r="B20" s="12">
        <v>0.48888888888888887</v>
      </c>
      <c r="C20" s="71" t="s">
        <v>9</v>
      </c>
      <c r="D20" s="72">
        <v>9</v>
      </c>
      <c r="E20" s="13">
        <f t="shared" si="0"/>
        <v>63.617251235193308</v>
      </c>
      <c r="F20" s="1">
        <v>40</v>
      </c>
      <c r="G20" s="1" t="s">
        <v>27</v>
      </c>
      <c r="H20" s="1" t="s">
        <v>18</v>
      </c>
      <c r="I20" s="1" t="s">
        <v>32</v>
      </c>
      <c r="J20" s="59">
        <v>4.9000000000000004</v>
      </c>
      <c r="K20" s="1">
        <v>75</v>
      </c>
      <c r="L20" s="1">
        <v>68</v>
      </c>
      <c r="M20" s="1">
        <v>0.59</v>
      </c>
      <c r="N20" s="59">
        <v>7.2</v>
      </c>
      <c r="O20" s="1">
        <v>5.3</v>
      </c>
      <c r="P20" s="1">
        <v>1.8</v>
      </c>
    </row>
    <row r="21" spans="1:16" x14ac:dyDescent="0.2">
      <c r="A21" s="11">
        <v>44810</v>
      </c>
      <c r="B21" s="12">
        <v>0.64930555555555558</v>
      </c>
      <c r="C21" s="71" t="s">
        <v>9</v>
      </c>
      <c r="D21" s="72">
        <v>9</v>
      </c>
      <c r="E21" s="13">
        <f t="shared" si="0"/>
        <v>63.617251235193308</v>
      </c>
      <c r="F21" s="1">
        <v>40</v>
      </c>
      <c r="G21" s="1" t="s">
        <v>27</v>
      </c>
      <c r="H21" s="1" t="s">
        <v>18</v>
      </c>
      <c r="I21" s="1" t="s">
        <v>34</v>
      </c>
      <c r="J21" s="59">
        <v>5.7</v>
      </c>
      <c r="K21" s="1">
        <v>61</v>
      </c>
      <c r="L21" s="1">
        <v>56</v>
      </c>
      <c r="M21" s="1">
        <v>0.66</v>
      </c>
      <c r="N21" s="59">
        <v>6.5</v>
      </c>
      <c r="O21" s="1">
        <v>4.5</v>
      </c>
      <c r="P21" s="1">
        <v>1.6</v>
      </c>
    </row>
    <row r="22" spans="1:16" x14ac:dyDescent="0.2">
      <c r="A22" s="11">
        <v>44810</v>
      </c>
      <c r="B22" s="12">
        <v>0.65555555555555556</v>
      </c>
      <c r="C22" s="71" t="s">
        <v>9</v>
      </c>
      <c r="D22" s="72">
        <v>9</v>
      </c>
      <c r="E22" s="13">
        <f t="shared" si="0"/>
        <v>63.617251235193308</v>
      </c>
      <c r="F22" s="1">
        <v>40</v>
      </c>
      <c r="G22" s="1" t="s">
        <v>27</v>
      </c>
      <c r="H22" s="1" t="s">
        <v>18</v>
      </c>
      <c r="I22" s="1" t="s">
        <v>34</v>
      </c>
      <c r="J22" s="59">
        <v>5.0999999999999996</v>
      </c>
      <c r="K22" s="1">
        <v>67</v>
      </c>
      <c r="L22" s="1">
        <v>74</v>
      </c>
      <c r="M22" s="1">
        <v>0.62</v>
      </c>
      <c r="N22" s="59">
        <v>10.16</v>
      </c>
      <c r="O22" s="1">
        <v>5.5</v>
      </c>
      <c r="P22" s="1">
        <v>1.7</v>
      </c>
    </row>
    <row r="23" spans="1:16" hidden="1" x14ac:dyDescent="0.2">
      <c r="A23" s="11">
        <v>44810</v>
      </c>
      <c r="B23" s="12">
        <v>0.66111111111111109</v>
      </c>
      <c r="C23" s="73" t="s">
        <v>35</v>
      </c>
      <c r="D23" s="2">
        <v>7</v>
      </c>
      <c r="E23" s="13">
        <f t="shared" si="0"/>
        <v>38.484510006474963</v>
      </c>
      <c r="F23" s="1">
        <v>40</v>
      </c>
      <c r="G23" s="1" t="s">
        <v>27</v>
      </c>
      <c r="H23" s="1" t="s">
        <v>18</v>
      </c>
      <c r="I23" s="1" t="s">
        <v>33</v>
      </c>
      <c r="J23" s="59">
        <v>2.7</v>
      </c>
      <c r="K23" s="1">
        <v>35</v>
      </c>
      <c r="L23" s="1">
        <v>59</v>
      </c>
      <c r="M23" s="1">
        <v>1.8</v>
      </c>
      <c r="N23" s="1">
        <v>8.1</v>
      </c>
      <c r="O23" s="1">
        <v>2.5</v>
      </c>
      <c r="P23" s="1">
        <v>-0.1</v>
      </c>
    </row>
    <row r="24" spans="1:16" hidden="1" x14ac:dyDescent="0.2">
      <c r="A24" s="11">
        <v>44810</v>
      </c>
      <c r="B24" s="12">
        <v>0.66319444444444442</v>
      </c>
      <c r="C24" s="73" t="s">
        <v>35</v>
      </c>
      <c r="D24" s="2">
        <v>7</v>
      </c>
      <c r="E24" s="13">
        <f t="shared" si="0"/>
        <v>38.484510006474963</v>
      </c>
      <c r="F24" s="1">
        <v>40</v>
      </c>
      <c r="G24" s="1" t="s">
        <v>27</v>
      </c>
      <c r="H24" s="1" t="s">
        <v>27</v>
      </c>
      <c r="I24" s="1" t="s">
        <v>33</v>
      </c>
      <c r="J24" s="59">
        <v>2.1</v>
      </c>
      <c r="K24" s="1">
        <v>23</v>
      </c>
      <c r="L24" s="1">
        <v>45</v>
      </c>
      <c r="M24" s="1">
        <v>1.3</v>
      </c>
      <c r="N24" s="1">
        <v>6.9</v>
      </c>
      <c r="O24" s="1">
        <v>1.6</v>
      </c>
      <c r="P24" s="1">
        <v>-0.4</v>
      </c>
    </row>
    <row r="25" spans="1:16" hidden="1" x14ac:dyDescent="0.2">
      <c r="A25" s="11">
        <v>44810</v>
      </c>
      <c r="B25" s="12">
        <v>0.67013888888888884</v>
      </c>
      <c r="C25" s="73" t="s">
        <v>35</v>
      </c>
      <c r="D25" s="2">
        <v>7</v>
      </c>
      <c r="E25" s="13">
        <f t="shared" si="0"/>
        <v>38.484510006474963</v>
      </c>
      <c r="F25" s="1">
        <v>40</v>
      </c>
      <c r="G25" s="1" t="s">
        <v>27</v>
      </c>
      <c r="H25" s="1" t="s">
        <v>27</v>
      </c>
      <c r="I25" s="1" t="s">
        <v>33</v>
      </c>
      <c r="J25" s="59">
        <v>2.9</v>
      </c>
      <c r="K25" s="1">
        <v>39</v>
      </c>
      <c r="L25" s="1">
        <v>60</v>
      </c>
      <c r="M25" s="1">
        <v>1.6</v>
      </c>
      <c r="N25" s="1">
        <v>9.4</v>
      </c>
      <c r="O25" s="1">
        <v>2.6</v>
      </c>
      <c r="P25" s="1">
        <v>-0.1</v>
      </c>
    </row>
    <row r="26" spans="1:16" x14ac:dyDescent="0.2">
      <c r="A26" s="11">
        <v>44810</v>
      </c>
      <c r="B26" s="12">
        <v>0.6791666666666667</v>
      </c>
      <c r="C26" s="1" t="s">
        <v>7</v>
      </c>
      <c r="D26" s="72">
        <v>11</v>
      </c>
      <c r="E26" s="13">
        <f t="shared" si="0"/>
        <v>95.033177771091246</v>
      </c>
      <c r="F26" s="1">
        <v>40</v>
      </c>
      <c r="G26" s="1" t="s">
        <v>27</v>
      </c>
      <c r="H26" s="1" t="s">
        <v>18</v>
      </c>
      <c r="I26" s="1" t="s">
        <v>34</v>
      </c>
      <c r="J26" s="59">
        <v>7.3</v>
      </c>
      <c r="K26" s="1">
        <v>102</v>
      </c>
      <c r="L26" s="1">
        <v>71</v>
      </c>
      <c r="M26" s="1">
        <v>0.38</v>
      </c>
      <c r="N26" s="59">
        <v>10.7</v>
      </c>
      <c r="O26" s="1">
        <v>8.5</v>
      </c>
      <c r="P26" s="1">
        <v>2.2999999999999998</v>
      </c>
    </row>
    <row r="27" spans="1:16" hidden="1" x14ac:dyDescent="0.2">
      <c r="A27" s="11">
        <v>44810</v>
      </c>
      <c r="B27" s="12">
        <v>0.68333333333333324</v>
      </c>
      <c r="C27" s="1" t="s">
        <v>7</v>
      </c>
      <c r="D27" s="72">
        <v>11</v>
      </c>
      <c r="E27" s="13">
        <f t="shared" si="0"/>
        <v>95.033177771091246</v>
      </c>
      <c r="F27" s="1">
        <v>40</v>
      </c>
      <c r="G27" s="1" t="s">
        <v>27</v>
      </c>
      <c r="H27" s="1" t="s">
        <v>18</v>
      </c>
      <c r="I27" s="1" t="s">
        <v>33</v>
      </c>
      <c r="J27" s="59">
        <v>5</v>
      </c>
      <c r="K27" s="1">
        <v>66</v>
      </c>
      <c r="L27" s="1">
        <v>70</v>
      </c>
      <c r="M27" s="1">
        <v>0.39</v>
      </c>
      <c r="N27" s="1">
        <v>11.1</v>
      </c>
      <c r="O27" s="1">
        <v>8.1999999999999993</v>
      </c>
      <c r="P27" s="1">
        <v>2.1</v>
      </c>
    </row>
    <row r="28" spans="1:16" x14ac:dyDescent="0.2">
      <c r="A28" s="11">
        <v>44810</v>
      </c>
      <c r="B28" s="12">
        <v>0.6875</v>
      </c>
      <c r="C28" s="1" t="s">
        <v>7</v>
      </c>
      <c r="D28" s="72">
        <v>11</v>
      </c>
      <c r="E28" s="13">
        <f t="shared" si="0"/>
        <v>95.033177771091246</v>
      </c>
      <c r="F28" s="1">
        <v>40</v>
      </c>
      <c r="G28" s="1" t="s">
        <v>27</v>
      </c>
      <c r="H28" s="1" t="s">
        <v>18</v>
      </c>
      <c r="I28" s="1" t="s">
        <v>34</v>
      </c>
      <c r="J28" s="59">
        <v>6.2</v>
      </c>
      <c r="K28" s="1">
        <v>106</v>
      </c>
      <c r="L28" s="1">
        <v>70</v>
      </c>
      <c r="M28" s="1">
        <v>0.38</v>
      </c>
      <c r="N28" s="59">
        <v>11</v>
      </c>
      <c r="O28" s="1">
        <v>8.4</v>
      </c>
      <c r="P28" s="1">
        <v>2.5</v>
      </c>
    </row>
    <row r="29" spans="1:16" hidden="1" x14ac:dyDescent="0.2">
      <c r="A29" s="11">
        <v>44810</v>
      </c>
      <c r="B29" s="12">
        <v>0.69236111111111109</v>
      </c>
      <c r="C29" s="5" t="s">
        <v>5</v>
      </c>
      <c r="D29" s="2">
        <v>13</v>
      </c>
      <c r="E29" s="13">
        <f t="shared" si="0"/>
        <v>132.73228961416876</v>
      </c>
      <c r="F29" s="1">
        <v>42</v>
      </c>
      <c r="G29" s="1" t="s">
        <v>27</v>
      </c>
      <c r="H29" s="1" t="s">
        <v>18</v>
      </c>
      <c r="I29" s="1" t="s">
        <v>34</v>
      </c>
      <c r="J29" s="59">
        <v>6.2</v>
      </c>
      <c r="K29" s="1">
        <v>115</v>
      </c>
      <c r="L29" s="1">
        <v>86</v>
      </c>
      <c r="M29" s="1">
        <v>0.25</v>
      </c>
      <c r="N29" s="1">
        <v>19.100000000000001</v>
      </c>
      <c r="O29" s="1">
        <v>15.7</v>
      </c>
      <c r="P29" s="1">
        <v>2.2000000000000002</v>
      </c>
    </row>
    <row r="30" spans="1:16" x14ac:dyDescent="0.2">
      <c r="A30" s="11">
        <v>44810</v>
      </c>
      <c r="B30" s="12">
        <v>0.69930555555555562</v>
      </c>
      <c r="C30" s="5" t="s">
        <v>5</v>
      </c>
      <c r="D30" s="2">
        <v>13</v>
      </c>
      <c r="E30" s="13">
        <f t="shared" si="0"/>
        <v>132.73228961416876</v>
      </c>
      <c r="F30" s="1">
        <v>40</v>
      </c>
      <c r="G30" s="1" t="s">
        <v>27</v>
      </c>
      <c r="H30" s="1" t="s">
        <v>18</v>
      </c>
      <c r="I30" s="1" t="s">
        <v>34</v>
      </c>
      <c r="J30" s="59">
        <v>6.4</v>
      </c>
      <c r="K30" s="1">
        <v>106</v>
      </c>
      <c r="L30" s="1">
        <v>81</v>
      </c>
      <c r="M30" s="1">
        <v>0.26</v>
      </c>
      <c r="N30" s="59">
        <v>17.600000000000001</v>
      </c>
      <c r="O30" s="1">
        <v>14.4</v>
      </c>
      <c r="P30" s="1">
        <v>2.4</v>
      </c>
    </row>
    <row r="31" spans="1:16" x14ac:dyDescent="0.2">
      <c r="A31" s="11">
        <v>44810</v>
      </c>
      <c r="B31" s="12">
        <v>0.70486111111111116</v>
      </c>
      <c r="C31" s="5" t="s">
        <v>5</v>
      </c>
      <c r="D31" s="2">
        <v>13</v>
      </c>
      <c r="E31" s="13">
        <f t="shared" si="0"/>
        <v>132.73228961416876</v>
      </c>
      <c r="F31" s="1">
        <v>40</v>
      </c>
      <c r="G31" s="1" t="s">
        <v>27</v>
      </c>
      <c r="H31" s="1" t="s">
        <v>18</v>
      </c>
      <c r="I31" s="1" t="s">
        <v>34</v>
      </c>
      <c r="J31" s="59">
        <v>6.1</v>
      </c>
      <c r="K31" s="1">
        <v>102</v>
      </c>
      <c r="L31" s="1">
        <v>82</v>
      </c>
      <c r="M31" s="1">
        <v>0.28000000000000003</v>
      </c>
      <c r="N31" s="59">
        <v>16.100000000000001</v>
      </c>
      <c r="O31" s="1">
        <v>13.5</v>
      </c>
      <c r="P31" s="1">
        <v>2.7</v>
      </c>
    </row>
    <row r="32" spans="1:16" x14ac:dyDescent="0.2">
      <c r="A32" s="11">
        <v>44811</v>
      </c>
      <c r="B32" s="12">
        <v>0.60069444444444442</v>
      </c>
      <c r="C32" s="12" t="s">
        <v>2</v>
      </c>
      <c r="D32" s="2">
        <f>Nozzles!$B$4</f>
        <v>14.6</v>
      </c>
      <c r="E32" s="13">
        <f t="shared" si="0"/>
        <v>167.41547250980008</v>
      </c>
      <c r="F32" s="1">
        <v>40</v>
      </c>
      <c r="G32" s="1" t="s">
        <v>27</v>
      </c>
      <c r="H32" s="1" t="s">
        <v>18</v>
      </c>
      <c r="I32" s="1" t="s">
        <v>34</v>
      </c>
      <c r="J32" s="59">
        <v>10.1</v>
      </c>
      <c r="K32" s="1">
        <v>121</v>
      </c>
      <c r="L32" s="1">
        <v>75</v>
      </c>
      <c r="M32" s="1">
        <v>0.21</v>
      </c>
      <c r="N32" s="59">
        <v>21.1</v>
      </c>
      <c r="O32" s="1">
        <v>16.5</v>
      </c>
      <c r="P32" s="1">
        <v>2.6</v>
      </c>
    </row>
    <row r="33" spans="1:16" ht="16" thickBot="1" x14ac:dyDescent="0.25">
      <c r="A33" s="11">
        <v>44811</v>
      </c>
      <c r="B33" s="12">
        <v>0.61458333333333337</v>
      </c>
      <c r="C33" s="74" t="s">
        <v>28</v>
      </c>
      <c r="D33" s="2">
        <v>14</v>
      </c>
      <c r="E33" s="13">
        <f t="shared" si="0"/>
        <v>153.93804002589985</v>
      </c>
      <c r="F33" s="1">
        <v>40</v>
      </c>
      <c r="G33" s="1" t="s">
        <v>27</v>
      </c>
      <c r="H33" s="1" t="s">
        <v>18</v>
      </c>
      <c r="I33" s="1" t="s">
        <v>34</v>
      </c>
      <c r="J33" s="59">
        <v>7.2</v>
      </c>
      <c r="K33" s="1">
        <v>111</v>
      </c>
      <c r="L33" s="1">
        <v>79</v>
      </c>
      <c r="M33" s="1">
        <v>0.23</v>
      </c>
      <c r="N33" s="59">
        <v>19.8</v>
      </c>
      <c r="O33" s="1">
        <v>15.6</v>
      </c>
      <c r="P33" s="1">
        <v>2.2999999999999998</v>
      </c>
    </row>
    <row r="34" spans="1:16" ht="16" thickBot="1" x14ac:dyDescent="0.25">
      <c r="A34" s="34">
        <v>44806</v>
      </c>
      <c r="B34" s="35">
        <v>0.60486111111111118</v>
      </c>
      <c r="C34" s="53" t="s">
        <v>29</v>
      </c>
      <c r="D34" s="37">
        <v>8</v>
      </c>
      <c r="E34" s="38">
        <f t="shared" si="0"/>
        <v>50.26548245743669</v>
      </c>
      <c r="F34" s="1">
        <v>40</v>
      </c>
      <c r="G34" s="1" t="s">
        <v>27</v>
      </c>
      <c r="H34" s="1" t="s">
        <v>18</v>
      </c>
      <c r="I34" s="1" t="s">
        <v>34</v>
      </c>
      <c r="J34" s="59">
        <v>2.9</v>
      </c>
      <c r="K34" s="1">
        <v>49</v>
      </c>
      <c r="L34" s="1">
        <v>68</v>
      </c>
      <c r="M34" s="1">
        <v>0.72</v>
      </c>
      <c r="N34" s="59">
        <v>7.6</v>
      </c>
      <c r="O34" s="1">
        <v>4.0999999999999996</v>
      </c>
      <c r="P34" s="1">
        <v>0.1</v>
      </c>
    </row>
    <row r="35" spans="1:16" x14ac:dyDescent="0.2">
      <c r="A35" s="11">
        <v>44811</v>
      </c>
      <c r="B35" s="12">
        <v>0.60972222222222217</v>
      </c>
      <c r="C35" s="12" t="s">
        <v>2</v>
      </c>
      <c r="D35" s="2">
        <f>Nozzles!$B$4</f>
        <v>14.6</v>
      </c>
      <c r="E35" s="13">
        <f t="shared" si="0"/>
        <v>167.41547250980008</v>
      </c>
      <c r="F35" s="39">
        <v>40</v>
      </c>
      <c r="G35" s="1" t="s">
        <v>27</v>
      </c>
      <c r="H35" s="1" t="s">
        <v>18</v>
      </c>
      <c r="I35" s="1" t="s">
        <v>34</v>
      </c>
      <c r="J35" s="59">
        <v>8.1999999999999993</v>
      </c>
      <c r="K35" s="1">
        <v>129</v>
      </c>
      <c r="L35" s="1">
        <v>77</v>
      </c>
      <c r="M35" s="1">
        <v>0.21</v>
      </c>
      <c r="N35" s="59">
        <v>20.9</v>
      </c>
      <c r="O35" s="1">
        <v>16.600000000000001</v>
      </c>
      <c r="P35" s="1">
        <v>2.9</v>
      </c>
    </row>
    <row r="36" spans="1:16" hidden="1" x14ac:dyDescent="0.2">
      <c r="A36" s="11">
        <v>44814</v>
      </c>
      <c r="B36" s="12">
        <v>0.50694444444444442</v>
      </c>
      <c r="C36" s="70" t="s">
        <v>8</v>
      </c>
      <c r="D36" s="2">
        <v>10</v>
      </c>
      <c r="E36" s="13">
        <f t="shared" si="0"/>
        <v>78.539816339744831</v>
      </c>
      <c r="F36" s="1">
        <v>10</v>
      </c>
      <c r="G36" s="1" t="s">
        <v>27</v>
      </c>
      <c r="H36" s="1" t="s">
        <v>18</v>
      </c>
      <c r="I36" s="1" t="s">
        <v>34</v>
      </c>
      <c r="J36" s="59">
        <v>4.4000000000000004</v>
      </c>
      <c r="K36" s="1">
        <v>47</v>
      </c>
      <c r="L36" s="1">
        <v>33</v>
      </c>
      <c r="M36" s="1">
        <v>0.61</v>
      </c>
      <c r="N36" s="1">
        <v>4.4000000000000004</v>
      </c>
      <c r="O36" s="1">
        <v>2.5</v>
      </c>
      <c r="P36" s="59">
        <v>2</v>
      </c>
    </row>
    <row r="37" spans="1:16" hidden="1" x14ac:dyDescent="0.2">
      <c r="A37" s="11">
        <v>44814</v>
      </c>
      <c r="B37" s="12">
        <v>0.51250000000000007</v>
      </c>
      <c r="C37" s="70" t="s">
        <v>8</v>
      </c>
      <c r="D37" s="2">
        <v>10</v>
      </c>
      <c r="E37" s="13">
        <f t="shared" si="0"/>
        <v>78.539816339744831</v>
      </c>
      <c r="F37" s="1">
        <v>22</v>
      </c>
      <c r="G37" s="1" t="s">
        <v>27</v>
      </c>
      <c r="H37" s="1" t="s">
        <v>18</v>
      </c>
      <c r="I37" s="1" t="s">
        <v>34</v>
      </c>
      <c r="J37" s="59">
        <v>5.6</v>
      </c>
      <c r="K37" s="1">
        <v>65</v>
      </c>
      <c r="L37" s="1">
        <v>53</v>
      </c>
      <c r="M37" s="1">
        <v>0.64</v>
      </c>
      <c r="N37" s="1">
        <v>10.199999999999999</v>
      </c>
      <c r="O37" s="1">
        <v>3.8</v>
      </c>
      <c r="P37" s="59">
        <v>2</v>
      </c>
    </row>
    <row r="38" spans="1:16" hidden="1" x14ac:dyDescent="0.2">
      <c r="A38" s="11">
        <v>44814</v>
      </c>
      <c r="B38" s="12">
        <v>0.52083333333333337</v>
      </c>
      <c r="C38" s="70" t="s">
        <v>8</v>
      </c>
      <c r="D38" s="2">
        <v>10</v>
      </c>
      <c r="E38" s="13">
        <f t="shared" si="0"/>
        <v>78.539816339744831</v>
      </c>
      <c r="F38" s="1">
        <v>30</v>
      </c>
      <c r="G38" s="1" t="s">
        <v>27</v>
      </c>
      <c r="H38" s="1" t="s">
        <v>18</v>
      </c>
      <c r="I38" s="1" t="s">
        <v>34</v>
      </c>
      <c r="J38" s="59">
        <v>9</v>
      </c>
      <c r="K38" s="1">
        <v>97</v>
      </c>
      <c r="L38" s="1">
        <v>66</v>
      </c>
      <c r="M38" s="1">
        <v>0.52</v>
      </c>
      <c r="N38" s="1">
        <v>8.8000000000000007</v>
      </c>
      <c r="O38" s="1">
        <v>5.9</v>
      </c>
      <c r="P38" s="59">
        <v>2.2999999999999998</v>
      </c>
    </row>
    <row r="39" spans="1:16" hidden="1" x14ac:dyDescent="0.2">
      <c r="A39" s="11">
        <v>44814</v>
      </c>
      <c r="B39" s="12">
        <v>0.52638888888888891</v>
      </c>
      <c r="C39" s="70" t="s">
        <v>8</v>
      </c>
      <c r="D39" s="2">
        <v>10</v>
      </c>
      <c r="E39" s="13">
        <f t="shared" si="0"/>
        <v>78.539816339744831</v>
      </c>
      <c r="F39" s="1">
        <v>50</v>
      </c>
      <c r="G39" s="1" t="s">
        <v>27</v>
      </c>
      <c r="H39" s="1" t="s">
        <v>18</v>
      </c>
      <c r="I39" s="1" t="s">
        <v>34</v>
      </c>
      <c r="J39" s="59">
        <v>7.7</v>
      </c>
      <c r="K39" s="1">
        <v>141</v>
      </c>
      <c r="L39" s="1">
        <v>85</v>
      </c>
      <c r="M39" s="1">
        <v>0.49</v>
      </c>
      <c r="N39" s="1">
        <v>10.7</v>
      </c>
      <c r="O39" s="1">
        <v>7.9</v>
      </c>
      <c r="P39" s="1">
        <v>2.5</v>
      </c>
    </row>
    <row r="40" spans="1:16" hidden="1" x14ac:dyDescent="0.2">
      <c r="A40" s="11">
        <v>44814</v>
      </c>
      <c r="B40" s="12">
        <v>0.53333333333333333</v>
      </c>
      <c r="C40" s="70" t="s">
        <v>8</v>
      </c>
      <c r="D40" s="2">
        <v>10</v>
      </c>
      <c r="E40" s="13">
        <f t="shared" si="0"/>
        <v>78.539816339744831</v>
      </c>
      <c r="F40" s="1">
        <v>60</v>
      </c>
      <c r="G40" s="1" t="s">
        <v>27</v>
      </c>
      <c r="H40" s="1" t="s">
        <v>18</v>
      </c>
      <c r="I40" s="1" t="s">
        <v>32</v>
      </c>
      <c r="J40" s="59">
        <v>5.8</v>
      </c>
      <c r="K40" s="1">
        <v>116</v>
      </c>
      <c r="L40" s="1">
        <v>91</v>
      </c>
      <c r="M40" s="1">
        <v>0.46</v>
      </c>
      <c r="N40" s="1">
        <v>12.9</v>
      </c>
      <c r="O40" s="1">
        <v>9.1999999999999993</v>
      </c>
      <c r="P40" s="1">
        <v>2.4</v>
      </c>
    </row>
    <row r="41" spans="1:16" hidden="1" x14ac:dyDescent="0.2">
      <c r="A41" s="11">
        <v>44814</v>
      </c>
      <c r="B41" s="12">
        <v>0.54861111111111105</v>
      </c>
      <c r="C41" s="74" t="s">
        <v>28</v>
      </c>
      <c r="D41" s="2">
        <v>14</v>
      </c>
      <c r="E41" s="13">
        <f t="shared" si="0"/>
        <v>153.93804002589985</v>
      </c>
      <c r="F41" s="1">
        <v>10</v>
      </c>
      <c r="G41" s="1" t="s">
        <v>27</v>
      </c>
      <c r="H41" s="1" t="s">
        <v>18</v>
      </c>
      <c r="I41" s="1" t="s">
        <v>34</v>
      </c>
      <c r="J41" s="59">
        <v>4.3</v>
      </c>
      <c r="K41" s="1">
        <v>30</v>
      </c>
      <c r="L41" s="1">
        <v>30</v>
      </c>
      <c r="M41" s="1">
        <v>0.36</v>
      </c>
      <c r="N41" s="1">
        <v>4.4000000000000004</v>
      </c>
      <c r="O41" s="1">
        <v>3.8</v>
      </c>
      <c r="P41" s="1">
        <v>1.1000000000000001</v>
      </c>
    </row>
    <row r="42" spans="1:16" hidden="1" x14ac:dyDescent="0.2">
      <c r="A42" s="11">
        <v>44814</v>
      </c>
      <c r="B42" s="12">
        <v>0.55208333333333337</v>
      </c>
      <c r="C42" s="74" t="s">
        <v>28</v>
      </c>
      <c r="D42" s="2">
        <v>14</v>
      </c>
      <c r="E42" s="13">
        <f t="shared" si="0"/>
        <v>153.93804002589985</v>
      </c>
      <c r="F42" s="1">
        <v>20</v>
      </c>
      <c r="G42" s="1" t="s">
        <v>27</v>
      </c>
      <c r="H42" s="1" t="s">
        <v>18</v>
      </c>
      <c r="I42" s="1" t="s">
        <v>34</v>
      </c>
      <c r="J42" s="59">
        <v>5.0999999999999996</v>
      </c>
      <c r="K42" s="1">
        <v>61</v>
      </c>
      <c r="L42" s="1">
        <v>54</v>
      </c>
      <c r="M42" s="1">
        <v>0.3</v>
      </c>
      <c r="N42" s="1">
        <v>11</v>
      </c>
      <c r="O42" s="1">
        <v>8.3000000000000007</v>
      </c>
      <c r="P42" s="1">
        <v>1.7</v>
      </c>
    </row>
    <row r="43" spans="1:16" hidden="1" x14ac:dyDescent="0.2">
      <c r="A43" s="11">
        <v>44814</v>
      </c>
      <c r="B43" s="12">
        <v>0.55625000000000002</v>
      </c>
      <c r="C43" s="74" t="s">
        <v>28</v>
      </c>
      <c r="D43" s="2">
        <v>14</v>
      </c>
      <c r="E43" s="13">
        <f t="shared" si="0"/>
        <v>153.93804002589985</v>
      </c>
      <c r="F43" s="1">
        <v>30</v>
      </c>
      <c r="G43" s="1" t="s">
        <v>27</v>
      </c>
      <c r="H43" s="1" t="s">
        <v>18</v>
      </c>
      <c r="I43" s="1" t="s">
        <v>34</v>
      </c>
      <c r="J43" s="59">
        <v>6</v>
      </c>
      <c r="K43" s="1">
        <v>91</v>
      </c>
      <c r="L43" s="1">
        <v>68</v>
      </c>
      <c r="M43" s="1">
        <v>0.25</v>
      </c>
      <c r="N43" s="1">
        <v>15.3</v>
      </c>
      <c r="O43" s="1">
        <v>12.4</v>
      </c>
      <c r="P43" s="1">
        <v>2.2999999999999998</v>
      </c>
    </row>
    <row r="44" spans="1:16" hidden="1" x14ac:dyDescent="0.2">
      <c r="A44" s="11">
        <v>44814</v>
      </c>
      <c r="B44" s="12">
        <v>0.55902777777777779</v>
      </c>
      <c r="C44" s="74" t="s">
        <v>28</v>
      </c>
      <c r="D44" s="2">
        <v>14</v>
      </c>
      <c r="E44" s="13">
        <f t="shared" si="0"/>
        <v>153.93804002589985</v>
      </c>
      <c r="F44" s="1">
        <v>50</v>
      </c>
      <c r="G44" s="1" t="s">
        <v>27</v>
      </c>
      <c r="H44" s="1" t="s">
        <v>18</v>
      </c>
      <c r="I44" s="1" t="s">
        <v>34</v>
      </c>
      <c r="J44" s="59">
        <v>6.5</v>
      </c>
      <c r="K44" s="1">
        <v>123</v>
      </c>
      <c r="L44" s="1">
        <v>92</v>
      </c>
      <c r="M44" s="1">
        <v>0.24</v>
      </c>
      <c r="N44" s="1">
        <v>21.2</v>
      </c>
      <c r="O44" s="1">
        <v>17.8</v>
      </c>
      <c r="P44" s="1">
        <v>2.5</v>
      </c>
    </row>
    <row r="45" spans="1:16" hidden="1" x14ac:dyDescent="0.2">
      <c r="A45" s="11">
        <v>44814</v>
      </c>
      <c r="B45" s="12">
        <v>0.57152777777777775</v>
      </c>
      <c r="C45" s="74" t="s">
        <v>28</v>
      </c>
      <c r="D45" s="2">
        <v>14</v>
      </c>
      <c r="E45" s="13">
        <f t="shared" si="0"/>
        <v>153.93804002589985</v>
      </c>
      <c r="F45" s="1">
        <v>60</v>
      </c>
      <c r="G45" s="1" t="s">
        <v>27</v>
      </c>
      <c r="H45" s="1" t="s">
        <v>18</v>
      </c>
      <c r="I45" s="1" t="s">
        <v>34</v>
      </c>
      <c r="J45" s="59">
        <v>7.3</v>
      </c>
      <c r="K45" s="1">
        <v>138</v>
      </c>
      <c r="L45" s="1">
        <v>114</v>
      </c>
      <c r="M45" s="1">
        <v>0.28999999999999998</v>
      </c>
      <c r="N45" s="1">
        <v>23.7</v>
      </c>
      <c r="O45" s="1">
        <v>17.899999999999999</v>
      </c>
      <c r="P45" s="1">
        <v>2.6</v>
      </c>
    </row>
    <row r="48" spans="1:16" x14ac:dyDescent="0.2">
      <c r="E48" s="152" t="s">
        <v>41</v>
      </c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</row>
  </sheetData>
  <autoFilter ref="E1:P45" xr:uid="{51B14AA9-72BD-4A84-A184-C2C88263314D}">
    <filterColumn colId="1">
      <filters>
        <filter val="40"/>
      </filters>
    </filterColumn>
    <filterColumn colId="2">
      <filters>
        <filter val="no"/>
      </filters>
    </filterColumn>
    <filterColumn colId="3">
      <filters>
        <filter val="yes"/>
      </filters>
    </filterColumn>
    <filterColumn colId="4">
      <filters>
        <filter val="good"/>
        <filter val="medium"/>
      </filters>
    </filterColumn>
  </autoFilter>
  <mergeCells count="1">
    <mergeCell ref="E48:P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Nozzles</vt:lpstr>
      <vt:lpstr>Physical characteristics</vt:lpstr>
      <vt:lpstr>Experimental Data</vt:lpstr>
      <vt:lpstr>raw final table</vt:lpstr>
      <vt:lpstr>Sheet2</vt:lpstr>
      <vt:lpstr>Calculations</vt:lpstr>
      <vt:lpstr>References</vt:lpstr>
      <vt:lpstr>Sheet1</vt:lpstr>
      <vt:lpstr>Nozzle Analysis</vt:lpstr>
      <vt:lpstr>Pressure Analysis 78mm2</vt:lpstr>
      <vt:lpstr>Pressure Analysis 154mm2</vt:lpstr>
      <vt:lpstr>final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Slepetys Ferreira</dc:creator>
  <cp:lastModifiedBy>Microsoft Office User</cp:lastModifiedBy>
  <cp:lastPrinted>2022-09-04T16:25:44Z</cp:lastPrinted>
  <dcterms:created xsi:type="dcterms:W3CDTF">2022-09-02T18:43:27Z</dcterms:created>
  <dcterms:modified xsi:type="dcterms:W3CDTF">2022-12-29T16:34:34Z</dcterms:modified>
</cp:coreProperties>
</file>