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drawings/drawing21.xml" ContentType="application/vnd.openxmlformats-officedocument.drawing+xml"/>
  <Override PartName="/xl/charts/chart21.xml" ContentType="application/vnd.openxmlformats-officedocument.drawingml.chart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drawings/drawing27.xml" ContentType="application/vnd.openxmlformats-officedocument.drawing+xml"/>
  <Override PartName="/xl/charts/chart27.xml" ContentType="application/vnd.openxmlformats-officedocument.drawingml.chart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drawings/drawing30.xml" ContentType="application/vnd.openxmlformats-officedocument.drawing+xml"/>
  <Override PartName="/xl/charts/chart30.xml" ContentType="application/vnd.openxmlformats-officedocument.drawingml.chart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drawings/drawing33.xml" ContentType="application/vnd.openxmlformats-officedocument.drawing+xml"/>
  <Override PartName="/xl/charts/chart33.xml" ContentType="application/vnd.openxmlformats-officedocument.drawingml.chart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drawings/drawing36.xml" ContentType="application/vnd.openxmlformats-officedocument.drawing+xml"/>
  <Override PartName="/xl/charts/chart36.xml" ContentType="application/vnd.openxmlformats-officedocument.drawingml.chart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drawings/drawing39.xml" ContentType="application/vnd.openxmlformats-officedocument.drawing+xml"/>
  <Override PartName="/xl/charts/chart39.xml" ContentType="application/vnd.openxmlformats-officedocument.drawingml.chart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drawings/drawing42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43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44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4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46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47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48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49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50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1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53.xml" ContentType="application/vnd.openxmlformats-officedocument.drawing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54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55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drawings/drawing56.xml" ContentType="application/vnd.openxmlformats-officedocument.drawing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57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drawings/drawing58.xml" ContentType="application/vnd.openxmlformats-officedocument.drawing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59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60.xml" ContentType="application/vnd.openxmlformats-officedocument.drawing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61.xml" ContentType="application/vnd.openxmlformats-officedocument.drawing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drawings/drawing62.xml" ContentType="application/vnd.openxmlformats-officedocument.drawing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63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64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65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66.xml" ContentType="application/vnd.openxmlformats-officedocument.drawing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67.xml" ContentType="application/vnd.openxmlformats-officedocument.drawing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68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9.xml" ContentType="application/vnd.openxmlformats-officedocument.drawing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70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71.xml" ContentType="application/vnd.openxmlformats-officedocument.drawing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drawings/drawing72.xml" ContentType="application/vnd.openxmlformats-officedocument.drawing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73.xml" ContentType="application/vnd.openxmlformats-officedocument.drawing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drawings/drawing74.xml" ContentType="application/vnd.openxmlformats-officedocument.drawing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drawings/drawing75.xml" ContentType="application/vnd.openxmlformats-officedocument.drawing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76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drawings/drawing77.xml" ContentType="application/vnd.openxmlformats-officedocument.drawing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drawings/drawing78.xml" ContentType="application/vnd.openxmlformats-officedocument.drawing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79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drawings/drawing80.xml" ContentType="application/vnd.openxmlformats-officedocument.drawing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drawings/drawing81.xml" ContentType="application/vnd.openxmlformats-officedocument.drawing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82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drawings/drawing83.xml" ContentType="application/vnd.openxmlformats-officedocument.drawing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drawings/drawing84.xml" ContentType="application/vnd.openxmlformats-officedocument.drawing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85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drawings/drawing86.xml" ContentType="application/vnd.openxmlformats-officedocument.drawing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drawings/drawing87.xml" ContentType="application/vnd.openxmlformats-officedocument.drawing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8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drawings/drawing89.xml" ContentType="application/vnd.openxmlformats-officedocument.drawing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drawings/drawing90.xml" ContentType="application/vnd.openxmlformats-officedocument.drawing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91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drawings/drawing92.xml" ContentType="application/vnd.openxmlformats-officedocument.drawing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drawings/drawing93.xml" ContentType="application/vnd.openxmlformats-officedocument.drawing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94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drawings/drawing95.xml" ContentType="application/vnd.openxmlformats-officedocument.drawing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drawings/drawing96.xml" ContentType="application/vnd.openxmlformats-officedocument.drawing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97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drawings/drawing98.xml" ContentType="application/vnd.openxmlformats-officedocument.drawing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99.xml" ContentType="application/vnd.openxmlformats-officedocument.drawing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100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drawings/drawing101.xml" ContentType="application/vnd.openxmlformats-officedocument.drawing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drawings/drawing102.xml" ContentType="application/vnd.openxmlformats-officedocument.drawing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103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drawings/drawing104.xml" ContentType="application/vnd.openxmlformats-officedocument.drawing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drawings/drawing105.xml" ContentType="application/vnd.openxmlformats-officedocument.drawing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106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drawings/drawing107.xml" ContentType="application/vnd.openxmlformats-officedocument.drawing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drawings/drawing108.xml" ContentType="application/vnd.openxmlformats-officedocument.drawing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109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drawings/drawing110.xml" ContentType="application/vnd.openxmlformats-officedocument.drawing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drawings/drawing111.xml" ContentType="application/vnd.openxmlformats-officedocument.drawing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112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113.xml" ContentType="application/vnd.openxmlformats-officedocument.drawing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drawings/drawing114.xml" ContentType="application/vnd.openxmlformats-officedocument.drawing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115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drawings/drawing116.xml" ContentType="application/vnd.openxmlformats-officedocument.drawing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drawings/drawing117.xml" ContentType="application/vnd.openxmlformats-officedocument.drawing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11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drawings/drawing119.xml" ContentType="application/vnd.openxmlformats-officedocument.drawing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drawings/drawing120.xml" ContentType="application/vnd.openxmlformats-officedocument.drawing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121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drawings/drawing122.xml" ContentType="application/vnd.openxmlformats-officedocument.drawing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drawings/drawing123.xml" ContentType="application/vnd.openxmlformats-officedocument.drawing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124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drawings/drawing125.xml" ContentType="application/vnd.openxmlformats-officedocument.drawing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drawings/drawing126.xml" ContentType="application/vnd.openxmlformats-officedocument.drawing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127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drawings/drawing128.xml" ContentType="application/vnd.openxmlformats-officedocument.drawing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drawings/drawing129.xml" ContentType="application/vnd.openxmlformats-officedocument.drawing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130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drawings/drawing131.xml" ContentType="application/vnd.openxmlformats-officedocument.drawing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drawings/drawing132.xml" ContentType="application/vnd.openxmlformats-officedocument.drawing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133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drawings/drawing134.xml" ContentType="application/vnd.openxmlformats-officedocument.drawing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drawings/drawing135.xml" ContentType="application/vnd.openxmlformats-officedocument.drawing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136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drawings/drawing137.xml" ContentType="application/vnd.openxmlformats-officedocument.drawing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drawings/drawing138.xml" ContentType="application/vnd.openxmlformats-officedocument.drawing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139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drawings/drawing140.xml" ContentType="application/vnd.openxmlformats-officedocument.drawing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drawings/drawing141.xml" ContentType="application/vnd.openxmlformats-officedocument.drawing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142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drawings/drawing143.xml" ContentType="application/vnd.openxmlformats-officedocument.drawing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drawings/drawing144.xml" ContentType="application/vnd.openxmlformats-officedocument.drawing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145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drawings/drawing146.xml" ContentType="application/vnd.openxmlformats-officedocument.drawing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drawings/drawing147.xml" ContentType="application/vnd.openxmlformats-officedocument.drawing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14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drawings/drawing149.xml" ContentType="application/vnd.openxmlformats-officedocument.drawing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drawings/drawing150.xml" ContentType="application/vnd.openxmlformats-officedocument.drawing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51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drawings/drawing152.xml" ContentType="application/vnd.openxmlformats-officedocument.drawing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drawings/drawing153.xml" ContentType="application/vnd.openxmlformats-officedocument.drawing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54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drawings/drawing155.xml" ContentType="application/vnd.openxmlformats-officedocument.drawing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drawings/drawing156.xml" ContentType="application/vnd.openxmlformats-officedocument.drawing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57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drawings/drawing158.xml" ContentType="application/vnd.openxmlformats-officedocument.drawing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drawings/drawing159.xml" ContentType="application/vnd.openxmlformats-officedocument.drawing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60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drawings/drawing161.xml" ContentType="application/vnd.openxmlformats-officedocument.drawing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drawings/drawing162.xml" ContentType="application/vnd.openxmlformats-officedocument.drawing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63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drawings/drawing164.xml" ContentType="application/vnd.openxmlformats-officedocument.drawing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drawings/drawing165.xml" ContentType="application/vnd.openxmlformats-officedocument.drawing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drawings/drawing166.xml" ContentType="application/vnd.openxmlformats-officedocument.drawing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drawings/drawing167.xml" ContentType="application/vnd.openxmlformats-officedocument.drawing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drawings/drawing168.xml" ContentType="application/vnd.openxmlformats-officedocument.drawing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drawings/drawing169.xml" ContentType="application/vnd.openxmlformats-officedocument.drawing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drawings/drawing170.xml" ContentType="application/vnd.openxmlformats-officedocument.drawing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drawings/drawing171.xml" ContentType="application/vnd.openxmlformats-officedocument.drawing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drawings/drawing172.xml" ContentType="application/vnd.openxmlformats-officedocument.drawing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drawings/drawing173.xml" ContentType="application/vnd.openxmlformats-officedocument.drawing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drawings/drawing174.xml" ContentType="application/vnd.openxmlformats-officedocument.drawing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drawings/drawing175.xml" ContentType="application/vnd.openxmlformats-officedocument.drawing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drawings/drawing176.xml" ContentType="application/vnd.openxmlformats-officedocument.drawing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drawings/drawing177.xml" ContentType="application/vnd.openxmlformats-officedocument.drawing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drawings/drawing178.xml" ContentType="application/vnd.openxmlformats-officedocument.drawing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drawings/drawing179.xml" ContentType="application/vnd.openxmlformats-officedocument.drawing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drawings/drawing180.xml" ContentType="application/vnd.openxmlformats-officedocument.drawing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drawings/drawing181.xml" ContentType="application/vnd.openxmlformats-officedocument.drawing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drawings/drawing182.xml" ContentType="application/vnd.openxmlformats-officedocument.drawing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drawings/drawing183.xml" ContentType="application/vnd.openxmlformats-officedocument.drawing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drawings/drawing184.xml" ContentType="application/vnd.openxmlformats-officedocument.drawing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drawings/drawing185.xml" ContentType="application/vnd.openxmlformats-officedocument.drawing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drawings/drawing186.xml" ContentType="application/vnd.openxmlformats-officedocument.drawing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drawings/drawing187.xml" ContentType="application/vnd.openxmlformats-officedocument.drawing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drawings/drawing188.xml" ContentType="application/vnd.openxmlformats-officedocument.drawing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drawings/drawing189.xml" ContentType="application/vnd.openxmlformats-officedocument.drawing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drawings/drawing190.xml" ContentType="application/vnd.openxmlformats-officedocument.drawing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drawings/drawing191.xml" ContentType="application/vnd.openxmlformats-officedocument.drawing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drawings/drawing192.xml" ContentType="application/vnd.openxmlformats-officedocument.drawing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drawings/drawing193.xml" ContentType="application/vnd.openxmlformats-officedocument.drawing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drawings/drawing194.xml" ContentType="application/vnd.openxmlformats-officedocument.drawing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drawings/drawing195.xml" ContentType="application/vnd.openxmlformats-officedocument.drawing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drawings/drawing196.xml" ContentType="application/vnd.openxmlformats-officedocument.drawing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drawings/drawing197.xml" ContentType="application/vnd.openxmlformats-officedocument.drawing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drawings/drawing198.xml" ContentType="application/vnd.openxmlformats-officedocument.drawing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drawings/drawing199.xml" ContentType="application/vnd.openxmlformats-officedocument.drawing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drawings/drawing200.xml" ContentType="application/vnd.openxmlformats-officedocument.drawing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drawings/drawing201.xml" ContentType="application/vnd.openxmlformats-officedocument.drawing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drawings/drawing202.xml" ContentType="application/vnd.openxmlformats-officedocument.drawing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drawings/drawing203.xml" ContentType="application/vnd.openxmlformats-officedocument.drawing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drawings/drawing204.xml" ContentType="application/vnd.openxmlformats-officedocument.drawing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drawings/drawing205.xml" ContentType="application/vnd.openxmlformats-officedocument.drawing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drawings/drawing206.xml" ContentType="application/vnd.openxmlformats-officedocument.drawing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drawings/drawing207.xml" ContentType="application/vnd.openxmlformats-officedocument.drawing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drawings/drawing208.xml" ContentType="application/vnd.openxmlformats-officedocument.drawing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drawings/drawing209.xml" ContentType="application/vnd.openxmlformats-officedocument.drawing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drawings/drawing210.xml" ContentType="application/vnd.openxmlformats-officedocument.drawing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drawings/drawing211.xml" ContentType="application/vnd.openxmlformats-officedocument.drawing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drawings/drawing212.xml" ContentType="application/vnd.openxmlformats-officedocument.drawing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drawings/drawing213.xml" ContentType="application/vnd.openxmlformats-officedocument.drawing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drawings/drawing214.xml" ContentType="application/vnd.openxmlformats-officedocument.drawing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drawings/drawing215.xml" ContentType="application/vnd.openxmlformats-officedocument.drawing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drawings/drawing216.xml" ContentType="application/vnd.openxmlformats-officedocument.drawing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drawings/drawing217.xml" ContentType="application/vnd.openxmlformats-officedocument.drawing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drawings/drawing218.xml" ContentType="application/vnd.openxmlformats-officedocument.drawing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drawings/drawing219.xml" ContentType="application/vnd.openxmlformats-officedocument.drawing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drawings/drawing220.xml" ContentType="application/vnd.openxmlformats-officedocument.drawing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drawings/drawing221.xml" ContentType="application/vnd.openxmlformats-officedocument.drawing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drawings/drawing222.xml" ContentType="application/vnd.openxmlformats-officedocument.drawing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drawings/drawing223.xml" ContentType="application/vnd.openxmlformats-officedocument.drawing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drawings/drawing224.xml" ContentType="application/vnd.openxmlformats-officedocument.drawing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drawings/drawing225.xml" ContentType="application/vnd.openxmlformats-officedocument.drawing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drawings/drawing226.xml" ContentType="application/vnd.openxmlformats-officedocument.drawing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drawings/drawing227.xml" ContentType="application/vnd.openxmlformats-officedocument.drawing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drawings/drawing228.xml" ContentType="application/vnd.openxmlformats-officedocument.drawing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drawings/drawing229.xml" ContentType="application/vnd.openxmlformats-officedocument.drawing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drawings/drawing230.xml" ContentType="application/vnd.openxmlformats-officedocument.drawing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drawings/drawing231.xml" ContentType="application/vnd.openxmlformats-officedocument.drawing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drawings/drawing232.xml" ContentType="application/vnd.openxmlformats-officedocument.drawing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drawings/drawing233.xml" ContentType="application/vnd.openxmlformats-officedocument.drawing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drawings/drawing234.xml" ContentType="application/vnd.openxmlformats-officedocument.drawing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drawings/drawing235.xml" ContentType="application/vnd.openxmlformats-officedocument.drawing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drawings/drawing236.xml" ContentType="application/vnd.openxmlformats-officedocument.drawing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drawings/drawing237.xml" ContentType="application/vnd.openxmlformats-officedocument.drawing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drawings/drawing238.xml" ContentType="application/vnd.openxmlformats-officedocument.drawing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drawings/drawing239.xml" ContentType="application/vnd.openxmlformats-officedocument.drawing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drawings/drawing240.xml" ContentType="application/vnd.openxmlformats-officedocument.drawing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drawings/drawing241.xml" ContentType="application/vnd.openxmlformats-officedocument.drawing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drawings/drawing242.xml" ContentType="application/vnd.openxmlformats-officedocument.drawing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drawings/drawing243.xml" ContentType="application/vnd.openxmlformats-officedocument.drawing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drawings/drawing244.xml" ContentType="application/vnd.openxmlformats-officedocument.drawing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drawings/drawing245.xml" ContentType="application/vnd.openxmlformats-officedocument.drawing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drawings/drawing246.xml" ContentType="application/vnd.openxmlformats-officedocument.drawing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drawings/drawing247.xml" ContentType="application/vnd.openxmlformats-officedocument.drawing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drawings/drawing248.xml" ContentType="application/vnd.openxmlformats-officedocument.drawing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drawings/drawing249.xml" ContentType="application/vnd.openxmlformats-officedocument.drawing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drawings/drawing250.xml" ContentType="application/vnd.openxmlformats-officedocument.drawing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drawings/drawing251.xml" ContentType="application/vnd.openxmlformats-officedocument.drawing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drawings/drawing252.xml" ContentType="application/vnd.openxmlformats-officedocument.drawing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drawings/drawing253.xml" ContentType="application/vnd.openxmlformats-officedocument.drawing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drawings/drawing254.xml" ContentType="application/vnd.openxmlformats-officedocument.drawing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drawings/drawing255.xml" ContentType="application/vnd.openxmlformats-officedocument.drawing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drawings/drawing256.xml" ContentType="application/vnd.openxmlformats-officedocument.drawing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drawings/drawing257.xml" ContentType="application/vnd.openxmlformats-officedocument.drawing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drawings/drawing258.xml" ContentType="application/vnd.openxmlformats-officedocument.drawing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drawings/drawing259.xml" ContentType="application/vnd.openxmlformats-officedocument.drawing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drawings/drawing260.xml" ContentType="application/vnd.openxmlformats-officedocument.drawing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drawings/drawing261.xml" ContentType="application/vnd.openxmlformats-officedocument.drawing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drawings/drawing262.xml" ContentType="application/vnd.openxmlformats-officedocument.drawing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drawings/drawing263.xml" ContentType="application/vnd.openxmlformats-officedocument.drawing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drawings/drawing264.xml" ContentType="application/vnd.openxmlformats-officedocument.drawing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drawings/drawing265.xml" ContentType="application/vnd.openxmlformats-officedocument.drawing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drawings/drawing266.xml" ContentType="application/vnd.openxmlformats-officedocument.drawing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drawings/drawing267.xml" ContentType="application/vnd.openxmlformats-officedocument.drawing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drawings/drawing268.xml" ContentType="application/vnd.openxmlformats-officedocument.drawing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drawings/drawing269.xml" ContentType="application/vnd.openxmlformats-officedocument.drawing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drawings/drawing270.xml" ContentType="application/vnd.openxmlformats-officedocument.drawing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drawings/drawing271.xml" ContentType="application/vnd.openxmlformats-officedocument.drawing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drawings/drawing272.xml" ContentType="application/vnd.openxmlformats-officedocument.drawing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drawings/drawing273.xml" ContentType="application/vnd.openxmlformats-officedocument.drawing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drawings/drawing274.xml" ContentType="application/vnd.openxmlformats-officedocument.drawing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drawings/drawing275.xml" ContentType="application/vnd.openxmlformats-officedocument.drawing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drawings/drawing276.xml" ContentType="application/vnd.openxmlformats-officedocument.drawing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drawings/drawing277.xml" ContentType="application/vnd.openxmlformats-officedocument.drawing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drawings/drawing278.xml" ContentType="application/vnd.openxmlformats-officedocument.drawing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drawings/drawing279.xml" ContentType="application/vnd.openxmlformats-officedocument.drawing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drawings/drawing280.xml" ContentType="application/vnd.openxmlformats-officedocument.drawing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drawings/drawing281.xml" ContentType="application/vnd.openxmlformats-officedocument.drawing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drawings/drawing282.xml" ContentType="application/vnd.openxmlformats-officedocument.drawing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drawings/drawing283.xml" ContentType="application/vnd.openxmlformats-officedocument.drawing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drawings/drawing284.xml" ContentType="application/vnd.openxmlformats-officedocument.drawing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drawings/drawing285.xml" ContentType="application/vnd.openxmlformats-officedocument.drawing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drawings/drawing286.xml" ContentType="application/vnd.openxmlformats-officedocument.drawing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drawings/drawing287.xml" ContentType="application/vnd.openxmlformats-officedocument.drawing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drawings/drawing288.xml" ContentType="application/vnd.openxmlformats-officedocument.drawing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drawings/drawing289.xml" ContentType="application/vnd.openxmlformats-officedocument.drawing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drawings/drawing290.xml" ContentType="application/vnd.openxmlformats-officedocument.drawing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drawings/drawing291.xml" ContentType="application/vnd.openxmlformats-officedocument.drawing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drawings/drawing292.xml" ContentType="application/vnd.openxmlformats-officedocument.drawing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drawings/drawing293.xml" ContentType="application/vnd.openxmlformats-officedocument.drawing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pev_weekly\"/>
    </mc:Choice>
  </mc:AlternateContent>
  <xr:revisionPtr revIDLastSave="0" documentId="13_ncr:1_{F69B49F1-CF94-4C58-AAE4-6656B731654A}" xr6:coauthVersionLast="47" xr6:coauthVersionMax="47" xr10:uidLastSave="{00000000-0000-0000-0000-000000000000}"/>
  <bookViews>
    <workbookView xWindow="-108" yWindow="-108" windowWidth="23256" windowHeight="13176" tabRatio="656" firstSheet="292" activeTab="296" xr2:uid="{00000000-000D-0000-FFFF-FFFF00000000}"/>
  </bookViews>
  <sheets>
    <sheet name="Dec 25 - Jan 1 17" sheetId="1" r:id="rId1"/>
    <sheet name="Dec 25 - Dec 31 17" sheetId="2" r:id="rId2"/>
    <sheet name="Jan 1 - Jan 7" sheetId="3" r:id="rId3"/>
    <sheet name="Jan 8 - Jan 14" sheetId="4" r:id="rId4"/>
    <sheet name="Jan 15 - Jan 21" sheetId="5" r:id="rId5"/>
    <sheet name="Jan 22 - Jan 28" sheetId="6" r:id="rId6"/>
    <sheet name="Jan 29 - Feb 4" sheetId="7" r:id="rId7"/>
    <sheet name="Feb 5 - Feb 11" sheetId="8" r:id="rId8"/>
    <sheet name="Feb 12 - Feb 18" sheetId="9" r:id="rId9"/>
    <sheet name="Feb 19 - Feb 25" sheetId="10" r:id="rId10"/>
    <sheet name="Feb 26 - Mar 4" sheetId="11" r:id="rId11"/>
    <sheet name="Mar 5 - Mar 11" sheetId="12" r:id="rId12"/>
    <sheet name="Mar 12 - Mar 18" sheetId="13" r:id="rId13"/>
    <sheet name="Mar 19 - Mar 25" sheetId="14" r:id="rId14"/>
    <sheet name="Mar 26 - Apr 1" sheetId="15" r:id="rId15"/>
    <sheet name="Apr 2 - Apr 8" sheetId="16" r:id="rId16"/>
    <sheet name="Apr 9 - Apr 15" sheetId="17" r:id="rId17"/>
    <sheet name="Apr 16 - Apr 22" sheetId="18" r:id="rId18"/>
    <sheet name="Apr 23 - Apr 29" sheetId="19" r:id="rId19"/>
    <sheet name="Apr 30 - May 6" sheetId="20" r:id="rId20"/>
    <sheet name="May 7 - May 13" sheetId="21" r:id="rId21"/>
    <sheet name="May 14 - May 20" sheetId="22" r:id="rId22"/>
    <sheet name="May 21 - May 27" sheetId="23" r:id="rId23"/>
    <sheet name="May 28 - Jun 3" sheetId="24" r:id="rId24"/>
    <sheet name="Jun 4 - Jun 10" sheetId="25" r:id="rId25"/>
    <sheet name="Jun 11 - Jun 17" sheetId="26" r:id="rId26"/>
    <sheet name="Jun 18 - Jun 24" sheetId="27" r:id="rId27"/>
    <sheet name="Jun 25 - Jul 1" sheetId="28" r:id="rId28"/>
    <sheet name="Jul 2 - Jul 8" sheetId="29" r:id="rId29"/>
    <sheet name="Jul 9 - Jul 15" sheetId="30" r:id="rId30"/>
    <sheet name="Jul 16 - Jul 22" sheetId="31" r:id="rId31"/>
    <sheet name="Jul 23 - Jul 29" sheetId="32" r:id="rId32"/>
    <sheet name="Jul 30 - Aug 5" sheetId="33" r:id="rId33"/>
    <sheet name="Aug 6 - Aug 12" sheetId="34" r:id="rId34"/>
    <sheet name="Aug 13 - Aug 19" sheetId="35" r:id="rId35"/>
    <sheet name="Aug 20 - Aug 26" sheetId="36" r:id="rId36"/>
    <sheet name="Aug 27 - Sept 2" sheetId="37" r:id="rId37"/>
    <sheet name="Sept 3 - Sept 9" sheetId="38" r:id="rId38"/>
    <sheet name="Sept 10 - Sept 16" sheetId="39" r:id="rId39"/>
    <sheet name="Sept 17 - Sept 23" sheetId="40" r:id="rId40"/>
    <sheet name="Sept 24 - Sept 30" sheetId="41" r:id="rId41"/>
    <sheet name="Oct 1 - Oct 7" sheetId="42" r:id="rId42"/>
    <sheet name="Oct 8 - Oct 14" sheetId="43" r:id="rId43"/>
    <sheet name="Oct 15 - Oct 21" sheetId="44" r:id="rId44"/>
    <sheet name="Oct 22 - Oct 28" sheetId="45" r:id="rId45"/>
    <sheet name="Oct 29 - Nov 4" sheetId="46" r:id="rId46"/>
    <sheet name="Nov 5 - Nov 11" sheetId="47" r:id="rId47"/>
    <sheet name="Nov 12 - Nov 18" sheetId="48" r:id="rId48"/>
    <sheet name="Nov 19 - Nov 25" sheetId="49" r:id="rId49"/>
    <sheet name="Nov 26 - Dec 2" sheetId="50" r:id="rId50"/>
    <sheet name="Dec 3 - Dec 9" sheetId="51" r:id="rId51"/>
    <sheet name="Dec 10 - Dec 16" sheetId="52" r:id="rId52"/>
    <sheet name="Dec 17 - Dec 23" sheetId="53" r:id="rId53"/>
    <sheet name="Dec 24 - Dec 30" sheetId="54" r:id="rId54"/>
    <sheet name="Dec 31 - Jan 6" sheetId="55" r:id="rId55"/>
    <sheet name="Jan 7 - Jan 13" sheetId="56" r:id="rId56"/>
    <sheet name="Jan 14 - Jan 20" sheetId="57" r:id="rId57"/>
    <sheet name="Jan 21 - Jan 27" sheetId="58" r:id="rId58"/>
    <sheet name="28 Jan - 3 Feb" sheetId="59" r:id="rId59"/>
    <sheet name="4 Feb - 10 Feb" sheetId="60" r:id="rId60"/>
    <sheet name="11 Feb - 17 Feb" sheetId="61" r:id="rId61"/>
    <sheet name="18 Feb - 24 Feb" sheetId="62" r:id="rId62"/>
    <sheet name="25 Feb - 3 Mar" sheetId="63" r:id="rId63"/>
    <sheet name="4 Mar- 10 Mar" sheetId="64" r:id="rId64"/>
    <sheet name="11 Mar- 17 Mar" sheetId="65" r:id="rId65"/>
    <sheet name="18 Mar- 24 Mar" sheetId="66" r:id="rId66"/>
    <sheet name="25 Mar- 31 Mar" sheetId="67" r:id="rId67"/>
    <sheet name="1 Apr- 7 Apr" sheetId="68" r:id="rId68"/>
    <sheet name="8 Apr- 14 Apr" sheetId="69" r:id="rId69"/>
    <sheet name="15 Apr- 21 Apr" sheetId="70" r:id="rId70"/>
    <sheet name="22 Apr- 28 Apr" sheetId="71" r:id="rId71"/>
    <sheet name="29 Apr- 5 May" sheetId="72" r:id="rId72"/>
    <sheet name="6 May - 12 May" sheetId="73" r:id="rId73"/>
    <sheet name="13 May - 19 May" sheetId="74" r:id="rId74"/>
    <sheet name="20 May - 26 May" sheetId="75" r:id="rId75"/>
    <sheet name="27 May - 2 June" sheetId="76" r:id="rId76"/>
    <sheet name="3 June - 9 June" sheetId="77" r:id="rId77"/>
    <sheet name="10 June - 16 June" sheetId="78" r:id="rId78"/>
    <sheet name="17 June - 23 June" sheetId="79" r:id="rId79"/>
    <sheet name="24 June - 30 June" sheetId="80" r:id="rId80"/>
    <sheet name="1 July - 7 July" sheetId="81" r:id="rId81"/>
    <sheet name="8 July - 14 July" sheetId="82" r:id="rId82"/>
    <sheet name="15 July - 21 July" sheetId="83" r:id="rId83"/>
    <sheet name="22 July - 28 July" sheetId="84" r:id="rId84"/>
    <sheet name="29 July - 4 August" sheetId="85" r:id="rId85"/>
    <sheet name="5 August - 11 August" sheetId="86" r:id="rId86"/>
    <sheet name="12 August - 18 August" sheetId="87" r:id="rId87"/>
    <sheet name="19 August - 25 August" sheetId="88" r:id="rId88"/>
    <sheet name="26 August - 1 September" sheetId="89" r:id="rId89"/>
    <sheet name="2 Sept - 8 Sept" sheetId="90" r:id="rId90"/>
    <sheet name="9 Sept - 15 Sept" sheetId="91" r:id="rId91"/>
    <sheet name="16 Sept - 22 Sept" sheetId="92" r:id="rId92"/>
    <sheet name="23 Sept - 29 Sept" sheetId="93" r:id="rId93"/>
    <sheet name="30 Sept - 6 Oct" sheetId="94" r:id="rId94"/>
    <sheet name="7 Oct - 13 Oct" sheetId="95" r:id="rId95"/>
    <sheet name="14 Oct - 20 Oct" sheetId="96" r:id="rId96"/>
    <sheet name="21 Oct - 27 Oct" sheetId="97" r:id="rId97"/>
    <sheet name="28 Oct - 3 Nov" sheetId="98" r:id="rId98"/>
    <sheet name="4 Nov - 10 Nov" sheetId="99" r:id="rId99"/>
    <sheet name="11 Nov - 17 Nov" sheetId="100" r:id="rId100"/>
    <sheet name="18 Nov - 24 Nov" sheetId="101" r:id="rId101"/>
    <sheet name="25 Nov - 1 Dec" sheetId="102" r:id="rId102"/>
    <sheet name="2 Dec - 8 Dec" sheetId="103" r:id="rId103"/>
    <sheet name="9 Dec - 15 Dec" sheetId="104" r:id="rId104"/>
    <sheet name="16 Dec - 22 Dec" sheetId="105" r:id="rId105"/>
    <sheet name="23 Dec - 29 Dec" sheetId="106" r:id="rId106"/>
    <sheet name="30 Dec - 5 Jan" sheetId="107" r:id="rId107"/>
    <sheet name="6 Jan - 12 Jan" sheetId="108" r:id="rId108"/>
    <sheet name="13 Jan - 19 Jan" sheetId="109" r:id="rId109"/>
    <sheet name="20 Jan - 26 Jan" sheetId="110" r:id="rId110"/>
    <sheet name="27 Jan - 2 Feb" sheetId="111" r:id="rId111"/>
    <sheet name="3 Feb - 9 Feb" sheetId="112" r:id="rId112"/>
    <sheet name="10 Feb - 16 Feb" sheetId="113" r:id="rId113"/>
    <sheet name="17 Feb - 23 Feb" sheetId="114" r:id="rId114"/>
    <sheet name="24 Feb - 1 March" sheetId="115" r:id="rId115"/>
    <sheet name="2 March - 8 March" sheetId="116" r:id="rId116"/>
    <sheet name="9 March - 15 March" sheetId="117" r:id="rId117"/>
    <sheet name="16 March - 22 March" sheetId="118" r:id="rId118"/>
    <sheet name="1 May - 3 May 2020" sheetId="119" r:id="rId119"/>
    <sheet name="4 May - 10 May 2020" sheetId="120" r:id="rId120"/>
    <sheet name="11 May - 17 May 2020" sheetId="121" r:id="rId121"/>
    <sheet name="18 May - 24 May 2020" sheetId="122" r:id="rId122"/>
    <sheet name="25 May - 31 May 2020" sheetId="123" r:id="rId123"/>
    <sheet name="1 June - 7 June 2020" sheetId="124" r:id="rId124"/>
    <sheet name="8 June - 14 June 2020" sheetId="125" r:id="rId125"/>
    <sheet name="15 June - 21 June 2020" sheetId="126" r:id="rId126"/>
    <sheet name="22 June - 28 June 2020" sheetId="127" r:id="rId127"/>
    <sheet name="29 June - 5 July 2020" sheetId="128" r:id="rId128"/>
    <sheet name="6 July - 12 July 2020" sheetId="129" r:id="rId129"/>
    <sheet name="13 July - 19 July 2020" sheetId="130" r:id="rId130"/>
    <sheet name="20 July - 26 July 2020" sheetId="131" r:id="rId131"/>
    <sheet name="27 July - 2 August 2020" sheetId="132" r:id="rId132"/>
    <sheet name="3 August - 9 August 2020" sheetId="133" r:id="rId133"/>
    <sheet name="10 August - 16 August 2020" sheetId="134" r:id="rId134"/>
    <sheet name="17 August - 23 August 2020" sheetId="135" r:id="rId135"/>
    <sheet name="24 August - 30 August 2020" sheetId="136" r:id="rId136"/>
    <sheet name="31 August - 6 Sept 2020" sheetId="137" r:id="rId137"/>
    <sheet name="7 Sept - 13 Sept 2020" sheetId="138" r:id="rId138"/>
    <sheet name="14 Sept - 20 Sept 2020" sheetId="139" r:id="rId139"/>
    <sheet name="21 Sept - 27 Sept 2020" sheetId="140" r:id="rId140"/>
    <sheet name="28 Sept - 4 Oct 2020" sheetId="141" r:id="rId141"/>
    <sheet name="5 Oct - 11 Oct 2020" sheetId="142" r:id="rId142"/>
    <sheet name="12 Oct - 18 Oct 2020" sheetId="143" r:id="rId143"/>
    <sheet name="19 Oct - 25 Oct 2020" sheetId="144" r:id="rId144"/>
    <sheet name="26 Oct - 1 Nov 2020" sheetId="145" r:id="rId145"/>
    <sheet name="2 - 8 Nov 2020" sheetId="146" r:id="rId146"/>
    <sheet name="9 - 15 Nov 2020" sheetId="147" r:id="rId147"/>
    <sheet name="16 - 22 Nov 2020" sheetId="148" r:id="rId148"/>
    <sheet name="23 - 29 Nov 2020" sheetId="149" r:id="rId149"/>
    <sheet name="30 Nov - 6 Dec 2020" sheetId="150" r:id="rId150"/>
    <sheet name="7 - 13 Dec 2020" sheetId="151" r:id="rId151"/>
    <sheet name="14 - 20 Dec 2020" sheetId="152" r:id="rId152"/>
    <sheet name="21 - 27 Dec 2020" sheetId="153" r:id="rId153"/>
    <sheet name="28 Dec 2020 - 3 Jan 2021" sheetId="154" r:id="rId154"/>
    <sheet name="4 - 10 Jan 2021" sheetId="155" r:id="rId155"/>
    <sheet name="11 - 17 Jan 2021" sheetId="156" r:id="rId156"/>
    <sheet name="18 - 24 Jan 2021" sheetId="157" r:id="rId157"/>
    <sheet name="25 - 31 Jan 2021" sheetId="158" r:id="rId158"/>
    <sheet name="1 - 7 Feb 2021" sheetId="159" r:id="rId159"/>
    <sheet name="8 - 14 Feb 2021" sheetId="160" r:id="rId160"/>
    <sheet name="15 - 21 Feb 2021" sheetId="161" r:id="rId161"/>
    <sheet name="22 - 28 Feb 2021" sheetId="162" r:id="rId162"/>
    <sheet name="1 - 7 March 2021" sheetId="163" r:id="rId163"/>
    <sheet name="8 - 14 March 2021" sheetId="164" r:id="rId164"/>
    <sheet name="15 - 21 March 2021" sheetId="165" r:id="rId165"/>
    <sheet name="22 - 28 March 2021" sheetId="166" r:id="rId166"/>
    <sheet name="29 March - 4 April 2021" sheetId="167" r:id="rId167"/>
    <sheet name="5 - 11 April 2021" sheetId="168" r:id="rId168"/>
    <sheet name="12 - 18 April 2021" sheetId="169" r:id="rId169"/>
    <sheet name="19 - 25 April 2021" sheetId="170" r:id="rId170"/>
    <sheet name="26 April - 2 May 2021" sheetId="171" r:id="rId171"/>
    <sheet name="3 - 9 May 2021" sheetId="172" r:id="rId172"/>
    <sheet name="10 - 16 May 2021" sheetId="173" r:id="rId173"/>
    <sheet name="17 - 23 May 2021" sheetId="174" r:id="rId174"/>
    <sheet name="24 - 30 May 2021" sheetId="175" r:id="rId175"/>
    <sheet name="31 May - 6 June 2021" sheetId="176" r:id="rId176"/>
    <sheet name="7 - 13 June 2021" sheetId="177" r:id="rId177"/>
    <sheet name="14 - 20 June 2021" sheetId="178" r:id="rId178"/>
    <sheet name="21 - 27 June 2021" sheetId="179" r:id="rId179"/>
    <sheet name="28 June - 4 July 2021" sheetId="180" r:id="rId180"/>
    <sheet name="5 - 11 July 2021" sheetId="181" r:id="rId181"/>
    <sheet name="12 - 18 July 2021" sheetId="182" r:id="rId182"/>
    <sheet name="19 - 25 July 2021" sheetId="183" r:id="rId183"/>
    <sheet name="26 July - 1 August 2021" sheetId="184" r:id="rId184"/>
    <sheet name="2 - 8 August 2021" sheetId="185" r:id="rId185"/>
    <sheet name="9 - 15 August 2021" sheetId="186" r:id="rId186"/>
    <sheet name="16 - 22 August 2021" sheetId="187" r:id="rId187"/>
    <sheet name="23 - 29 August 2021" sheetId="188" r:id="rId188"/>
    <sheet name="30 August - 5 Sept 2021" sheetId="189" r:id="rId189"/>
    <sheet name="6 - 12 Sept 2021" sheetId="190" r:id="rId190"/>
    <sheet name="13 - 19 Sept 2021" sheetId="191" r:id="rId191"/>
    <sheet name="20 - 26 Sept 2021" sheetId="192" r:id="rId192"/>
    <sheet name="27 Sept - 3 Oct 2021" sheetId="193" r:id="rId193"/>
    <sheet name="4 - 10 Oct 2021" sheetId="194" r:id="rId194"/>
    <sheet name="11 - 17 Oct 2021" sheetId="195" r:id="rId195"/>
    <sheet name="18 - 24 Oct 2021" sheetId="196" r:id="rId196"/>
    <sheet name="25 - 31 Oct 2021" sheetId="197" r:id="rId197"/>
    <sheet name="1 - 7 Nov" sheetId="198" r:id="rId198"/>
    <sheet name="8 - 14 Nov" sheetId="199" r:id="rId199"/>
    <sheet name="15 - 21 Nov" sheetId="200" r:id="rId200"/>
    <sheet name="22 - 28 Nov" sheetId="201" r:id="rId201"/>
    <sheet name="29 Nov - 5 Dec" sheetId="202" r:id="rId202"/>
    <sheet name="6 - 12 Dec" sheetId="203" r:id="rId203"/>
    <sheet name="13 - 19 Dec" sheetId="204" r:id="rId204"/>
    <sheet name="20 - 26 Dec" sheetId="205" r:id="rId205"/>
    <sheet name="27 Dec - 2 Jan 2022" sheetId="206" r:id="rId206"/>
    <sheet name="3 - 9 Jan 2022" sheetId="207" r:id="rId207"/>
    <sheet name="10 - 16 Jan 2022" sheetId="208" r:id="rId208"/>
    <sheet name="17 - 23 Jan 2022" sheetId="209" r:id="rId209"/>
    <sheet name="24 - 30 Jan 2022" sheetId="210" r:id="rId210"/>
    <sheet name="31 Jan - 6 Feb 2022" sheetId="211" r:id="rId211"/>
    <sheet name="7 - 13 Feb 2022" sheetId="212" r:id="rId212"/>
    <sheet name="14 - 20 Feb 2022" sheetId="213" r:id="rId213"/>
    <sheet name="21 - 27 Feb 2022" sheetId="214" r:id="rId214"/>
    <sheet name="28 Feb - 6 March 2022" sheetId="215" r:id="rId215"/>
    <sheet name="7 March - 13 March 2022" sheetId="216" r:id="rId216"/>
    <sheet name="14 March - 20 March 2022" sheetId="217" r:id="rId217"/>
    <sheet name="21 March - 27 March 2022" sheetId="218" r:id="rId218"/>
    <sheet name="28 March - 3 April 2022" sheetId="219" r:id="rId219"/>
    <sheet name="4 April - 10 April 2022 " sheetId="220" r:id="rId220"/>
    <sheet name="11 April - 17 April 2022" sheetId="221" r:id="rId221"/>
    <sheet name="18 April - 24 April 2022" sheetId="222" r:id="rId222"/>
    <sheet name="25 April - 1 May 2022" sheetId="223" r:id="rId223"/>
    <sheet name="2 May - 8 May 2022" sheetId="224" r:id="rId224"/>
    <sheet name="9 May - 15 May 2022" sheetId="225" r:id="rId225"/>
    <sheet name="16 May - 22 May 2022" sheetId="226" r:id="rId226"/>
    <sheet name="23 May - 29 May 2022" sheetId="227" r:id="rId227"/>
    <sheet name="30 May - 5 June 2022" sheetId="228" r:id="rId228"/>
    <sheet name="6 June - 12 June 2022" sheetId="229" r:id="rId229"/>
    <sheet name="13 June - 19 June 2022" sheetId="230" r:id="rId230"/>
    <sheet name="20 June - 26 June 2022" sheetId="231" r:id="rId231"/>
    <sheet name="27 June - 3 July 2022" sheetId="232" r:id="rId232"/>
    <sheet name="4 July - 10 July 2022" sheetId="233" r:id="rId233"/>
    <sheet name="11 July - 17 July 2022" sheetId="234" r:id="rId234"/>
    <sheet name="18 July - 24 July 2022" sheetId="235" r:id="rId235"/>
    <sheet name="25 July - 31 July 2022" sheetId="236" r:id="rId236"/>
    <sheet name="1 Aug - 7 Aug 2022" sheetId="237" r:id="rId237"/>
    <sheet name="8 Aug - 14 Aug 2022" sheetId="238" r:id="rId238"/>
    <sheet name="15 Aug - 21 Aug 2022" sheetId="239" r:id="rId239"/>
    <sheet name="22 Aug - 28 Aug 2022" sheetId="240" r:id="rId240"/>
    <sheet name="29 Aug - 4 Sep 2022 " sheetId="241" r:id="rId241"/>
    <sheet name="5 Sep - 11 Sep 2022" sheetId="242" r:id="rId242"/>
    <sheet name="12 Sep - 18 Sep 2022" sheetId="243" r:id="rId243"/>
    <sheet name="19 Sep - 25 Sep 2022" sheetId="244" r:id="rId244"/>
    <sheet name="26 Sep - 02 Oct 2022" sheetId="245" r:id="rId245"/>
    <sheet name="03 Oct - 09 Oct 2022 " sheetId="246" r:id="rId246"/>
    <sheet name="10 Oct -16 Oct 2022" sheetId="247" r:id="rId247"/>
    <sheet name="17 Oct -23 Oct 2022" sheetId="248" r:id="rId248"/>
    <sheet name="24 Oct -30 Oct 2022" sheetId="249" r:id="rId249"/>
    <sheet name="31 Oct - 06 Nov 2022" sheetId="250" r:id="rId250"/>
    <sheet name="07 Nov - 13 Nov  2022 " sheetId="251" r:id="rId251"/>
    <sheet name="14 Nov - 20 Nov  2022" sheetId="252" r:id="rId252"/>
    <sheet name="21 Nov - 27 Nov  2022" sheetId="253" r:id="rId253"/>
    <sheet name="28 Nov - 04 Dec  2022" sheetId="254" r:id="rId254"/>
    <sheet name="5 Dec - 11 Dec  2022" sheetId="255" r:id="rId255"/>
    <sheet name="12 Dec - 18 Dec  2022" sheetId="256" r:id="rId256"/>
    <sheet name="19 Dec - 25 Dec  2022" sheetId="257" r:id="rId257"/>
    <sheet name="26 Dec - 01 Jan 2023" sheetId="258" r:id="rId258"/>
    <sheet name="02 Jan - 08 Jan 2023" sheetId="259" r:id="rId259"/>
    <sheet name="09 Jan - 15 Jan 2023" sheetId="260" r:id="rId260"/>
    <sheet name="16 Jan - 22 Jan 2023" sheetId="261" r:id="rId261"/>
    <sheet name="23 Jan - 29 Jan 2023" sheetId="262" r:id="rId262"/>
    <sheet name="30 Jan - 05 Feb 2023" sheetId="263" r:id="rId263"/>
    <sheet name="6 Feb - 12 Feb 2023" sheetId="264" r:id="rId264"/>
    <sheet name="13 Feb - 19 Feb 2023" sheetId="265" r:id="rId265"/>
    <sheet name="20 Feb - 26 Feb 2023" sheetId="266" r:id="rId266"/>
    <sheet name="27 Feb - 5 Mar 2023" sheetId="267" r:id="rId267"/>
    <sheet name="6 Mar - 12 Mar 2023 " sheetId="268" r:id="rId268"/>
    <sheet name="13 Mar - 19 Mar 2023" sheetId="269" r:id="rId269"/>
    <sheet name="20 Mar - 26 Mar 2023 " sheetId="270" r:id="rId270"/>
    <sheet name="27 Mar - 02 April 2023  " sheetId="271" r:id="rId271"/>
    <sheet name="03 Mar - 09 April 2023  " sheetId="272" r:id="rId272"/>
    <sheet name="10 Mar - 16 April 2023   " sheetId="273" r:id="rId273"/>
    <sheet name="17 Mar - 23 April 2023    " sheetId="274" r:id="rId274"/>
    <sheet name="24 APRIL -30 April 2023 " sheetId="275" r:id="rId275"/>
    <sheet name="01 May- 07 May 2023 " sheetId="276" r:id="rId276"/>
    <sheet name="08 May - 14 May 2023" sheetId="277" r:id="rId277"/>
    <sheet name="15 May - 21 May 2023 " sheetId="278" r:id="rId278"/>
    <sheet name="22 May - 28 May 2023  " sheetId="279" r:id="rId279"/>
    <sheet name="29 May - 04 June 2023  " sheetId="280" r:id="rId280"/>
    <sheet name="05 June - 11 June 2023" sheetId="281" r:id="rId281"/>
    <sheet name="12 June - 18 June 2023" sheetId="282" r:id="rId282"/>
    <sheet name="19 June - 25 June 2023" sheetId="283" r:id="rId283"/>
    <sheet name="26 June - 2 July 2023" sheetId="284" r:id="rId284"/>
    <sheet name="03 July - 9 July 2023 " sheetId="285" r:id="rId285"/>
    <sheet name="10 July - 16 July 2023  " sheetId="286" r:id="rId286"/>
    <sheet name="17 July - 23 July 2023" sheetId="287" r:id="rId287"/>
    <sheet name="Data" sheetId="288" r:id="rId288"/>
    <sheet name="24 July - 30 July 2023" sheetId="289" r:id="rId289"/>
    <sheet name="31 August - 06 August 2023 " sheetId="290" r:id="rId290"/>
    <sheet name="07 August - 13 August 2023" sheetId="291" r:id="rId291"/>
    <sheet name="14  August - 20 August 2023" sheetId="292" r:id="rId292"/>
    <sheet name="sheet1" sheetId="293" r:id="rId293"/>
    <sheet name="Promo" sheetId="294" state="hidden" r:id="rId294"/>
    <sheet name="Naming Convertions" sheetId="295" state="hidden" r:id="rId295"/>
    <sheet name="created_sheet_20230905_192337" sheetId="296" r:id="rId296"/>
    <sheet name="created_sheet_20230906_153918" sheetId="297" r:id="rId297"/>
  </sheets>
  <definedNames>
    <definedName name="_xlnm.Print_Area" localSheetId="67">'1 Apr- 7 Apr'!$A$1:$L$37</definedName>
    <definedName name="_xlnm.Print_Area" localSheetId="60">'11 Feb - 17 Feb'!$A$1:$K$37</definedName>
    <definedName name="_xlnm.Print_Area" localSheetId="64">'11 Mar- 17 Mar'!$A$1:$L$37</definedName>
    <definedName name="_xlnm.Print_Area" localSheetId="69">'15 Apr- 21 Apr'!$A$1:$L$37</definedName>
    <definedName name="_xlnm.Print_Area" localSheetId="61">'18 Feb - 24 Feb'!$A$1:$K$37</definedName>
    <definedName name="_xlnm.Print_Area" localSheetId="65">'18 Mar- 24 Mar'!$A$1:$L$37</definedName>
    <definedName name="_xlnm.Print_Area" localSheetId="70">'22 Apr- 28 Apr'!$A$1:$L$37</definedName>
    <definedName name="_xlnm.Print_Area" localSheetId="62">'25 Feb - 3 Mar'!$A$1:$L$37</definedName>
    <definedName name="_xlnm.Print_Area" localSheetId="66">'25 Mar- 31 Mar'!$A$1:$L$37</definedName>
    <definedName name="_xlnm.Print_Area" localSheetId="58">'28 Jan - 3 Feb'!$A$1:$M$37</definedName>
    <definedName name="_xlnm.Print_Area" localSheetId="71">'29 Apr- 5 May'!$A$1:$L$37</definedName>
    <definedName name="_xlnm.Print_Area" localSheetId="59">'4 Feb - 10 Feb'!$A$1:$M$37</definedName>
    <definedName name="_xlnm.Print_Area" localSheetId="63">'4 Mar- 10 Mar'!$A$1:$L$37</definedName>
    <definedName name="_xlnm.Print_Area" localSheetId="72">'6 May - 12 May'!$A$1:$L$37</definedName>
    <definedName name="_xlnm.Print_Area" localSheetId="68">'8 Apr- 14 Apr'!$A$1:$L$37</definedName>
    <definedName name="_xlnm.Print_Area" localSheetId="17">'Apr 16 - Apr 22'!$A$1:$M$39</definedName>
    <definedName name="_xlnm.Print_Area" localSheetId="15">'Apr 2 - Apr 8'!$A$1:$M$39</definedName>
    <definedName name="_xlnm.Print_Area" localSheetId="18">'Apr 23 - Apr 29'!$A$1:$M$39</definedName>
    <definedName name="_xlnm.Print_Area" localSheetId="19">'Apr 30 - May 6'!$A$1:$M$39</definedName>
    <definedName name="_xlnm.Print_Area" localSheetId="16">'Apr 9 - Apr 15'!$A$1:$M$39</definedName>
    <definedName name="_xlnm.Print_Area" localSheetId="34">'Aug 13 - Aug 19'!$A$1:$M$39</definedName>
    <definedName name="_xlnm.Print_Area" localSheetId="35">'Aug 20 - Aug 26'!$A$1:$M$39</definedName>
    <definedName name="_xlnm.Print_Area" localSheetId="36">'Aug 27 - Sept 2'!$A$1:$M$39</definedName>
    <definedName name="_xlnm.Print_Area" localSheetId="33">'Aug 6 - Aug 12'!$A$1:$M$39</definedName>
    <definedName name="_xlnm.Print_Area" localSheetId="51">'Dec 10 - Dec 16'!$A$1:$M$39</definedName>
    <definedName name="_xlnm.Print_Area" localSheetId="52">'Dec 17 - Dec 23'!$A$1:$M$39</definedName>
    <definedName name="_xlnm.Print_Area" localSheetId="53">'Dec 24 - Dec 30'!$A$1:$M$39</definedName>
    <definedName name="_xlnm.Print_Area" localSheetId="1">'Dec 25 - Dec 31 17'!$A$1:$M$39</definedName>
    <definedName name="_xlnm.Print_Area" localSheetId="0">'Dec 25 - Jan 1 17'!$A$1:$M$39</definedName>
    <definedName name="_xlnm.Print_Area" localSheetId="50">'Dec 3 - Dec 9'!$A$1:$M$39</definedName>
    <definedName name="_xlnm.Print_Area" localSheetId="54">'Dec 31 - Jan 6'!$A$1:$M$36</definedName>
    <definedName name="_xlnm.Print_Area" localSheetId="8">'Feb 12 - Feb 18'!$A$1:$M$39</definedName>
    <definedName name="_xlnm.Print_Area" localSheetId="9">'Feb 19 - Feb 25'!$A$1:$M$39</definedName>
    <definedName name="_xlnm.Print_Area" localSheetId="10">'Feb 26 - Mar 4'!$A$1:$M$39</definedName>
    <definedName name="_xlnm.Print_Area" localSheetId="7">'Feb 5 - Feb 11'!$A$1:$M$39</definedName>
    <definedName name="_xlnm.Print_Area" localSheetId="2">'Jan 1 - Jan 7'!$A$1:$M$39</definedName>
    <definedName name="_xlnm.Print_Area" localSheetId="56">'Jan 14 - Jan 20'!$A$1:$M$36</definedName>
    <definedName name="_xlnm.Print_Area" localSheetId="4">'Jan 15 - Jan 21'!$A$1:$M$39</definedName>
    <definedName name="_xlnm.Print_Area" localSheetId="57">'Jan 21 - Jan 27'!$A$1:$M$36</definedName>
    <definedName name="_xlnm.Print_Area" localSheetId="5">'Jan 22 - Jan 28'!$A$1:$M$39</definedName>
    <definedName name="_xlnm.Print_Area" localSheetId="6">'Jan 29 - Feb 4'!$A$1:$M$39</definedName>
    <definedName name="_xlnm.Print_Area" localSheetId="55">'Jan 7 - Jan 13'!$A$1:$M$36</definedName>
    <definedName name="_xlnm.Print_Area" localSheetId="3">'Jan 8 - Jan 14'!$A$1:$M$39</definedName>
    <definedName name="_xlnm.Print_Area" localSheetId="30">'Jul 16 - Jul 22'!$A$1:$M$39</definedName>
    <definedName name="_xlnm.Print_Area" localSheetId="28">'Jul 2 - Jul 8'!$A$1:$M$39</definedName>
    <definedName name="_xlnm.Print_Area" localSheetId="31">'Jul 23 - Jul 29'!$A$1:$M$39</definedName>
    <definedName name="_xlnm.Print_Area" localSheetId="32">'Jul 30 - Aug 5'!$A$1:$M$39</definedName>
    <definedName name="_xlnm.Print_Area" localSheetId="29">'Jul 9 - Jul 15'!$A$1:$M$39</definedName>
    <definedName name="_xlnm.Print_Area" localSheetId="25">'Jun 11 - Jun 17'!$A$1:$M$39</definedName>
    <definedName name="_xlnm.Print_Area" localSheetId="26">'Jun 18 - Jun 24'!$A$1:$M$39</definedName>
    <definedName name="_xlnm.Print_Area" localSheetId="27">'Jun 25 - Jul 1'!$A$1:$M$39</definedName>
    <definedName name="_xlnm.Print_Area" localSheetId="24">'Jun 4 - Jun 10'!$A$1:$M$39</definedName>
    <definedName name="_xlnm.Print_Area" localSheetId="12">'Mar 12 - Mar 18'!$A$1:$M$39</definedName>
    <definedName name="_xlnm.Print_Area" localSheetId="13">'Mar 19 - Mar 25'!$A$1:$M$39</definedName>
    <definedName name="_xlnm.Print_Area" localSheetId="14">'Mar 26 - Apr 1'!$A$1:$M$39</definedName>
    <definedName name="_xlnm.Print_Area" localSheetId="11">'Mar 5 - Mar 11'!$A$1:$M$39</definedName>
    <definedName name="_xlnm.Print_Area" localSheetId="21">'May 14 - May 20'!$A$1:$M$39</definedName>
    <definedName name="_xlnm.Print_Area" localSheetId="22">'May 21 - May 27'!$A$1:$M$39</definedName>
    <definedName name="_xlnm.Print_Area" localSheetId="23">'May 28 - Jun 3'!$A$1:$M$39</definedName>
    <definedName name="_xlnm.Print_Area" localSheetId="20">'May 7 - May 13'!$A$1:$M$39</definedName>
    <definedName name="_xlnm.Print_Area" localSheetId="47">'Nov 12 - Nov 18'!$A$1:$M$39</definedName>
    <definedName name="_xlnm.Print_Area" localSheetId="48">'Nov 19 - Nov 25'!$A$1:$M$39</definedName>
    <definedName name="_xlnm.Print_Area" localSheetId="49">'Nov 26 - Dec 2'!$A$1:$M$39</definedName>
    <definedName name="_xlnm.Print_Area" localSheetId="46">'Nov 5 - Nov 11'!$A$1:$M$39</definedName>
    <definedName name="_xlnm.Print_Area" localSheetId="41">'Oct 1 - Oct 7'!$A$1:$M$39</definedName>
    <definedName name="_xlnm.Print_Area" localSheetId="43">'Oct 15 - Oct 21'!$A$1:$M$39</definedName>
    <definedName name="_xlnm.Print_Area" localSheetId="44">'Oct 22 - Oct 28'!$A$1:$M$39</definedName>
    <definedName name="_xlnm.Print_Area" localSheetId="45">'Oct 29 - Nov 4'!$A$1:$M$39</definedName>
    <definedName name="_xlnm.Print_Area" localSheetId="42">'Oct 8 - Oct 14'!$A$1:$M$39</definedName>
    <definedName name="_xlnm.Print_Area" localSheetId="38">'Sept 10 - Sept 16'!$A$1:$M$39</definedName>
    <definedName name="_xlnm.Print_Area" localSheetId="39">'Sept 17 - Sept 23'!$A$1:$M$39</definedName>
    <definedName name="_xlnm.Print_Area" localSheetId="40">'Sept 24 - Sept 30'!$A$1:$M$39</definedName>
    <definedName name="_xlnm.Print_Area" localSheetId="37">'Sept 3 - Sept 9'!$A$1:$M$39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5" i="297" l="1"/>
  <c r="Z15" i="297"/>
  <c r="T15" i="297"/>
  <c r="U15" i="297" s="1"/>
  <c r="R15" i="297"/>
  <c r="S15" i="297" s="1"/>
  <c r="Q15" i="297"/>
  <c r="N15" i="297"/>
  <c r="K15" i="297"/>
  <c r="I15" i="297"/>
  <c r="H15" i="297"/>
  <c r="E15" i="297"/>
  <c r="AC14" i="297"/>
  <c r="Z14" i="297"/>
  <c r="T14" i="297"/>
  <c r="U14" i="297" s="1"/>
  <c r="R14" i="297"/>
  <c r="S14" i="297" s="1"/>
  <c r="Q14" i="297"/>
  <c r="N14" i="297"/>
  <c r="K14" i="297"/>
  <c r="I14" i="297"/>
  <c r="H14" i="297"/>
  <c r="E14" i="297"/>
  <c r="AC13" i="297"/>
  <c r="Z13" i="297"/>
  <c r="T13" i="297"/>
  <c r="U13" i="297" s="1"/>
  <c r="R13" i="297"/>
  <c r="S13" i="297" s="1"/>
  <c r="Q13" i="297"/>
  <c r="N13" i="297"/>
  <c r="K13" i="297"/>
  <c r="I13" i="297"/>
  <c r="H13" i="297"/>
  <c r="E13" i="297"/>
  <c r="AC12" i="297"/>
  <c r="Z12" i="297"/>
  <c r="U12" i="297"/>
  <c r="T12" i="297"/>
  <c r="R12" i="297"/>
  <c r="S12" i="297" s="1"/>
  <c r="Q12" i="297"/>
  <c r="N12" i="297"/>
  <c r="K12" i="297"/>
  <c r="I12" i="297"/>
  <c r="H12" i="297"/>
  <c r="E12" i="297"/>
  <c r="AC11" i="297"/>
  <c r="Z11" i="297"/>
  <c r="T11" i="297"/>
  <c r="U11" i="297" s="1"/>
  <c r="R11" i="297"/>
  <c r="S11" i="297" s="1"/>
  <c r="Q11" i="297"/>
  <c r="N11" i="297"/>
  <c r="K11" i="297"/>
  <c r="I11" i="297"/>
  <c r="H11" i="297"/>
  <c r="E11" i="297"/>
  <c r="AC10" i="297"/>
  <c r="Z10" i="297"/>
  <c r="T10" i="297"/>
  <c r="U10" i="297" s="1"/>
  <c r="R10" i="297"/>
  <c r="S10" i="297" s="1"/>
  <c r="Q10" i="297"/>
  <c r="N10" i="297"/>
  <c r="K10" i="297"/>
  <c r="I10" i="297"/>
  <c r="H10" i="297"/>
  <c r="E10" i="297"/>
  <c r="AC9" i="297"/>
  <c r="Z9" i="297"/>
  <c r="T9" i="297"/>
  <c r="U9" i="297" s="1"/>
  <c r="R9" i="297"/>
  <c r="S9" i="297" s="1"/>
  <c r="Q9" i="297"/>
  <c r="N9" i="297"/>
  <c r="K9" i="297"/>
  <c r="I9" i="297"/>
  <c r="H9" i="297"/>
  <c r="E9" i="297"/>
  <c r="AC8" i="297"/>
  <c r="Z8" i="297"/>
  <c r="U8" i="297"/>
  <c r="T8" i="297"/>
  <c r="R8" i="297"/>
  <c r="S8" i="297" s="1"/>
  <c r="Q8" i="297"/>
  <c r="N8" i="297"/>
  <c r="K8" i="297"/>
  <c r="I8" i="297"/>
  <c r="H8" i="297"/>
  <c r="E8" i="297"/>
  <c r="AC7" i="297"/>
  <c r="Z7" i="297"/>
  <c r="T7" i="297"/>
  <c r="R7" i="297"/>
  <c r="S7" i="297" s="1"/>
  <c r="Q7" i="297"/>
  <c r="N7" i="297"/>
  <c r="K7" i="297"/>
  <c r="I7" i="297"/>
  <c r="H7" i="297"/>
  <c r="E7" i="297"/>
  <c r="AC6" i="297"/>
  <c r="Z6" i="297"/>
  <c r="T6" i="297"/>
  <c r="U6" i="297" s="1"/>
  <c r="R6" i="297"/>
  <c r="S6" i="297" s="1"/>
  <c r="Q6" i="297"/>
  <c r="N6" i="297"/>
  <c r="K6" i="297"/>
  <c r="I6" i="297"/>
  <c r="H6" i="297"/>
  <c r="E6" i="297"/>
  <c r="AC5" i="297"/>
  <c r="Z5" i="297"/>
  <c r="T5" i="297"/>
  <c r="U5" i="297" s="1"/>
  <c r="R5" i="297"/>
  <c r="S5" i="297" s="1"/>
  <c r="Q5" i="297"/>
  <c r="N5" i="297"/>
  <c r="K5" i="297"/>
  <c r="I5" i="297"/>
  <c r="H5" i="297"/>
  <c r="E5" i="297"/>
  <c r="V4" i="297"/>
  <c r="P4" i="297"/>
  <c r="Q4" i="297" s="1"/>
  <c r="O4" i="297"/>
  <c r="M4" i="297"/>
  <c r="N4" i="297" s="1"/>
  <c r="L4" i="297"/>
  <c r="K4" i="297"/>
  <c r="J4" i="297"/>
  <c r="G4" i="297"/>
  <c r="H4" i="297" s="1"/>
  <c r="F4" i="297"/>
  <c r="D4" i="297"/>
  <c r="C4" i="297"/>
  <c r="B4" i="297"/>
  <c r="AC15" i="296"/>
  <c r="R15" i="296" s="1"/>
  <c r="S15" i="296" s="1"/>
  <c r="Z15" i="296"/>
  <c r="T15" i="296"/>
  <c r="U15" i="296" s="1"/>
  <c r="Q15" i="296"/>
  <c r="N15" i="296"/>
  <c r="K15" i="296"/>
  <c r="K4" i="296" s="1"/>
  <c r="I15" i="296"/>
  <c r="H15" i="296"/>
  <c r="E15" i="296"/>
  <c r="AC14" i="296"/>
  <c r="Z14" i="296"/>
  <c r="Q14" i="296"/>
  <c r="N14" i="296"/>
  <c r="K14" i="296"/>
  <c r="I14" i="296"/>
  <c r="H14" i="296"/>
  <c r="E14" i="296"/>
  <c r="AC13" i="296"/>
  <c r="R13" i="296" s="1"/>
  <c r="S13" i="296" s="1"/>
  <c r="Z13" i="296"/>
  <c r="T13" i="296"/>
  <c r="U13" i="296" s="1"/>
  <c r="Q13" i="296"/>
  <c r="N13" i="296"/>
  <c r="K13" i="296"/>
  <c r="I13" i="296"/>
  <c r="H13" i="296"/>
  <c r="E13" i="296"/>
  <c r="AC12" i="296"/>
  <c r="Z12" i="296"/>
  <c r="Q12" i="296"/>
  <c r="N12" i="296"/>
  <c r="K12" i="296"/>
  <c r="I12" i="296"/>
  <c r="H12" i="296"/>
  <c r="E12" i="296"/>
  <c r="AC11" i="296"/>
  <c r="R11" i="296" s="1"/>
  <c r="S11" i="296" s="1"/>
  <c r="Z11" i="296"/>
  <c r="T11" i="296"/>
  <c r="U11" i="296" s="1"/>
  <c r="Q11" i="296"/>
  <c r="N11" i="296"/>
  <c r="K11" i="296"/>
  <c r="I11" i="296"/>
  <c r="H11" i="296"/>
  <c r="E11" i="296"/>
  <c r="AC10" i="296"/>
  <c r="Z10" i="296"/>
  <c r="Q10" i="296"/>
  <c r="N10" i="296"/>
  <c r="K10" i="296"/>
  <c r="I10" i="296"/>
  <c r="H10" i="296"/>
  <c r="E10" i="296"/>
  <c r="AC9" i="296"/>
  <c r="R9" i="296" s="1"/>
  <c r="S9" i="296" s="1"/>
  <c r="Z9" i="296"/>
  <c r="T9" i="296"/>
  <c r="U9" i="296" s="1"/>
  <c r="Q9" i="296"/>
  <c r="N9" i="296"/>
  <c r="K9" i="296"/>
  <c r="I9" i="296"/>
  <c r="H9" i="296"/>
  <c r="E9" i="296"/>
  <c r="AC8" i="296"/>
  <c r="Z8" i="296"/>
  <c r="Q8" i="296"/>
  <c r="N8" i="296"/>
  <c r="K8" i="296"/>
  <c r="I8" i="296"/>
  <c r="H8" i="296"/>
  <c r="E8" i="296"/>
  <c r="AC7" i="296"/>
  <c r="R7" i="296" s="1"/>
  <c r="S7" i="296" s="1"/>
  <c r="Z7" i="296"/>
  <c r="T7" i="296"/>
  <c r="U7" i="296" s="1"/>
  <c r="Q7" i="296"/>
  <c r="N7" i="296"/>
  <c r="K7" i="296"/>
  <c r="I7" i="296"/>
  <c r="H7" i="296"/>
  <c r="E7" i="296"/>
  <c r="AC6" i="296"/>
  <c r="Z6" i="296"/>
  <c r="Q6" i="296"/>
  <c r="N6" i="296"/>
  <c r="K6" i="296"/>
  <c r="I6" i="296"/>
  <c r="H6" i="296"/>
  <c r="E6" i="296"/>
  <c r="AC5" i="296"/>
  <c r="R5" i="296" s="1"/>
  <c r="S5" i="296" s="1"/>
  <c r="Z5" i="296"/>
  <c r="T5" i="296"/>
  <c r="Q5" i="296"/>
  <c r="N5" i="296"/>
  <c r="K5" i="296"/>
  <c r="I5" i="296"/>
  <c r="H5" i="296"/>
  <c r="E5" i="296"/>
  <c r="V4" i="296"/>
  <c r="P4" i="296"/>
  <c r="Q4" i="296" s="1"/>
  <c r="O4" i="296"/>
  <c r="M4" i="296"/>
  <c r="L4" i="296"/>
  <c r="J4" i="296"/>
  <c r="N4" i="296" s="1"/>
  <c r="G4" i="296"/>
  <c r="F4" i="296"/>
  <c r="D4" i="296"/>
  <c r="C4" i="296"/>
  <c r="B4" i="296"/>
  <c r="T15" i="294"/>
  <c r="S15" i="294"/>
  <c r="R15" i="294"/>
  <c r="Q15" i="294"/>
  <c r="P15" i="294"/>
  <c r="O15" i="294"/>
  <c r="N15" i="294"/>
  <c r="M15" i="294"/>
  <c r="L15" i="294"/>
  <c r="K15" i="294"/>
  <c r="J15" i="294"/>
  <c r="I15" i="294"/>
  <c r="H15" i="294"/>
  <c r="G15" i="294"/>
  <c r="F15" i="294"/>
  <c r="E15" i="294"/>
  <c r="D15" i="294"/>
  <c r="C15" i="294"/>
  <c r="A12" i="294"/>
  <c r="A11" i="294"/>
  <c r="A10" i="294"/>
  <c r="A9" i="294"/>
  <c r="A8" i="294"/>
  <c r="A7" i="294"/>
  <c r="A6" i="294"/>
  <c r="A5" i="294"/>
  <c r="A4" i="294"/>
  <c r="A3" i="294"/>
  <c r="A2" i="294"/>
  <c r="AC15" i="293"/>
  <c r="Z15" i="293"/>
  <c r="Q15" i="293"/>
  <c r="N15" i="293"/>
  <c r="K15" i="293"/>
  <c r="I15" i="293"/>
  <c r="H15" i="293"/>
  <c r="E15" i="293"/>
  <c r="AC14" i="293"/>
  <c r="R14" i="293" s="1"/>
  <c r="S14" i="293" s="1"/>
  <c r="Z14" i="293"/>
  <c r="T14" i="293"/>
  <c r="U14" i="293" s="1"/>
  <c r="Q14" i="293"/>
  <c r="N14" i="293"/>
  <c r="K14" i="293"/>
  <c r="I14" i="293"/>
  <c r="H14" i="293"/>
  <c r="E14" i="293"/>
  <c r="AC13" i="293"/>
  <c r="Z13" i="293"/>
  <c r="Q13" i="293"/>
  <c r="N13" i="293"/>
  <c r="K13" i="293"/>
  <c r="I13" i="293"/>
  <c r="H13" i="293"/>
  <c r="E13" i="293"/>
  <c r="AC12" i="293"/>
  <c r="R12" i="293" s="1"/>
  <c r="S12" i="293" s="1"/>
  <c r="Z12" i="293"/>
  <c r="T12" i="293"/>
  <c r="U12" i="293" s="1"/>
  <c r="Q12" i="293"/>
  <c r="N12" i="293"/>
  <c r="K12" i="293"/>
  <c r="I12" i="293"/>
  <c r="H12" i="293"/>
  <c r="E12" i="293"/>
  <c r="AC11" i="293"/>
  <c r="Z11" i="293"/>
  <c r="Q11" i="293"/>
  <c r="N11" i="293"/>
  <c r="K11" i="293"/>
  <c r="I11" i="293"/>
  <c r="H11" i="293"/>
  <c r="E11" i="293"/>
  <c r="AC10" i="293"/>
  <c r="R10" i="293" s="1"/>
  <c r="S10" i="293" s="1"/>
  <c r="Z10" i="293"/>
  <c r="T10" i="293"/>
  <c r="U10" i="293" s="1"/>
  <c r="Q10" i="293"/>
  <c r="N10" i="293"/>
  <c r="K10" i="293"/>
  <c r="I10" i="293"/>
  <c r="H10" i="293"/>
  <c r="E10" i="293"/>
  <c r="AC9" i="293"/>
  <c r="Z9" i="293"/>
  <c r="Q9" i="293"/>
  <c r="N9" i="293"/>
  <c r="K9" i="293"/>
  <c r="I9" i="293"/>
  <c r="H9" i="293"/>
  <c r="E9" i="293"/>
  <c r="AC8" i="293"/>
  <c r="R8" i="293" s="1"/>
  <c r="S8" i="293" s="1"/>
  <c r="Z8" i="293"/>
  <c r="T8" i="293"/>
  <c r="U8" i="293" s="1"/>
  <c r="Q8" i="293"/>
  <c r="N8" i="293"/>
  <c r="K8" i="293"/>
  <c r="I8" i="293"/>
  <c r="H8" i="293"/>
  <c r="E8" i="293"/>
  <c r="AC7" i="293"/>
  <c r="Z7" i="293"/>
  <c r="Q7" i="293"/>
  <c r="N7" i="293"/>
  <c r="K7" i="293"/>
  <c r="I7" i="293"/>
  <c r="H7" i="293"/>
  <c r="E7" i="293"/>
  <c r="AC6" i="293"/>
  <c r="R6" i="293" s="1"/>
  <c r="S6" i="293" s="1"/>
  <c r="Z6" i="293"/>
  <c r="T6" i="293"/>
  <c r="U6" i="293" s="1"/>
  <c r="Q6" i="293"/>
  <c r="N6" i="293"/>
  <c r="K6" i="293"/>
  <c r="I6" i="293"/>
  <c r="H6" i="293"/>
  <c r="E6" i="293"/>
  <c r="AC5" i="293"/>
  <c r="Z5" i="293"/>
  <c r="Q5" i="293"/>
  <c r="N5" i="293"/>
  <c r="K5" i="293"/>
  <c r="I5" i="293"/>
  <c r="H5" i="293"/>
  <c r="E5" i="293"/>
  <c r="V4" i="293"/>
  <c r="P4" i="293"/>
  <c r="O4" i="293"/>
  <c r="N4" i="293"/>
  <c r="M4" i="293"/>
  <c r="L4" i="293"/>
  <c r="J4" i="293"/>
  <c r="G4" i="293"/>
  <c r="F4" i="293"/>
  <c r="D4" i="293"/>
  <c r="C4" i="293"/>
  <c r="B4" i="293"/>
  <c r="AC15" i="292"/>
  <c r="T15" i="292" s="1"/>
  <c r="U15" i="292" s="1"/>
  <c r="Z15" i="292"/>
  <c r="R15" i="292"/>
  <c r="S15" i="292" s="1"/>
  <c r="Q15" i="292"/>
  <c r="N15" i="292"/>
  <c r="K15" i="292"/>
  <c r="I15" i="292"/>
  <c r="H15" i="292"/>
  <c r="E15" i="292"/>
  <c r="AC14" i="292"/>
  <c r="T14" i="292" s="1"/>
  <c r="U14" i="292" s="1"/>
  <c r="Z14" i="292"/>
  <c r="R14" i="292" s="1"/>
  <c r="S14" i="292" s="1"/>
  <c r="Q14" i="292"/>
  <c r="N14" i="292"/>
  <c r="K14" i="292"/>
  <c r="I14" i="292"/>
  <c r="H14" i="292"/>
  <c r="E14" i="292"/>
  <c r="AC13" i="292"/>
  <c r="T13" i="292" s="1"/>
  <c r="U13" i="292" s="1"/>
  <c r="Z13" i="292"/>
  <c r="S13" i="292"/>
  <c r="R13" i="292"/>
  <c r="Q13" i="292"/>
  <c r="N13" i="292"/>
  <c r="K13" i="292"/>
  <c r="I13" i="292"/>
  <c r="H13" i="292"/>
  <c r="E13" i="292"/>
  <c r="AC12" i="292"/>
  <c r="T12" i="292" s="1"/>
  <c r="U12" i="292" s="1"/>
  <c r="Z12" i="292"/>
  <c r="Q12" i="292"/>
  <c r="N12" i="292"/>
  <c r="K12" i="292"/>
  <c r="I12" i="292"/>
  <c r="H12" i="292"/>
  <c r="E12" i="292"/>
  <c r="AC11" i="292"/>
  <c r="T11" i="292" s="1"/>
  <c r="U11" i="292" s="1"/>
  <c r="Z11" i="292"/>
  <c r="R11" i="292"/>
  <c r="S11" i="292" s="1"/>
  <c r="Q11" i="292"/>
  <c r="N11" i="292"/>
  <c r="K11" i="292"/>
  <c r="I11" i="292"/>
  <c r="H11" i="292"/>
  <c r="E11" i="292"/>
  <c r="AC10" i="292"/>
  <c r="T10" i="292" s="1"/>
  <c r="U10" i="292" s="1"/>
  <c r="Z10" i="292"/>
  <c r="R10" i="292" s="1"/>
  <c r="S10" i="292" s="1"/>
  <c r="Q10" i="292"/>
  <c r="N10" i="292"/>
  <c r="K10" i="292"/>
  <c r="I10" i="292"/>
  <c r="H10" i="292"/>
  <c r="E10" i="292"/>
  <c r="AC9" i="292"/>
  <c r="T9" i="292" s="1"/>
  <c r="U9" i="292" s="1"/>
  <c r="Z9" i="292"/>
  <c r="S9" i="292"/>
  <c r="R9" i="292"/>
  <c r="Q9" i="292"/>
  <c r="N9" i="292"/>
  <c r="K9" i="292"/>
  <c r="I9" i="292"/>
  <c r="H9" i="292"/>
  <c r="E9" i="292"/>
  <c r="AC8" i="292"/>
  <c r="T8" i="292" s="1"/>
  <c r="U8" i="292" s="1"/>
  <c r="Z8" i="292"/>
  <c r="Q8" i="292"/>
  <c r="N8" i="292"/>
  <c r="K8" i="292"/>
  <c r="I8" i="292"/>
  <c r="H8" i="292"/>
  <c r="E8" i="292"/>
  <c r="AC7" i="292"/>
  <c r="T7" i="292" s="1"/>
  <c r="U7" i="292" s="1"/>
  <c r="Z7" i="292"/>
  <c r="R7" i="292"/>
  <c r="S7" i="292" s="1"/>
  <c r="Q7" i="292"/>
  <c r="N7" i="292"/>
  <c r="K7" i="292"/>
  <c r="I7" i="292"/>
  <c r="H7" i="292"/>
  <c r="E7" i="292"/>
  <c r="AC6" i="292"/>
  <c r="T6" i="292" s="1"/>
  <c r="U6" i="292" s="1"/>
  <c r="Z6" i="292"/>
  <c r="R6" i="292" s="1"/>
  <c r="S6" i="292" s="1"/>
  <c r="Q6" i="292"/>
  <c r="N6" i="292"/>
  <c r="K6" i="292"/>
  <c r="I6" i="292"/>
  <c r="H6" i="292"/>
  <c r="E6" i="292"/>
  <c r="AC5" i="292"/>
  <c r="T5" i="292" s="1"/>
  <c r="Z5" i="292"/>
  <c r="S5" i="292"/>
  <c r="R5" i="292"/>
  <c r="Q5" i="292"/>
  <c r="N5" i="292"/>
  <c r="K5" i="292"/>
  <c r="I5" i="292"/>
  <c r="H5" i="292"/>
  <c r="E5" i="292"/>
  <c r="V4" i="292"/>
  <c r="P4" i="292"/>
  <c r="O4" i="292"/>
  <c r="M4" i="292"/>
  <c r="N4" i="292" s="1"/>
  <c r="L4" i="292"/>
  <c r="J4" i="292"/>
  <c r="Q4" i="292" s="1"/>
  <c r="G4" i="292"/>
  <c r="F4" i="292"/>
  <c r="D4" i="292"/>
  <c r="C4" i="292"/>
  <c r="B4" i="292"/>
  <c r="AC15" i="291"/>
  <c r="T15" i="291" s="1"/>
  <c r="Z15" i="291"/>
  <c r="U15" i="291"/>
  <c r="R15" i="291"/>
  <c r="S15" i="291" s="1"/>
  <c r="Q15" i="291"/>
  <c r="N15" i="291"/>
  <c r="K15" i="291"/>
  <c r="I15" i="291"/>
  <c r="H15" i="291"/>
  <c r="E15" i="291"/>
  <c r="AC14" i="291"/>
  <c r="T14" i="291" s="1"/>
  <c r="U14" i="291" s="1"/>
  <c r="Z14" i="291"/>
  <c r="R14" i="291" s="1"/>
  <c r="S14" i="291" s="1"/>
  <c r="Q14" i="291"/>
  <c r="N14" i="291"/>
  <c r="K14" i="291"/>
  <c r="I14" i="291"/>
  <c r="H14" i="291"/>
  <c r="E14" i="291"/>
  <c r="AC13" i="291"/>
  <c r="T13" i="291" s="1"/>
  <c r="Z13" i="291"/>
  <c r="U13" i="291"/>
  <c r="R13" i="291"/>
  <c r="S13" i="291" s="1"/>
  <c r="Q13" i="291"/>
  <c r="N13" i="291"/>
  <c r="K13" i="291"/>
  <c r="I13" i="291"/>
  <c r="H13" i="291"/>
  <c r="E13" i="291"/>
  <c r="AC12" i="291"/>
  <c r="T12" i="291" s="1"/>
  <c r="U12" i="291" s="1"/>
  <c r="Z12" i="291"/>
  <c r="R12" i="291" s="1"/>
  <c r="S12" i="291" s="1"/>
  <c r="Q12" i="291"/>
  <c r="N12" i="291"/>
  <c r="K12" i="291"/>
  <c r="I12" i="291"/>
  <c r="H12" i="291"/>
  <c r="E12" i="291"/>
  <c r="AC11" i="291"/>
  <c r="T11" i="291" s="1"/>
  <c r="Z11" i="291"/>
  <c r="U11" i="291"/>
  <c r="R11" i="291"/>
  <c r="S11" i="291" s="1"/>
  <c r="Q11" i="291"/>
  <c r="N11" i="291"/>
  <c r="K11" i="291"/>
  <c r="I11" i="291"/>
  <c r="H11" i="291"/>
  <c r="E11" i="291"/>
  <c r="AC10" i="291"/>
  <c r="T10" i="291" s="1"/>
  <c r="U10" i="291" s="1"/>
  <c r="Z10" i="291"/>
  <c r="R10" i="291" s="1"/>
  <c r="S10" i="291" s="1"/>
  <c r="Q10" i="291"/>
  <c r="N10" i="291"/>
  <c r="K10" i="291"/>
  <c r="I10" i="291"/>
  <c r="H10" i="291"/>
  <c r="E10" i="291"/>
  <c r="AC9" i="291"/>
  <c r="T9" i="291" s="1"/>
  <c r="Z9" i="291"/>
  <c r="U9" i="291"/>
  <c r="R9" i="291"/>
  <c r="S9" i="291" s="1"/>
  <c r="Q9" i="291"/>
  <c r="N9" i="291"/>
  <c r="K9" i="291"/>
  <c r="I9" i="291"/>
  <c r="H9" i="291"/>
  <c r="E9" i="291"/>
  <c r="AC8" i="291"/>
  <c r="T8" i="291" s="1"/>
  <c r="U8" i="291" s="1"/>
  <c r="Z8" i="291"/>
  <c r="R8" i="291" s="1"/>
  <c r="S8" i="291" s="1"/>
  <c r="Q8" i="291"/>
  <c r="N8" i="291"/>
  <c r="K8" i="291"/>
  <c r="I8" i="291"/>
  <c r="H8" i="291"/>
  <c r="E8" i="291"/>
  <c r="AC7" i="291"/>
  <c r="T7" i="291" s="1"/>
  <c r="Z7" i="291"/>
  <c r="U7" i="291"/>
  <c r="R7" i="291"/>
  <c r="S7" i="291" s="1"/>
  <c r="Q7" i="291"/>
  <c r="N7" i="291"/>
  <c r="K7" i="291"/>
  <c r="I7" i="291"/>
  <c r="H7" i="291"/>
  <c r="E7" i="291"/>
  <c r="AC6" i="291"/>
  <c r="T6" i="291" s="1"/>
  <c r="Z6" i="291"/>
  <c r="R6" i="291" s="1"/>
  <c r="S6" i="291" s="1"/>
  <c r="Q6" i="291"/>
  <c r="N6" i="291"/>
  <c r="K6" i="291"/>
  <c r="I6" i="291"/>
  <c r="H6" i="291"/>
  <c r="E6" i="291"/>
  <c r="AC5" i="291"/>
  <c r="T5" i="291" s="1"/>
  <c r="Z5" i="291"/>
  <c r="U5" i="291"/>
  <c r="R5" i="291"/>
  <c r="Q5" i="291"/>
  <c r="N5" i="291"/>
  <c r="K5" i="291"/>
  <c r="K4" i="291" s="1"/>
  <c r="I5" i="291"/>
  <c r="H5" i="291"/>
  <c r="E5" i="291"/>
  <c r="V4" i="291"/>
  <c r="P4" i="291"/>
  <c r="Q4" i="291" s="1"/>
  <c r="O4" i="291"/>
  <c r="M4" i="291"/>
  <c r="N4" i="291" s="1"/>
  <c r="L4" i="291"/>
  <c r="J4" i="291"/>
  <c r="I4" i="291"/>
  <c r="H4" i="291"/>
  <c r="G4" i="291"/>
  <c r="F4" i="291"/>
  <c r="E4" i="291"/>
  <c r="D4" i="291"/>
  <c r="C4" i="291"/>
  <c r="B4" i="291"/>
  <c r="I2" i="291"/>
  <c r="E2" i="291"/>
  <c r="AC15" i="290"/>
  <c r="Z15" i="290"/>
  <c r="U15" i="290"/>
  <c r="T15" i="290"/>
  <c r="R15" i="290"/>
  <c r="S15" i="290" s="1"/>
  <c r="Q15" i="290"/>
  <c r="N15" i="290"/>
  <c r="K15" i="290"/>
  <c r="I15" i="290"/>
  <c r="H15" i="290"/>
  <c r="E15" i="290"/>
  <c r="AC14" i="290"/>
  <c r="Z14" i="290"/>
  <c r="U14" i="290"/>
  <c r="T14" i="290"/>
  <c r="R14" i="290"/>
  <c r="S14" i="290" s="1"/>
  <c r="Q14" i="290"/>
  <c r="N14" i="290"/>
  <c r="K14" i="290"/>
  <c r="I14" i="290"/>
  <c r="H14" i="290"/>
  <c r="E14" i="290"/>
  <c r="AC13" i="290"/>
  <c r="Z13" i="290"/>
  <c r="T13" i="290"/>
  <c r="U13" i="290" s="1"/>
  <c r="R13" i="290"/>
  <c r="S13" i="290" s="1"/>
  <c r="Q13" i="290"/>
  <c r="N13" i="290"/>
  <c r="K13" i="290"/>
  <c r="I13" i="290"/>
  <c r="H13" i="290"/>
  <c r="E13" i="290"/>
  <c r="AC12" i="290"/>
  <c r="Z12" i="290"/>
  <c r="T12" i="290"/>
  <c r="U12" i="290" s="1"/>
  <c r="R12" i="290"/>
  <c r="S12" i="290" s="1"/>
  <c r="Q12" i="290"/>
  <c r="N12" i="290"/>
  <c r="K12" i="290"/>
  <c r="I12" i="290"/>
  <c r="H12" i="290"/>
  <c r="E12" i="290"/>
  <c r="AC11" i="290"/>
  <c r="Z11" i="290"/>
  <c r="U11" i="290"/>
  <c r="T11" i="290"/>
  <c r="R11" i="290"/>
  <c r="S11" i="290" s="1"/>
  <c r="Q11" i="290"/>
  <c r="N11" i="290"/>
  <c r="K11" i="290"/>
  <c r="I11" i="290"/>
  <c r="H11" i="290"/>
  <c r="E11" i="290"/>
  <c r="AC10" i="290"/>
  <c r="Z10" i="290"/>
  <c r="T10" i="290"/>
  <c r="U10" i="290" s="1"/>
  <c r="R10" i="290"/>
  <c r="S10" i="290" s="1"/>
  <c r="Q10" i="290"/>
  <c r="N10" i="290"/>
  <c r="K10" i="290"/>
  <c r="I10" i="290"/>
  <c r="H10" i="290"/>
  <c r="E10" i="290"/>
  <c r="AC9" i="290"/>
  <c r="Z9" i="290"/>
  <c r="T9" i="290"/>
  <c r="U9" i="290" s="1"/>
  <c r="R9" i="290"/>
  <c r="S9" i="290" s="1"/>
  <c r="Q9" i="290"/>
  <c r="N9" i="290"/>
  <c r="K9" i="290"/>
  <c r="I9" i="290"/>
  <c r="H9" i="290"/>
  <c r="E9" i="290"/>
  <c r="AC8" i="290"/>
  <c r="Z8" i="290"/>
  <c r="T8" i="290"/>
  <c r="U8" i="290" s="1"/>
  <c r="R8" i="290"/>
  <c r="S8" i="290" s="1"/>
  <c r="Q8" i="290"/>
  <c r="N8" i="290"/>
  <c r="K8" i="290"/>
  <c r="I8" i="290"/>
  <c r="H8" i="290"/>
  <c r="E8" i="290"/>
  <c r="AC7" i="290"/>
  <c r="Z7" i="290"/>
  <c r="R7" i="290" s="1"/>
  <c r="S7" i="290" s="1"/>
  <c r="U7" i="290"/>
  <c r="T7" i="290"/>
  <c r="Q7" i="290"/>
  <c r="N7" i="290"/>
  <c r="K7" i="290"/>
  <c r="I7" i="290"/>
  <c r="H7" i="290"/>
  <c r="E7" i="290"/>
  <c r="AC6" i="290"/>
  <c r="Z6" i="290"/>
  <c r="R6" i="290" s="1"/>
  <c r="S6" i="290" s="1"/>
  <c r="U6" i="290"/>
  <c r="T6" i="290"/>
  <c r="Q6" i="290"/>
  <c r="N6" i="290"/>
  <c r="K6" i="290"/>
  <c r="I6" i="290"/>
  <c r="H6" i="290"/>
  <c r="E6" i="290"/>
  <c r="AC5" i="290"/>
  <c r="Z5" i="290"/>
  <c r="T5" i="290"/>
  <c r="R5" i="290"/>
  <c r="Q5" i="290"/>
  <c r="N5" i="290"/>
  <c r="K5" i="290"/>
  <c r="I5" i="290"/>
  <c r="H5" i="290"/>
  <c r="E5" i="290"/>
  <c r="V4" i="290"/>
  <c r="P4" i="290"/>
  <c r="Q4" i="290" s="1"/>
  <c r="O4" i="290"/>
  <c r="M4" i="290"/>
  <c r="N4" i="290" s="1"/>
  <c r="L4" i="290"/>
  <c r="K4" i="290"/>
  <c r="J4" i="290"/>
  <c r="G4" i="290"/>
  <c r="H4" i="290" s="1"/>
  <c r="F4" i="290"/>
  <c r="D4" i="290"/>
  <c r="C4" i="290"/>
  <c r="E4" i="290" s="1"/>
  <c r="B4" i="290"/>
  <c r="E2" i="290"/>
  <c r="AC15" i="289"/>
  <c r="R15" i="289" s="1"/>
  <c r="Z15" i="289"/>
  <c r="T15" i="289"/>
  <c r="U15" i="289" s="1"/>
  <c r="S15" i="289"/>
  <c r="Q15" i="289"/>
  <c r="N15" i="289"/>
  <c r="K15" i="289"/>
  <c r="I15" i="289"/>
  <c r="H15" i="289"/>
  <c r="E15" i="289"/>
  <c r="AC14" i="289"/>
  <c r="Z14" i="289"/>
  <c r="Q14" i="289"/>
  <c r="N14" i="289"/>
  <c r="K14" i="289"/>
  <c r="I14" i="289"/>
  <c r="H14" i="289"/>
  <c r="E14" i="289"/>
  <c r="AC13" i="289"/>
  <c r="R13" i="289" s="1"/>
  <c r="Z13" i="289"/>
  <c r="T13" i="289"/>
  <c r="U13" i="289" s="1"/>
  <c r="S13" i="289"/>
  <c r="Q13" i="289"/>
  <c r="N13" i="289"/>
  <c r="K13" i="289"/>
  <c r="I13" i="289"/>
  <c r="H13" i="289"/>
  <c r="E13" i="289"/>
  <c r="AC12" i="289"/>
  <c r="Z12" i="289"/>
  <c r="Q12" i="289"/>
  <c r="N12" i="289"/>
  <c r="K12" i="289"/>
  <c r="I12" i="289"/>
  <c r="H12" i="289"/>
  <c r="E12" i="289"/>
  <c r="AC11" i="289"/>
  <c r="R11" i="289" s="1"/>
  <c r="Z11" i="289"/>
  <c r="T11" i="289"/>
  <c r="U11" i="289" s="1"/>
  <c r="S11" i="289"/>
  <c r="Q11" i="289"/>
  <c r="N11" i="289"/>
  <c r="K11" i="289"/>
  <c r="I11" i="289"/>
  <c r="H11" i="289"/>
  <c r="E11" i="289"/>
  <c r="AC10" i="289"/>
  <c r="Z10" i="289"/>
  <c r="Q10" i="289"/>
  <c r="N10" i="289"/>
  <c r="K10" i="289"/>
  <c r="I10" i="289"/>
  <c r="H10" i="289"/>
  <c r="E10" i="289"/>
  <c r="AC9" i="289"/>
  <c r="R9" i="289" s="1"/>
  <c r="Z9" i="289"/>
  <c r="T9" i="289"/>
  <c r="U9" i="289" s="1"/>
  <c r="S9" i="289"/>
  <c r="Q9" i="289"/>
  <c r="N9" i="289"/>
  <c r="K9" i="289"/>
  <c r="I9" i="289"/>
  <c r="H9" i="289"/>
  <c r="E9" i="289"/>
  <c r="AC8" i="289"/>
  <c r="Z8" i="289"/>
  <c r="Q8" i="289"/>
  <c r="N8" i="289"/>
  <c r="K8" i="289"/>
  <c r="I8" i="289"/>
  <c r="H8" i="289"/>
  <c r="E8" i="289"/>
  <c r="AC7" i="289"/>
  <c r="R7" i="289" s="1"/>
  <c r="Z7" i="289"/>
  <c r="T7" i="289"/>
  <c r="U7" i="289" s="1"/>
  <c r="S7" i="289"/>
  <c r="Q7" i="289"/>
  <c r="N7" i="289"/>
  <c r="K7" i="289"/>
  <c r="I7" i="289"/>
  <c r="H7" i="289"/>
  <c r="E7" i="289"/>
  <c r="AC6" i="289"/>
  <c r="Z6" i="289"/>
  <c r="Q6" i="289"/>
  <c r="N6" i="289"/>
  <c r="K6" i="289"/>
  <c r="I6" i="289"/>
  <c r="H6" i="289"/>
  <c r="E6" i="289"/>
  <c r="AC5" i="289"/>
  <c r="R5" i="289" s="1"/>
  <c r="Z5" i="289"/>
  <c r="T5" i="289"/>
  <c r="S5" i="289"/>
  <c r="Q5" i="289"/>
  <c r="N5" i="289"/>
  <c r="K5" i="289"/>
  <c r="K4" i="289" s="1"/>
  <c r="I5" i="289"/>
  <c r="H5" i="289"/>
  <c r="E5" i="289"/>
  <c r="V4" i="289"/>
  <c r="P4" i="289"/>
  <c r="O4" i="289"/>
  <c r="N4" i="289"/>
  <c r="M4" i="289"/>
  <c r="L4" i="289"/>
  <c r="J4" i="289"/>
  <c r="G4" i="289"/>
  <c r="F4" i="289"/>
  <c r="D4" i="289"/>
  <c r="C4" i="289"/>
  <c r="B4" i="289"/>
  <c r="A13" i="288"/>
  <c r="A12" i="288"/>
  <c r="A11" i="288"/>
  <c r="A9" i="288"/>
  <c r="A8" i="288"/>
  <c r="A7" i="288"/>
  <c r="A6" i="288"/>
  <c r="A5" i="288"/>
  <c r="A4" i="288"/>
  <c r="A3" i="288"/>
  <c r="A2" i="288"/>
  <c r="AC15" i="287"/>
  <c r="T15" i="287" s="1"/>
  <c r="Z15" i="287"/>
  <c r="U15" i="287"/>
  <c r="R15" i="287"/>
  <c r="S15" i="287" s="1"/>
  <c r="Q15" i="287"/>
  <c r="N15" i="287"/>
  <c r="K15" i="287"/>
  <c r="I15" i="287"/>
  <c r="H15" i="287"/>
  <c r="E15" i="287"/>
  <c r="AC14" i="287"/>
  <c r="T14" i="287" s="1"/>
  <c r="U14" i="287" s="1"/>
  <c r="Z14" i="287"/>
  <c r="R14" i="287" s="1"/>
  <c r="S14" i="287" s="1"/>
  <c r="Q14" i="287"/>
  <c r="N14" i="287"/>
  <c r="K14" i="287"/>
  <c r="I14" i="287"/>
  <c r="H14" i="287"/>
  <c r="E14" i="287"/>
  <c r="AC13" i="287"/>
  <c r="T13" i="287" s="1"/>
  <c r="Z13" i="287"/>
  <c r="U13" i="287"/>
  <c r="R13" i="287"/>
  <c r="S13" i="287" s="1"/>
  <c r="Q13" i="287"/>
  <c r="N13" i="287"/>
  <c r="K13" i="287"/>
  <c r="I13" i="287"/>
  <c r="H13" i="287"/>
  <c r="E13" i="287"/>
  <c r="AC12" i="287"/>
  <c r="T12" i="287" s="1"/>
  <c r="U12" i="287" s="1"/>
  <c r="Z12" i="287"/>
  <c r="R12" i="287" s="1"/>
  <c r="S12" i="287" s="1"/>
  <c r="Q12" i="287"/>
  <c r="N12" i="287"/>
  <c r="K12" i="287"/>
  <c r="I12" i="287"/>
  <c r="H12" i="287"/>
  <c r="E12" i="287"/>
  <c r="AC11" i="287"/>
  <c r="T11" i="287" s="1"/>
  <c r="Z11" i="287"/>
  <c r="U11" i="287"/>
  <c r="R11" i="287"/>
  <c r="S11" i="287" s="1"/>
  <c r="Q11" i="287"/>
  <c r="N11" i="287"/>
  <c r="K11" i="287"/>
  <c r="I11" i="287"/>
  <c r="H11" i="287"/>
  <c r="E11" i="287"/>
  <c r="AC10" i="287"/>
  <c r="T10" i="287" s="1"/>
  <c r="U10" i="287" s="1"/>
  <c r="Z10" i="287"/>
  <c r="R10" i="287" s="1"/>
  <c r="S10" i="287" s="1"/>
  <c r="Q10" i="287"/>
  <c r="N10" i="287"/>
  <c r="K10" i="287"/>
  <c r="I10" i="287"/>
  <c r="H10" i="287"/>
  <c r="E10" i="287"/>
  <c r="AC9" i="287"/>
  <c r="T9" i="287" s="1"/>
  <c r="Z9" i="287"/>
  <c r="U9" i="287"/>
  <c r="R9" i="287"/>
  <c r="S9" i="287" s="1"/>
  <c r="Q9" i="287"/>
  <c r="N9" i="287"/>
  <c r="K9" i="287"/>
  <c r="I9" i="287"/>
  <c r="H9" i="287"/>
  <c r="E9" i="287"/>
  <c r="AC8" i="287"/>
  <c r="T8" i="287" s="1"/>
  <c r="U8" i="287" s="1"/>
  <c r="Z8" i="287"/>
  <c r="R8" i="287" s="1"/>
  <c r="S8" i="287" s="1"/>
  <c r="Q8" i="287"/>
  <c r="N8" i="287"/>
  <c r="K8" i="287"/>
  <c r="I8" i="287"/>
  <c r="H8" i="287"/>
  <c r="E8" i="287"/>
  <c r="AC7" i="287"/>
  <c r="T7" i="287" s="1"/>
  <c r="Z7" i="287"/>
  <c r="U7" i="287"/>
  <c r="R7" i="287"/>
  <c r="S7" i="287" s="1"/>
  <c r="Q7" i="287"/>
  <c r="N7" i="287"/>
  <c r="K7" i="287"/>
  <c r="I7" i="287"/>
  <c r="H7" i="287"/>
  <c r="E7" i="287"/>
  <c r="AC6" i="287"/>
  <c r="T6" i="287" s="1"/>
  <c r="Z6" i="287"/>
  <c r="R6" i="287" s="1"/>
  <c r="S6" i="287" s="1"/>
  <c r="Q6" i="287"/>
  <c r="N6" i="287"/>
  <c r="K6" i="287"/>
  <c r="I6" i="287"/>
  <c r="H6" i="287"/>
  <c r="E6" i="287"/>
  <c r="AC5" i="287"/>
  <c r="T5" i="287" s="1"/>
  <c r="Z5" i="287"/>
  <c r="U5" i="287"/>
  <c r="R5" i="287"/>
  <c r="Q5" i="287"/>
  <c r="N5" i="287"/>
  <c r="K5" i="287"/>
  <c r="K4" i="287" s="1"/>
  <c r="I5" i="287"/>
  <c r="H5" i="287"/>
  <c r="E5" i="287"/>
  <c r="V4" i="287"/>
  <c r="P4" i="287"/>
  <c r="Q4" i="287" s="1"/>
  <c r="O4" i="287"/>
  <c r="M4" i="287"/>
  <c r="N4" i="287" s="1"/>
  <c r="L4" i="287"/>
  <c r="J4" i="287"/>
  <c r="I4" i="287"/>
  <c r="H4" i="287"/>
  <c r="G4" i="287"/>
  <c r="F4" i="287"/>
  <c r="E4" i="287"/>
  <c r="D4" i="287"/>
  <c r="C4" i="287"/>
  <c r="B4" i="287"/>
  <c r="I2" i="287"/>
  <c r="E2" i="287"/>
  <c r="AC15" i="286"/>
  <c r="Z15" i="286"/>
  <c r="U15" i="286"/>
  <c r="T15" i="286"/>
  <c r="R15" i="286"/>
  <c r="S15" i="286" s="1"/>
  <c r="Q15" i="286"/>
  <c r="N15" i="286"/>
  <c r="K15" i="286"/>
  <c r="I15" i="286"/>
  <c r="H15" i="286"/>
  <c r="E15" i="286"/>
  <c r="AC14" i="286"/>
  <c r="Z14" i="286"/>
  <c r="T14" i="286"/>
  <c r="U14" i="286" s="1"/>
  <c r="R14" i="286"/>
  <c r="S14" i="286" s="1"/>
  <c r="Q14" i="286"/>
  <c r="N14" i="286"/>
  <c r="K14" i="286"/>
  <c r="I14" i="286"/>
  <c r="H14" i="286"/>
  <c r="E14" i="286"/>
  <c r="AC13" i="286"/>
  <c r="Z13" i="286"/>
  <c r="T13" i="286"/>
  <c r="U13" i="286" s="1"/>
  <c r="R13" i="286"/>
  <c r="S13" i="286" s="1"/>
  <c r="Q13" i="286"/>
  <c r="N13" i="286"/>
  <c r="K13" i="286"/>
  <c r="I13" i="286"/>
  <c r="H13" i="286"/>
  <c r="E13" i="286"/>
  <c r="AC12" i="286"/>
  <c r="Z12" i="286"/>
  <c r="T12" i="286"/>
  <c r="U12" i="286" s="1"/>
  <c r="R12" i="286"/>
  <c r="S12" i="286" s="1"/>
  <c r="Q12" i="286"/>
  <c r="N12" i="286"/>
  <c r="K12" i="286"/>
  <c r="I12" i="286"/>
  <c r="H12" i="286"/>
  <c r="E12" i="286"/>
  <c r="AC11" i="286"/>
  <c r="Z11" i="286"/>
  <c r="U11" i="286"/>
  <c r="T11" i="286"/>
  <c r="R11" i="286"/>
  <c r="S11" i="286" s="1"/>
  <c r="Q11" i="286"/>
  <c r="N11" i="286"/>
  <c r="K11" i="286"/>
  <c r="I11" i="286"/>
  <c r="H11" i="286"/>
  <c r="E11" i="286"/>
  <c r="AC10" i="286"/>
  <c r="Z10" i="286"/>
  <c r="T10" i="286"/>
  <c r="U10" i="286" s="1"/>
  <c r="R10" i="286"/>
  <c r="S10" i="286" s="1"/>
  <c r="Q10" i="286"/>
  <c r="N10" i="286"/>
  <c r="K10" i="286"/>
  <c r="I10" i="286"/>
  <c r="H10" i="286"/>
  <c r="E10" i="286"/>
  <c r="AC9" i="286"/>
  <c r="Z9" i="286"/>
  <c r="T9" i="286"/>
  <c r="U9" i="286" s="1"/>
  <c r="R9" i="286"/>
  <c r="S9" i="286" s="1"/>
  <c r="Q9" i="286"/>
  <c r="N9" i="286"/>
  <c r="K9" i="286"/>
  <c r="I9" i="286"/>
  <c r="H9" i="286"/>
  <c r="E9" i="286"/>
  <c r="AC8" i="286"/>
  <c r="Z8" i="286"/>
  <c r="T8" i="286"/>
  <c r="U8" i="286" s="1"/>
  <c r="R8" i="286"/>
  <c r="S8" i="286" s="1"/>
  <c r="Q8" i="286"/>
  <c r="N8" i="286"/>
  <c r="K8" i="286"/>
  <c r="I8" i="286"/>
  <c r="H8" i="286"/>
  <c r="E8" i="286"/>
  <c r="AC7" i="286"/>
  <c r="Z7" i="286"/>
  <c r="U7" i="286"/>
  <c r="T7" i="286"/>
  <c r="R7" i="286"/>
  <c r="S7" i="286" s="1"/>
  <c r="Q7" i="286"/>
  <c r="N7" i="286"/>
  <c r="K7" i="286"/>
  <c r="I7" i="286"/>
  <c r="H7" i="286"/>
  <c r="E7" i="286"/>
  <c r="AC6" i="286"/>
  <c r="Z6" i="286"/>
  <c r="T6" i="286"/>
  <c r="U6" i="286" s="1"/>
  <c r="R6" i="286"/>
  <c r="S6" i="286" s="1"/>
  <c r="Q6" i="286"/>
  <c r="N6" i="286"/>
  <c r="K6" i="286"/>
  <c r="I6" i="286"/>
  <c r="H6" i="286"/>
  <c r="E6" i="286"/>
  <c r="AC5" i="286"/>
  <c r="Z5" i="286"/>
  <c r="T5" i="286"/>
  <c r="R5" i="286"/>
  <c r="S5" i="286" s="1"/>
  <c r="Q5" i="286"/>
  <c r="N5" i="286"/>
  <c r="K5" i="286"/>
  <c r="I5" i="286"/>
  <c r="H5" i="286"/>
  <c r="E5" i="286"/>
  <c r="V4" i="286"/>
  <c r="P4" i="286"/>
  <c r="Q4" i="286" s="1"/>
  <c r="O4" i="286"/>
  <c r="M4" i="286"/>
  <c r="N4" i="286" s="1"/>
  <c r="L4" i="286"/>
  <c r="K4" i="286"/>
  <c r="J4" i="286"/>
  <c r="H4" i="286"/>
  <c r="G4" i="286"/>
  <c r="F4" i="286"/>
  <c r="D4" i="286"/>
  <c r="C4" i="286"/>
  <c r="B4" i="286"/>
  <c r="AC15" i="285"/>
  <c r="Z15" i="285"/>
  <c r="Q15" i="285"/>
  <c r="N15" i="285"/>
  <c r="K15" i="285"/>
  <c r="I15" i="285"/>
  <c r="H15" i="285"/>
  <c r="E15" i="285"/>
  <c r="AC14" i="285"/>
  <c r="R14" i="285" s="1"/>
  <c r="Z14" i="285"/>
  <c r="T14" i="285"/>
  <c r="U14" i="285" s="1"/>
  <c r="S14" i="285"/>
  <c r="Q14" i="285"/>
  <c r="N14" i="285"/>
  <c r="K14" i="285"/>
  <c r="I14" i="285"/>
  <c r="H14" i="285"/>
  <c r="E14" i="285"/>
  <c r="AC13" i="285"/>
  <c r="Z13" i="285"/>
  <c r="Q13" i="285"/>
  <c r="N13" i="285"/>
  <c r="K13" i="285"/>
  <c r="I13" i="285"/>
  <c r="H13" i="285"/>
  <c r="E13" i="285"/>
  <c r="AC12" i="285"/>
  <c r="R12" i="285" s="1"/>
  <c r="Z12" i="285"/>
  <c r="T12" i="285"/>
  <c r="U12" i="285" s="1"/>
  <c r="S12" i="285"/>
  <c r="Q12" i="285"/>
  <c r="N12" i="285"/>
  <c r="K12" i="285"/>
  <c r="I12" i="285"/>
  <c r="H12" i="285"/>
  <c r="E12" i="285"/>
  <c r="AC11" i="285"/>
  <c r="Z11" i="285"/>
  <c r="Q11" i="285"/>
  <c r="N11" i="285"/>
  <c r="K11" i="285"/>
  <c r="I11" i="285"/>
  <c r="H11" i="285"/>
  <c r="E11" i="285"/>
  <c r="AC10" i="285"/>
  <c r="R10" i="285" s="1"/>
  <c r="Z10" i="285"/>
  <c r="T10" i="285"/>
  <c r="U10" i="285" s="1"/>
  <c r="S10" i="285"/>
  <c r="Q10" i="285"/>
  <c r="N10" i="285"/>
  <c r="K10" i="285"/>
  <c r="I10" i="285"/>
  <c r="H10" i="285"/>
  <c r="E10" i="285"/>
  <c r="AC9" i="285"/>
  <c r="Z9" i="285"/>
  <c r="Q9" i="285"/>
  <c r="N9" i="285"/>
  <c r="K9" i="285"/>
  <c r="I9" i="285"/>
  <c r="H9" i="285"/>
  <c r="E9" i="285"/>
  <c r="AC8" i="285"/>
  <c r="R8" i="285" s="1"/>
  <c r="Z8" i="285"/>
  <c r="T8" i="285"/>
  <c r="U8" i="285" s="1"/>
  <c r="S8" i="285"/>
  <c r="Q8" i="285"/>
  <c r="N8" i="285"/>
  <c r="K8" i="285"/>
  <c r="K4" i="285" s="1"/>
  <c r="I8" i="285"/>
  <c r="H8" i="285"/>
  <c r="E8" i="285"/>
  <c r="AC7" i="285"/>
  <c r="Z7" i="285"/>
  <c r="Q7" i="285"/>
  <c r="N7" i="285"/>
  <c r="K7" i="285"/>
  <c r="I7" i="285"/>
  <c r="H7" i="285"/>
  <c r="E7" i="285"/>
  <c r="AC6" i="285"/>
  <c r="R6" i="285" s="1"/>
  <c r="Z6" i="285"/>
  <c r="T6" i="285"/>
  <c r="U6" i="285" s="1"/>
  <c r="S6" i="285"/>
  <c r="Q6" i="285"/>
  <c r="N6" i="285"/>
  <c r="K6" i="285"/>
  <c r="I6" i="285"/>
  <c r="H6" i="285"/>
  <c r="E6" i="285"/>
  <c r="AC5" i="285"/>
  <c r="T5" i="285" s="1"/>
  <c r="Y5" i="285"/>
  <c r="Z5" i="285" s="1"/>
  <c r="Q5" i="285"/>
  <c r="N5" i="285"/>
  <c r="K5" i="285"/>
  <c r="I5" i="285"/>
  <c r="H5" i="285"/>
  <c r="E5" i="285"/>
  <c r="V4" i="285"/>
  <c r="P4" i="285"/>
  <c r="Q4" i="285" s="1"/>
  <c r="O4" i="285"/>
  <c r="M4" i="285"/>
  <c r="N4" i="285" s="1"/>
  <c r="L4" i="285"/>
  <c r="J4" i="285"/>
  <c r="G4" i="285"/>
  <c r="H4" i="285" s="1"/>
  <c r="F4" i="285"/>
  <c r="D4" i="285"/>
  <c r="C4" i="285"/>
  <c r="E4" i="285" s="1"/>
  <c r="B4" i="285"/>
  <c r="E2" i="285"/>
  <c r="AC15" i="284"/>
  <c r="R15" i="284" s="1"/>
  <c r="Z15" i="284"/>
  <c r="U15" i="284"/>
  <c r="T15" i="284"/>
  <c r="S15" i="284"/>
  <c r="Q15" i="284"/>
  <c r="N15" i="284"/>
  <c r="K15" i="284"/>
  <c r="I15" i="284"/>
  <c r="H15" i="284"/>
  <c r="E15" i="284"/>
  <c r="AC14" i="284"/>
  <c r="R14" i="284" s="1"/>
  <c r="Z14" i="284"/>
  <c r="T14" i="284"/>
  <c r="U14" i="284" s="1"/>
  <c r="S14" i="284"/>
  <c r="Q14" i="284"/>
  <c r="N14" i="284"/>
  <c r="K14" i="284"/>
  <c r="I14" i="284"/>
  <c r="H14" i="284"/>
  <c r="E14" i="284"/>
  <c r="AC13" i="284"/>
  <c r="Z13" i="284"/>
  <c r="Q13" i="284"/>
  <c r="N13" i="284"/>
  <c r="K13" i="284"/>
  <c r="I13" i="284"/>
  <c r="H13" i="284"/>
  <c r="E13" i="284"/>
  <c r="AC12" i="284"/>
  <c r="R12" i="284" s="1"/>
  <c r="Z12" i="284"/>
  <c r="S12" i="284"/>
  <c r="Q12" i="284"/>
  <c r="N12" i="284"/>
  <c r="K12" i="284"/>
  <c r="I12" i="284"/>
  <c r="H12" i="284"/>
  <c r="E12" i="284"/>
  <c r="AC11" i="284"/>
  <c r="R11" i="284" s="1"/>
  <c r="Z11" i="284"/>
  <c r="U11" i="284"/>
  <c r="T11" i="284"/>
  <c r="S11" i="284"/>
  <c r="Q11" i="284"/>
  <c r="N11" i="284"/>
  <c r="K11" i="284"/>
  <c r="I11" i="284"/>
  <c r="H11" i="284"/>
  <c r="E11" i="284"/>
  <c r="AC10" i="284"/>
  <c r="R10" i="284" s="1"/>
  <c r="Z10" i="284"/>
  <c r="T10" i="284"/>
  <c r="U10" i="284" s="1"/>
  <c r="S10" i="284"/>
  <c r="Q10" i="284"/>
  <c r="N10" i="284"/>
  <c r="K10" i="284"/>
  <c r="I10" i="284"/>
  <c r="H10" i="284"/>
  <c r="E10" i="284"/>
  <c r="AC9" i="284"/>
  <c r="Z9" i="284"/>
  <c r="Q9" i="284"/>
  <c r="N9" i="284"/>
  <c r="K9" i="284"/>
  <c r="I9" i="284"/>
  <c r="H9" i="284"/>
  <c r="E9" i="284"/>
  <c r="AC8" i="284"/>
  <c r="R8" i="284" s="1"/>
  <c r="Z8" i="284"/>
  <c r="S8" i="284"/>
  <c r="Q8" i="284"/>
  <c r="N8" i="284"/>
  <c r="K8" i="284"/>
  <c r="I8" i="284"/>
  <c r="H8" i="284"/>
  <c r="E8" i="284"/>
  <c r="AC7" i="284"/>
  <c r="R7" i="284" s="1"/>
  <c r="Z7" i="284"/>
  <c r="U7" i="284"/>
  <c r="T7" i="284"/>
  <c r="S7" i="284"/>
  <c r="Q7" i="284"/>
  <c r="N7" i="284"/>
  <c r="K7" i="284"/>
  <c r="I7" i="284"/>
  <c r="H7" i="284"/>
  <c r="E7" i="284"/>
  <c r="AC6" i="284"/>
  <c r="R6" i="284" s="1"/>
  <c r="Z6" i="284"/>
  <c r="T6" i="284"/>
  <c r="U6" i="284" s="1"/>
  <c r="S6" i="284"/>
  <c r="Q6" i="284"/>
  <c r="N6" i="284"/>
  <c r="K6" i="284"/>
  <c r="I6" i="284"/>
  <c r="H6" i="284"/>
  <c r="E6" i="284"/>
  <c r="AC5" i="284"/>
  <c r="Z5" i="284"/>
  <c r="Q5" i="284"/>
  <c r="N5" i="284"/>
  <c r="K5" i="284"/>
  <c r="I5" i="284"/>
  <c r="H5" i="284"/>
  <c r="E5" i="284"/>
  <c r="V4" i="284"/>
  <c r="P4" i="284"/>
  <c r="O4" i="284"/>
  <c r="M4" i="284"/>
  <c r="L4" i="284"/>
  <c r="K4" i="284"/>
  <c r="J4" i="284"/>
  <c r="N4" i="284" s="1"/>
  <c r="G4" i="284"/>
  <c r="F4" i="284"/>
  <c r="D4" i="284"/>
  <c r="C4" i="284"/>
  <c r="B4" i="284"/>
  <c r="E2" i="284"/>
  <c r="AC15" i="283"/>
  <c r="Z15" i="283"/>
  <c r="Q15" i="283"/>
  <c r="N15" i="283"/>
  <c r="K15" i="283"/>
  <c r="I15" i="283"/>
  <c r="H15" i="283"/>
  <c r="E15" i="283"/>
  <c r="AC14" i="283"/>
  <c r="T14" i="283" s="1"/>
  <c r="U14" i="283" s="1"/>
  <c r="Z14" i="283"/>
  <c r="R14" i="283"/>
  <c r="S14" i="283" s="1"/>
  <c r="Q14" i="283"/>
  <c r="N14" i="283"/>
  <c r="K14" i="283"/>
  <c r="I14" i="283"/>
  <c r="H14" i="283"/>
  <c r="E14" i="283"/>
  <c r="AC13" i="283"/>
  <c r="Z13" i="283"/>
  <c r="R13" i="283" s="1"/>
  <c r="S13" i="283" s="1"/>
  <c r="T13" i="283"/>
  <c r="U13" i="283" s="1"/>
  <c r="Q13" i="283"/>
  <c r="N13" i="283"/>
  <c r="K13" i="283"/>
  <c r="I13" i="283"/>
  <c r="H13" i="283"/>
  <c r="E13" i="283"/>
  <c r="AC12" i="283"/>
  <c r="Z12" i="283"/>
  <c r="T12" i="283"/>
  <c r="U12" i="283" s="1"/>
  <c r="S12" i="283"/>
  <c r="R12" i="283"/>
  <c r="Q12" i="283"/>
  <c r="N12" i="283"/>
  <c r="K12" i="283"/>
  <c r="I12" i="283"/>
  <c r="H12" i="283"/>
  <c r="E12" i="283"/>
  <c r="AC11" i="283"/>
  <c r="T11" i="283" s="1"/>
  <c r="U11" i="283" s="1"/>
  <c r="Z11" i="283"/>
  <c r="R11" i="283"/>
  <c r="S11" i="283" s="1"/>
  <c r="Q11" i="283"/>
  <c r="N11" i="283"/>
  <c r="K11" i="283"/>
  <c r="I11" i="283"/>
  <c r="H11" i="283"/>
  <c r="E11" i="283"/>
  <c r="AC10" i="283"/>
  <c r="T10" i="283" s="1"/>
  <c r="U10" i="283" s="1"/>
  <c r="Z10" i="283"/>
  <c r="R10" i="283" s="1"/>
  <c r="S10" i="283" s="1"/>
  <c r="Q10" i="283"/>
  <c r="N10" i="283"/>
  <c r="K10" i="283"/>
  <c r="I10" i="283"/>
  <c r="H10" i="283"/>
  <c r="E10" i="283"/>
  <c r="AC9" i="283"/>
  <c r="Z9" i="283"/>
  <c r="R9" i="283" s="1"/>
  <c r="S9" i="283" s="1"/>
  <c r="T9" i="283"/>
  <c r="U9" i="283" s="1"/>
  <c r="Q9" i="283"/>
  <c r="N9" i="283"/>
  <c r="K9" i="283"/>
  <c r="I9" i="283"/>
  <c r="H9" i="283"/>
  <c r="E9" i="283"/>
  <c r="AC8" i="283"/>
  <c r="Z8" i="283"/>
  <c r="T8" i="283"/>
  <c r="U8" i="283" s="1"/>
  <c r="S8" i="283"/>
  <c r="R8" i="283"/>
  <c r="Q8" i="283"/>
  <c r="N8" i="283"/>
  <c r="K8" i="283"/>
  <c r="I8" i="283"/>
  <c r="H8" i="283"/>
  <c r="E8" i="283"/>
  <c r="AC7" i="283"/>
  <c r="Z7" i="283"/>
  <c r="Q7" i="283"/>
  <c r="N7" i="283"/>
  <c r="K7" i="283"/>
  <c r="I7" i="283"/>
  <c r="H7" i="283"/>
  <c r="E7" i="283"/>
  <c r="AC6" i="283"/>
  <c r="T6" i="283" s="1"/>
  <c r="U6" i="283" s="1"/>
  <c r="Z6" i="283"/>
  <c r="R6" i="283"/>
  <c r="S6" i="283" s="1"/>
  <c r="Q6" i="283"/>
  <c r="N6" i="283"/>
  <c r="K6" i="283"/>
  <c r="I6" i="283"/>
  <c r="H6" i="283"/>
  <c r="E6" i="283"/>
  <c r="AC5" i="283"/>
  <c r="Z5" i="283"/>
  <c r="R5" i="283" s="1"/>
  <c r="T5" i="283"/>
  <c r="Q5" i="283"/>
  <c r="N5" i="283"/>
  <c r="K5" i="283"/>
  <c r="I5" i="283"/>
  <c r="H5" i="283"/>
  <c r="E5" i="283"/>
  <c r="V4" i="283"/>
  <c r="P4" i="283"/>
  <c r="O4" i="283"/>
  <c r="M4" i="283"/>
  <c r="L4" i="283"/>
  <c r="K4" i="283"/>
  <c r="J4" i="283"/>
  <c r="Q4" i="283" s="1"/>
  <c r="G4" i="283"/>
  <c r="F4" i="283"/>
  <c r="E4" i="283"/>
  <c r="D4" i="283"/>
  <c r="C4" i="283"/>
  <c r="B4" i="283"/>
  <c r="I2" i="283"/>
  <c r="AC15" i="282"/>
  <c r="T15" i="282" s="1"/>
  <c r="Z15" i="282"/>
  <c r="U15" i="282"/>
  <c r="S15" i="282"/>
  <c r="R15" i="282"/>
  <c r="Q15" i="282"/>
  <c r="N15" i="282"/>
  <c r="K15" i="282"/>
  <c r="I15" i="282"/>
  <c r="H15" i="282"/>
  <c r="E15" i="282"/>
  <c r="AC14" i="282"/>
  <c r="Z14" i="282"/>
  <c r="Q14" i="282"/>
  <c r="N14" i="282"/>
  <c r="K14" i="282"/>
  <c r="I14" i="282"/>
  <c r="H14" i="282"/>
  <c r="E14" i="282"/>
  <c r="AC13" i="282"/>
  <c r="Z13" i="282"/>
  <c r="Q13" i="282"/>
  <c r="N13" i="282"/>
  <c r="K13" i="282"/>
  <c r="I13" i="282"/>
  <c r="H13" i="282"/>
  <c r="E13" i="282"/>
  <c r="AC12" i="282"/>
  <c r="T12" i="282" s="1"/>
  <c r="Z12" i="282"/>
  <c r="R12" i="282" s="1"/>
  <c r="S12" i="282" s="1"/>
  <c r="U12" i="282"/>
  <c r="Q12" i="282"/>
  <c r="N12" i="282"/>
  <c r="K12" i="282"/>
  <c r="I12" i="282"/>
  <c r="H12" i="282"/>
  <c r="E12" i="282"/>
  <c r="AC11" i="282"/>
  <c r="T11" i="282" s="1"/>
  <c r="Z11" i="282"/>
  <c r="U11" i="282"/>
  <c r="S11" i="282"/>
  <c r="R11" i="282"/>
  <c r="Q11" i="282"/>
  <c r="N11" i="282"/>
  <c r="K11" i="282"/>
  <c r="I11" i="282"/>
  <c r="H11" i="282"/>
  <c r="E11" i="282"/>
  <c r="AC10" i="282"/>
  <c r="T10" i="282" s="1"/>
  <c r="U10" i="282" s="1"/>
  <c r="Z10" i="282"/>
  <c r="S10" i="282"/>
  <c r="R10" i="282"/>
  <c r="Q10" i="282"/>
  <c r="N10" i="282"/>
  <c r="K10" i="282"/>
  <c r="I10" i="282"/>
  <c r="H10" i="282"/>
  <c r="E10" i="282"/>
  <c r="AC9" i="282"/>
  <c r="T9" i="282" s="1"/>
  <c r="U9" i="282" s="1"/>
  <c r="Z9" i="282"/>
  <c r="Q9" i="282"/>
  <c r="N9" i="282"/>
  <c r="K9" i="282"/>
  <c r="I9" i="282"/>
  <c r="H9" i="282"/>
  <c r="E9" i="282"/>
  <c r="AC8" i="282"/>
  <c r="T8" i="282" s="1"/>
  <c r="Z8" i="282"/>
  <c r="R8" i="282" s="1"/>
  <c r="S8" i="282" s="1"/>
  <c r="U8" i="282"/>
  <c r="Q8" i="282"/>
  <c r="N8" i="282"/>
  <c r="K8" i="282"/>
  <c r="I8" i="282"/>
  <c r="H8" i="282"/>
  <c r="E8" i="282"/>
  <c r="AC7" i="282"/>
  <c r="T7" i="282" s="1"/>
  <c r="Z7" i="282"/>
  <c r="U7" i="282"/>
  <c r="S7" i="282"/>
  <c r="R7" i="282"/>
  <c r="Q7" i="282"/>
  <c r="N7" i="282"/>
  <c r="K7" i="282"/>
  <c r="I7" i="282"/>
  <c r="H7" i="282"/>
  <c r="E7" i="282"/>
  <c r="AC6" i="282"/>
  <c r="Z6" i="282"/>
  <c r="Q6" i="282"/>
  <c r="N6" i="282"/>
  <c r="K6" i="282"/>
  <c r="I6" i="282"/>
  <c r="H6" i="282"/>
  <c r="E6" i="282"/>
  <c r="AC5" i="282"/>
  <c r="T5" i="282" s="1"/>
  <c r="Z5" i="282"/>
  <c r="R5" i="282"/>
  <c r="Q5" i="282"/>
  <c r="N5" i="282"/>
  <c r="K5" i="282"/>
  <c r="I5" i="282"/>
  <c r="H5" i="282"/>
  <c r="E5" i="282"/>
  <c r="V4" i="282"/>
  <c r="P4" i="282"/>
  <c r="O4" i="282"/>
  <c r="M4" i="282"/>
  <c r="L4" i="282"/>
  <c r="J4" i="282"/>
  <c r="N4" i="282" s="1"/>
  <c r="G4" i="282"/>
  <c r="F4" i="282"/>
  <c r="D4" i="282"/>
  <c r="C4" i="282"/>
  <c r="B4" i="282"/>
  <c r="AC15" i="281"/>
  <c r="Z15" i="281"/>
  <c r="U15" i="281"/>
  <c r="T15" i="281"/>
  <c r="R15" i="281"/>
  <c r="S15" i="281" s="1"/>
  <c r="Q15" i="281"/>
  <c r="N15" i="281"/>
  <c r="K15" i="281"/>
  <c r="I15" i="281"/>
  <c r="H15" i="281"/>
  <c r="E15" i="281"/>
  <c r="AC14" i="281"/>
  <c r="Z14" i="281"/>
  <c r="R14" i="281" s="1"/>
  <c r="S14" i="281" s="1"/>
  <c r="U14" i="281"/>
  <c r="T14" i="281"/>
  <c r="Q14" i="281"/>
  <c r="N14" i="281"/>
  <c r="K14" i="281"/>
  <c r="I14" i="281"/>
  <c r="H14" i="281"/>
  <c r="E14" i="281"/>
  <c r="AC13" i="281"/>
  <c r="Z13" i="281"/>
  <c r="T13" i="281"/>
  <c r="U13" i="281" s="1"/>
  <c r="R13" i="281"/>
  <c r="S13" i="281" s="1"/>
  <c r="Q13" i="281"/>
  <c r="N13" i="281"/>
  <c r="K13" i="281"/>
  <c r="I13" i="281"/>
  <c r="H13" i="281"/>
  <c r="E13" i="281"/>
  <c r="AC12" i="281"/>
  <c r="Z12" i="281"/>
  <c r="T12" i="281"/>
  <c r="U12" i="281" s="1"/>
  <c r="R12" i="281"/>
  <c r="S12" i="281" s="1"/>
  <c r="Q12" i="281"/>
  <c r="N12" i="281"/>
  <c r="K12" i="281"/>
  <c r="I12" i="281"/>
  <c r="H12" i="281"/>
  <c r="E12" i="281"/>
  <c r="AC11" i="281"/>
  <c r="Z11" i="281"/>
  <c r="U11" i="281"/>
  <c r="T11" i="281"/>
  <c r="R11" i="281"/>
  <c r="S11" i="281" s="1"/>
  <c r="Q11" i="281"/>
  <c r="N11" i="281"/>
  <c r="K11" i="281"/>
  <c r="I11" i="281"/>
  <c r="H11" i="281"/>
  <c r="E11" i="281"/>
  <c r="AC10" i="281"/>
  <c r="Z10" i="281"/>
  <c r="R10" i="281" s="1"/>
  <c r="S10" i="281" s="1"/>
  <c r="U10" i="281"/>
  <c r="T10" i="281"/>
  <c r="Q10" i="281"/>
  <c r="N10" i="281"/>
  <c r="K10" i="281"/>
  <c r="I10" i="281"/>
  <c r="H10" i="281"/>
  <c r="E10" i="281"/>
  <c r="AC9" i="281"/>
  <c r="Z9" i="281"/>
  <c r="T9" i="281"/>
  <c r="U9" i="281" s="1"/>
  <c r="R9" i="281"/>
  <c r="S9" i="281" s="1"/>
  <c r="Q9" i="281"/>
  <c r="N9" i="281"/>
  <c r="K9" i="281"/>
  <c r="I9" i="281"/>
  <c r="H9" i="281"/>
  <c r="E9" i="281"/>
  <c r="AC8" i="281"/>
  <c r="Z8" i="281"/>
  <c r="T8" i="281"/>
  <c r="U8" i="281" s="1"/>
  <c r="R8" i="281"/>
  <c r="S8" i="281" s="1"/>
  <c r="Q8" i="281"/>
  <c r="N8" i="281"/>
  <c r="K8" i="281"/>
  <c r="I8" i="281"/>
  <c r="H8" i="281"/>
  <c r="E8" i="281"/>
  <c r="AC7" i="281"/>
  <c r="Z7" i="281"/>
  <c r="U7" i="281"/>
  <c r="T7" i="281"/>
  <c r="R7" i="281"/>
  <c r="S7" i="281" s="1"/>
  <c r="Q7" i="281"/>
  <c r="N7" i="281"/>
  <c r="K7" i="281"/>
  <c r="I7" i="281"/>
  <c r="H7" i="281"/>
  <c r="E7" i="281"/>
  <c r="AC6" i="281"/>
  <c r="Z6" i="281"/>
  <c r="R6" i="281" s="1"/>
  <c r="S6" i="281" s="1"/>
  <c r="U6" i="281"/>
  <c r="T6" i="281"/>
  <c r="Q6" i="281"/>
  <c r="N6" i="281"/>
  <c r="K6" i="281"/>
  <c r="I6" i="281"/>
  <c r="H6" i="281"/>
  <c r="E6" i="281"/>
  <c r="AC5" i="281"/>
  <c r="Z5" i="281"/>
  <c r="U5" i="281"/>
  <c r="T5" i="281"/>
  <c r="R5" i="281"/>
  <c r="Q5" i="281"/>
  <c r="N5" i="281"/>
  <c r="K5" i="281"/>
  <c r="I5" i="281"/>
  <c r="H5" i="281"/>
  <c r="E5" i="281"/>
  <c r="V4" i="281"/>
  <c r="Q4" i="281"/>
  <c r="P4" i="281"/>
  <c r="O4" i="281"/>
  <c r="M4" i="281"/>
  <c r="N4" i="281" s="1"/>
  <c r="L4" i="281"/>
  <c r="K4" i="281"/>
  <c r="J4" i="281"/>
  <c r="H4" i="281"/>
  <c r="G4" i="281"/>
  <c r="F4" i="281"/>
  <c r="E4" i="281"/>
  <c r="D4" i="281"/>
  <c r="C4" i="281"/>
  <c r="B4" i="281"/>
  <c r="E2" i="281"/>
  <c r="AC15" i="280"/>
  <c r="R15" i="280" s="1"/>
  <c r="Z15" i="280"/>
  <c r="T15" i="280"/>
  <c r="U15" i="280" s="1"/>
  <c r="S15" i="280"/>
  <c r="Q15" i="280"/>
  <c r="N15" i="280"/>
  <c r="K15" i="280"/>
  <c r="I15" i="280"/>
  <c r="H15" i="280"/>
  <c r="E15" i="280"/>
  <c r="AC14" i="280"/>
  <c r="Z14" i="280"/>
  <c r="Q14" i="280"/>
  <c r="N14" i="280"/>
  <c r="K14" i="280"/>
  <c r="I14" i="280"/>
  <c r="H14" i="280"/>
  <c r="E14" i="280"/>
  <c r="AC13" i="280"/>
  <c r="Z13" i="280"/>
  <c r="Q13" i="280"/>
  <c r="N13" i="280"/>
  <c r="K13" i="280"/>
  <c r="I13" i="280"/>
  <c r="H13" i="280"/>
  <c r="E13" i="280"/>
  <c r="AC12" i="280"/>
  <c r="R12" i="280" s="1"/>
  <c r="Z12" i="280"/>
  <c r="U12" i="280"/>
  <c r="T12" i="280"/>
  <c r="S12" i="280"/>
  <c r="Q12" i="280"/>
  <c r="N12" i="280"/>
  <c r="K12" i="280"/>
  <c r="I12" i="280"/>
  <c r="H12" i="280"/>
  <c r="E12" i="280"/>
  <c r="AC11" i="280"/>
  <c r="R11" i="280" s="1"/>
  <c r="Z11" i="280"/>
  <c r="T11" i="280"/>
  <c r="U11" i="280" s="1"/>
  <c r="S11" i="280"/>
  <c r="Q11" i="280"/>
  <c r="N11" i="280"/>
  <c r="K11" i="280"/>
  <c r="I11" i="280"/>
  <c r="H11" i="280"/>
  <c r="E11" i="280"/>
  <c r="AC10" i="280"/>
  <c r="Z10" i="280"/>
  <c r="Q10" i="280"/>
  <c r="N10" i="280"/>
  <c r="K10" i="280"/>
  <c r="I10" i="280"/>
  <c r="H10" i="280"/>
  <c r="E10" i="280"/>
  <c r="AC9" i="280"/>
  <c r="Z9" i="280"/>
  <c r="Q9" i="280"/>
  <c r="N9" i="280"/>
  <c r="K9" i="280"/>
  <c r="I9" i="280"/>
  <c r="H9" i="280"/>
  <c r="E9" i="280"/>
  <c r="AC8" i="280"/>
  <c r="Z8" i="280"/>
  <c r="U8" i="280"/>
  <c r="T8" i="280"/>
  <c r="R8" i="280"/>
  <c r="S8" i="280" s="1"/>
  <c r="Q8" i="280"/>
  <c r="N8" i="280"/>
  <c r="K8" i="280"/>
  <c r="I8" i="280"/>
  <c r="H8" i="280"/>
  <c r="E8" i="280"/>
  <c r="AC7" i="280"/>
  <c r="Z7" i="280"/>
  <c r="R7" i="280" s="1"/>
  <c r="S7" i="280" s="1"/>
  <c r="U7" i="280"/>
  <c r="T7" i="280"/>
  <c r="Q7" i="280"/>
  <c r="N7" i="280"/>
  <c r="K7" i="280"/>
  <c r="I7" i="280"/>
  <c r="H7" i="280"/>
  <c r="E7" i="280"/>
  <c r="AC6" i="280"/>
  <c r="Z6" i="280"/>
  <c r="U6" i="280"/>
  <c r="T6" i="280"/>
  <c r="R6" i="280"/>
  <c r="S6" i="280" s="1"/>
  <c r="Q6" i="280"/>
  <c r="N6" i="280"/>
  <c r="K6" i="280"/>
  <c r="I6" i="280"/>
  <c r="H6" i="280"/>
  <c r="E6" i="280"/>
  <c r="AC5" i="280"/>
  <c r="Z5" i="280"/>
  <c r="R5" i="280" s="1"/>
  <c r="Y5" i="280"/>
  <c r="U5" i="280"/>
  <c r="T5" i="280"/>
  <c r="S5" i="280"/>
  <c r="Q5" i="280"/>
  <c r="N5" i="280"/>
  <c r="K5" i="280"/>
  <c r="I5" i="280"/>
  <c r="H5" i="280"/>
  <c r="E5" i="280"/>
  <c r="V4" i="280"/>
  <c r="Q4" i="280"/>
  <c r="P4" i="280"/>
  <c r="O4" i="280"/>
  <c r="M4" i="280"/>
  <c r="N4" i="280" s="1"/>
  <c r="L4" i="280"/>
  <c r="J4" i="280"/>
  <c r="G4" i="280"/>
  <c r="F4" i="280"/>
  <c r="D4" i="280"/>
  <c r="C4" i="280"/>
  <c r="B4" i="280"/>
  <c r="AC15" i="279"/>
  <c r="Z15" i="279"/>
  <c r="U15" i="279"/>
  <c r="T15" i="279"/>
  <c r="R15" i="279"/>
  <c r="S15" i="279" s="1"/>
  <c r="Q15" i="279"/>
  <c r="N15" i="279"/>
  <c r="K15" i="279"/>
  <c r="I15" i="279"/>
  <c r="H15" i="279"/>
  <c r="E15" i="279"/>
  <c r="AC14" i="279"/>
  <c r="Z14" i="279"/>
  <c r="R14" i="279" s="1"/>
  <c r="S14" i="279" s="1"/>
  <c r="U14" i="279"/>
  <c r="T14" i="279"/>
  <c r="Q14" i="279"/>
  <c r="N14" i="279"/>
  <c r="K14" i="279"/>
  <c r="I14" i="279"/>
  <c r="H14" i="279"/>
  <c r="E14" i="279"/>
  <c r="AC13" i="279"/>
  <c r="Z13" i="279"/>
  <c r="U13" i="279"/>
  <c r="T13" i="279"/>
  <c r="R13" i="279"/>
  <c r="S13" i="279" s="1"/>
  <c r="Q13" i="279"/>
  <c r="N13" i="279"/>
  <c r="K13" i="279"/>
  <c r="I13" i="279"/>
  <c r="H13" i="279"/>
  <c r="E13" i="279"/>
  <c r="AC12" i="279"/>
  <c r="Z12" i="279"/>
  <c r="U12" i="279"/>
  <c r="T12" i="279"/>
  <c r="R12" i="279"/>
  <c r="S12" i="279" s="1"/>
  <c r="Q12" i="279"/>
  <c r="N12" i="279"/>
  <c r="K12" i="279"/>
  <c r="I12" i="279"/>
  <c r="H12" i="279"/>
  <c r="E12" i="279"/>
  <c r="AC11" i="279"/>
  <c r="Z11" i="279"/>
  <c r="R11" i="279" s="1"/>
  <c r="S11" i="279" s="1"/>
  <c r="U11" i="279"/>
  <c r="T11" i="279"/>
  <c r="Q11" i="279"/>
  <c r="N11" i="279"/>
  <c r="K11" i="279"/>
  <c r="I11" i="279"/>
  <c r="H11" i="279"/>
  <c r="E11" i="279"/>
  <c r="AC10" i="279"/>
  <c r="Z10" i="279"/>
  <c r="R10" i="279" s="1"/>
  <c r="S10" i="279" s="1"/>
  <c r="U10" i="279"/>
  <c r="T10" i="279"/>
  <c r="Q10" i="279"/>
  <c r="N10" i="279"/>
  <c r="K10" i="279"/>
  <c r="I10" i="279"/>
  <c r="H10" i="279"/>
  <c r="E10" i="279"/>
  <c r="AC9" i="279"/>
  <c r="Z9" i="279"/>
  <c r="U9" i="279"/>
  <c r="T9" i="279"/>
  <c r="R9" i="279"/>
  <c r="S9" i="279" s="1"/>
  <c r="Q9" i="279"/>
  <c r="N9" i="279"/>
  <c r="K9" i="279"/>
  <c r="I9" i="279"/>
  <c r="H9" i="279"/>
  <c r="E9" i="279"/>
  <c r="AC8" i="279"/>
  <c r="Z8" i="279"/>
  <c r="R8" i="279" s="1"/>
  <c r="S8" i="279" s="1"/>
  <c r="U8" i="279"/>
  <c r="T8" i="279"/>
  <c r="Q8" i="279"/>
  <c r="N8" i="279"/>
  <c r="K8" i="279"/>
  <c r="I8" i="279"/>
  <c r="H8" i="279"/>
  <c r="E8" i="279"/>
  <c r="AC7" i="279"/>
  <c r="Z7" i="279"/>
  <c r="R7" i="279" s="1"/>
  <c r="S7" i="279" s="1"/>
  <c r="U7" i="279"/>
  <c r="T7" i="279"/>
  <c r="Q7" i="279"/>
  <c r="N7" i="279"/>
  <c r="K7" i="279"/>
  <c r="I7" i="279"/>
  <c r="H7" i="279"/>
  <c r="E7" i="279"/>
  <c r="AC6" i="279"/>
  <c r="Z6" i="279"/>
  <c r="R6" i="279" s="1"/>
  <c r="S6" i="279" s="1"/>
  <c r="U6" i="279"/>
  <c r="T6" i="279"/>
  <c r="Q6" i="279"/>
  <c r="N6" i="279"/>
  <c r="K6" i="279"/>
  <c r="I6" i="279"/>
  <c r="H6" i="279"/>
  <c r="E6" i="279"/>
  <c r="AC5" i="279"/>
  <c r="Z5" i="279"/>
  <c r="U5" i="279"/>
  <c r="T5" i="279"/>
  <c r="R5" i="279"/>
  <c r="Q5" i="279"/>
  <c r="N5" i="279"/>
  <c r="K5" i="279"/>
  <c r="I5" i="279"/>
  <c r="H5" i="279"/>
  <c r="E5" i="279"/>
  <c r="V4" i="279"/>
  <c r="U4" i="279"/>
  <c r="T4" i="279"/>
  <c r="P4" i="279"/>
  <c r="Q4" i="279" s="1"/>
  <c r="O4" i="279"/>
  <c r="M4" i="279"/>
  <c r="N4" i="279" s="1"/>
  <c r="L4" i="279"/>
  <c r="K4" i="279"/>
  <c r="J4" i="279"/>
  <c r="H4" i="279"/>
  <c r="G4" i="279"/>
  <c r="F4" i="279"/>
  <c r="E4" i="279"/>
  <c r="D4" i="279"/>
  <c r="C4" i="279"/>
  <c r="B4" i="279"/>
  <c r="E2" i="279"/>
  <c r="AC15" i="278"/>
  <c r="R15" i="278" s="1"/>
  <c r="S15" i="278" s="1"/>
  <c r="Z15" i="278"/>
  <c r="T15" i="278"/>
  <c r="U15" i="278" s="1"/>
  <c r="Q15" i="278"/>
  <c r="N15" i="278"/>
  <c r="K15" i="278"/>
  <c r="I15" i="278"/>
  <c r="H15" i="278"/>
  <c r="E15" i="278"/>
  <c r="AC14" i="278"/>
  <c r="R14" i="278" s="1"/>
  <c r="S14" i="278" s="1"/>
  <c r="Z14" i="278"/>
  <c r="T14" i="278"/>
  <c r="U14" i="278" s="1"/>
  <c r="Q14" i="278"/>
  <c r="N14" i="278"/>
  <c r="K14" i="278"/>
  <c r="I14" i="278"/>
  <c r="H14" i="278"/>
  <c r="E14" i="278"/>
  <c r="AC13" i="278"/>
  <c r="R13" i="278" s="1"/>
  <c r="S13" i="278" s="1"/>
  <c r="Z13" i="278"/>
  <c r="T13" i="278"/>
  <c r="U13" i="278" s="1"/>
  <c r="Q13" i="278"/>
  <c r="N13" i="278"/>
  <c r="K13" i="278"/>
  <c r="I13" i="278"/>
  <c r="H13" i="278"/>
  <c r="E13" i="278"/>
  <c r="AC12" i="278"/>
  <c r="R12" i="278" s="1"/>
  <c r="S12" i="278" s="1"/>
  <c r="Z12" i="278"/>
  <c r="T12" i="278"/>
  <c r="U12" i="278" s="1"/>
  <c r="Q12" i="278"/>
  <c r="N12" i="278"/>
  <c r="K12" i="278"/>
  <c r="I12" i="278"/>
  <c r="H12" i="278"/>
  <c r="E12" i="278"/>
  <c r="AC11" i="278"/>
  <c r="R11" i="278" s="1"/>
  <c r="S11" i="278" s="1"/>
  <c r="Z11" i="278"/>
  <c r="T11" i="278"/>
  <c r="U11" i="278" s="1"/>
  <c r="Q11" i="278"/>
  <c r="N11" i="278"/>
  <c r="K11" i="278"/>
  <c r="I11" i="278"/>
  <c r="H11" i="278"/>
  <c r="E11" i="278"/>
  <c r="AC10" i="278"/>
  <c r="R10" i="278" s="1"/>
  <c r="S10" i="278" s="1"/>
  <c r="Z10" i="278"/>
  <c r="T10" i="278"/>
  <c r="U10" i="278" s="1"/>
  <c r="Q10" i="278"/>
  <c r="N10" i="278"/>
  <c r="K10" i="278"/>
  <c r="I10" i="278"/>
  <c r="H10" i="278"/>
  <c r="E10" i="278"/>
  <c r="AC9" i="278"/>
  <c r="R9" i="278" s="1"/>
  <c r="S9" i="278" s="1"/>
  <c r="Z9" i="278"/>
  <c r="T9" i="278"/>
  <c r="U9" i="278" s="1"/>
  <c r="Q9" i="278"/>
  <c r="N9" i="278"/>
  <c r="K9" i="278"/>
  <c r="I9" i="278"/>
  <c r="H9" i="278"/>
  <c r="E9" i="278"/>
  <c r="AC8" i="278"/>
  <c r="R8" i="278" s="1"/>
  <c r="S8" i="278" s="1"/>
  <c r="Z8" i="278"/>
  <c r="U8" i="278"/>
  <c r="T8" i="278"/>
  <c r="Q8" i="278"/>
  <c r="N8" i="278"/>
  <c r="K8" i="278"/>
  <c r="I8" i="278"/>
  <c r="H8" i="278"/>
  <c r="E8" i="278"/>
  <c r="AC7" i="278"/>
  <c r="R7" i="278" s="1"/>
  <c r="S7" i="278" s="1"/>
  <c r="Z7" i="278"/>
  <c r="T7" i="278"/>
  <c r="U7" i="278" s="1"/>
  <c r="Q7" i="278"/>
  <c r="N7" i="278"/>
  <c r="K7" i="278"/>
  <c r="I7" i="278"/>
  <c r="H7" i="278"/>
  <c r="E7" i="278"/>
  <c r="AC6" i="278"/>
  <c r="R6" i="278" s="1"/>
  <c r="S6" i="278" s="1"/>
  <c r="Z6" i="278"/>
  <c r="T6" i="278"/>
  <c r="Q6" i="278"/>
  <c r="N6" i="278"/>
  <c r="K6" i="278"/>
  <c r="I6" i="278"/>
  <c r="H6" i="278"/>
  <c r="E6" i="278"/>
  <c r="AC5" i="278"/>
  <c r="R5" i="278" s="1"/>
  <c r="Z5" i="278"/>
  <c r="T5" i="278"/>
  <c r="U5" i="278" s="1"/>
  <c r="Q5" i="278"/>
  <c r="N5" i="278"/>
  <c r="K5" i="278"/>
  <c r="I5" i="278"/>
  <c r="H5" i="278"/>
  <c r="E5" i="278"/>
  <c r="V4" i="278"/>
  <c r="P4" i="278"/>
  <c r="Q4" i="278" s="1"/>
  <c r="O4" i="278"/>
  <c r="M4" i="278"/>
  <c r="L4" i="278"/>
  <c r="K4" i="278"/>
  <c r="J4" i="278"/>
  <c r="N4" i="278" s="1"/>
  <c r="G4" i="278"/>
  <c r="H4" i="278" s="1"/>
  <c r="F4" i="278"/>
  <c r="D4" i="278"/>
  <c r="C4" i="278"/>
  <c r="B4" i="278"/>
  <c r="I4" i="278" s="1"/>
  <c r="E2" i="278"/>
  <c r="AA15" i="277"/>
  <c r="P15" i="277" s="1"/>
  <c r="X15" i="277"/>
  <c r="R15" i="277"/>
  <c r="S15" i="277" s="1"/>
  <c r="Q15" i="277"/>
  <c r="O15" i="277"/>
  <c r="M15" i="277"/>
  <c r="K15" i="277"/>
  <c r="I15" i="277"/>
  <c r="H15" i="277"/>
  <c r="E15" i="277"/>
  <c r="AA14" i="277"/>
  <c r="X14" i="277"/>
  <c r="O14" i="277"/>
  <c r="M14" i="277"/>
  <c r="K14" i="277"/>
  <c r="I14" i="277"/>
  <c r="H14" i="277"/>
  <c r="E14" i="277"/>
  <c r="AA13" i="277"/>
  <c r="P13" i="277" s="1"/>
  <c r="X13" i="277"/>
  <c r="R13" i="277"/>
  <c r="S13" i="277" s="1"/>
  <c r="Q13" i="277"/>
  <c r="O13" i="277"/>
  <c r="M13" i="277"/>
  <c r="K13" i="277"/>
  <c r="I13" i="277"/>
  <c r="H13" i="277"/>
  <c r="E13" i="277"/>
  <c r="AA12" i="277"/>
  <c r="X12" i="277"/>
  <c r="O12" i="277"/>
  <c r="M12" i="277"/>
  <c r="K12" i="277"/>
  <c r="I12" i="277"/>
  <c r="H12" i="277"/>
  <c r="E12" i="277"/>
  <c r="AA11" i="277"/>
  <c r="P11" i="277" s="1"/>
  <c r="X11" i="277"/>
  <c r="R11" i="277"/>
  <c r="S11" i="277" s="1"/>
  <c r="Q11" i="277"/>
  <c r="O11" i="277"/>
  <c r="M11" i="277"/>
  <c r="K11" i="277"/>
  <c r="I11" i="277"/>
  <c r="H11" i="277"/>
  <c r="E11" i="277"/>
  <c r="AA10" i="277"/>
  <c r="X10" i="277"/>
  <c r="O10" i="277"/>
  <c r="M10" i="277"/>
  <c r="K10" i="277"/>
  <c r="I10" i="277"/>
  <c r="H10" i="277"/>
  <c r="E10" i="277"/>
  <c r="AA9" i="277"/>
  <c r="P9" i="277" s="1"/>
  <c r="X9" i="277"/>
  <c r="R9" i="277"/>
  <c r="S9" i="277" s="1"/>
  <c r="Q9" i="277"/>
  <c r="O9" i="277"/>
  <c r="M9" i="277"/>
  <c r="K9" i="277"/>
  <c r="I9" i="277"/>
  <c r="H9" i="277"/>
  <c r="E9" i="277"/>
  <c r="AA8" i="277"/>
  <c r="X8" i="277"/>
  <c r="O8" i="277"/>
  <c r="M8" i="277"/>
  <c r="K8" i="277"/>
  <c r="I8" i="277"/>
  <c r="H8" i="277"/>
  <c r="E8" i="277"/>
  <c r="AA7" i="277"/>
  <c r="P7" i="277" s="1"/>
  <c r="X7" i="277"/>
  <c r="R7" i="277"/>
  <c r="S7" i="277" s="1"/>
  <c r="Q7" i="277"/>
  <c r="O7" i="277"/>
  <c r="M7" i="277"/>
  <c r="K7" i="277"/>
  <c r="I7" i="277"/>
  <c r="H7" i="277"/>
  <c r="E7" i="277"/>
  <c r="AA6" i="277"/>
  <c r="X6" i="277"/>
  <c r="O6" i="277"/>
  <c r="M6" i="277"/>
  <c r="K6" i="277"/>
  <c r="I6" i="277"/>
  <c r="H6" i="277"/>
  <c r="E6" i="277"/>
  <c r="AA5" i="277"/>
  <c r="X5" i="277"/>
  <c r="P5" i="277" s="1"/>
  <c r="W5" i="277"/>
  <c r="S5" i="277"/>
  <c r="R5" i="277"/>
  <c r="O5" i="277"/>
  <c r="M5" i="277"/>
  <c r="K5" i="277"/>
  <c r="K4" i="277" s="1"/>
  <c r="I5" i="277"/>
  <c r="H5" i="277"/>
  <c r="E5" i="277"/>
  <c r="T4" i="277"/>
  <c r="N4" i="277"/>
  <c r="L4" i="277"/>
  <c r="J4" i="277"/>
  <c r="M4" i="277" s="1"/>
  <c r="I4" i="277"/>
  <c r="G4" i="277"/>
  <c r="F4" i="277"/>
  <c r="E4" i="277"/>
  <c r="D4" i="277"/>
  <c r="C4" i="277"/>
  <c r="B4" i="277"/>
  <c r="I2" i="277"/>
  <c r="AA15" i="276"/>
  <c r="X15" i="276"/>
  <c r="S15" i="276"/>
  <c r="R15" i="276"/>
  <c r="P15" i="276"/>
  <c r="Q15" i="276" s="1"/>
  <c r="O15" i="276"/>
  <c r="M15" i="276"/>
  <c r="K15" i="276"/>
  <c r="I15" i="276"/>
  <c r="H15" i="276"/>
  <c r="E15" i="276"/>
  <c r="AA14" i="276"/>
  <c r="X14" i="276"/>
  <c r="S14" i="276"/>
  <c r="R14" i="276"/>
  <c r="P14" i="276"/>
  <c r="Q14" i="276" s="1"/>
  <c r="O14" i="276"/>
  <c r="M14" i="276"/>
  <c r="K14" i="276"/>
  <c r="I14" i="276"/>
  <c r="H14" i="276"/>
  <c r="E14" i="276"/>
  <c r="AA13" i="276"/>
  <c r="X13" i="276"/>
  <c r="P13" i="276" s="1"/>
  <c r="Q13" i="276" s="1"/>
  <c r="S13" i="276"/>
  <c r="R13" i="276"/>
  <c r="O13" i="276"/>
  <c r="M13" i="276"/>
  <c r="K13" i="276"/>
  <c r="I13" i="276"/>
  <c r="H13" i="276"/>
  <c r="E13" i="276"/>
  <c r="AA12" i="276"/>
  <c r="X12" i="276"/>
  <c r="S12" i="276"/>
  <c r="R12" i="276"/>
  <c r="P12" i="276"/>
  <c r="Q12" i="276" s="1"/>
  <c r="O12" i="276"/>
  <c r="M12" i="276"/>
  <c r="K12" i="276"/>
  <c r="I12" i="276"/>
  <c r="H12" i="276"/>
  <c r="E12" i="276"/>
  <c r="AA11" i="276"/>
  <c r="X11" i="276"/>
  <c r="S11" i="276"/>
  <c r="R11" i="276"/>
  <c r="P11" i="276"/>
  <c r="Q11" i="276" s="1"/>
  <c r="O11" i="276"/>
  <c r="M11" i="276"/>
  <c r="K11" i="276"/>
  <c r="I11" i="276"/>
  <c r="H11" i="276"/>
  <c r="E11" i="276"/>
  <c r="AA10" i="276"/>
  <c r="X10" i="276"/>
  <c r="P10" i="276" s="1"/>
  <c r="Q10" i="276" s="1"/>
  <c r="S10" i="276"/>
  <c r="R10" i="276"/>
  <c r="O10" i="276"/>
  <c r="M10" i="276"/>
  <c r="K10" i="276"/>
  <c r="I10" i="276"/>
  <c r="H10" i="276"/>
  <c r="E10" i="276"/>
  <c r="AA9" i="276"/>
  <c r="X9" i="276"/>
  <c r="P9" i="276" s="1"/>
  <c r="Q9" i="276" s="1"/>
  <c r="R9" i="276"/>
  <c r="O9" i="276"/>
  <c r="M9" i="276"/>
  <c r="K9" i="276"/>
  <c r="I9" i="276"/>
  <c r="H9" i="276"/>
  <c r="E9" i="276"/>
  <c r="AA8" i="276"/>
  <c r="X8" i="276"/>
  <c r="R8" i="276"/>
  <c r="S8" i="276" s="1"/>
  <c r="P8" i="276"/>
  <c r="Q8" i="276" s="1"/>
  <c r="O8" i="276"/>
  <c r="M8" i="276"/>
  <c r="K8" i="276"/>
  <c r="I8" i="276"/>
  <c r="H8" i="276"/>
  <c r="E8" i="276"/>
  <c r="AA7" i="276"/>
  <c r="X7" i="276"/>
  <c r="P7" i="276" s="1"/>
  <c r="Q7" i="276" s="1"/>
  <c r="R7" i="276"/>
  <c r="S7" i="276" s="1"/>
  <c r="O7" i="276"/>
  <c r="M7" i="276"/>
  <c r="K7" i="276"/>
  <c r="I7" i="276"/>
  <c r="H7" i="276"/>
  <c r="E7" i="276"/>
  <c r="AA6" i="276"/>
  <c r="X6" i="276"/>
  <c r="S6" i="276"/>
  <c r="R6" i="276"/>
  <c r="P6" i="276"/>
  <c r="Q6" i="276" s="1"/>
  <c r="O6" i="276"/>
  <c r="M6" i="276"/>
  <c r="K6" i="276"/>
  <c r="I6" i="276"/>
  <c r="H6" i="276"/>
  <c r="E6" i="276"/>
  <c r="AA5" i="276"/>
  <c r="X5" i="276"/>
  <c r="P5" i="276" s="1"/>
  <c r="R5" i="276"/>
  <c r="S5" i="276" s="1"/>
  <c r="O5" i="276"/>
  <c r="M5" i="276"/>
  <c r="K5" i="276"/>
  <c r="I5" i="276"/>
  <c r="H5" i="276"/>
  <c r="E5" i="276"/>
  <c r="T4" i="276"/>
  <c r="O4" i="276"/>
  <c r="N4" i="276"/>
  <c r="M4" i="276"/>
  <c r="L4" i="276"/>
  <c r="K4" i="276"/>
  <c r="J4" i="276"/>
  <c r="G4" i="276"/>
  <c r="F4" i="276"/>
  <c r="D4" i="276"/>
  <c r="C4" i="276"/>
  <c r="B4" i="276"/>
  <c r="AA15" i="275"/>
  <c r="R15" i="275" s="1"/>
  <c r="X15" i="275"/>
  <c r="S15" i="275"/>
  <c r="P15" i="275"/>
  <c r="Q15" i="275" s="1"/>
  <c r="O15" i="275"/>
  <c r="M15" i="275"/>
  <c r="K15" i="275"/>
  <c r="I15" i="275"/>
  <c r="H15" i="275"/>
  <c r="E15" i="275"/>
  <c r="AA14" i="275"/>
  <c r="R14" i="275" s="1"/>
  <c r="X14" i="275"/>
  <c r="P14" i="275" s="1"/>
  <c r="Q14" i="275" s="1"/>
  <c r="S14" i="275"/>
  <c r="O14" i="275"/>
  <c r="M14" i="275"/>
  <c r="K14" i="275"/>
  <c r="I14" i="275"/>
  <c r="H14" i="275"/>
  <c r="E14" i="275"/>
  <c r="AA13" i="275"/>
  <c r="X13" i="275"/>
  <c r="O13" i="275"/>
  <c r="M13" i="275"/>
  <c r="K13" i="275"/>
  <c r="I13" i="275"/>
  <c r="H13" i="275"/>
  <c r="E13" i="275"/>
  <c r="AA12" i="275"/>
  <c r="R12" i="275" s="1"/>
  <c r="S12" i="275" s="1"/>
  <c r="X12" i="275"/>
  <c r="P12" i="275" s="1"/>
  <c r="Q12" i="275" s="1"/>
  <c r="O12" i="275"/>
  <c r="M12" i="275"/>
  <c r="K12" i="275"/>
  <c r="I12" i="275"/>
  <c r="H12" i="275"/>
  <c r="E12" i="275"/>
  <c r="AA11" i="275"/>
  <c r="R11" i="275" s="1"/>
  <c r="X11" i="275"/>
  <c r="S11" i="275"/>
  <c r="P11" i="275"/>
  <c r="Q11" i="275" s="1"/>
  <c r="O11" i="275"/>
  <c r="M11" i="275"/>
  <c r="K11" i="275"/>
  <c r="I11" i="275"/>
  <c r="H11" i="275"/>
  <c r="E11" i="275"/>
  <c r="AA10" i="275"/>
  <c r="R10" i="275" s="1"/>
  <c r="X10" i="275"/>
  <c r="P10" i="275" s="1"/>
  <c r="Q10" i="275" s="1"/>
  <c r="S10" i="275"/>
  <c r="O10" i="275"/>
  <c r="M10" i="275"/>
  <c r="K10" i="275"/>
  <c r="I10" i="275"/>
  <c r="H10" i="275"/>
  <c r="E10" i="275"/>
  <c r="AA9" i="275"/>
  <c r="R9" i="275" s="1"/>
  <c r="X9" i="275"/>
  <c r="S9" i="275"/>
  <c r="Q9" i="275"/>
  <c r="P9" i="275"/>
  <c r="O9" i="275"/>
  <c r="M9" i="275"/>
  <c r="K9" i="275"/>
  <c r="I9" i="275"/>
  <c r="H9" i="275"/>
  <c r="E9" i="275"/>
  <c r="AA8" i="275"/>
  <c r="X8" i="275"/>
  <c r="O8" i="275"/>
  <c r="M8" i="275"/>
  <c r="K8" i="275"/>
  <c r="I8" i="275"/>
  <c r="H8" i="275"/>
  <c r="E8" i="275"/>
  <c r="AA7" i="275"/>
  <c r="R7" i="275" s="1"/>
  <c r="X7" i="275"/>
  <c r="S7" i="275"/>
  <c r="O7" i="275"/>
  <c r="M7" i="275"/>
  <c r="K7" i="275"/>
  <c r="I7" i="275"/>
  <c r="H7" i="275"/>
  <c r="E7" i="275"/>
  <c r="AA6" i="275"/>
  <c r="R6" i="275" s="1"/>
  <c r="X6" i="275"/>
  <c r="P6" i="275" s="1"/>
  <c r="S6" i="275"/>
  <c r="Q6" i="275"/>
  <c r="O6" i="275"/>
  <c r="M6" i="275"/>
  <c r="K6" i="275"/>
  <c r="K4" i="275" s="1"/>
  <c r="I6" i="275"/>
  <c r="H6" i="275"/>
  <c r="E6" i="275"/>
  <c r="AA5" i="275"/>
  <c r="R5" i="275" s="1"/>
  <c r="X5" i="275"/>
  <c r="O5" i="275"/>
  <c r="M5" i="275"/>
  <c r="K5" i="275"/>
  <c r="I5" i="275"/>
  <c r="H5" i="275"/>
  <c r="E5" i="275"/>
  <c r="T4" i="275"/>
  <c r="N4" i="275"/>
  <c r="L4" i="275"/>
  <c r="J4" i="275"/>
  <c r="O4" i="275" s="1"/>
  <c r="H4" i="275"/>
  <c r="G4" i="275"/>
  <c r="F4" i="275"/>
  <c r="D4" i="275"/>
  <c r="C4" i="275"/>
  <c r="B4" i="275"/>
  <c r="E2" i="275"/>
  <c r="AA15" i="274"/>
  <c r="R15" i="274" s="1"/>
  <c r="S15" i="274" s="1"/>
  <c r="X15" i="274"/>
  <c r="Q15" i="274"/>
  <c r="P15" i="274"/>
  <c r="O15" i="274"/>
  <c r="M15" i="274"/>
  <c r="K15" i="274"/>
  <c r="I15" i="274"/>
  <c r="H15" i="274"/>
  <c r="E15" i="274"/>
  <c r="AA14" i="274"/>
  <c r="R14" i="274" s="1"/>
  <c r="S14" i="274" s="1"/>
  <c r="X14" i="274"/>
  <c r="O14" i="274"/>
  <c r="M14" i="274"/>
  <c r="K14" i="274"/>
  <c r="I14" i="274"/>
  <c r="H14" i="274"/>
  <c r="E14" i="274"/>
  <c r="AA13" i="274"/>
  <c r="X13" i="274"/>
  <c r="P13" i="274" s="1"/>
  <c r="R13" i="274"/>
  <c r="S13" i="274" s="1"/>
  <c r="Q13" i="274"/>
  <c r="O13" i="274"/>
  <c r="M13" i="274"/>
  <c r="K13" i="274"/>
  <c r="I13" i="274"/>
  <c r="H13" i="274"/>
  <c r="E13" i="274"/>
  <c r="AA12" i="274"/>
  <c r="X12" i="274"/>
  <c r="R12" i="274"/>
  <c r="P12" i="274"/>
  <c r="Q12" i="274" s="1"/>
  <c r="O12" i="274"/>
  <c r="M12" i="274"/>
  <c r="K12" i="274"/>
  <c r="I12" i="274"/>
  <c r="H12" i="274"/>
  <c r="E12" i="274"/>
  <c r="AA11" i="274"/>
  <c r="R11" i="274" s="1"/>
  <c r="S11" i="274" s="1"/>
  <c r="X11" i="274"/>
  <c r="P11" i="274"/>
  <c r="Q11" i="274" s="1"/>
  <c r="O11" i="274"/>
  <c r="M11" i="274"/>
  <c r="K11" i="274"/>
  <c r="I11" i="274"/>
  <c r="H11" i="274"/>
  <c r="E11" i="274"/>
  <c r="AA10" i="274"/>
  <c r="R10" i="274" s="1"/>
  <c r="S10" i="274" s="1"/>
  <c r="X10" i="274"/>
  <c r="P10" i="274"/>
  <c r="Q10" i="274" s="1"/>
  <c r="O10" i="274"/>
  <c r="M10" i="274"/>
  <c r="K10" i="274"/>
  <c r="I10" i="274"/>
  <c r="H10" i="274"/>
  <c r="E10" i="274"/>
  <c r="AA9" i="274"/>
  <c r="X9" i="274"/>
  <c r="P9" i="274" s="1"/>
  <c r="Q9" i="274" s="1"/>
  <c r="R9" i="274"/>
  <c r="S9" i="274" s="1"/>
  <c r="O9" i="274"/>
  <c r="M9" i="274"/>
  <c r="K9" i="274"/>
  <c r="I9" i="274"/>
  <c r="H9" i="274"/>
  <c r="E9" i="274"/>
  <c r="AA8" i="274"/>
  <c r="R8" i="274" s="1"/>
  <c r="S8" i="274" s="1"/>
  <c r="X8" i="274"/>
  <c r="P8" i="274"/>
  <c r="Q8" i="274" s="1"/>
  <c r="O8" i="274"/>
  <c r="M8" i="274"/>
  <c r="K8" i="274"/>
  <c r="I8" i="274"/>
  <c r="H8" i="274"/>
  <c r="E8" i="274"/>
  <c r="AA7" i="274"/>
  <c r="R7" i="274" s="1"/>
  <c r="S7" i="274" s="1"/>
  <c r="X7" i="274"/>
  <c r="P7" i="274" s="1"/>
  <c r="Q7" i="274" s="1"/>
  <c r="O7" i="274"/>
  <c r="M7" i="274"/>
  <c r="K7" i="274"/>
  <c r="I7" i="274"/>
  <c r="H7" i="274"/>
  <c r="E7" i="274"/>
  <c r="AA6" i="274"/>
  <c r="R6" i="274" s="1"/>
  <c r="S6" i="274" s="1"/>
  <c r="X6" i="274"/>
  <c r="P6" i="274"/>
  <c r="Q6" i="274" s="1"/>
  <c r="O6" i="274"/>
  <c r="M6" i="274"/>
  <c r="K6" i="274"/>
  <c r="I6" i="274"/>
  <c r="H6" i="274"/>
  <c r="E6" i="274"/>
  <c r="AA5" i="274"/>
  <c r="X5" i="274"/>
  <c r="P5" i="274" s="1"/>
  <c r="W5" i="274"/>
  <c r="S5" i="274"/>
  <c r="R5" i="274"/>
  <c r="Q5" i="274"/>
  <c r="O5" i="274"/>
  <c r="M5" i="274"/>
  <c r="K5" i="274"/>
  <c r="I5" i="274"/>
  <c r="H5" i="274"/>
  <c r="E5" i="274"/>
  <c r="T4" i="274"/>
  <c r="N4" i="274"/>
  <c r="L4" i="274"/>
  <c r="M4" i="274" s="1"/>
  <c r="J4" i="274"/>
  <c r="H4" i="274"/>
  <c r="G4" i="274"/>
  <c r="F4" i="274"/>
  <c r="D4" i="274"/>
  <c r="C4" i="274"/>
  <c r="B4" i="274"/>
  <c r="E2" i="274"/>
  <c r="AA15" i="273"/>
  <c r="X15" i="273"/>
  <c r="R15" i="273"/>
  <c r="S15" i="273" s="1"/>
  <c r="P15" i="273"/>
  <c r="Q15" i="273" s="1"/>
  <c r="O15" i="273"/>
  <c r="M15" i="273"/>
  <c r="K15" i="273"/>
  <c r="I15" i="273"/>
  <c r="H15" i="273"/>
  <c r="E15" i="273"/>
  <c r="AA14" i="273"/>
  <c r="X14" i="273"/>
  <c r="P14" i="273" s="1"/>
  <c r="Q14" i="273" s="1"/>
  <c r="S14" i="273"/>
  <c r="R14" i="273"/>
  <c r="O14" i="273"/>
  <c r="M14" i="273"/>
  <c r="K14" i="273"/>
  <c r="I14" i="273"/>
  <c r="H14" i="273"/>
  <c r="E14" i="273"/>
  <c r="AA13" i="273"/>
  <c r="X13" i="273"/>
  <c r="P13" i="273" s="1"/>
  <c r="Q13" i="273" s="1"/>
  <c r="S13" i="273"/>
  <c r="R13" i="273"/>
  <c r="O13" i="273"/>
  <c r="M13" i="273"/>
  <c r="K13" i="273"/>
  <c r="I13" i="273"/>
  <c r="H13" i="273"/>
  <c r="E13" i="273"/>
  <c r="AA12" i="273"/>
  <c r="X12" i="273"/>
  <c r="S12" i="273"/>
  <c r="R12" i="273"/>
  <c r="P12" i="273"/>
  <c r="Q12" i="273" s="1"/>
  <c r="O12" i="273"/>
  <c r="M12" i="273"/>
  <c r="K12" i="273"/>
  <c r="I12" i="273"/>
  <c r="H12" i="273"/>
  <c r="E12" i="273"/>
  <c r="AA11" i="273"/>
  <c r="R11" i="273" s="1"/>
  <c r="S11" i="273" s="1"/>
  <c r="X11" i="273"/>
  <c r="P11" i="273" s="1"/>
  <c r="Q11" i="273"/>
  <c r="O11" i="273"/>
  <c r="M11" i="273"/>
  <c r="K11" i="273"/>
  <c r="I11" i="273"/>
  <c r="H11" i="273"/>
  <c r="E11" i="273"/>
  <c r="AA10" i="273"/>
  <c r="R10" i="273" s="1"/>
  <c r="S10" i="273" s="1"/>
  <c r="X10" i="273"/>
  <c r="P10" i="273"/>
  <c r="Q10" i="273" s="1"/>
  <c r="O10" i="273"/>
  <c r="M10" i="273"/>
  <c r="K10" i="273"/>
  <c r="I10" i="273"/>
  <c r="H10" i="273"/>
  <c r="E10" i="273"/>
  <c r="AA9" i="273"/>
  <c r="X9" i="273"/>
  <c r="P9" i="273" s="1"/>
  <c r="Q9" i="273" s="1"/>
  <c r="R9" i="273"/>
  <c r="S9" i="273" s="1"/>
  <c r="O9" i="273"/>
  <c r="M9" i="273"/>
  <c r="K9" i="273"/>
  <c r="I9" i="273"/>
  <c r="H9" i="273"/>
  <c r="E9" i="273"/>
  <c r="AA8" i="273"/>
  <c r="R8" i="273" s="1"/>
  <c r="S8" i="273" s="1"/>
  <c r="X8" i="273"/>
  <c r="O8" i="273"/>
  <c r="M8" i="273"/>
  <c r="K8" i="273"/>
  <c r="I8" i="273"/>
  <c r="H8" i="273"/>
  <c r="E8" i="273"/>
  <c r="AA7" i="273"/>
  <c r="R7" i="273" s="1"/>
  <c r="S7" i="273" s="1"/>
  <c r="X7" i="273"/>
  <c r="P7" i="273" s="1"/>
  <c r="Q7" i="273" s="1"/>
  <c r="O7" i="273"/>
  <c r="M7" i="273"/>
  <c r="K7" i="273"/>
  <c r="I7" i="273"/>
  <c r="H7" i="273"/>
  <c r="E7" i="273"/>
  <c r="AA6" i="273"/>
  <c r="X6" i="273"/>
  <c r="R6" i="273"/>
  <c r="S6" i="273" s="1"/>
  <c r="P6" i="273"/>
  <c r="Q6" i="273" s="1"/>
  <c r="O6" i="273"/>
  <c r="M6" i="273"/>
  <c r="K6" i="273"/>
  <c r="I6" i="273"/>
  <c r="H6" i="273"/>
  <c r="E6" i="273"/>
  <c r="AA5" i="273"/>
  <c r="X5" i="273"/>
  <c r="P5" i="273" s="1"/>
  <c r="W5" i="273"/>
  <c r="S5" i="273"/>
  <c r="R5" i="273"/>
  <c r="Q5" i="273"/>
  <c r="O5" i="273"/>
  <c r="M5" i="273"/>
  <c r="K5" i="273"/>
  <c r="I5" i="273"/>
  <c r="H5" i="273"/>
  <c r="E5" i="273"/>
  <c r="T4" i="273"/>
  <c r="N4" i="273"/>
  <c r="M4" i="273"/>
  <c r="L4" i="273"/>
  <c r="J4" i="273"/>
  <c r="G4" i="273"/>
  <c r="F4" i="273"/>
  <c r="D4" i="273"/>
  <c r="C4" i="273"/>
  <c r="B4" i="273"/>
  <c r="AA15" i="272"/>
  <c r="X15" i="272"/>
  <c r="P15" i="272" s="1"/>
  <c r="Q15" i="272" s="1"/>
  <c r="R15" i="272"/>
  <c r="S15" i="272" s="1"/>
  <c r="O15" i="272"/>
  <c r="M15" i="272"/>
  <c r="K15" i="272"/>
  <c r="I15" i="272"/>
  <c r="H15" i="272"/>
  <c r="E15" i="272"/>
  <c r="AA14" i="272"/>
  <c r="X14" i="272"/>
  <c r="S14" i="272"/>
  <c r="R14" i="272"/>
  <c r="P14" i="272"/>
  <c r="Q14" i="272" s="1"/>
  <c r="O14" i="272"/>
  <c r="M14" i="272"/>
  <c r="K14" i="272"/>
  <c r="I14" i="272"/>
  <c r="H14" i="272"/>
  <c r="E14" i="272"/>
  <c r="AA13" i="272"/>
  <c r="X13" i="272"/>
  <c r="P13" i="272" s="1"/>
  <c r="Q13" i="272" s="1"/>
  <c r="S13" i="272"/>
  <c r="R13" i="272"/>
  <c r="O13" i="272"/>
  <c r="M13" i="272"/>
  <c r="K13" i="272"/>
  <c r="I13" i="272"/>
  <c r="H13" i="272"/>
  <c r="E13" i="272"/>
  <c r="AA12" i="272"/>
  <c r="X12" i="272"/>
  <c r="R12" i="272"/>
  <c r="S12" i="272" s="1"/>
  <c r="P12" i="272"/>
  <c r="Q12" i="272" s="1"/>
  <c r="O12" i="272"/>
  <c r="M12" i="272"/>
  <c r="K12" i="272"/>
  <c r="I12" i="272"/>
  <c r="H12" i="272"/>
  <c r="E12" i="272"/>
  <c r="AA11" i="272"/>
  <c r="X11" i="272"/>
  <c r="R11" i="272"/>
  <c r="S11" i="272" s="1"/>
  <c r="P11" i="272"/>
  <c r="Q11" i="272" s="1"/>
  <c r="O11" i="272"/>
  <c r="M11" i="272"/>
  <c r="K11" i="272"/>
  <c r="I11" i="272"/>
  <c r="H11" i="272"/>
  <c r="E11" i="272"/>
  <c r="AA10" i="272"/>
  <c r="X10" i="272"/>
  <c r="P10" i="272" s="1"/>
  <c r="Q10" i="272" s="1"/>
  <c r="S10" i="272"/>
  <c r="R10" i="272"/>
  <c r="O10" i="272"/>
  <c r="M10" i="272"/>
  <c r="K10" i="272"/>
  <c r="I10" i="272"/>
  <c r="H10" i="272"/>
  <c r="E10" i="272"/>
  <c r="AA9" i="272"/>
  <c r="X9" i="272"/>
  <c r="P9" i="272" s="1"/>
  <c r="Q9" i="272" s="1"/>
  <c r="R9" i="272"/>
  <c r="S9" i="272" s="1"/>
  <c r="O9" i="272"/>
  <c r="M9" i="272"/>
  <c r="K9" i="272"/>
  <c r="I9" i="272"/>
  <c r="H9" i="272"/>
  <c r="E9" i="272"/>
  <c r="AA8" i="272"/>
  <c r="X8" i="272"/>
  <c r="S8" i="272"/>
  <c r="R8" i="272"/>
  <c r="P8" i="272"/>
  <c r="Q8" i="272" s="1"/>
  <c r="O8" i="272"/>
  <c r="M8" i="272"/>
  <c r="K8" i="272"/>
  <c r="I8" i="272"/>
  <c r="H8" i="272"/>
  <c r="E8" i="272"/>
  <c r="AA7" i="272"/>
  <c r="X7" i="272"/>
  <c r="P7" i="272" s="1"/>
  <c r="Q7" i="272" s="1"/>
  <c r="R7" i="272"/>
  <c r="O7" i="272"/>
  <c r="M7" i="272"/>
  <c r="K7" i="272"/>
  <c r="I7" i="272"/>
  <c r="H7" i="272"/>
  <c r="E7" i="272"/>
  <c r="AA6" i="272"/>
  <c r="X6" i="272"/>
  <c r="S6" i="272"/>
  <c r="R6" i="272"/>
  <c r="P6" i="272"/>
  <c r="Q6" i="272" s="1"/>
  <c r="O6" i="272"/>
  <c r="M6" i="272"/>
  <c r="K6" i="272"/>
  <c r="I6" i="272"/>
  <c r="H6" i="272"/>
  <c r="E6" i="272"/>
  <c r="AA5" i="272"/>
  <c r="X5" i="272"/>
  <c r="P5" i="272" s="1"/>
  <c r="S5" i="272"/>
  <c r="R5" i="272"/>
  <c r="O5" i="272"/>
  <c r="M5" i="272"/>
  <c r="K5" i="272"/>
  <c r="I5" i="272"/>
  <c r="H5" i="272"/>
  <c r="E5" i="272"/>
  <c r="T4" i="272"/>
  <c r="O4" i="272"/>
  <c r="N4" i="272"/>
  <c r="M4" i="272"/>
  <c r="L4" i="272"/>
  <c r="K4" i="272"/>
  <c r="J4" i="272"/>
  <c r="G4" i="272"/>
  <c r="F4" i="272"/>
  <c r="D4" i="272"/>
  <c r="C4" i="272"/>
  <c r="B4" i="272"/>
  <c r="AA15" i="271"/>
  <c r="X15" i="271"/>
  <c r="O15" i="271"/>
  <c r="M15" i="271"/>
  <c r="K15" i="271"/>
  <c r="I15" i="271"/>
  <c r="H15" i="271"/>
  <c r="E15" i="271"/>
  <c r="AA14" i="271"/>
  <c r="R14" i="271" s="1"/>
  <c r="X14" i="271"/>
  <c r="P14" i="271" s="1"/>
  <c r="Q14" i="271" s="1"/>
  <c r="S14" i="271"/>
  <c r="O14" i="271"/>
  <c r="M14" i="271"/>
  <c r="K14" i="271"/>
  <c r="I14" i="271"/>
  <c r="H14" i="271"/>
  <c r="E14" i="271"/>
  <c r="AA13" i="271"/>
  <c r="R13" i="271" s="1"/>
  <c r="S13" i="271" s="1"/>
  <c r="X13" i="271"/>
  <c r="O13" i="271"/>
  <c r="M13" i="271"/>
  <c r="K13" i="271"/>
  <c r="K4" i="271" s="1"/>
  <c r="I13" i="271"/>
  <c r="H13" i="271"/>
  <c r="E13" i="271"/>
  <c r="AA12" i="271"/>
  <c r="R12" i="271" s="1"/>
  <c r="S12" i="271" s="1"/>
  <c r="X12" i="271"/>
  <c r="O12" i="271"/>
  <c r="M12" i="271"/>
  <c r="K12" i="271"/>
  <c r="I12" i="271"/>
  <c r="H12" i="271"/>
  <c r="E12" i="271"/>
  <c r="AA11" i="271"/>
  <c r="R11" i="271" s="1"/>
  <c r="X11" i="271"/>
  <c r="S11" i="271"/>
  <c r="P11" i="271"/>
  <c r="Q11" i="271" s="1"/>
  <c r="O11" i="271"/>
  <c r="M11" i="271"/>
  <c r="K11" i="271"/>
  <c r="I11" i="271"/>
  <c r="H11" i="271"/>
  <c r="E11" i="271"/>
  <c r="AA10" i="271"/>
  <c r="R10" i="271" s="1"/>
  <c r="X10" i="271"/>
  <c r="P10" i="271" s="1"/>
  <c r="Q10" i="271" s="1"/>
  <c r="S10" i="271"/>
  <c r="O10" i="271"/>
  <c r="M10" i="271"/>
  <c r="K10" i="271"/>
  <c r="I10" i="271"/>
  <c r="H10" i="271"/>
  <c r="E10" i="271"/>
  <c r="AA9" i="271"/>
  <c r="R9" i="271" s="1"/>
  <c r="X9" i="271"/>
  <c r="S9" i="271"/>
  <c r="Q9" i="271"/>
  <c r="P9" i="271"/>
  <c r="O9" i="271"/>
  <c r="M9" i="271"/>
  <c r="K9" i="271"/>
  <c r="I9" i="271"/>
  <c r="H9" i="271"/>
  <c r="E9" i="271"/>
  <c r="AA8" i="271"/>
  <c r="R8" i="271" s="1"/>
  <c r="S8" i="271" s="1"/>
  <c r="X8" i="271"/>
  <c r="P8" i="271"/>
  <c r="Q8" i="271" s="1"/>
  <c r="O8" i="271"/>
  <c r="M8" i="271"/>
  <c r="K8" i="271"/>
  <c r="I8" i="271"/>
  <c r="H8" i="271"/>
  <c r="E8" i="271"/>
  <c r="AA7" i="271"/>
  <c r="R7" i="271" s="1"/>
  <c r="X7" i="271"/>
  <c r="P7" i="271" s="1"/>
  <c r="S7" i="271"/>
  <c r="O7" i="271"/>
  <c r="M7" i="271"/>
  <c r="K7" i="271"/>
  <c r="I7" i="271"/>
  <c r="H7" i="271"/>
  <c r="E7" i="271"/>
  <c r="AA6" i="271"/>
  <c r="R6" i="271" s="1"/>
  <c r="X6" i="271"/>
  <c r="P6" i="271" s="1"/>
  <c r="S6" i="271"/>
  <c r="Q6" i="271"/>
  <c r="O6" i="271"/>
  <c r="M6" i="271"/>
  <c r="K6" i="271"/>
  <c r="I6" i="271"/>
  <c r="H6" i="271"/>
  <c r="E6" i="271"/>
  <c r="AA5" i="271"/>
  <c r="R5" i="271" s="1"/>
  <c r="X5" i="271"/>
  <c r="S5" i="271"/>
  <c r="Q5" i="271"/>
  <c r="P5" i="271"/>
  <c r="O5" i="271"/>
  <c r="M5" i="271"/>
  <c r="K5" i="271"/>
  <c r="I5" i="271"/>
  <c r="H5" i="271"/>
  <c r="E5" i="271"/>
  <c r="T4" i="271"/>
  <c r="N4" i="271"/>
  <c r="L4" i="271"/>
  <c r="J4" i="271"/>
  <c r="O4" i="271" s="1"/>
  <c r="H4" i="271"/>
  <c r="G4" i="271"/>
  <c r="F4" i="271"/>
  <c r="D4" i="271"/>
  <c r="C4" i="271"/>
  <c r="B4" i="271"/>
  <c r="E2" i="271"/>
  <c r="AA15" i="270"/>
  <c r="R15" i="270" s="1"/>
  <c r="S15" i="270" s="1"/>
  <c r="X15" i="270"/>
  <c r="O15" i="270"/>
  <c r="M15" i="270"/>
  <c r="K15" i="270"/>
  <c r="I15" i="270"/>
  <c r="H15" i="270"/>
  <c r="E15" i="270"/>
  <c r="AA14" i="270"/>
  <c r="X14" i="270"/>
  <c r="P14" i="270" s="1"/>
  <c r="Q14" i="270" s="1"/>
  <c r="R14" i="270"/>
  <c r="S14" i="270" s="1"/>
  <c r="O14" i="270"/>
  <c r="M14" i="270"/>
  <c r="K14" i="270"/>
  <c r="I14" i="270"/>
  <c r="H14" i="270"/>
  <c r="E14" i="270"/>
  <c r="AA13" i="270"/>
  <c r="X13" i="270"/>
  <c r="P13" i="270" s="1"/>
  <c r="R13" i="270"/>
  <c r="S13" i="270" s="1"/>
  <c r="Q13" i="270"/>
  <c r="O13" i="270"/>
  <c r="M13" i="270"/>
  <c r="K13" i="270"/>
  <c r="I13" i="270"/>
  <c r="H13" i="270"/>
  <c r="E13" i="270"/>
  <c r="AA12" i="270"/>
  <c r="X12" i="270"/>
  <c r="R12" i="270"/>
  <c r="S12" i="270" s="1"/>
  <c r="Q12" i="270"/>
  <c r="P12" i="270"/>
  <c r="O12" i="270"/>
  <c r="M12" i="270"/>
  <c r="K12" i="270"/>
  <c r="I12" i="270"/>
  <c r="H12" i="270"/>
  <c r="E12" i="270"/>
  <c r="AA11" i="270"/>
  <c r="R11" i="270" s="1"/>
  <c r="S11" i="270" s="1"/>
  <c r="X11" i="270"/>
  <c r="Q11" i="270"/>
  <c r="P11" i="270"/>
  <c r="O11" i="270"/>
  <c r="M11" i="270"/>
  <c r="K11" i="270"/>
  <c r="I11" i="270"/>
  <c r="H11" i="270"/>
  <c r="E11" i="270"/>
  <c r="AA10" i="270"/>
  <c r="R10" i="270" s="1"/>
  <c r="S10" i="270" s="1"/>
  <c r="X10" i="270"/>
  <c r="O10" i="270"/>
  <c r="M10" i="270"/>
  <c r="K10" i="270"/>
  <c r="I10" i="270"/>
  <c r="H10" i="270"/>
  <c r="E10" i="270"/>
  <c r="AA9" i="270"/>
  <c r="X9" i="270"/>
  <c r="P9" i="270" s="1"/>
  <c r="R9" i="270"/>
  <c r="S9" i="270" s="1"/>
  <c r="Q9" i="270"/>
  <c r="O9" i="270"/>
  <c r="M9" i="270"/>
  <c r="K9" i="270"/>
  <c r="I9" i="270"/>
  <c r="H9" i="270"/>
  <c r="E9" i="270"/>
  <c r="AA8" i="270"/>
  <c r="R8" i="270" s="1"/>
  <c r="S8" i="270" s="1"/>
  <c r="X8" i="270"/>
  <c r="P8" i="270"/>
  <c r="Q8" i="270" s="1"/>
  <c r="O8" i="270"/>
  <c r="M8" i="270"/>
  <c r="K8" i="270"/>
  <c r="I8" i="270"/>
  <c r="H8" i="270"/>
  <c r="E8" i="270"/>
  <c r="AA7" i="270"/>
  <c r="R7" i="270" s="1"/>
  <c r="S7" i="270" s="1"/>
  <c r="X7" i="270"/>
  <c r="P7" i="270" s="1"/>
  <c r="Q7" i="270" s="1"/>
  <c r="O7" i="270"/>
  <c r="M7" i="270"/>
  <c r="K7" i="270"/>
  <c r="I7" i="270"/>
  <c r="H7" i="270"/>
  <c r="E7" i="270"/>
  <c r="AA6" i="270"/>
  <c r="X6" i="270"/>
  <c r="O6" i="270"/>
  <c r="M6" i="270"/>
  <c r="K6" i="270"/>
  <c r="I6" i="270"/>
  <c r="H6" i="270"/>
  <c r="E6" i="270"/>
  <c r="AA5" i="270"/>
  <c r="X5" i="270"/>
  <c r="P5" i="270" s="1"/>
  <c r="R5" i="270"/>
  <c r="O5" i="270"/>
  <c r="M5" i="270"/>
  <c r="K5" i="270"/>
  <c r="I5" i="270"/>
  <c r="H5" i="270"/>
  <c r="E5" i="270"/>
  <c r="T4" i="270"/>
  <c r="O4" i="270"/>
  <c r="N4" i="270"/>
  <c r="M4" i="270"/>
  <c r="L4" i="270"/>
  <c r="J4" i="270"/>
  <c r="I4" i="270"/>
  <c r="G4" i="270"/>
  <c r="H4" i="270" s="1"/>
  <c r="F4" i="270"/>
  <c r="D4" i="270"/>
  <c r="C4" i="270"/>
  <c r="B4" i="270"/>
  <c r="I2" i="270"/>
  <c r="AA15" i="269"/>
  <c r="X15" i="269"/>
  <c r="O15" i="269"/>
  <c r="M15" i="269"/>
  <c r="K15" i="269"/>
  <c r="I15" i="269"/>
  <c r="H15" i="269"/>
  <c r="E15" i="269"/>
  <c r="AA14" i="269"/>
  <c r="P14" i="269" s="1"/>
  <c r="X14" i="269"/>
  <c r="R14" i="269"/>
  <c r="S14" i="269" s="1"/>
  <c r="Q14" i="269"/>
  <c r="O14" i="269"/>
  <c r="M14" i="269"/>
  <c r="K14" i="269"/>
  <c r="I14" i="269"/>
  <c r="H14" i="269"/>
  <c r="E14" i="269"/>
  <c r="AA13" i="269"/>
  <c r="X13" i="269"/>
  <c r="O13" i="269"/>
  <c r="M13" i="269"/>
  <c r="K13" i="269"/>
  <c r="I13" i="269"/>
  <c r="H13" i="269"/>
  <c r="E13" i="269"/>
  <c r="AA12" i="269"/>
  <c r="P12" i="269" s="1"/>
  <c r="X12" i="269"/>
  <c r="S12" i="269"/>
  <c r="R12" i="269"/>
  <c r="Q12" i="269"/>
  <c r="O12" i="269"/>
  <c r="M12" i="269"/>
  <c r="K12" i="269"/>
  <c r="I12" i="269"/>
  <c r="H12" i="269"/>
  <c r="E12" i="269"/>
  <c r="AA11" i="269"/>
  <c r="P11" i="269" s="1"/>
  <c r="X11" i="269"/>
  <c r="R11" i="269"/>
  <c r="S11" i="269" s="1"/>
  <c r="Q11" i="269"/>
  <c r="O11" i="269"/>
  <c r="M11" i="269"/>
  <c r="K11" i="269"/>
  <c r="I11" i="269"/>
  <c r="H11" i="269"/>
  <c r="E11" i="269"/>
  <c r="AA10" i="269"/>
  <c r="X10" i="269"/>
  <c r="O10" i="269"/>
  <c r="M10" i="269"/>
  <c r="K10" i="269"/>
  <c r="I10" i="269"/>
  <c r="H10" i="269"/>
  <c r="E10" i="269"/>
  <c r="AA9" i="269"/>
  <c r="X9" i="269"/>
  <c r="O9" i="269"/>
  <c r="M9" i="269"/>
  <c r="K9" i="269"/>
  <c r="I9" i="269"/>
  <c r="H9" i="269"/>
  <c r="E9" i="269"/>
  <c r="AA8" i="269"/>
  <c r="P8" i="269" s="1"/>
  <c r="X8" i="269"/>
  <c r="R8" i="269"/>
  <c r="S8" i="269" s="1"/>
  <c r="Q8" i="269"/>
  <c r="O8" i="269"/>
  <c r="M8" i="269"/>
  <c r="K8" i="269"/>
  <c r="I8" i="269"/>
  <c r="H8" i="269"/>
  <c r="E8" i="269"/>
  <c r="AA7" i="269"/>
  <c r="X7" i="269"/>
  <c r="O7" i="269"/>
  <c r="M7" i="269"/>
  <c r="K7" i="269"/>
  <c r="I7" i="269"/>
  <c r="H7" i="269"/>
  <c r="E7" i="269"/>
  <c r="AA6" i="269"/>
  <c r="P6" i="269" s="1"/>
  <c r="X6" i="269"/>
  <c r="R6" i="269"/>
  <c r="S6" i="269" s="1"/>
  <c r="Q6" i="269"/>
  <c r="O6" i="269"/>
  <c r="M6" i="269"/>
  <c r="K6" i="269"/>
  <c r="I6" i="269"/>
  <c r="H6" i="269"/>
  <c r="E6" i="269"/>
  <c r="AA5" i="269"/>
  <c r="X5" i="269"/>
  <c r="O5" i="269"/>
  <c r="M5" i="269"/>
  <c r="K5" i="269"/>
  <c r="I5" i="269"/>
  <c r="H5" i="269"/>
  <c r="E5" i="269"/>
  <c r="T4" i="269"/>
  <c r="N4" i="269"/>
  <c r="L4" i="269"/>
  <c r="M4" i="269" s="1"/>
  <c r="J4" i="269"/>
  <c r="G4" i="269"/>
  <c r="F4" i="269"/>
  <c r="D4" i="269"/>
  <c r="C4" i="269"/>
  <c r="B4" i="269"/>
  <c r="E2" i="269"/>
  <c r="AA15" i="268"/>
  <c r="X15" i="268"/>
  <c r="R15" i="268"/>
  <c r="S15" i="268" s="1"/>
  <c r="P15" i="268"/>
  <c r="Q15" i="268" s="1"/>
  <c r="O15" i="268"/>
  <c r="M15" i="268"/>
  <c r="K15" i="268"/>
  <c r="I15" i="268"/>
  <c r="H15" i="268"/>
  <c r="E15" i="268"/>
  <c r="AA14" i="268"/>
  <c r="X14" i="268"/>
  <c r="P14" i="268" s="1"/>
  <c r="Q14" i="268" s="1"/>
  <c r="S14" i="268"/>
  <c r="R14" i="268"/>
  <c r="O14" i="268"/>
  <c r="M14" i="268"/>
  <c r="K14" i="268"/>
  <c r="I14" i="268"/>
  <c r="H14" i="268"/>
  <c r="E14" i="268"/>
  <c r="AA13" i="268"/>
  <c r="X13" i="268"/>
  <c r="P13" i="268" s="1"/>
  <c r="Q13" i="268" s="1"/>
  <c r="S13" i="268"/>
  <c r="R13" i="268"/>
  <c r="O13" i="268"/>
  <c r="M13" i="268"/>
  <c r="K13" i="268"/>
  <c r="I13" i="268"/>
  <c r="H13" i="268"/>
  <c r="E13" i="268"/>
  <c r="AA12" i="268"/>
  <c r="X12" i="268"/>
  <c r="R12" i="268"/>
  <c r="S12" i="268" s="1"/>
  <c r="P12" i="268"/>
  <c r="Q12" i="268" s="1"/>
  <c r="O12" i="268"/>
  <c r="M12" i="268"/>
  <c r="K12" i="268"/>
  <c r="I12" i="268"/>
  <c r="H12" i="268"/>
  <c r="E12" i="268"/>
  <c r="AA11" i="268"/>
  <c r="X11" i="268"/>
  <c r="P11" i="268" s="1"/>
  <c r="Q11" i="268" s="1"/>
  <c r="R11" i="268"/>
  <c r="S11" i="268" s="1"/>
  <c r="O11" i="268"/>
  <c r="M11" i="268"/>
  <c r="K11" i="268"/>
  <c r="I11" i="268"/>
  <c r="H11" i="268"/>
  <c r="E11" i="268"/>
  <c r="AA10" i="268"/>
  <c r="X10" i="268"/>
  <c r="S10" i="268"/>
  <c r="R10" i="268"/>
  <c r="P10" i="268"/>
  <c r="Q10" i="268" s="1"/>
  <c r="O10" i="268"/>
  <c r="M10" i="268"/>
  <c r="K10" i="268"/>
  <c r="I10" i="268"/>
  <c r="H10" i="268"/>
  <c r="E10" i="268"/>
  <c r="AA9" i="268"/>
  <c r="X9" i="268"/>
  <c r="P9" i="268" s="1"/>
  <c r="Q9" i="268" s="1"/>
  <c r="R9" i="268"/>
  <c r="S9" i="268" s="1"/>
  <c r="O9" i="268"/>
  <c r="M9" i="268"/>
  <c r="K9" i="268"/>
  <c r="I9" i="268"/>
  <c r="H9" i="268"/>
  <c r="E9" i="268"/>
  <c r="AA8" i="268"/>
  <c r="X8" i="268"/>
  <c r="S8" i="268"/>
  <c r="R8" i="268"/>
  <c r="P8" i="268"/>
  <c r="Q8" i="268" s="1"/>
  <c r="O8" i="268"/>
  <c r="M8" i="268"/>
  <c r="K8" i="268"/>
  <c r="I8" i="268"/>
  <c r="H8" i="268"/>
  <c r="E8" i="268"/>
  <c r="AA7" i="268"/>
  <c r="X7" i="268"/>
  <c r="R7" i="268"/>
  <c r="P7" i="268"/>
  <c r="Q7" i="268" s="1"/>
  <c r="O7" i="268"/>
  <c r="M7" i="268"/>
  <c r="K7" i="268"/>
  <c r="I7" i="268"/>
  <c r="H7" i="268"/>
  <c r="E7" i="268"/>
  <c r="AA6" i="268"/>
  <c r="X6" i="268"/>
  <c r="P6" i="268" s="1"/>
  <c r="Q6" i="268" s="1"/>
  <c r="S6" i="268"/>
  <c r="R6" i="268"/>
  <c r="O6" i="268"/>
  <c r="M6" i="268"/>
  <c r="K6" i="268"/>
  <c r="I6" i="268"/>
  <c r="H6" i="268"/>
  <c r="E6" i="268"/>
  <c r="AA5" i="268"/>
  <c r="X5" i="268"/>
  <c r="P5" i="268" s="1"/>
  <c r="S5" i="268"/>
  <c r="R5" i="268"/>
  <c r="O5" i="268"/>
  <c r="M5" i="268"/>
  <c r="K5" i="268"/>
  <c r="I5" i="268"/>
  <c r="H5" i="268"/>
  <c r="E5" i="268"/>
  <c r="T4" i="268"/>
  <c r="O4" i="268"/>
  <c r="N4" i="268"/>
  <c r="M4" i="268"/>
  <c r="L4" i="268"/>
  <c r="K4" i="268"/>
  <c r="J4" i="268"/>
  <c r="I4" i="268"/>
  <c r="G4" i="268"/>
  <c r="F4" i="268"/>
  <c r="D4" i="268"/>
  <c r="C4" i="268"/>
  <c r="B4" i="268"/>
  <c r="AA15" i="267"/>
  <c r="R15" i="267" s="1"/>
  <c r="S15" i="267" s="1"/>
  <c r="X15" i="267"/>
  <c r="O15" i="267"/>
  <c r="M15" i="267"/>
  <c r="K15" i="267"/>
  <c r="I15" i="267"/>
  <c r="H15" i="267"/>
  <c r="E15" i="267"/>
  <c r="AA14" i="267"/>
  <c r="R14" i="267" s="1"/>
  <c r="X14" i="267"/>
  <c r="P14" i="267" s="1"/>
  <c r="S14" i="267"/>
  <c r="Q14" i="267"/>
  <c r="O14" i="267"/>
  <c r="M14" i="267"/>
  <c r="K14" i="267"/>
  <c r="I14" i="267"/>
  <c r="H14" i="267"/>
  <c r="E14" i="267"/>
  <c r="AA13" i="267"/>
  <c r="R13" i="267" s="1"/>
  <c r="S13" i="267" s="1"/>
  <c r="X13" i="267"/>
  <c r="P13" i="267"/>
  <c r="Q13" i="267" s="1"/>
  <c r="O13" i="267"/>
  <c r="M13" i="267"/>
  <c r="K13" i="267"/>
  <c r="I13" i="267"/>
  <c r="H13" i="267"/>
  <c r="E13" i="267"/>
  <c r="AA12" i="267"/>
  <c r="R12" i="267" s="1"/>
  <c r="S12" i="267" s="1"/>
  <c r="X12" i="267"/>
  <c r="P12" i="267" s="1"/>
  <c r="Q12" i="267" s="1"/>
  <c r="O12" i="267"/>
  <c r="M12" i="267"/>
  <c r="K12" i="267"/>
  <c r="I12" i="267"/>
  <c r="H12" i="267"/>
  <c r="E12" i="267"/>
  <c r="AA11" i="267"/>
  <c r="X11" i="267"/>
  <c r="O11" i="267"/>
  <c r="M11" i="267"/>
  <c r="K11" i="267"/>
  <c r="I11" i="267"/>
  <c r="H11" i="267"/>
  <c r="E11" i="267"/>
  <c r="AA10" i="267"/>
  <c r="R10" i="267" s="1"/>
  <c r="X10" i="267"/>
  <c r="P10" i="267" s="1"/>
  <c r="Q10" i="267" s="1"/>
  <c r="S10" i="267"/>
  <c r="O10" i="267"/>
  <c r="M10" i="267"/>
  <c r="K10" i="267"/>
  <c r="I10" i="267"/>
  <c r="H10" i="267"/>
  <c r="E10" i="267"/>
  <c r="AA9" i="267"/>
  <c r="R9" i="267" s="1"/>
  <c r="S9" i="267" s="1"/>
  <c r="X9" i="267"/>
  <c r="O9" i="267"/>
  <c r="M9" i="267"/>
  <c r="K9" i="267"/>
  <c r="I9" i="267"/>
  <c r="H9" i="267"/>
  <c r="E9" i="267"/>
  <c r="AA8" i="267"/>
  <c r="R8" i="267" s="1"/>
  <c r="S8" i="267" s="1"/>
  <c r="X8" i="267"/>
  <c r="O8" i="267"/>
  <c r="M8" i="267"/>
  <c r="K8" i="267"/>
  <c r="I8" i="267"/>
  <c r="H8" i="267"/>
  <c r="E8" i="267"/>
  <c r="AA7" i="267"/>
  <c r="R7" i="267" s="1"/>
  <c r="X7" i="267"/>
  <c r="S7" i="267"/>
  <c r="Q7" i="267"/>
  <c r="P7" i="267"/>
  <c r="O7" i="267"/>
  <c r="M7" i="267"/>
  <c r="K7" i="267"/>
  <c r="I7" i="267"/>
  <c r="H7" i="267"/>
  <c r="E7" i="267"/>
  <c r="AA6" i="267"/>
  <c r="R6" i="267" s="1"/>
  <c r="S6" i="267" s="1"/>
  <c r="X6" i="267"/>
  <c r="O6" i="267"/>
  <c r="M6" i="267"/>
  <c r="K6" i="267"/>
  <c r="I6" i="267"/>
  <c r="H6" i="267"/>
  <c r="E6" i="267"/>
  <c r="AA5" i="267"/>
  <c r="R5" i="267" s="1"/>
  <c r="S5" i="267" s="1"/>
  <c r="X5" i="267"/>
  <c r="P5" i="267"/>
  <c r="O5" i="267"/>
  <c r="M5" i="267"/>
  <c r="K5" i="267"/>
  <c r="I5" i="267"/>
  <c r="H5" i="267"/>
  <c r="E5" i="267"/>
  <c r="T4" i="267"/>
  <c r="N4" i="267"/>
  <c r="O4" i="267" s="1"/>
  <c r="L4" i="267"/>
  <c r="M4" i="267" s="1"/>
  <c r="J4" i="267"/>
  <c r="H4" i="267"/>
  <c r="G4" i="267"/>
  <c r="F4" i="267"/>
  <c r="D4" i="267"/>
  <c r="C4" i="267"/>
  <c r="B4" i="267"/>
  <c r="AA15" i="266"/>
  <c r="X15" i="266"/>
  <c r="P15" i="266" s="1"/>
  <c r="Q15" i="266" s="1"/>
  <c r="R15" i="266"/>
  <c r="S15" i="266" s="1"/>
  <c r="O15" i="266"/>
  <c r="M15" i="266"/>
  <c r="K15" i="266"/>
  <c r="I15" i="266"/>
  <c r="H15" i="266"/>
  <c r="E15" i="266"/>
  <c r="AA14" i="266"/>
  <c r="X14" i="266"/>
  <c r="R14" i="266"/>
  <c r="S14" i="266" s="1"/>
  <c r="Q14" i="266"/>
  <c r="P14" i="266"/>
  <c r="O14" i="266"/>
  <c r="M14" i="266"/>
  <c r="K14" i="266"/>
  <c r="I14" i="266"/>
  <c r="H14" i="266"/>
  <c r="E14" i="266"/>
  <c r="AA13" i="266"/>
  <c r="R13" i="266" s="1"/>
  <c r="S13" i="266" s="1"/>
  <c r="X13" i="266"/>
  <c r="O13" i="266"/>
  <c r="M13" i="266"/>
  <c r="K13" i="266"/>
  <c r="I13" i="266"/>
  <c r="H13" i="266"/>
  <c r="E13" i="266"/>
  <c r="AA12" i="266"/>
  <c r="X12" i="266"/>
  <c r="O12" i="266"/>
  <c r="M12" i="266"/>
  <c r="K12" i="266"/>
  <c r="I12" i="266"/>
  <c r="H12" i="266"/>
  <c r="E12" i="266"/>
  <c r="AA11" i="266"/>
  <c r="X11" i="266"/>
  <c r="P11" i="266" s="1"/>
  <c r="Q11" i="266" s="1"/>
  <c r="R11" i="266"/>
  <c r="S11" i="266" s="1"/>
  <c r="O11" i="266"/>
  <c r="M11" i="266"/>
  <c r="K11" i="266"/>
  <c r="I11" i="266"/>
  <c r="H11" i="266"/>
  <c r="E11" i="266"/>
  <c r="AA10" i="266"/>
  <c r="X10" i="266"/>
  <c r="R10" i="266"/>
  <c r="S10" i="266" s="1"/>
  <c r="Q10" i="266"/>
  <c r="P10" i="266"/>
  <c r="O10" i="266"/>
  <c r="M10" i="266"/>
  <c r="K10" i="266"/>
  <c r="I10" i="266"/>
  <c r="H10" i="266"/>
  <c r="E10" i="266"/>
  <c r="AA9" i="266"/>
  <c r="R9" i="266" s="1"/>
  <c r="S9" i="266" s="1"/>
  <c r="X9" i="266"/>
  <c r="P9" i="266"/>
  <c r="Q9" i="266" s="1"/>
  <c r="O9" i="266"/>
  <c r="M9" i="266"/>
  <c r="K9" i="266"/>
  <c r="I9" i="266"/>
  <c r="H9" i="266"/>
  <c r="E9" i="266"/>
  <c r="AA8" i="266"/>
  <c r="R8" i="266" s="1"/>
  <c r="S8" i="266" s="1"/>
  <c r="X8" i="266"/>
  <c r="P8" i="266" s="1"/>
  <c r="Q8" i="266" s="1"/>
  <c r="O8" i="266"/>
  <c r="M8" i="266"/>
  <c r="K8" i="266"/>
  <c r="I8" i="266"/>
  <c r="H8" i="266"/>
  <c r="E8" i="266"/>
  <c r="AA7" i="266"/>
  <c r="X7" i="266"/>
  <c r="P7" i="266" s="1"/>
  <c r="Q7" i="266" s="1"/>
  <c r="R7" i="266"/>
  <c r="S7" i="266" s="1"/>
  <c r="O7" i="266"/>
  <c r="M7" i="266"/>
  <c r="K7" i="266"/>
  <c r="I7" i="266"/>
  <c r="H7" i="266"/>
  <c r="E7" i="266"/>
  <c r="AA6" i="266"/>
  <c r="X6" i="266"/>
  <c r="R6" i="266"/>
  <c r="S6" i="266" s="1"/>
  <c r="Q6" i="266"/>
  <c r="P6" i="266"/>
  <c r="O6" i="266"/>
  <c r="M6" i="266"/>
  <c r="K6" i="266"/>
  <c r="I6" i="266"/>
  <c r="H6" i="266"/>
  <c r="E6" i="266"/>
  <c r="AA5" i="266"/>
  <c r="X5" i="266"/>
  <c r="O5" i="266"/>
  <c r="M5" i="266"/>
  <c r="K5" i="266"/>
  <c r="I5" i="266"/>
  <c r="H5" i="266"/>
  <c r="E5" i="266"/>
  <c r="T4" i="266"/>
  <c r="O4" i="266"/>
  <c r="N4" i="266"/>
  <c r="M4" i="266"/>
  <c r="L4" i="266"/>
  <c r="K4" i="266"/>
  <c r="J4" i="266"/>
  <c r="I4" i="266"/>
  <c r="G4" i="266"/>
  <c r="H4" i="266" s="1"/>
  <c r="F4" i="266"/>
  <c r="D4" i="266"/>
  <c r="C4" i="266"/>
  <c r="B4" i="266"/>
  <c r="I2" i="266"/>
  <c r="AA15" i="265"/>
  <c r="X15" i="265"/>
  <c r="O15" i="265"/>
  <c r="M15" i="265"/>
  <c r="K15" i="265"/>
  <c r="I15" i="265"/>
  <c r="H15" i="265"/>
  <c r="E15" i="265"/>
  <c r="AA14" i="265"/>
  <c r="P14" i="265" s="1"/>
  <c r="X14" i="265"/>
  <c r="S14" i="265"/>
  <c r="R14" i="265"/>
  <c r="Q14" i="265"/>
  <c r="O14" i="265"/>
  <c r="M14" i="265"/>
  <c r="K14" i="265"/>
  <c r="I14" i="265"/>
  <c r="H14" i="265"/>
  <c r="E14" i="265"/>
  <c r="AA13" i="265"/>
  <c r="P13" i="265" s="1"/>
  <c r="X13" i="265"/>
  <c r="R13" i="265"/>
  <c r="S13" i="265" s="1"/>
  <c r="Q13" i="265"/>
  <c r="O13" i="265"/>
  <c r="M13" i="265"/>
  <c r="K13" i="265"/>
  <c r="I13" i="265"/>
  <c r="H13" i="265"/>
  <c r="E13" i="265"/>
  <c r="AA12" i="265"/>
  <c r="X12" i="265"/>
  <c r="O12" i="265"/>
  <c r="M12" i="265"/>
  <c r="K12" i="265"/>
  <c r="I12" i="265"/>
  <c r="H12" i="265"/>
  <c r="E12" i="265"/>
  <c r="AA11" i="265"/>
  <c r="X11" i="265"/>
  <c r="O11" i="265"/>
  <c r="M11" i="265"/>
  <c r="K11" i="265"/>
  <c r="I11" i="265"/>
  <c r="H11" i="265"/>
  <c r="E11" i="265"/>
  <c r="AA10" i="265"/>
  <c r="P10" i="265" s="1"/>
  <c r="X10" i="265"/>
  <c r="S10" i="265"/>
  <c r="R10" i="265"/>
  <c r="Q10" i="265"/>
  <c r="O10" i="265"/>
  <c r="M10" i="265"/>
  <c r="K10" i="265"/>
  <c r="I10" i="265"/>
  <c r="H10" i="265"/>
  <c r="E10" i="265"/>
  <c r="AA9" i="265"/>
  <c r="P9" i="265" s="1"/>
  <c r="X9" i="265"/>
  <c r="S9" i="265"/>
  <c r="R9" i="265"/>
  <c r="Q9" i="265"/>
  <c r="O9" i="265"/>
  <c r="M9" i="265"/>
  <c r="K9" i="265"/>
  <c r="I9" i="265"/>
  <c r="H9" i="265"/>
  <c r="E9" i="265"/>
  <c r="AA8" i="265"/>
  <c r="P8" i="265" s="1"/>
  <c r="X8" i="265"/>
  <c r="R8" i="265"/>
  <c r="S8" i="265" s="1"/>
  <c r="Q8" i="265"/>
  <c r="O8" i="265"/>
  <c r="M8" i="265"/>
  <c r="K8" i="265"/>
  <c r="I8" i="265"/>
  <c r="H8" i="265"/>
  <c r="E8" i="265"/>
  <c r="AA7" i="265"/>
  <c r="X7" i="265"/>
  <c r="O7" i="265"/>
  <c r="M7" i="265"/>
  <c r="K7" i="265"/>
  <c r="I7" i="265"/>
  <c r="H7" i="265"/>
  <c r="E7" i="265"/>
  <c r="AA6" i="265"/>
  <c r="P6" i="265" s="1"/>
  <c r="X6" i="265"/>
  <c r="S6" i="265"/>
  <c r="R6" i="265"/>
  <c r="Q6" i="265"/>
  <c r="O6" i="265"/>
  <c r="M6" i="265"/>
  <c r="K6" i="265"/>
  <c r="I6" i="265"/>
  <c r="H6" i="265"/>
  <c r="E6" i="265"/>
  <c r="AA5" i="265"/>
  <c r="P5" i="265" s="1"/>
  <c r="X5" i="265"/>
  <c r="R5" i="265"/>
  <c r="Q5" i="265"/>
  <c r="O5" i="265"/>
  <c r="M5" i="265"/>
  <c r="K5" i="265"/>
  <c r="I5" i="265"/>
  <c r="H5" i="265"/>
  <c r="E5" i="265"/>
  <c r="T4" i="265"/>
  <c r="N4" i="265"/>
  <c r="O4" i="265" s="1"/>
  <c r="L4" i="265"/>
  <c r="J4" i="265"/>
  <c r="M4" i="265" s="1"/>
  <c r="I4" i="265"/>
  <c r="G4" i="265"/>
  <c r="F4" i="265"/>
  <c r="D4" i="265"/>
  <c r="C4" i="265"/>
  <c r="B4" i="265"/>
  <c r="E4" i="265" s="1"/>
  <c r="AA15" i="264"/>
  <c r="X15" i="264"/>
  <c r="P15" i="264" s="1"/>
  <c r="Q15" i="264" s="1"/>
  <c r="S15" i="264"/>
  <c r="R15" i="264"/>
  <c r="O15" i="264"/>
  <c r="M15" i="264"/>
  <c r="K15" i="264"/>
  <c r="I15" i="264"/>
  <c r="H15" i="264"/>
  <c r="E15" i="264"/>
  <c r="AA14" i="264"/>
  <c r="X14" i="264"/>
  <c r="R14" i="264"/>
  <c r="S14" i="264" s="1"/>
  <c r="P14" i="264"/>
  <c r="Q14" i="264" s="1"/>
  <c r="O14" i="264"/>
  <c r="M14" i="264"/>
  <c r="K14" i="264"/>
  <c r="I14" i="264"/>
  <c r="H14" i="264"/>
  <c r="E14" i="264"/>
  <c r="AA13" i="264"/>
  <c r="X13" i="264"/>
  <c r="R13" i="264"/>
  <c r="S13" i="264" s="1"/>
  <c r="P13" i="264"/>
  <c r="Q13" i="264" s="1"/>
  <c r="O13" i="264"/>
  <c r="M13" i="264"/>
  <c r="K13" i="264"/>
  <c r="I13" i="264"/>
  <c r="H13" i="264"/>
  <c r="E13" i="264"/>
  <c r="AA12" i="264"/>
  <c r="X12" i="264"/>
  <c r="P12" i="264" s="1"/>
  <c r="Q12" i="264" s="1"/>
  <c r="S12" i="264"/>
  <c r="R12" i="264"/>
  <c r="O12" i="264"/>
  <c r="M12" i="264"/>
  <c r="K12" i="264"/>
  <c r="I12" i="264"/>
  <c r="H12" i="264"/>
  <c r="E12" i="264"/>
  <c r="AA11" i="264"/>
  <c r="X11" i="264"/>
  <c r="P11" i="264" s="1"/>
  <c r="Q11" i="264" s="1"/>
  <c r="S11" i="264"/>
  <c r="R11" i="264"/>
  <c r="O11" i="264"/>
  <c r="M11" i="264"/>
  <c r="K11" i="264"/>
  <c r="I11" i="264"/>
  <c r="H11" i="264"/>
  <c r="E11" i="264"/>
  <c r="AA10" i="264"/>
  <c r="X10" i="264"/>
  <c r="S10" i="264"/>
  <c r="R10" i="264"/>
  <c r="P10" i="264"/>
  <c r="Q10" i="264" s="1"/>
  <c r="O10" i="264"/>
  <c r="M10" i="264"/>
  <c r="K10" i="264"/>
  <c r="I10" i="264"/>
  <c r="H10" i="264"/>
  <c r="E10" i="264"/>
  <c r="AA9" i="264"/>
  <c r="X9" i="264"/>
  <c r="R9" i="264"/>
  <c r="S9" i="264" s="1"/>
  <c r="P9" i="264"/>
  <c r="Q9" i="264" s="1"/>
  <c r="O9" i="264"/>
  <c r="M9" i="264"/>
  <c r="K9" i="264"/>
  <c r="I9" i="264"/>
  <c r="H9" i="264"/>
  <c r="E9" i="264"/>
  <c r="AA8" i="264"/>
  <c r="X8" i="264"/>
  <c r="S8" i="264"/>
  <c r="R8" i="264"/>
  <c r="P8" i="264"/>
  <c r="Q8" i="264" s="1"/>
  <c r="O8" i="264"/>
  <c r="M8" i="264"/>
  <c r="K8" i="264"/>
  <c r="I8" i="264"/>
  <c r="H8" i="264"/>
  <c r="E8" i="264"/>
  <c r="AA7" i="264"/>
  <c r="X7" i="264"/>
  <c r="P7" i="264" s="1"/>
  <c r="Q7" i="264" s="1"/>
  <c r="S7" i="264"/>
  <c r="R7" i="264"/>
  <c r="O7" i="264"/>
  <c r="M7" i="264"/>
  <c r="K7" i="264"/>
  <c r="I7" i="264"/>
  <c r="H7" i="264"/>
  <c r="E7" i="264"/>
  <c r="AA6" i="264"/>
  <c r="X6" i="264"/>
  <c r="R6" i="264"/>
  <c r="S6" i="264" s="1"/>
  <c r="P6" i="264"/>
  <c r="Q6" i="264" s="1"/>
  <c r="O6" i="264"/>
  <c r="M6" i="264"/>
  <c r="K6" i="264"/>
  <c r="I6" i="264"/>
  <c r="H6" i="264"/>
  <c r="E6" i="264"/>
  <c r="AA5" i="264"/>
  <c r="X5" i="264"/>
  <c r="R5" i="264"/>
  <c r="P5" i="264"/>
  <c r="O5" i="264"/>
  <c r="M5" i="264"/>
  <c r="K5" i="264"/>
  <c r="I5" i="264"/>
  <c r="H5" i="264"/>
  <c r="E5" i="264"/>
  <c r="T4" i="264"/>
  <c r="N4" i="264"/>
  <c r="L4" i="264"/>
  <c r="K4" i="264"/>
  <c r="J4" i="264"/>
  <c r="M4" i="264" s="1"/>
  <c r="G4" i="264"/>
  <c r="F4" i="264"/>
  <c r="E4" i="264"/>
  <c r="D4" i="264"/>
  <c r="C4" i="264"/>
  <c r="B4" i="264"/>
  <c r="I2" i="264"/>
  <c r="AA15" i="263"/>
  <c r="R15" i="263" s="1"/>
  <c r="X15" i="263"/>
  <c r="S15" i="263"/>
  <c r="Q15" i="263"/>
  <c r="P15" i="263"/>
  <c r="O15" i="263"/>
  <c r="M15" i="263"/>
  <c r="K15" i="263"/>
  <c r="I15" i="263"/>
  <c r="H15" i="263"/>
  <c r="E15" i="263"/>
  <c r="AA14" i="263"/>
  <c r="R14" i="263" s="1"/>
  <c r="S14" i="263" s="1"/>
  <c r="X14" i="263"/>
  <c r="O14" i="263"/>
  <c r="M14" i="263"/>
  <c r="K14" i="263"/>
  <c r="I14" i="263"/>
  <c r="H14" i="263"/>
  <c r="E14" i="263"/>
  <c r="AA13" i="263"/>
  <c r="R13" i="263" s="1"/>
  <c r="S13" i="263" s="1"/>
  <c r="X13" i="263"/>
  <c r="P13" i="263"/>
  <c r="Q13" i="263" s="1"/>
  <c r="O13" i="263"/>
  <c r="M13" i="263"/>
  <c r="K13" i="263"/>
  <c r="I13" i="263"/>
  <c r="H13" i="263"/>
  <c r="E13" i="263"/>
  <c r="AA12" i="263"/>
  <c r="R12" i="263" s="1"/>
  <c r="X12" i="263"/>
  <c r="P12" i="263" s="1"/>
  <c r="Q12" i="263" s="1"/>
  <c r="S12" i="263"/>
  <c r="O12" i="263"/>
  <c r="M12" i="263"/>
  <c r="K12" i="263"/>
  <c r="I12" i="263"/>
  <c r="H12" i="263"/>
  <c r="E12" i="263"/>
  <c r="AA11" i="263"/>
  <c r="R11" i="263" s="1"/>
  <c r="X11" i="263"/>
  <c r="S11" i="263"/>
  <c r="Q11" i="263"/>
  <c r="P11" i="263"/>
  <c r="O11" i="263"/>
  <c r="M11" i="263"/>
  <c r="K11" i="263"/>
  <c r="I11" i="263"/>
  <c r="H11" i="263"/>
  <c r="E11" i="263"/>
  <c r="AA10" i="263"/>
  <c r="R10" i="263" s="1"/>
  <c r="S10" i="263" s="1"/>
  <c r="X10" i="263"/>
  <c r="Q10" i="263"/>
  <c r="P10" i="263"/>
  <c r="O10" i="263"/>
  <c r="M10" i="263"/>
  <c r="K10" i="263"/>
  <c r="I10" i="263"/>
  <c r="H10" i="263"/>
  <c r="E10" i="263"/>
  <c r="AA9" i="263"/>
  <c r="R9" i="263" s="1"/>
  <c r="S9" i="263" s="1"/>
  <c r="X9" i="263"/>
  <c r="O9" i="263"/>
  <c r="M9" i="263"/>
  <c r="K9" i="263"/>
  <c r="I9" i="263"/>
  <c r="H9" i="263"/>
  <c r="E9" i="263"/>
  <c r="AA8" i="263"/>
  <c r="R8" i="263" s="1"/>
  <c r="X8" i="263"/>
  <c r="P8" i="263" s="1"/>
  <c r="Q8" i="263" s="1"/>
  <c r="S8" i="263"/>
  <c r="O8" i="263"/>
  <c r="M8" i="263"/>
  <c r="K8" i="263"/>
  <c r="I8" i="263"/>
  <c r="H8" i="263"/>
  <c r="E8" i="263"/>
  <c r="AA7" i="263"/>
  <c r="R7" i="263" s="1"/>
  <c r="X7" i="263"/>
  <c r="S7" i="263"/>
  <c r="Q7" i="263"/>
  <c r="P7" i="263"/>
  <c r="O7" i="263"/>
  <c r="M7" i="263"/>
  <c r="K7" i="263"/>
  <c r="I7" i="263"/>
  <c r="H7" i="263"/>
  <c r="E7" i="263"/>
  <c r="AA6" i="263"/>
  <c r="R6" i="263" s="1"/>
  <c r="S6" i="263" s="1"/>
  <c r="X6" i="263"/>
  <c r="P6" i="263"/>
  <c r="Q6" i="263" s="1"/>
  <c r="O6" i="263"/>
  <c r="M6" i="263"/>
  <c r="K6" i="263"/>
  <c r="I6" i="263"/>
  <c r="H6" i="263"/>
  <c r="E6" i="263"/>
  <c r="AA5" i="263"/>
  <c r="R5" i="263" s="1"/>
  <c r="S5" i="263" s="1"/>
  <c r="X5" i="263"/>
  <c r="P5" i="263" s="1"/>
  <c r="O5" i="263"/>
  <c r="M5" i="263"/>
  <c r="K5" i="263"/>
  <c r="I5" i="263"/>
  <c r="H5" i="263"/>
  <c r="E5" i="263"/>
  <c r="T4" i="263"/>
  <c r="N4" i="263"/>
  <c r="O4" i="263" s="1"/>
  <c r="L4" i="263"/>
  <c r="M4" i="263" s="1"/>
  <c r="J4" i="263"/>
  <c r="G4" i="263"/>
  <c r="F4" i="263"/>
  <c r="D4" i="263"/>
  <c r="C4" i="263"/>
  <c r="B4" i="263"/>
  <c r="AA15" i="262"/>
  <c r="X15" i="262"/>
  <c r="P15" i="262" s="1"/>
  <c r="Q15" i="262" s="1"/>
  <c r="R15" i="262"/>
  <c r="S15" i="262" s="1"/>
  <c r="O15" i="262"/>
  <c r="M15" i="262"/>
  <c r="K15" i="262"/>
  <c r="I15" i="262"/>
  <c r="H15" i="262"/>
  <c r="G15" i="262"/>
  <c r="AA14" i="262"/>
  <c r="X14" i="262"/>
  <c r="R14" i="262"/>
  <c r="S14" i="262" s="1"/>
  <c r="Q14" i="262"/>
  <c r="P14" i="262"/>
  <c r="O14" i="262"/>
  <c r="M14" i="262"/>
  <c r="K14" i="262"/>
  <c r="I14" i="262"/>
  <c r="H14" i="262"/>
  <c r="G14" i="262"/>
  <c r="AA13" i="262"/>
  <c r="X13" i="262"/>
  <c r="O13" i="262"/>
  <c r="M13" i="262"/>
  <c r="K13" i="262"/>
  <c r="I13" i="262"/>
  <c r="H13" i="262"/>
  <c r="G13" i="262"/>
  <c r="AA12" i="262"/>
  <c r="R12" i="262" s="1"/>
  <c r="S12" i="262" s="1"/>
  <c r="X12" i="262"/>
  <c r="P12" i="262"/>
  <c r="Q12" i="262" s="1"/>
  <c r="O12" i="262"/>
  <c r="M12" i="262"/>
  <c r="K12" i="262"/>
  <c r="I12" i="262"/>
  <c r="H12" i="262"/>
  <c r="G12" i="262"/>
  <c r="AA11" i="262"/>
  <c r="X11" i="262"/>
  <c r="P11" i="262" s="1"/>
  <c r="Q11" i="262" s="1"/>
  <c r="R11" i="262"/>
  <c r="S11" i="262" s="1"/>
  <c r="O11" i="262"/>
  <c r="M11" i="262"/>
  <c r="K11" i="262"/>
  <c r="I11" i="262"/>
  <c r="H11" i="262"/>
  <c r="G11" i="262"/>
  <c r="AA10" i="262"/>
  <c r="X10" i="262"/>
  <c r="R10" i="262"/>
  <c r="S10" i="262" s="1"/>
  <c r="Q10" i="262"/>
  <c r="P10" i="262"/>
  <c r="O10" i="262"/>
  <c r="M10" i="262"/>
  <c r="K10" i="262"/>
  <c r="I10" i="262"/>
  <c r="H10" i="262"/>
  <c r="G10" i="262"/>
  <c r="AA9" i="262"/>
  <c r="R9" i="262" s="1"/>
  <c r="S9" i="262" s="1"/>
  <c r="X9" i="262"/>
  <c r="O9" i="262"/>
  <c r="M9" i="262"/>
  <c r="K9" i="262"/>
  <c r="I9" i="262"/>
  <c r="H9" i="262"/>
  <c r="G9" i="262"/>
  <c r="AA8" i="262"/>
  <c r="R8" i="262" s="1"/>
  <c r="S8" i="262" s="1"/>
  <c r="X8" i="262"/>
  <c r="P8" i="262"/>
  <c r="Q8" i="262" s="1"/>
  <c r="O8" i="262"/>
  <c r="M8" i="262"/>
  <c r="K8" i="262"/>
  <c r="I8" i="262"/>
  <c r="H8" i="262"/>
  <c r="G8" i="262"/>
  <c r="AA7" i="262"/>
  <c r="X7" i="262"/>
  <c r="P7" i="262" s="1"/>
  <c r="Q7" i="262" s="1"/>
  <c r="R7" i="262"/>
  <c r="S7" i="262" s="1"/>
  <c r="O7" i="262"/>
  <c r="M7" i="262"/>
  <c r="K7" i="262"/>
  <c r="I7" i="262"/>
  <c r="H7" i="262"/>
  <c r="G7" i="262"/>
  <c r="AA6" i="262"/>
  <c r="X6" i="262"/>
  <c r="R6" i="262"/>
  <c r="S6" i="262" s="1"/>
  <c r="Q6" i="262"/>
  <c r="P6" i="262"/>
  <c r="O6" i="262"/>
  <c r="M6" i="262"/>
  <c r="K6" i="262"/>
  <c r="I6" i="262"/>
  <c r="H6" i="262"/>
  <c r="G6" i="262"/>
  <c r="AA5" i="262"/>
  <c r="R5" i="262" s="1"/>
  <c r="X5" i="262"/>
  <c r="O5" i="262"/>
  <c r="M5" i="262"/>
  <c r="K5" i="262"/>
  <c r="K4" i="262" s="1"/>
  <c r="I5" i="262"/>
  <c r="H5" i="262"/>
  <c r="G5" i="262"/>
  <c r="T4" i="262"/>
  <c r="O4" i="262"/>
  <c r="N4" i="262"/>
  <c r="M4" i="262"/>
  <c r="L4" i="262"/>
  <c r="J4" i="262"/>
  <c r="F4" i="262"/>
  <c r="E4" i="262"/>
  <c r="I4" i="262" s="1"/>
  <c r="D4" i="262"/>
  <c r="C4" i="262"/>
  <c r="G4" i="262" s="1"/>
  <c r="B4" i="262"/>
  <c r="I2" i="262"/>
  <c r="AA15" i="261"/>
  <c r="X15" i="261"/>
  <c r="O15" i="261"/>
  <c r="M15" i="261"/>
  <c r="K15" i="261"/>
  <c r="I15" i="261"/>
  <c r="H15" i="261"/>
  <c r="G15" i="261"/>
  <c r="AA14" i="261"/>
  <c r="P14" i="261" s="1"/>
  <c r="X14" i="261"/>
  <c r="S14" i="261"/>
  <c r="R14" i="261"/>
  <c r="Q14" i="261"/>
  <c r="O14" i="261"/>
  <c r="M14" i="261"/>
  <c r="K14" i="261"/>
  <c r="I14" i="261"/>
  <c r="H14" i="261"/>
  <c r="G14" i="261"/>
  <c r="AA13" i="261"/>
  <c r="P13" i="261" s="1"/>
  <c r="X13" i="261"/>
  <c r="R13" i="261"/>
  <c r="S13" i="261" s="1"/>
  <c r="Q13" i="261"/>
  <c r="O13" i="261"/>
  <c r="M13" i="261"/>
  <c r="K13" i="261"/>
  <c r="I13" i="261"/>
  <c r="H13" i="261"/>
  <c r="G13" i="261"/>
  <c r="AA12" i="261"/>
  <c r="P12" i="261" s="1"/>
  <c r="Q12" i="261" s="1"/>
  <c r="X12" i="261"/>
  <c r="R12" i="261"/>
  <c r="S12" i="261" s="1"/>
  <c r="O12" i="261"/>
  <c r="M12" i="261"/>
  <c r="K12" i="261"/>
  <c r="I12" i="261"/>
  <c r="H12" i="261"/>
  <c r="G12" i="261"/>
  <c r="AA11" i="261"/>
  <c r="X11" i="261"/>
  <c r="O11" i="261"/>
  <c r="M11" i="261"/>
  <c r="K11" i="261"/>
  <c r="I11" i="261"/>
  <c r="H11" i="261"/>
  <c r="G11" i="261"/>
  <c r="AA10" i="261"/>
  <c r="P10" i="261" s="1"/>
  <c r="X10" i="261"/>
  <c r="S10" i="261"/>
  <c r="R10" i="261"/>
  <c r="Q10" i="261"/>
  <c r="O10" i="261"/>
  <c r="M10" i="261"/>
  <c r="K10" i="261"/>
  <c r="I10" i="261"/>
  <c r="H10" i="261"/>
  <c r="G10" i="261"/>
  <c r="AA9" i="261"/>
  <c r="P9" i="261" s="1"/>
  <c r="X9" i="261"/>
  <c r="R9" i="261"/>
  <c r="S9" i="261" s="1"/>
  <c r="Q9" i="261"/>
  <c r="O9" i="261"/>
  <c r="M9" i="261"/>
  <c r="K9" i="261"/>
  <c r="I9" i="261"/>
  <c r="H9" i="261"/>
  <c r="G9" i="261"/>
  <c r="AA8" i="261"/>
  <c r="P8" i="261" s="1"/>
  <c r="Q8" i="261" s="1"/>
  <c r="X8" i="261"/>
  <c r="O8" i="261"/>
  <c r="M8" i="261"/>
  <c r="K8" i="261"/>
  <c r="I8" i="261"/>
  <c r="H8" i="261"/>
  <c r="G8" i="261"/>
  <c r="AA7" i="261"/>
  <c r="X7" i="261"/>
  <c r="O7" i="261"/>
  <c r="M7" i="261"/>
  <c r="K7" i="261"/>
  <c r="I7" i="261"/>
  <c r="H7" i="261"/>
  <c r="G7" i="261"/>
  <c r="AA6" i="261"/>
  <c r="P6" i="261" s="1"/>
  <c r="X6" i="261"/>
  <c r="S6" i="261"/>
  <c r="R6" i="261"/>
  <c r="Q6" i="261"/>
  <c r="O6" i="261"/>
  <c r="M6" i="261"/>
  <c r="K6" i="261"/>
  <c r="I6" i="261"/>
  <c r="H6" i="261"/>
  <c r="G6" i="261"/>
  <c r="AA5" i="261"/>
  <c r="P5" i="261" s="1"/>
  <c r="X5" i="261"/>
  <c r="R5" i="261"/>
  <c r="Q5" i="261"/>
  <c r="O5" i="261"/>
  <c r="M5" i="261"/>
  <c r="K5" i="261"/>
  <c r="I5" i="261"/>
  <c r="H5" i="261"/>
  <c r="G5" i="261"/>
  <c r="T4" i="261"/>
  <c r="N4" i="261"/>
  <c r="L4" i="261"/>
  <c r="J4" i="261"/>
  <c r="M4" i="261" s="1"/>
  <c r="F4" i="261"/>
  <c r="E4" i="261"/>
  <c r="D4" i="261"/>
  <c r="C4" i="261"/>
  <c r="B4" i="261"/>
  <c r="I2" i="261"/>
  <c r="G2" i="261"/>
  <c r="AA15" i="260"/>
  <c r="X15" i="260"/>
  <c r="R15" i="260"/>
  <c r="S15" i="260" s="1"/>
  <c r="P15" i="260"/>
  <c r="Q15" i="260" s="1"/>
  <c r="O15" i="260"/>
  <c r="M15" i="260"/>
  <c r="K15" i="260"/>
  <c r="I15" i="260"/>
  <c r="H15" i="260"/>
  <c r="G15" i="260"/>
  <c r="AA14" i="260"/>
  <c r="X14" i="260"/>
  <c r="R14" i="260"/>
  <c r="S14" i="260" s="1"/>
  <c r="P14" i="260"/>
  <c r="Q14" i="260" s="1"/>
  <c r="O14" i="260"/>
  <c r="M14" i="260"/>
  <c r="K14" i="260"/>
  <c r="I14" i="260"/>
  <c r="H14" i="260"/>
  <c r="G14" i="260"/>
  <c r="AA13" i="260"/>
  <c r="X13" i="260"/>
  <c r="P13" i="260" s="1"/>
  <c r="Q13" i="260" s="1"/>
  <c r="S13" i="260"/>
  <c r="R13" i="260"/>
  <c r="O13" i="260"/>
  <c r="M13" i="260"/>
  <c r="K13" i="260"/>
  <c r="I13" i="260"/>
  <c r="H13" i="260"/>
  <c r="G13" i="260"/>
  <c r="AA12" i="260"/>
  <c r="X12" i="260"/>
  <c r="P12" i="260" s="1"/>
  <c r="Q12" i="260" s="1"/>
  <c r="S12" i="260"/>
  <c r="R12" i="260"/>
  <c r="O12" i="260"/>
  <c r="M12" i="260"/>
  <c r="K12" i="260"/>
  <c r="I12" i="260"/>
  <c r="H12" i="260"/>
  <c r="G12" i="260"/>
  <c r="AA11" i="260"/>
  <c r="X11" i="260"/>
  <c r="R11" i="260"/>
  <c r="S11" i="260" s="1"/>
  <c r="P11" i="260"/>
  <c r="Q11" i="260" s="1"/>
  <c r="O11" i="260"/>
  <c r="M11" i="260"/>
  <c r="K11" i="260"/>
  <c r="I11" i="260"/>
  <c r="H11" i="260"/>
  <c r="G11" i="260"/>
  <c r="AA10" i="260"/>
  <c r="X10" i="260"/>
  <c r="R10" i="260"/>
  <c r="S10" i="260" s="1"/>
  <c r="P10" i="260"/>
  <c r="Q10" i="260" s="1"/>
  <c r="O10" i="260"/>
  <c r="M10" i="260"/>
  <c r="K10" i="260"/>
  <c r="I10" i="260"/>
  <c r="H10" i="260"/>
  <c r="G10" i="260"/>
  <c r="AA9" i="260"/>
  <c r="X9" i="260"/>
  <c r="S9" i="260"/>
  <c r="R9" i="260"/>
  <c r="P9" i="260"/>
  <c r="Q9" i="260" s="1"/>
  <c r="O9" i="260"/>
  <c r="M9" i="260"/>
  <c r="K9" i="260"/>
  <c r="I9" i="260"/>
  <c r="H9" i="260"/>
  <c r="G9" i="260"/>
  <c r="AA8" i="260"/>
  <c r="X8" i="260"/>
  <c r="P8" i="260" s="1"/>
  <c r="Q8" i="260" s="1"/>
  <c r="S8" i="260"/>
  <c r="R8" i="260"/>
  <c r="O8" i="260"/>
  <c r="M8" i="260"/>
  <c r="K8" i="260"/>
  <c r="I8" i="260"/>
  <c r="H8" i="260"/>
  <c r="G8" i="260"/>
  <c r="AA7" i="260"/>
  <c r="X7" i="260"/>
  <c r="R7" i="260"/>
  <c r="P7" i="260"/>
  <c r="Q7" i="260" s="1"/>
  <c r="O7" i="260"/>
  <c r="M7" i="260"/>
  <c r="K7" i="260"/>
  <c r="I7" i="260"/>
  <c r="H7" i="260"/>
  <c r="G7" i="260"/>
  <c r="AA6" i="260"/>
  <c r="X6" i="260"/>
  <c r="R6" i="260"/>
  <c r="S6" i="260" s="1"/>
  <c r="P6" i="260"/>
  <c r="Q6" i="260" s="1"/>
  <c r="O6" i="260"/>
  <c r="M6" i="260"/>
  <c r="K6" i="260"/>
  <c r="I6" i="260"/>
  <c r="H6" i="260"/>
  <c r="G6" i="260"/>
  <c r="AA5" i="260"/>
  <c r="X5" i="260"/>
  <c r="P5" i="260" s="1"/>
  <c r="S5" i="260"/>
  <c r="R5" i="260"/>
  <c r="O5" i="260"/>
  <c r="M5" i="260"/>
  <c r="K5" i="260"/>
  <c r="I5" i="260"/>
  <c r="H5" i="260"/>
  <c r="G5" i="260"/>
  <c r="T4" i="260"/>
  <c r="N4" i="260"/>
  <c r="L4" i="260"/>
  <c r="K4" i="260"/>
  <c r="J4" i="260"/>
  <c r="M4" i="260" s="1"/>
  <c r="F4" i="260"/>
  <c r="E4" i="260"/>
  <c r="D4" i="260"/>
  <c r="C4" i="260"/>
  <c r="B4" i="260"/>
  <c r="I2" i="260"/>
  <c r="AA15" i="259"/>
  <c r="X15" i="259"/>
  <c r="O15" i="259"/>
  <c r="M15" i="259"/>
  <c r="K15" i="259"/>
  <c r="I15" i="259"/>
  <c r="H15" i="259"/>
  <c r="G15" i="259"/>
  <c r="AA14" i="259"/>
  <c r="R14" i="259" s="1"/>
  <c r="S14" i="259" s="1"/>
  <c r="X14" i="259"/>
  <c r="P14" i="259"/>
  <c r="Q14" i="259" s="1"/>
  <c r="O14" i="259"/>
  <c r="M14" i="259"/>
  <c r="K14" i="259"/>
  <c r="I14" i="259"/>
  <c r="H14" i="259"/>
  <c r="G14" i="259"/>
  <c r="AA13" i="259"/>
  <c r="R13" i="259" s="1"/>
  <c r="X13" i="259"/>
  <c r="P13" i="259" s="1"/>
  <c r="Q13" i="259" s="1"/>
  <c r="S13" i="259"/>
  <c r="O13" i="259"/>
  <c r="M13" i="259"/>
  <c r="K13" i="259"/>
  <c r="I13" i="259"/>
  <c r="H13" i="259"/>
  <c r="G13" i="259"/>
  <c r="AA12" i="259"/>
  <c r="R12" i="259" s="1"/>
  <c r="X12" i="259"/>
  <c r="S12" i="259"/>
  <c r="Q12" i="259"/>
  <c r="P12" i="259"/>
  <c r="O12" i="259"/>
  <c r="M12" i="259"/>
  <c r="K12" i="259"/>
  <c r="I12" i="259"/>
  <c r="H12" i="259"/>
  <c r="G12" i="259"/>
  <c r="AA11" i="259"/>
  <c r="R11" i="259" s="1"/>
  <c r="S11" i="259" s="1"/>
  <c r="X11" i="259"/>
  <c r="O11" i="259"/>
  <c r="M11" i="259"/>
  <c r="K11" i="259"/>
  <c r="I11" i="259"/>
  <c r="H11" i="259"/>
  <c r="G11" i="259"/>
  <c r="AA10" i="259"/>
  <c r="R10" i="259" s="1"/>
  <c r="S10" i="259" s="1"/>
  <c r="X10" i="259"/>
  <c r="P10" i="259"/>
  <c r="Q10" i="259" s="1"/>
  <c r="O10" i="259"/>
  <c r="M10" i="259"/>
  <c r="K10" i="259"/>
  <c r="I10" i="259"/>
  <c r="H10" i="259"/>
  <c r="G10" i="259"/>
  <c r="AA9" i="259"/>
  <c r="R9" i="259" s="1"/>
  <c r="X9" i="259"/>
  <c r="P9" i="259" s="1"/>
  <c r="Q9" i="259" s="1"/>
  <c r="S9" i="259"/>
  <c r="O9" i="259"/>
  <c r="M9" i="259"/>
  <c r="K9" i="259"/>
  <c r="I9" i="259"/>
  <c r="H9" i="259"/>
  <c r="G9" i="259"/>
  <c r="AA8" i="259"/>
  <c r="R8" i="259" s="1"/>
  <c r="X8" i="259"/>
  <c r="S8" i="259"/>
  <c r="Q8" i="259"/>
  <c r="P8" i="259"/>
  <c r="O8" i="259"/>
  <c r="M8" i="259"/>
  <c r="K8" i="259"/>
  <c r="I8" i="259"/>
  <c r="H8" i="259"/>
  <c r="G8" i="259"/>
  <c r="AA7" i="259"/>
  <c r="R7" i="259" s="1"/>
  <c r="S7" i="259" s="1"/>
  <c r="X7" i="259"/>
  <c r="O7" i="259"/>
  <c r="M7" i="259"/>
  <c r="K7" i="259"/>
  <c r="K4" i="259" s="1"/>
  <c r="I7" i="259"/>
  <c r="H7" i="259"/>
  <c r="G7" i="259"/>
  <c r="AA6" i="259"/>
  <c r="X6" i="259"/>
  <c r="O6" i="259"/>
  <c r="M6" i="259"/>
  <c r="K6" i="259"/>
  <c r="I6" i="259"/>
  <c r="H6" i="259"/>
  <c r="G6" i="259"/>
  <c r="AA5" i="259"/>
  <c r="R5" i="259" s="1"/>
  <c r="X5" i="259"/>
  <c r="P5" i="259" s="1"/>
  <c r="Q5" i="259" s="1"/>
  <c r="S5" i="259"/>
  <c r="O5" i="259"/>
  <c r="M5" i="259"/>
  <c r="K5" i="259"/>
  <c r="I5" i="259"/>
  <c r="H5" i="259"/>
  <c r="G5" i="259"/>
  <c r="T4" i="259"/>
  <c r="N4" i="259"/>
  <c r="L4" i="259"/>
  <c r="M4" i="259" s="1"/>
  <c r="J4" i="259"/>
  <c r="O4" i="259" s="1"/>
  <c r="F4" i="259"/>
  <c r="E4" i="259"/>
  <c r="D4" i="259"/>
  <c r="H4" i="259" s="1"/>
  <c r="C4" i="259"/>
  <c r="G2" i="259" s="1"/>
  <c r="B4" i="259"/>
  <c r="I2" i="259" s="1"/>
  <c r="AA15" i="258"/>
  <c r="X15" i="258"/>
  <c r="P15" i="258" s="1"/>
  <c r="Q15" i="258" s="1"/>
  <c r="R15" i="258"/>
  <c r="S15" i="258" s="1"/>
  <c r="O15" i="258"/>
  <c r="M15" i="258"/>
  <c r="K15" i="258"/>
  <c r="I15" i="258"/>
  <c r="H15" i="258"/>
  <c r="G15" i="258"/>
  <c r="AA14" i="258"/>
  <c r="X14" i="258"/>
  <c r="R14" i="258"/>
  <c r="S14" i="258" s="1"/>
  <c r="Q14" i="258"/>
  <c r="P14" i="258"/>
  <c r="O14" i="258"/>
  <c r="M14" i="258"/>
  <c r="K14" i="258"/>
  <c r="I14" i="258"/>
  <c r="H14" i="258"/>
  <c r="G14" i="258"/>
  <c r="AA13" i="258"/>
  <c r="R13" i="258" s="1"/>
  <c r="S13" i="258" s="1"/>
  <c r="X13" i="258"/>
  <c r="O13" i="258"/>
  <c r="M13" i="258"/>
  <c r="K13" i="258"/>
  <c r="I13" i="258"/>
  <c r="H13" i="258"/>
  <c r="G13" i="258"/>
  <c r="AA12" i="258"/>
  <c r="R12" i="258" s="1"/>
  <c r="S12" i="258" s="1"/>
  <c r="X12" i="258"/>
  <c r="P12" i="258"/>
  <c r="Q12" i="258" s="1"/>
  <c r="O12" i="258"/>
  <c r="M12" i="258"/>
  <c r="K12" i="258"/>
  <c r="I12" i="258"/>
  <c r="H12" i="258"/>
  <c r="G12" i="258"/>
  <c r="AA11" i="258"/>
  <c r="X11" i="258"/>
  <c r="P11" i="258" s="1"/>
  <c r="Q11" i="258" s="1"/>
  <c r="R11" i="258"/>
  <c r="S11" i="258" s="1"/>
  <c r="O11" i="258"/>
  <c r="M11" i="258"/>
  <c r="K11" i="258"/>
  <c r="I11" i="258"/>
  <c r="H11" i="258"/>
  <c r="G11" i="258"/>
  <c r="AA10" i="258"/>
  <c r="X10" i="258"/>
  <c r="R10" i="258"/>
  <c r="S10" i="258" s="1"/>
  <c r="Q10" i="258"/>
  <c r="P10" i="258"/>
  <c r="O10" i="258"/>
  <c r="M10" i="258"/>
  <c r="K10" i="258"/>
  <c r="I10" i="258"/>
  <c r="H10" i="258"/>
  <c r="G10" i="258"/>
  <c r="AA9" i="258"/>
  <c r="R9" i="258" s="1"/>
  <c r="S9" i="258" s="1"/>
  <c r="X9" i="258"/>
  <c r="O9" i="258"/>
  <c r="M9" i="258"/>
  <c r="K9" i="258"/>
  <c r="I9" i="258"/>
  <c r="H9" i="258"/>
  <c r="G9" i="258"/>
  <c r="AA8" i="258"/>
  <c r="X8" i="258"/>
  <c r="O8" i="258"/>
  <c r="M8" i="258"/>
  <c r="K8" i="258"/>
  <c r="I8" i="258"/>
  <c r="H8" i="258"/>
  <c r="G8" i="258"/>
  <c r="AA7" i="258"/>
  <c r="X7" i="258"/>
  <c r="P7" i="258" s="1"/>
  <c r="Q7" i="258" s="1"/>
  <c r="R7" i="258"/>
  <c r="S7" i="258" s="1"/>
  <c r="O7" i="258"/>
  <c r="M7" i="258"/>
  <c r="K7" i="258"/>
  <c r="I7" i="258"/>
  <c r="H7" i="258"/>
  <c r="G7" i="258"/>
  <c r="AA6" i="258"/>
  <c r="X6" i="258"/>
  <c r="R6" i="258"/>
  <c r="S6" i="258" s="1"/>
  <c r="Q6" i="258"/>
  <c r="P6" i="258"/>
  <c r="O6" i="258"/>
  <c r="M6" i="258"/>
  <c r="K6" i="258"/>
  <c r="I6" i="258"/>
  <c r="H6" i="258"/>
  <c r="G6" i="258"/>
  <c r="AA5" i="258"/>
  <c r="R5" i="258" s="1"/>
  <c r="X5" i="258"/>
  <c r="P5" i="258"/>
  <c r="O5" i="258"/>
  <c r="M5" i="258"/>
  <c r="K5" i="258"/>
  <c r="K4" i="258" s="1"/>
  <c r="I5" i="258"/>
  <c r="H5" i="258"/>
  <c r="G5" i="258"/>
  <c r="T4" i="258"/>
  <c r="O4" i="258"/>
  <c r="N4" i="258"/>
  <c r="M4" i="258"/>
  <c r="L4" i="258"/>
  <c r="J4" i="258"/>
  <c r="F4" i="258"/>
  <c r="E4" i="258"/>
  <c r="I4" i="258" s="1"/>
  <c r="D4" i="258"/>
  <c r="C4" i="258"/>
  <c r="G4" i="258" s="1"/>
  <c r="B4" i="258"/>
  <c r="I2" i="258"/>
  <c r="AA15" i="257"/>
  <c r="X15" i="257"/>
  <c r="O15" i="257"/>
  <c r="M15" i="257"/>
  <c r="K15" i="257"/>
  <c r="I15" i="257"/>
  <c r="H15" i="257"/>
  <c r="G15" i="257"/>
  <c r="AA14" i="257"/>
  <c r="P14" i="257" s="1"/>
  <c r="X14" i="257"/>
  <c r="S14" i="257"/>
  <c r="R14" i="257"/>
  <c r="Q14" i="257"/>
  <c r="O14" i="257"/>
  <c r="M14" i="257"/>
  <c r="K14" i="257"/>
  <c r="I14" i="257"/>
  <c r="H14" i="257"/>
  <c r="G14" i="257"/>
  <c r="AA13" i="257"/>
  <c r="P13" i="257" s="1"/>
  <c r="X13" i="257"/>
  <c r="S13" i="257"/>
  <c r="R13" i="257"/>
  <c r="Q13" i="257"/>
  <c r="O13" i="257"/>
  <c r="M13" i="257"/>
  <c r="K13" i="257"/>
  <c r="I13" i="257"/>
  <c r="H13" i="257"/>
  <c r="G13" i="257"/>
  <c r="AA12" i="257"/>
  <c r="P12" i="257" s="1"/>
  <c r="X12" i="257"/>
  <c r="R12" i="257"/>
  <c r="S12" i="257" s="1"/>
  <c r="Q12" i="257"/>
  <c r="O12" i="257"/>
  <c r="M12" i="257"/>
  <c r="K12" i="257"/>
  <c r="I12" i="257"/>
  <c r="H12" i="257"/>
  <c r="G12" i="257"/>
  <c r="AA11" i="257"/>
  <c r="X11" i="257"/>
  <c r="O11" i="257"/>
  <c r="M11" i="257"/>
  <c r="K11" i="257"/>
  <c r="I11" i="257"/>
  <c r="H11" i="257"/>
  <c r="G11" i="257"/>
  <c r="AA10" i="257"/>
  <c r="P10" i="257" s="1"/>
  <c r="X10" i="257"/>
  <c r="S10" i="257"/>
  <c r="R10" i="257"/>
  <c r="Q10" i="257"/>
  <c r="O10" i="257"/>
  <c r="M10" i="257"/>
  <c r="K10" i="257"/>
  <c r="I10" i="257"/>
  <c r="H10" i="257"/>
  <c r="G10" i="257"/>
  <c r="AA9" i="257"/>
  <c r="P9" i="257" s="1"/>
  <c r="X9" i="257"/>
  <c r="R9" i="257"/>
  <c r="S9" i="257" s="1"/>
  <c r="Q9" i="257"/>
  <c r="O9" i="257"/>
  <c r="M9" i="257"/>
  <c r="K9" i="257"/>
  <c r="I9" i="257"/>
  <c r="H9" i="257"/>
  <c r="G9" i="257"/>
  <c r="AA8" i="257"/>
  <c r="P8" i="257" s="1"/>
  <c r="Q8" i="257" s="1"/>
  <c r="X8" i="257"/>
  <c r="R8" i="257"/>
  <c r="S8" i="257" s="1"/>
  <c r="O8" i="257"/>
  <c r="M8" i="257"/>
  <c r="K8" i="257"/>
  <c r="I8" i="257"/>
  <c r="H8" i="257"/>
  <c r="G8" i="257"/>
  <c r="AA7" i="257"/>
  <c r="X7" i="257"/>
  <c r="O7" i="257"/>
  <c r="M7" i="257"/>
  <c r="K7" i="257"/>
  <c r="I7" i="257"/>
  <c r="H7" i="257"/>
  <c r="G7" i="257"/>
  <c r="AA6" i="257"/>
  <c r="P6" i="257" s="1"/>
  <c r="X6" i="257"/>
  <c r="S6" i="257"/>
  <c r="R6" i="257"/>
  <c r="Q6" i="257"/>
  <c r="O6" i="257"/>
  <c r="M6" i="257"/>
  <c r="K6" i="257"/>
  <c r="I6" i="257"/>
  <c r="H6" i="257"/>
  <c r="G6" i="257"/>
  <c r="AA5" i="257"/>
  <c r="P5" i="257" s="1"/>
  <c r="X5" i="257"/>
  <c r="R5" i="257"/>
  <c r="Q5" i="257"/>
  <c r="O5" i="257"/>
  <c r="M5" i="257"/>
  <c r="K5" i="257"/>
  <c r="I5" i="257"/>
  <c r="H5" i="257"/>
  <c r="G5" i="257"/>
  <c r="T4" i="257"/>
  <c r="N4" i="257"/>
  <c r="L4" i="257"/>
  <c r="J4" i="257"/>
  <c r="M4" i="257" s="1"/>
  <c r="I4" i="257"/>
  <c r="F4" i="257"/>
  <c r="E4" i="257"/>
  <c r="D4" i="257"/>
  <c r="C4" i="257"/>
  <c r="B4" i="257"/>
  <c r="I2" i="257"/>
  <c r="G2" i="257"/>
  <c r="AA15" i="256"/>
  <c r="X15" i="256"/>
  <c r="R15" i="256"/>
  <c r="S15" i="256" s="1"/>
  <c r="P15" i="256"/>
  <c r="Q15" i="256" s="1"/>
  <c r="O15" i="256"/>
  <c r="M15" i="256"/>
  <c r="K15" i="256"/>
  <c r="I15" i="256"/>
  <c r="H15" i="256"/>
  <c r="G15" i="256"/>
  <c r="AA14" i="256"/>
  <c r="X14" i="256"/>
  <c r="R14" i="256"/>
  <c r="S14" i="256" s="1"/>
  <c r="P14" i="256"/>
  <c r="Q14" i="256" s="1"/>
  <c r="O14" i="256"/>
  <c r="M14" i="256"/>
  <c r="K14" i="256"/>
  <c r="I14" i="256"/>
  <c r="H14" i="256"/>
  <c r="G14" i="256"/>
  <c r="AA13" i="256"/>
  <c r="X13" i="256"/>
  <c r="P13" i="256" s="1"/>
  <c r="Q13" i="256" s="1"/>
  <c r="S13" i="256"/>
  <c r="R13" i="256"/>
  <c r="O13" i="256"/>
  <c r="M13" i="256"/>
  <c r="K13" i="256"/>
  <c r="I13" i="256"/>
  <c r="H13" i="256"/>
  <c r="G13" i="256"/>
  <c r="AA12" i="256"/>
  <c r="X12" i="256"/>
  <c r="P12" i="256" s="1"/>
  <c r="Q12" i="256" s="1"/>
  <c r="S12" i="256"/>
  <c r="R12" i="256"/>
  <c r="O12" i="256"/>
  <c r="M12" i="256"/>
  <c r="K12" i="256"/>
  <c r="I12" i="256"/>
  <c r="H12" i="256"/>
  <c r="G12" i="256"/>
  <c r="AA11" i="256"/>
  <c r="X11" i="256"/>
  <c r="S11" i="256"/>
  <c r="R11" i="256"/>
  <c r="P11" i="256"/>
  <c r="Q11" i="256" s="1"/>
  <c r="O11" i="256"/>
  <c r="M11" i="256"/>
  <c r="K11" i="256"/>
  <c r="I11" i="256"/>
  <c r="H11" i="256"/>
  <c r="G11" i="256"/>
  <c r="AA10" i="256"/>
  <c r="X10" i="256"/>
  <c r="R10" i="256"/>
  <c r="S10" i="256" s="1"/>
  <c r="P10" i="256"/>
  <c r="Q10" i="256" s="1"/>
  <c r="O10" i="256"/>
  <c r="M10" i="256"/>
  <c r="K10" i="256"/>
  <c r="I10" i="256"/>
  <c r="H10" i="256"/>
  <c r="G10" i="256"/>
  <c r="AA9" i="256"/>
  <c r="X9" i="256"/>
  <c r="P9" i="256" s="1"/>
  <c r="Q9" i="256" s="1"/>
  <c r="S9" i="256"/>
  <c r="R9" i="256"/>
  <c r="O9" i="256"/>
  <c r="M9" i="256"/>
  <c r="K9" i="256"/>
  <c r="I9" i="256"/>
  <c r="H9" i="256"/>
  <c r="G9" i="256"/>
  <c r="AA8" i="256"/>
  <c r="X8" i="256"/>
  <c r="P8" i="256" s="1"/>
  <c r="Q8" i="256" s="1"/>
  <c r="S8" i="256"/>
  <c r="R8" i="256"/>
  <c r="O8" i="256"/>
  <c r="M8" i="256"/>
  <c r="K8" i="256"/>
  <c r="I8" i="256"/>
  <c r="H8" i="256"/>
  <c r="G8" i="256"/>
  <c r="AA7" i="256"/>
  <c r="X7" i="256"/>
  <c r="R7" i="256"/>
  <c r="S7" i="256" s="1"/>
  <c r="P7" i="256"/>
  <c r="Q7" i="256" s="1"/>
  <c r="O7" i="256"/>
  <c r="M7" i="256"/>
  <c r="K7" i="256"/>
  <c r="I7" i="256"/>
  <c r="H7" i="256"/>
  <c r="G7" i="256"/>
  <c r="AA6" i="256"/>
  <c r="X6" i="256"/>
  <c r="R6" i="256"/>
  <c r="S6" i="256" s="1"/>
  <c r="P6" i="256"/>
  <c r="Q6" i="256" s="1"/>
  <c r="O6" i="256"/>
  <c r="M6" i="256"/>
  <c r="K6" i="256"/>
  <c r="I6" i="256"/>
  <c r="H6" i="256"/>
  <c r="G6" i="256"/>
  <c r="AA5" i="256"/>
  <c r="X5" i="256"/>
  <c r="P5" i="256" s="1"/>
  <c r="S5" i="256"/>
  <c r="R5" i="256"/>
  <c r="O5" i="256"/>
  <c r="M5" i="256"/>
  <c r="K5" i="256"/>
  <c r="I5" i="256"/>
  <c r="H5" i="256"/>
  <c r="G5" i="256"/>
  <c r="T4" i="256"/>
  <c r="N4" i="256"/>
  <c r="M4" i="256"/>
  <c r="L4" i="256"/>
  <c r="K4" i="256"/>
  <c r="J4" i="256"/>
  <c r="I4" i="256"/>
  <c r="F4" i="256"/>
  <c r="E4" i="256"/>
  <c r="D4" i="256"/>
  <c r="C4" i="256"/>
  <c r="B4" i="256"/>
  <c r="I2" i="256"/>
  <c r="AA15" i="255"/>
  <c r="R15" i="255" s="1"/>
  <c r="S15" i="255" s="1"/>
  <c r="X15" i="255"/>
  <c r="O15" i="255"/>
  <c r="M15" i="255"/>
  <c r="K15" i="255"/>
  <c r="I15" i="255"/>
  <c r="H15" i="255"/>
  <c r="G15" i="255"/>
  <c r="AA14" i="255"/>
  <c r="R14" i="255" s="1"/>
  <c r="S14" i="255" s="1"/>
  <c r="X14" i="255"/>
  <c r="P14" i="255"/>
  <c r="Q14" i="255" s="1"/>
  <c r="O14" i="255"/>
  <c r="M14" i="255"/>
  <c r="K14" i="255"/>
  <c r="I14" i="255"/>
  <c r="H14" i="255"/>
  <c r="G14" i="255"/>
  <c r="AA13" i="255"/>
  <c r="R13" i="255" s="1"/>
  <c r="X13" i="255"/>
  <c r="P13" i="255" s="1"/>
  <c r="Q13" i="255" s="1"/>
  <c r="S13" i="255"/>
  <c r="O13" i="255"/>
  <c r="M13" i="255"/>
  <c r="K13" i="255"/>
  <c r="I13" i="255"/>
  <c r="H13" i="255"/>
  <c r="G13" i="255"/>
  <c r="AA12" i="255"/>
  <c r="R12" i="255" s="1"/>
  <c r="X12" i="255"/>
  <c r="S12" i="255"/>
  <c r="Q12" i="255"/>
  <c r="P12" i="255"/>
  <c r="O12" i="255"/>
  <c r="M12" i="255"/>
  <c r="K12" i="255"/>
  <c r="I12" i="255"/>
  <c r="H12" i="255"/>
  <c r="G12" i="255"/>
  <c r="AA11" i="255"/>
  <c r="R11" i="255" s="1"/>
  <c r="S11" i="255" s="1"/>
  <c r="X11" i="255"/>
  <c r="O11" i="255"/>
  <c r="M11" i="255"/>
  <c r="K11" i="255"/>
  <c r="I11" i="255"/>
  <c r="H11" i="255"/>
  <c r="G11" i="255"/>
  <c r="AA10" i="255"/>
  <c r="X10" i="255"/>
  <c r="O10" i="255"/>
  <c r="M10" i="255"/>
  <c r="K10" i="255"/>
  <c r="I10" i="255"/>
  <c r="H10" i="255"/>
  <c r="G10" i="255"/>
  <c r="AA9" i="255"/>
  <c r="R9" i="255" s="1"/>
  <c r="X9" i="255"/>
  <c r="P9" i="255" s="1"/>
  <c r="Q9" i="255" s="1"/>
  <c r="S9" i="255"/>
  <c r="O9" i="255"/>
  <c r="M9" i="255"/>
  <c r="K9" i="255"/>
  <c r="I9" i="255"/>
  <c r="H9" i="255"/>
  <c r="G9" i="255"/>
  <c r="AA8" i="255"/>
  <c r="R8" i="255" s="1"/>
  <c r="X8" i="255"/>
  <c r="S8" i="255"/>
  <c r="Q8" i="255"/>
  <c r="P8" i="255"/>
  <c r="O8" i="255"/>
  <c r="M8" i="255"/>
  <c r="K8" i="255"/>
  <c r="I8" i="255"/>
  <c r="H8" i="255"/>
  <c r="G8" i="255"/>
  <c r="AA7" i="255"/>
  <c r="R7" i="255" s="1"/>
  <c r="S7" i="255" s="1"/>
  <c r="X7" i="255"/>
  <c r="P7" i="255"/>
  <c r="Q7" i="255" s="1"/>
  <c r="O7" i="255"/>
  <c r="M7" i="255"/>
  <c r="K7" i="255"/>
  <c r="I7" i="255"/>
  <c r="H7" i="255"/>
  <c r="G7" i="255"/>
  <c r="AA6" i="255"/>
  <c r="R6" i="255" s="1"/>
  <c r="S6" i="255" s="1"/>
  <c r="X6" i="255"/>
  <c r="P6" i="255" s="1"/>
  <c r="O6" i="255"/>
  <c r="M6" i="255"/>
  <c r="K6" i="255"/>
  <c r="I6" i="255"/>
  <c r="H6" i="255"/>
  <c r="G6" i="255"/>
  <c r="AA5" i="255"/>
  <c r="R5" i="255" s="1"/>
  <c r="X5" i="255"/>
  <c r="P5" i="255" s="1"/>
  <c r="Q5" i="255" s="1"/>
  <c r="S5" i="255"/>
  <c r="O5" i="255"/>
  <c r="M5" i="255"/>
  <c r="K5" i="255"/>
  <c r="I5" i="255"/>
  <c r="H5" i="255"/>
  <c r="G5" i="255"/>
  <c r="T4" i="255"/>
  <c r="N4" i="255"/>
  <c r="L4" i="255"/>
  <c r="M4" i="255" s="1"/>
  <c r="J4" i="255"/>
  <c r="O4" i="255" s="1"/>
  <c r="F4" i="255"/>
  <c r="E4" i="255"/>
  <c r="D4" i="255"/>
  <c r="H4" i="255" s="1"/>
  <c r="C4" i="255"/>
  <c r="G2" i="255" s="1"/>
  <c r="B4" i="255"/>
  <c r="I2" i="255" s="1"/>
  <c r="AA15" i="254"/>
  <c r="X15" i="254"/>
  <c r="P15" i="254" s="1"/>
  <c r="Q15" i="254" s="1"/>
  <c r="R15" i="254"/>
  <c r="S15" i="254" s="1"/>
  <c r="O15" i="254"/>
  <c r="M15" i="254"/>
  <c r="K15" i="254"/>
  <c r="I15" i="254"/>
  <c r="H15" i="254"/>
  <c r="G15" i="254"/>
  <c r="AA14" i="254"/>
  <c r="X14" i="254"/>
  <c r="R14" i="254"/>
  <c r="S14" i="254" s="1"/>
  <c r="Q14" i="254"/>
  <c r="P14" i="254"/>
  <c r="O14" i="254"/>
  <c r="M14" i="254"/>
  <c r="K14" i="254"/>
  <c r="I14" i="254"/>
  <c r="H14" i="254"/>
  <c r="G14" i="254"/>
  <c r="AA13" i="254"/>
  <c r="R13" i="254" s="1"/>
  <c r="S13" i="254" s="1"/>
  <c r="X13" i="254"/>
  <c r="O13" i="254"/>
  <c r="M13" i="254"/>
  <c r="K13" i="254"/>
  <c r="I13" i="254"/>
  <c r="H13" i="254"/>
  <c r="G13" i="254"/>
  <c r="AA12" i="254"/>
  <c r="X12" i="254"/>
  <c r="O12" i="254"/>
  <c r="M12" i="254"/>
  <c r="K12" i="254"/>
  <c r="I12" i="254"/>
  <c r="H12" i="254"/>
  <c r="G12" i="254"/>
  <c r="AA11" i="254"/>
  <c r="X11" i="254"/>
  <c r="P11" i="254" s="1"/>
  <c r="Q11" i="254" s="1"/>
  <c r="R11" i="254"/>
  <c r="S11" i="254" s="1"/>
  <c r="O11" i="254"/>
  <c r="M11" i="254"/>
  <c r="K11" i="254"/>
  <c r="I11" i="254"/>
  <c r="H11" i="254"/>
  <c r="G11" i="254"/>
  <c r="AA10" i="254"/>
  <c r="X10" i="254"/>
  <c r="R10" i="254"/>
  <c r="S10" i="254" s="1"/>
  <c r="Q10" i="254"/>
  <c r="P10" i="254"/>
  <c r="O10" i="254"/>
  <c r="M10" i="254"/>
  <c r="K10" i="254"/>
  <c r="I10" i="254"/>
  <c r="H10" i="254"/>
  <c r="G10" i="254"/>
  <c r="AA9" i="254"/>
  <c r="R9" i="254" s="1"/>
  <c r="S9" i="254" s="1"/>
  <c r="X9" i="254"/>
  <c r="P9" i="254"/>
  <c r="Q9" i="254" s="1"/>
  <c r="O9" i="254"/>
  <c r="M9" i="254"/>
  <c r="K9" i="254"/>
  <c r="I9" i="254"/>
  <c r="H9" i="254"/>
  <c r="G9" i="254"/>
  <c r="AA8" i="254"/>
  <c r="R8" i="254" s="1"/>
  <c r="S8" i="254" s="1"/>
  <c r="X8" i="254"/>
  <c r="P8" i="254" s="1"/>
  <c r="Q8" i="254" s="1"/>
  <c r="O8" i="254"/>
  <c r="M8" i="254"/>
  <c r="K8" i="254"/>
  <c r="I8" i="254"/>
  <c r="H8" i="254"/>
  <c r="G8" i="254"/>
  <c r="AA7" i="254"/>
  <c r="X7" i="254"/>
  <c r="P7" i="254" s="1"/>
  <c r="Q7" i="254" s="1"/>
  <c r="R7" i="254"/>
  <c r="S7" i="254" s="1"/>
  <c r="O7" i="254"/>
  <c r="M7" i="254"/>
  <c r="K7" i="254"/>
  <c r="I7" i="254"/>
  <c r="H7" i="254"/>
  <c r="G7" i="254"/>
  <c r="AA6" i="254"/>
  <c r="X6" i="254"/>
  <c r="R6" i="254"/>
  <c r="S6" i="254" s="1"/>
  <c r="Q6" i="254"/>
  <c r="P6" i="254"/>
  <c r="O6" i="254"/>
  <c r="M6" i="254"/>
  <c r="K6" i="254"/>
  <c r="I6" i="254"/>
  <c r="H6" i="254"/>
  <c r="G6" i="254"/>
  <c r="AA5" i="254"/>
  <c r="X5" i="254"/>
  <c r="O5" i="254"/>
  <c r="M5" i="254"/>
  <c r="K5" i="254"/>
  <c r="I5" i="254"/>
  <c r="H5" i="254"/>
  <c r="G5" i="254"/>
  <c r="T4" i="254"/>
  <c r="O4" i="254"/>
  <c r="N4" i="254"/>
  <c r="M4" i="254"/>
  <c r="L4" i="254"/>
  <c r="K4" i="254"/>
  <c r="J4" i="254"/>
  <c r="F4" i="254"/>
  <c r="E4" i="254"/>
  <c r="I4" i="254" s="1"/>
  <c r="D4" i="254"/>
  <c r="C4" i="254"/>
  <c r="G4" i="254" s="1"/>
  <c r="B4" i="254"/>
  <c r="I2" i="254"/>
  <c r="AA15" i="253"/>
  <c r="X15" i="253"/>
  <c r="O15" i="253"/>
  <c r="M15" i="253"/>
  <c r="K15" i="253"/>
  <c r="I15" i="253"/>
  <c r="H15" i="253"/>
  <c r="G15" i="253"/>
  <c r="AA14" i="253"/>
  <c r="P14" i="253" s="1"/>
  <c r="X14" i="253"/>
  <c r="S14" i="253"/>
  <c r="R14" i="253"/>
  <c r="Q14" i="253"/>
  <c r="O14" i="253"/>
  <c r="M14" i="253"/>
  <c r="K14" i="253"/>
  <c r="I14" i="253"/>
  <c r="H14" i="253"/>
  <c r="G14" i="253"/>
  <c r="AA13" i="253"/>
  <c r="P13" i="253" s="1"/>
  <c r="X13" i="253"/>
  <c r="R13" i="253"/>
  <c r="S13" i="253" s="1"/>
  <c r="Q13" i="253"/>
  <c r="O13" i="253"/>
  <c r="M13" i="253"/>
  <c r="K13" i="253"/>
  <c r="I13" i="253"/>
  <c r="H13" i="253"/>
  <c r="G13" i="253"/>
  <c r="AA12" i="253"/>
  <c r="X12" i="253"/>
  <c r="O12" i="253"/>
  <c r="M12" i="253"/>
  <c r="K12" i="253"/>
  <c r="I12" i="253"/>
  <c r="H12" i="253"/>
  <c r="G12" i="253"/>
  <c r="AA11" i="253"/>
  <c r="X11" i="253"/>
  <c r="O11" i="253"/>
  <c r="M11" i="253"/>
  <c r="K11" i="253"/>
  <c r="I11" i="253"/>
  <c r="H11" i="253"/>
  <c r="G11" i="253"/>
  <c r="AA10" i="253"/>
  <c r="P10" i="253" s="1"/>
  <c r="X10" i="253"/>
  <c r="S10" i="253"/>
  <c r="R10" i="253"/>
  <c r="Q10" i="253"/>
  <c r="O10" i="253"/>
  <c r="M10" i="253"/>
  <c r="K10" i="253"/>
  <c r="I10" i="253"/>
  <c r="H10" i="253"/>
  <c r="G10" i="253"/>
  <c r="AA9" i="253"/>
  <c r="P9" i="253" s="1"/>
  <c r="X9" i="253"/>
  <c r="S9" i="253"/>
  <c r="R9" i="253"/>
  <c r="Q9" i="253"/>
  <c r="O9" i="253"/>
  <c r="M9" i="253"/>
  <c r="K9" i="253"/>
  <c r="I9" i="253"/>
  <c r="H9" i="253"/>
  <c r="G9" i="253"/>
  <c r="AA8" i="253"/>
  <c r="P8" i="253" s="1"/>
  <c r="X8" i="253"/>
  <c r="R8" i="253"/>
  <c r="S8" i="253" s="1"/>
  <c r="Q8" i="253"/>
  <c r="O8" i="253"/>
  <c r="M8" i="253"/>
  <c r="K8" i="253"/>
  <c r="I8" i="253"/>
  <c r="H8" i="253"/>
  <c r="G8" i="253"/>
  <c r="AA7" i="253"/>
  <c r="X7" i="253"/>
  <c r="O7" i="253"/>
  <c r="M7" i="253"/>
  <c r="K7" i="253"/>
  <c r="I7" i="253"/>
  <c r="H7" i="253"/>
  <c r="G7" i="253"/>
  <c r="AA6" i="253"/>
  <c r="P6" i="253" s="1"/>
  <c r="X6" i="253"/>
  <c r="S6" i="253"/>
  <c r="R6" i="253"/>
  <c r="Q6" i="253"/>
  <c r="O6" i="253"/>
  <c r="M6" i="253"/>
  <c r="K6" i="253"/>
  <c r="I6" i="253"/>
  <c r="H6" i="253"/>
  <c r="G6" i="253"/>
  <c r="AA5" i="253"/>
  <c r="P5" i="253" s="1"/>
  <c r="X5" i="253"/>
  <c r="R5" i="253"/>
  <c r="Q5" i="253"/>
  <c r="O5" i="253"/>
  <c r="M5" i="253"/>
  <c r="K5" i="253"/>
  <c r="I5" i="253"/>
  <c r="H5" i="253"/>
  <c r="G5" i="253"/>
  <c r="T4" i="253"/>
  <c r="N4" i="253"/>
  <c r="O4" i="253" s="1"/>
  <c r="L4" i="253"/>
  <c r="J4" i="253"/>
  <c r="M4" i="253" s="1"/>
  <c r="I4" i="253"/>
  <c r="F4" i="253"/>
  <c r="E4" i="253"/>
  <c r="D4" i="253"/>
  <c r="C4" i="253"/>
  <c r="B4" i="253"/>
  <c r="I2" i="253"/>
  <c r="G2" i="253"/>
  <c r="AA15" i="252"/>
  <c r="X15" i="252"/>
  <c r="R15" i="252"/>
  <c r="S15" i="252" s="1"/>
  <c r="P15" i="252"/>
  <c r="Q15" i="252" s="1"/>
  <c r="O15" i="252"/>
  <c r="M15" i="252"/>
  <c r="K15" i="252"/>
  <c r="I15" i="252"/>
  <c r="H15" i="252"/>
  <c r="G15" i="252"/>
  <c r="AA14" i="252"/>
  <c r="X14" i="252"/>
  <c r="R14" i="252"/>
  <c r="S14" i="252" s="1"/>
  <c r="P14" i="252"/>
  <c r="Q14" i="252" s="1"/>
  <c r="O14" i="252"/>
  <c r="M14" i="252"/>
  <c r="K14" i="252"/>
  <c r="I14" i="252"/>
  <c r="H14" i="252"/>
  <c r="G14" i="252"/>
  <c r="AA13" i="252"/>
  <c r="X13" i="252"/>
  <c r="S13" i="252"/>
  <c r="R13" i="252"/>
  <c r="P13" i="252"/>
  <c r="Q13" i="252" s="1"/>
  <c r="O13" i="252"/>
  <c r="M13" i="252"/>
  <c r="K13" i="252"/>
  <c r="I13" i="252"/>
  <c r="H13" i="252"/>
  <c r="G13" i="252"/>
  <c r="AA12" i="252"/>
  <c r="X12" i="252"/>
  <c r="P12" i="252" s="1"/>
  <c r="Q12" i="252" s="1"/>
  <c r="S12" i="252"/>
  <c r="R12" i="252"/>
  <c r="O12" i="252"/>
  <c r="M12" i="252"/>
  <c r="K12" i="252"/>
  <c r="I12" i="252"/>
  <c r="H12" i="252"/>
  <c r="G12" i="252"/>
  <c r="AA11" i="252"/>
  <c r="X11" i="252"/>
  <c r="R11" i="252"/>
  <c r="S11" i="252" s="1"/>
  <c r="P11" i="252"/>
  <c r="Q11" i="252" s="1"/>
  <c r="O11" i="252"/>
  <c r="M11" i="252"/>
  <c r="K11" i="252"/>
  <c r="I11" i="252"/>
  <c r="H11" i="252"/>
  <c r="G11" i="252"/>
  <c r="AA10" i="252"/>
  <c r="X10" i="252"/>
  <c r="R10" i="252"/>
  <c r="S10" i="252" s="1"/>
  <c r="P10" i="252"/>
  <c r="Q10" i="252" s="1"/>
  <c r="O10" i="252"/>
  <c r="M10" i="252"/>
  <c r="K10" i="252"/>
  <c r="I10" i="252"/>
  <c r="H10" i="252"/>
  <c r="G10" i="252"/>
  <c r="AA9" i="252"/>
  <c r="X9" i="252"/>
  <c r="P9" i="252" s="1"/>
  <c r="Q9" i="252" s="1"/>
  <c r="S9" i="252"/>
  <c r="R9" i="252"/>
  <c r="O9" i="252"/>
  <c r="M9" i="252"/>
  <c r="K9" i="252"/>
  <c r="I9" i="252"/>
  <c r="H9" i="252"/>
  <c r="G9" i="252"/>
  <c r="AA8" i="252"/>
  <c r="X8" i="252"/>
  <c r="P8" i="252" s="1"/>
  <c r="Q8" i="252" s="1"/>
  <c r="S8" i="252"/>
  <c r="R8" i="252"/>
  <c r="O8" i="252"/>
  <c r="M8" i="252"/>
  <c r="K8" i="252"/>
  <c r="I8" i="252"/>
  <c r="H8" i="252"/>
  <c r="G8" i="252"/>
  <c r="AA7" i="252"/>
  <c r="X7" i="252"/>
  <c r="R7" i="252"/>
  <c r="S7" i="252" s="1"/>
  <c r="P7" i="252"/>
  <c r="Q7" i="252" s="1"/>
  <c r="O7" i="252"/>
  <c r="M7" i="252"/>
  <c r="K7" i="252"/>
  <c r="I7" i="252"/>
  <c r="H7" i="252"/>
  <c r="G7" i="252"/>
  <c r="AA6" i="252"/>
  <c r="X6" i="252"/>
  <c r="R6" i="252"/>
  <c r="P6" i="252"/>
  <c r="Q6" i="252" s="1"/>
  <c r="O6" i="252"/>
  <c r="M6" i="252"/>
  <c r="K6" i="252"/>
  <c r="I6" i="252"/>
  <c r="H6" i="252"/>
  <c r="G6" i="252"/>
  <c r="AA5" i="252"/>
  <c r="X5" i="252"/>
  <c r="S5" i="252"/>
  <c r="R5" i="252"/>
  <c r="P5" i="252"/>
  <c r="O5" i="252"/>
  <c r="M5" i="252"/>
  <c r="K5" i="252"/>
  <c r="I5" i="252"/>
  <c r="H5" i="252"/>
  <c r="G5" i="252"/>
  <c r="T4" i="252"/>
  <c r="N4" i="252"/>
  <c r="M4" i="252"/>
  <c r="L4" i="252"/>
  <c r="K4" i="252"/>
  <c r="J4" i="252"/>
  <c r="I4" i="252"/>
  <c r="F4" i="252"/>
  <c r="E4" i="252"/>
  <c r="D4" i="252"/>
  <c r="C4" i="252"/>
  <c r="B4" i="252"/>
  <c r="I2" i="252"/>
  <c r="AA15" i="251"/>
  <c r="R15" i="251" s="1"/>
  <c r="S15" i="251" s="1"/>
  <c r="X15" i="251"/>
  <c r="O15" i="251"/>
  <c r="M15" i="251"/>
  <c r="K15" i="251"/>
  <c r="I15" i="251"/>
  <c r="H15" i="251"/>
  <c r="G15" i="251"/>
  <c r="AA14" i="251"/>
  <c r="X14" i="251"/>
  <c r="O14" i="251"/>
  <c r="M14" i="251"/>
  <c r="K14" i="251"/>
  <c r="I14" i="251"/>
  <c r="H14" i="251"/>
  <c r="G14" i="251"/>
  <c r="AA13" i="251"/>
  <c r="R13" i="251" s="1"/>
  <c r="X13" i="251"/>
  <c r="P13" i="251" s="1"/>
  <c r="Q13" i="251" s="1"/>
  <c r="S13" i="251"/>
  <c r="O13" i="251"/>
  <c r="M13" i="251"/>
  <c r="K13" i="251"/>
  <c r="I13" i="251"/>
  <c r="H13" i="251"/>
  <c r="G13" i="251"/>
  <c r="AA12" i="251"/>
  <c r="R12" i="251" s="1"/>
  <c r="X12" i="251"/>
  <c r="S12" i="251"/>
  <c r="Q12" i="251"/>
  <c r="P12" i="251"/>
  <c r="O12" i="251"/>
  <c r="M12" i="251"/>
  <c r="K12" i="251"/>
  <c r="I12" i="251"/>
  <c r="H12" i="251"/>
  <c r="G12" i="251"/>
  <c r="AA11" i="251"/>
  <c r="R11" i="251" s="1"/>
  <c r="S11" i="251" s="1"/>
  <c r="X11" i="251"/>
  <c r="P11" i="251"/>
  <c r="Q11" i="251" s="1"/>
  <c r="O11" i="251"/>
  <c r="M11" i="251"/>
  <c r="K11" i="251"/>
  <c r="I11" i="251"/>
  <c r="H11" i="251"/>
  <c r="G11" i="251"/>
  <c r="AA10" i="251"/>
  <c r="R10" i="251" s="1"/>
  <c r="S10" i="251" s="1"/>
  <c r="X10" i="251"/>
  <c r="P10" i="251" s="1"/>
  <c r="Q10" i="251" s="1"/>
  <c r="O10" i="251"/>
  <c r="M10" i="251"/>
  <c r="K10" i="251"/>
  <c r="I10" i="251"/>
  <c r="H10" i="251"/>
  <c r="G10" i="251"/>
  <c r="AA9" i="251"/>
  <c r="R9" i="251" s="1"/>
  <c r="X9" i="251"/>
  <c r="P9" i="251" s="1"/>
  <c r="Q9" i="251" s="1"/>
  <c r="S9" i="251"/>
  <c r="O9" i="251"/>
  <c r="M9" i="251"/>
  <c r="K9" i="251"/>
  <c r="I9" i="251"/>
  <c r="H9" i="251"/>
  <c r="G9" i="251"/>
  <c r="AA8" i="251"/>
  <c r="R8" i="251" s="1"/>
  <c r="X8" i="251"/>
  <c r="S8" i="251"/>
  <c r="Q8" i="251"/>
  <c r="P8" i="251"/>
  <c r="O8" i="251"/>
  <c r="M8" i="251"/>
  <c r="K8" i="251"/>
  <c r="E8" i="251"/>
  <c r="AA7" i="251"/>
  <c r="R7" i="251" s="1"/>
  <c r="S7" i="251" s="1"/>
  <c r="X7" i="251"/>
  <c r="O7" i="251"/>
  <c r="M7" i="251"/>
  <c r="K7" i="251"/>
  <c r="K4" i="251" s="1"/>
  <c r="I7" i="251"/>
  <c r="H7" i="251"/>
  <c r="G7" i="251"/>
  <c r="AA6" i="251"/>
  <c r="X6" i="251"/>
  <c r="O6" i="251"/>
  <c r="M6" i="251"/>
  <c r="K6" i="251"/>
  <c r="I6" i="251"/>
  <c r="H6" i="251"/>
  <c r="G6" i="251"/>
  <c r="AA5" i="251"/>
  <c r="X5" i="251"/>
  <c r="P5" i="251" s="1"/>
  <c r="Q5" i="251" s="1"/>
  <c r="R5" i="251"/>
  <c r="O5" i="251"/>
  <c r="M5" i="251"/>
  <c r="K5" i="251"/>
  <c r="I5" i="251"/>
  <c r="H5" i="251"/>
  <c r="G5" i="251"/>
  <c r="T4" i="251"/>
  <c r="O4" i="251"/>
  <c r="N4" i="251"/>
  <c r="L4" i="251"/>
  <c r="M4" i="251" s="1"/>
  <c r="J4" i="251"/>
  <c r="I4" i="251"/>
  <c r="H4" i="251"/>
  <c r="F4" i="251"/>
  <c r="E4" i="251"/>
  <c r="G4" i="251" s="1"/>
  <c r="D4" i="251"/>
  <c r="C4" i="251"/>
  <c r="B4" i="251"/>
  <c r="I2" i="251"/>
  <c r="G2" i="251"/>
  <c r="AA15" i="250"/>
  <c r="X15" i="250"/>
  <c r="R15" i="250"/>
  <c r="S15" i="250" s="1"/>
  <c r="Q15" i="250"/>
  <c r="P15" i="250"/>
  <c r="O15" i="250"/>
  <c r="M15" i="250"/>
  <c r="K15" i="250"/>
  <c r="I15" i="250"/>
  <c r="H15" i="250"/>
  <c r="G15" i="250"/>
  <c r="AA14" i="250"/>
  <c r="X14" i="250"/>
  <c r="R14" i="250"/>
  <c r="S14" i="250" s="1"/>
  <c r="Q14" i="250"/>
  <c r="P14" i="250"/>
  <c r="O14" i="250"/>
  <c r="M14" i="250"/>
  <c r="K14" i="250"/>
  <c r="I14" i="250"/>
  <c r="H14" i="250"/>
  <c r="G14" i="250"/>
  <c r="AA13" i="250"/>
  <c r="X13" i="250"/>
  <c r="R13" i="250"/>
  <c r="S13" i="250" s="1"/>
  <c r="Q13" i="250"/>
  <c r="P13" i="250"/>
  <c r="O13" i="250"/>
  <c r="M13" i="250"/>
  <c r="K13" i="250"/>
  <c r="I13" i="250"/>
  <c r="H13" i="250"/>
  <c r="G13" i="250"/>
  <c r="AA12" i="250"/>
  <c r="X12" i="250"/>
  <c r="R12" i="250"/>
  <c r="S12" i="250" s="1"/>
  <c r="Q12" i="250"/>
  <c r="P12" i="250"/>
  <c r="O12" i="250"/>
  <c r="M12" i="250"/>
  <c r="K12" i="250"/>
  <c r="I12" i="250"/>
  <c r="H12" i="250"/>
  <c r="G12" i="250"/>
  <c r="AA11" i="250"/>
  <c r="X11" i="250"/>
  <c r="R11" i="250"/>
  <c r="S11" i="250" s="1"/>
  <c r="Q11" i="250"/>
  <c r="P11" i="250"/>
  <c r="O11" i="250"/>
  <c r="M11" i="250"/>
  <c r="K11" i="250"/>
  <c r="I11" i="250"/>
  <c r="H11" i="250"/>
  <c r="G11" i="250"/>
  <c r="AA10" i="250"/>
  <c r="X10" i="250"/>
  <c r="R10" i="250"/>
  <c r="S10" i="250" s="1"/>
  <c r="Q10" i="250"/>
  <c r="P10" i="250"/>
  <c r="O10" i="250"/>
  <c r="M10" i="250"/>
  <c r="K10" i="250"/>
  <c r="I10" i="250"/>
  <c r="H10" i="250"/>
  <c r="G10" i="250"/>
  <c r="AA9" i="250"/>
  <c r="X9" i="250"/>
  <c r="R9" i="250"/>
  <c r="S9" i="250" s="1"/>
  <c r="Q9" i="250"/>
  <c r="P9" i="250"/>
  <c r="O9" i="250"/>
  <c r="M9" i="250"/>
  <c r="K9" i="250"/>
  <c r="I9" i="250"/>
  <c r="H9" i="250"/>
  <c r="G9" i="250"/>
  <c r="AA8" i="250"/>
  <c r="X8" i="250"/>
  <c r="R8" i="250"/>
  <c r="S8" i="250" s="1"/>
  <c r="Q8" i="250"/>
  <c r="P8" i="250"/>
  <c r="O8" i="250"/>
  <c r="M8" i="250"/>
  <c r="K8" i="250"/>
  <c r="I8" i="250"/>
  <c r="H8" i="250"/>
  <c r="G8" i="250"/>
  <c r="AA7" i="250"/>
  <c r="X7" i="250"/>
  <c r="R7" i="250"/>
  <c r="S7" i="250" s="1"/>
  <c r="Q7" i="250"/>
  <c r="P7" i="250"/>
  <c r="O7" i="250"/>
  <c r="M7" i="250"/>
  <c r="K7" i="250"/>
  <c r="I7" i="250"/>
  <c r="H7" i="250"/>
  <c r="G7" i="250"/>
  <c r="AA6" i="250"/>
  <c r="X6" i="250"/>
  <c r="R6" i="250"/>
  <c r="S6" i="250" s="1"/>
  <c r="Q6" i="250"/>
  <c r="P6" i="250"/>
  <c r="O6" i="250"/>
  <c r="M6" i="250"/>
  <c r="K6" i="250"/>
  <c r="I6" i="250"/>
  <c r="H6" i="250"/>
  <c r="G6" i="250"/>
  <c r="AA5" i="250"/>
  <c r="X5" i="250"/>
  <c r="R5" i="250"/>
  <c r="R4" i="250" s="1"/>
  <c r="Q5" i="250"/>
  <c r="P5" i="250"/>
  <c r="O5" i="250"/>
  <c r="M5" i="250"/>
  <c r="K5" i="250"/>
  <c r="K4" i="250" s="1"/>
  <c r="I5" i="250"/>
  <c r="H5" i="250"/>
  <c r="G5" i="250"/>
  <c r="T4" i="250"/>
  <c r="Q4" i="250"/>
  <c r="P4" i="250"/>
  <c r="N4" i="250"/>
  <c r="L4" i="250"/>
  <c r="J4" i="250"/>
  <c r="F4" i="250"/>
  <c r="E4" i="250"/>
  <c r="D4" i="250"/>
  <c r="C4" i="250"/>
  <c r="B4" i="250"/>
  <c r="I2" i="250"/>
  <c r="AA15" i="249"/>
  <c r="X15" i="249"/>
  <c r="P15" i="249" s="1"/>
  <c r="Q15" i="249" s="1"/>
  <c r="S15" i="249"/>
  <c r="R15" i="249"/>
  <c r="O15" i="249"/>
  <c r="M15" i="249"/>
  <c r="K15" i="249"/>
  <c r="I15" i="249"/>
  <c r="H15" i="249"/>
  <c r="G15" i="249"/>
  <c r="AA14" i="249"/>
  <c r="X14" i="249"/>
  <c r="R14" i="249"/>
  <c r="S14" i="249" s="1"/>
  <c r="P14" i="249"/>
  <c r="Q14" i="249" s="1"/>
  <c r="O14" i="249"/>
  <c r="M14" i="249"/>
  <c r="K14" i="249"/>
  <c r="I14" i="249"/>
  <c r="H14" i="249"/>
  <c r="G14" i="249"/>
  <c r="AA13" i="249"/>
  <c r="X13" i="249"/>
  <c r="R13" i="249"/>
  <c r="S13" i="249" s="1"/>
  <c r="P13" i="249"/>
  <c r="Q13" i="249" s="1"/>
  <c r="O13" i="249"/>
  <c r="M13" i="249"/>
  <c r="K13" i="249"/>
  <c r="I13" i="249"/>
  <c r="H13" i="249"/>
  <c r="G13" i="249"/>
  <c r="AA12" i="249"/>
  <c r="X12" i="249"/>
  <c r="P12" i="249" s="1"/>
  <c r="Q12" i="249" s="1"/>
  <c r="S12" i="249"/>
  <c r="R12" i="249"/>
  <c r="O12" i="249"/>
  <c r="M12" i="249"/>
  <c r="K12" i="249"/>
  <c r="I12" i="249"/>
  <c r="H12" i="249"/>
  <c r="G12" i="249"/>
  <c r="AA11" i="249"/>
  <c r="X11" i="249"/>
  <c r="P11" i="249" s="1"/>
  <c r="Q11" i="249" s="1"/>
  <c r="S11" i="249"/>
  <c r="R11" i="249"/>
  <c r="O11" i="249"/>
  <c r="M11" i="249"/>
  <c r="K11" i="249"/>
  <c r="I11" i="249"/>
  <c r="H11" i="249"/>
  <c r="G11" i="249"/>
  <c r="AA10" i="249"/>
  <c r="X10" i="249"/>
  <c r="R10" i="249"/>
  <c r="S10" i="249" s="1"/>
  <c r="Q10" i="249"/>
  <c r="P10" i="249"/>
  <c r="O10" i="249"/>
  <c r="M10" i="249"/>
  <c r="K10" i="249"/>
  <c r="I10" i="249"/>
  <c r="H10" i="249"/>
  <c r="G10" i="249"/>
  <c r="AA9" i="249"/>
  <c r="X9" i="249"/>
  <c r="R9" i="249"/>
  <c r="S9" i="249" s="1"/>
  <c r="Q9" i="249"/>
  <c r="P9" i="249"/>
  <c r="O9" i="249"/>
  <c r="M9" i="249"/>
  <c r="K9" i="249"/>
  <c r="I9" i="249"/>
  <c r="H9" i="249"/>
  <c r="G9" i="249"/>
  <c r="AA8" i="249"/>
  <c r="X8" i="249"/>
  <c r="R8" i="249"/>
  <c r="S8" i="249" s="1"/>
  <c r="Q8" i="249"/>
  <c r="P8" i="249"/>
  <c r="O8" i="249"/>
  <c r="M8" i="249"/>
  <c r="K8" i="249"/>
  <c r="I8" i="249"/>
  <c r="H8" i="249"/>
  <c r="G8" i="249"/>
  <c r="AA7" i="249"/>
  <c r="X7" i="249"/>
  <c r="R7" i="249"/>
  <c r="S7" i="249" s="1"/>
  <c r="Q7" i="249"/>
  <c r="P7" i="249"/>
  <c r="O7" i="249"/>
  <c r="M7" i="249"/>
  <c r="K7" i="249"/>
  <c r="I7" i="249"/>
  <c r="H7" i="249"/>
  <c r="G7" i="249"/>
  <c r="AA6" i="249"/>
  <c r="X6" i="249"/>
  <c r="R6" i="249"/>
  <c r="S6" i="249" s="1"/>
  <c r="Q6" i="249"/>
  <c r="P6" i="249"/>
  <c r="O6" i="249"/>
  <c r="M6" i="249"/>
  <c r="K6" i="249"/>
  <c r="I6" i="249"/>
  <c r="H6" i="249"/>
  <c r="G6" i="249"/>
  <c r="AA5" i="249"/>
  <c r="X5" i="249"/>
  <c r="R5" i="249"/>
  <c r="Q5" i="249"/>
  <c r="P5" i="249"/>
  <c r="O5" i="249"/>
  <c r="M5" i="249"/>
  <c r="K5" i="249"/>
  <c r="I5" i="249"/>
  <c r="H5" i="249"/>
  <c r="G5" i="249"/>
  <c r="O4" i="249"/>
  <c r="N4" i="249"/>
  <c r="L4" i="249"/>
  <c r="M4" i="249" s="1"/>
  <c r="K4" i="249"/>
  <c r="J4" i="249"/>
  <c r="I4" i="249"/>
  <c r="H4" i="249"/>
  <c r="F4" i="249"/>
  <c r="E4" i="249"/>
  <c r="G4" i="249" s="1"/>
  <c r="D4" i="249"/>
  <c r="C4" i="249"/>
  <c r="B4" i="249"/>
  <c r="I2" i="249"/>
  <c r="G2" i="249"/>
  <c r="AA15" i="248"/>
  <c r="X15" i="248"/>
  <c r="R15" i="248"/>
  <c r="S15" i="248" s="1"/>
  <c r="Q15" i="248"/>
  <c r="P15" i="248"/>
  <c r="O15" i="248"/>
  <c r="M15" i="248"/>
  <c r="K15" i="248"/>
  <c r="I15" i="248"/>
  <c r="H15" i="248"/>
  <c r="G15" i="248"/>
  <c r="AA14" i="248"/>
  <c r="X14" i="248"/>
  <c r="R14" i="248"/>
  <c r="S14" i="248" s="1"/>
  <c r="Q14" i="248"/>
  <c r="P14" i="248"/>
  <c r="O14" i="248"/>
  <c r="M14" i="248"/>
  <c r="K14" i="248"/>
  <c r="I14" i="248"/>
  <c r="H14" i="248"/>
  <c r="G14" i="248"/>
  <c r="AA13" i="248"/>
  <c r="X13" i="248"/>
  <c r="R13" i="248"/>
  <c r="S13" i="248" s="1"/>
  <c r="Q13" i="248"/>
  <c r="P13" i="248"/>
  <c r="O13" i="248"/>
  <c r="M13" i="248"/>
  <c r="K13" i="248"/>
  <c r="I13" i="248"/>
  <c r="H13" i="248"/>
  <c r="G13" i="248"/>
  <c r="AA12" i="248"/>
  <c r="X12" i="248"/>
  <c r="R12" i="248"/>
  <c r="S12" i="248" s="1"/>
  <c r="Q12" i="248"/>
  <c r="P12" i="248"/>
  <c r="O12" i="248"/>
  <c r="M12" i="248"/>
  <c r="K12" i="248"/>
  <c r="I12" i="248"/>
  <c r="H12" i="248"/>
  <c r="G12" i="248"/>
  <c r="AA11" i="248"/>
  <c r="X11" i="248"/>
  <c r="R11" i="248"/>
  <c r="S11" i="248" s="1"/>
  <c r="Q11" i="248"/>
  <c r="P11" i="248"/>
  <c r="O11" i="248"/>
  <c r="M11" i="248"/>
  <c r="K11" i="248"/>
  <c r="I11" i="248"/>
  <c r="H11" i="248"/>
  <c r="G11" i="248"/>
  <c r="AA10" i="248"/>
  <c r="X10" i="248"/>
  <c r="R10" i="248"/>
  <c r="S10" i="248" s="1"/>
  <c r="Q10" i="248"/>
  <c r="P10" i="248"/>
  <c r="O10" i="248"/>
  <c r="M10" i="248"/>
  <c r="K10" i="248"/>
  <c r="I10" i="248"/>
  <c r="H10" i="248"/>
  <c r="G10" i="248"/>
  <c r="AA9" i="248"/>
  <c r="X9" i="248"/>
  <c r="R9" i="248"/>
  <c r="S9" i="248" s="1"/>
  <c r="Q9" i="248"/>
  <c r="P9" i="248"/>
  <c r="O9" i="248"/>
  <c r="M9" i="248"/>
  <c r="K9" i="248"/>
  <c r="I9" i="248"/>
  <c r="H9" i="248"/>
  <c r="G9" i="248"/>
  <c r="AA8" i="248"/>
  <c r="X8" i="248"/>
  <c r="R8" i="248"/>
  <c r="S8" i="248" s="1"/>
  <c r="Q8" i="248"/>
  <c r="P8" i="248"/>
  <c r="O8" i="248"/>
  <c r="M8" i="248"/>
  <c r="K8" i="248"/>
  <c r="I8" i="248"/>
  <c r="H8" i="248"/>
  <c r="G8" i="248"/>
  <c r="AA7" i="248"/>
  <c r="X7" i="248"/>
  <c r="R7" i="248"/>
  <c r="S7" i="248" s="1"/>
  <c r="Q7" i="248"/>
  <c r="P7" i="248"/>
  <c r="O7" i="248"/>
  <c r="M7" i="248"/>
  <c r="K7" i="248"/>
  <c r="I7" i="248"/>
  <c r="H7" i="248"/>
  <c r="G7" i="248"/>
  <c r="AA6" i="248"/>
  <c r="X6" i="248"/>
  <c r="R6" i="248"/>
  <c r="S6" i="248" s="1"/>
  <c r="Q6" i="248"/>
  <c r="P6" i="248"/>
  <c r="O6" i="248"/>
  <c r="M6" i="248"/>
  <c r="K6" i="248"/>
  <c r="I6" i="248"/>
  <c r="H6" i="248"/>
  <c r="G6" i="248"/>
  <c r="AA5" i="248"/>
  <c r="X5" i="248"/>
  <c r="R5" i="248"/>
  <c r="R4" i="248" s="1"/>
  <c r="Q5" i="248"/>
  <c r="P5" i="248"/>
  <c r="O5" i="248"/>
  <c r="M5" i="248"/>
  <c r="K5" i="248"/>
  <c r="I5" i="248"/>
  <c r="H5" i="248"/>
  <c r="G5" i="248"/>
  <c r="Q4" i="248"/>
  <c r="P4" i="248"/>
  <c r="O4" i="248"/>
  <c r="N4" i="248"/>
  <c r="M4" i="248"/>
  <c r="L4" i="248"/>
  <c r="K4" i="248"/>
  <c r="J4" i="248"/>
  <c r="I4" i="248"/>
  <c r="F4" i="248"/>
  <c r="E4" i="248"/>
  <c r="G4" i="248" s="1"/>
  <c r="D4" i="248"/>
  <c r="C4" i="248"/>
  <c r="B4" i="248"/>
  <c r="I2" i="248"/>
  <c r="G2" i="248"/>
  <c r="AA15" i="247"/>
  <c r="X15" i="247"/>
  <c r="R15" i="247"/>
  <c r="S15" i="247" s="1"/>
  <c r="Q15" i="247"/>
  <c r="P15" i="247"/>
  <c r="O15" i="247"/>
  <c r="M15" i="247"/>
  <c r="K15" i="247"/>
  <c r="I15" i="247"/>
  <c r="H15" i="247"/>
  <c r="G15" i="247"/>
  <c r="AA14" i="247"/>
  <c r="X14" i="247"/>
  <c r="R14" i="247"/>
  <c r="S14" i="247" s="1"/>
  <c r="Q14" i="247"/>
  <c r="P14" i="247"/>
  <c r="O14" i="247"/>
  <c r="M14" i="247"/>
  <c r="K14" i="247"/>
  <c r="I14" i="247"/>
  <c r="H14" i="247"/>
  <c r="G14" i="247"/>
  <c r="AA13" i="247"/>
  <c r="X13" i="247"/>
  <c r="R13" i="247"/>
  <c r="S13" i="247" s="1"/>
  <c r="Q13" i="247"/>
  <c r="P13" i="247"/>
  <c r="O13" i="247"/>
  <c r="M13" i="247"/>
  <c r="K13" i="247"/>
  <c r="I13" i="247"/>
  <c r="H13" i="247"/>
  <c r="G13" i="247"/>
  <c r="AA12" i="247"/>
  <c r="X12" i="247"/>
  <c r="R12" i="247"/>
  <c r="S12" i="247" s="1"/>
  <c r="Q12" i="247"/>
  <c r="P12" i="247"/>
  <c r="O12" i="247"/>
  <c r="M12" i="247"/>
  <c r="K12" i="247"/>
  <c r="I12" i="247"/>
  <c r="H12" i="247"/>
  <c r="G12" i="247"/>
  <c r="AA11" i="247"/>
  <c r="X11" i="247"/>
  <c r="R11" i="247"/>
  <c r="S11" i="247" s="1"/>
  <c r="Q11" i="247"/>
  <c r="P11" i="247"/>
  <c r="O11" i="247"/>
  <c r="M11" i="247"/>
  <c r="K11" i="247"/>
  <c r="I11" i="247"/>
  <c r="H11" i="247"/>
  <c r="G11" i="247"/>
  <c r="AA10" i="247"/>
  <c r="X10" i="247"/>
  <c r="R10" i="247"/>
  <c r="S10" i="247" s="1"/>
  <c r="Q10" i="247"/>
  <c r="P10" i="247"/>
  <c r="O10" i="247"/>
  <c r="M10" i="247"/>
  <c r="K10" i="247"/>
  <c r="I10" i="247"/>
  <c r="H10" i="247"/>
  <c r="G10" i="247"/>
  <c r="AA9" i="247"/>
  <c r="X9" i="247"/>
  <c r="R9" i="247"/>
  <c r="S9" i="247" s="1"/>
  <c r="Q9" i="247"/>
  <c r="P9" i="247"/>
  <c r="O9" i="247"/>
  <c r="M9" i="247"/>
  <c r="K9" i="247"/>
  <c r="I9" i="247"/>
  <c r="H9" i="247"/>
  <c r="G9" i="247"/>
  <c r="AA8" i="247"/>
  <c r="X8" i="247"/>
  <c r="R8" i="247"/>
  <c r="S8" i="247" s="1"/>
  <c r="Q8" i="247"/>
  <c r="P8" i="247"/>
  <c r="O8" i="247"/>
  <c r="M8" i="247"/>
  <c r="K8" i="247"/>
  <c r="I8" i="247"/>
  <c r="H8" i="247"/>
  <c r="G8" i="247"/>
  <c r="AA7" i="247"/>
  <c r="X7" i="247"/>
  <c r="R7" i="247"/>
  <c r="S7" i="247" s="1"/>
  <c r="Q7" i="247"/>
  <c r="P7" i="247"/>
  <c r="O7" i="247"/>
  <c r="M7" i="247"/>
  <c r="K7" i="247"/>
  <c r="I7" i="247"/>
  <c r="H7" i="247"/>
  <c r="G7" i="247"/>
  <c r="AA6" i="247"/>
  <c r="X6" i="247"/>
  <c r="R6" i="247"/>
  <c r="S6" i="247" s="1"/>
  <c r="Q6" i="247"/>
  <c r="P6" i="247"/>
  <c r="O6" i="247"/>
  <c r="M6" i="247"/>
  <c r="K6" i="247"/>
  <c r="I6" i="247"/>
  <c r="H6" i="247"/>
  <c r="G6" i="247"/>
  <c r="AA5" i="247"/>
  <c r="X5" i="247"/>
  <c r="R5" i="247"/>
  <c r="Q5" i="247"/>
  <c r="P5" i="247"/>
  <c r="O5" i="247"/>
  <c r="M5" i="247"/>
  <c r="K5" i="247"/>
  <c r="I5" i="247"/>
  <c r="H5" i="247"/>
  <c r="G5" i="247"/>
  <c r="P4" i="247"/>
  <c r="Q4" i="247" s="1"/>
  <c r="O4" i="247"/>
  <c r="N4" i="247"/>
  <c r="L4" i="247"/>
  <c r="M4" i="247" s="1"/>
  <c r="K4" i="247"/>
  <c r="J4" i="247"/>
  <c r="F4" i="247"/>
  <c r="E4" i="247"/>
  <c r="D4" i="247"/>
  <c r="C4" i="247"/>
  <c r="B4" i="247"/>
  <c r="I2" i="247"/>
  <c r="AA15" i="246"/>
  <c r="X15" i="246"/>
  <c r="S15" i="246"/>
  <c r="R15" i="246"/>
  <c r="Q15" i="246"/>
  <c r="P15" i="246"/>
  <c r="O15" i="246"/>
  <c r="M15" i="246"/>
  <c r="K15" i="246"/>
  <c r="I15" i="246"/>
  <c r="H15" i="246"/>
  <c r="G15" i="246"/>
  <c r="AA14" i="246"/>
  <c r="X14" i="246"/>
  <c r="S14" i="246"/>
  <c r="R14" i="246"/>
  <c r="Q14" i="246"/>
  <c r="P14" i="246"/>
  <c r="O14" i="246"/>
  <c r="M14" i="246"/>
  <c r="K14" i="246"/>
  <c r="I14" i="246"/>
  <c r="H14" i="246"/>
  <c r="G14" i="246"/>
  <c r="AA13" i="246"/>
  <c r="X13" i="246"/>
  <c r="S13" i="246"/>
  <c r="R13" i="246"/>
  <c r="Q13" i="246"/>
  <c r="P13" i="246"/>
  <c r="O13" i="246"/>
  <c r="M13" i="246"/>
  <c r="K13" i="246"/>
  <c r="I13" i="246"/>
  <c r="H13" i="246"/>
  <c r="G13" i="246"/>
  <c r="AA12" i="246"/>
  <c r="X12" i="246"/>
  <c r="S12" i="246"/>
  <c r="R12" i="246"/>
  <c r="Q12" i="246"/>
  <c r="P12" i="246"/>
  <c r="O12" i="246"/>
  <c r="M12" i="246"/>
  <c r="K12" i="246"/>
  <c r="I12" i="246"/>
  <c r="H12" i="246"/>
  <c r="G12" i="246"/>
  <c r="AA11" i="246"/>
  <c r="X11" i="246"/>
  <c r="S11" i="246"/>
  <c r="R11" i="246"/>
  <c r="Q11" i="246"/>
  <c r="P11" i="246"/>
  <c r="O11" i="246"/>
  <c r="M11" i="246"/>
  <c r="K11" i="246"/>
  <c r="I11" i="246"/>
  <c r="H11" i="246"/>
  <c r="G11" i="246"/>
  <c r="AA10" i="246"/>
  <c r="X10" i="246"/>
  <c r="S10" i="246"/>
  <c r="R10" i="246"/>
  <c r="Q10" i="246"/>
  <c r="P10" i="246"/>
  <c r="O10" i="246"/>
  <c r="M10" i="246"/>
  <c r="K10" i="246"/>
  <c r="I10" i="246"/>
  <c r="H10" i="246"/>
  <c r="G10" i="246"/>
  <c r="AA9" i="246"/>
  <c r="X9" i="246"/>
  <c r="S9" i="246"/>
  <c r="R9" i="246"/>
  <c r="Q9" i="246"/>
  <c r="P9" i="246"/>
  <c r="O9" i="246"/>
  <c r="M9" i="246"/>
  <c r="K9" i="246"/>
  <c r="I9" i="246"/>
  <c r="H9" i="246"/>
  <c r="G9" i="246"/>
  <c r="AA8" i="246"/>
  <c r="X8" i="246"/>
  <c r="S8" i="246"/>
  <c r="R8" i="246"/>
  <c r="Q8" i="246"/>
  <c r="P8" i="246"/>
  <c r="O8" i="246"/>
  <c r="M8" i="246"/>
  <c r="K8" i="246"/>
  <c r="I8" i="246"/>
  <c r="H8" i="246"/>
  <c r="G8" i="246"/>
  <c r="AA7" i="246"/>
  <c r="X7" i="246"/>
  <c r="S7" i="246"/>
  <c r="R7" i="246"/>
  <c r="Q7" i="246"/>
  <c r="P7" i="246"/>
  <c r="O7" i="246"/>
  <c r="M7" i="246"/>
  <c r="K7" i="246"/>
  <c r="I7" i="246"/>
  <c r="H7" i="246"/>
  <c r="G7" i="246"/>
  <c r="AA6" i="246"/>
  <c r="X6" i="246"/>
  <c r="S6" i="246"/>
  <c r="R6" i="246"/>
  <c r="Q6" i="246"/>
  <c r="P6" i="246"/>
  <c r="O6" i="246"/>
  <c r="M6" i="246"/>
  <c r="K6" i="246"/>
  <c r="I6" i="246"/>
  <c r="H6" i="246"/>
  <c r="G6" i="246"/>
  <c r="AA5" i="246"/>
  <c r="X5" i="246"/>
  <c r="S5" i="246"/>
  <c r="R5" i="246"/>
  <c r="R4" i="246" s="1"/>
  <c r="Q5" i="246"/>
  <c r="P5" i="246"/>
  <c r="O5" i="246"/>
  <c r="M5" i="246"/>
  <c r="K5" i="246"/>
  <c r="I5" i="246"/>
  <c r="H5" i="246"/>
  <c r="G5" i="246"/>
  <c r="P4" i="246"/>
  <c r="Q4" i="246" s="1"/>
  <c r="O4" i="246"/>
  <c r="N4" i="246"/>
  <c r="L4" i="246"/>
  <c r="M4" i="246" s="1"/>
  <c r="K4" i="246"/>
  <c r="J4" i="246"/>
  <c r="I4" i="246"/>
  <c r="H4" i="246"/>
  <c r="F4" i="246"/>
  <c r="E4" i="246"/>
  <c r="G4" i="246" s="1"/>
  <c r="D4" i="246"/>
  <c r="C4" i="246"/>
  <c r="B4" i="246"/>
  <c r="I2" i="246"/>
  <c r="G2" i="246"/>
  <c r="AA15" i="245"/>
  <c r="X15" i="245"/>
  <c r="R15" i="245"/>
  <c r="S15" i="245" s="1"/>
  <c r="Q15" i="245"/>
  <c r="P15" i="245"/>
  <c r="O15" i="245"/>
  <c r="M15" i="245"/>
  <c r="K15" i="245"/>
  <c r="I15" i="245"/>
  <c r="H15" i="245"/>
  <c r="G15" i="245"/>
  <c r="AA14" i="245"/>
  <c r="X14" i="245"/>
  <c r="R14" i="245"/>
  <c r="S14" i="245" s="1"/>
  <c r="Q14" i="245"/>
  <c r="P14" i="245"/>
  <c r="O14" i="245"/>
  <c r="M14" i="245"/>
  <c r="K14" i="245"/>
  <c r="I14" i="245"/>
  <c r="H14" i="245"/>
  <c r="G14" i="245"/>
  <c r="AA13" i="245"/>
  <c r="X13" i="245"/>
  <c r="R13" i="245"/>
  <c r="S13" i="245" s="1"/>
  <c r="Q13" i="245"/>
  <c r="P13" i="245"/>
  <c r="O13" i="245"/>
  <c r="M13" i="245"/>
  <c r="K13" i="245"/>
  <c r="I13" i="245"/>
  <c r="H13" i="245"/>
  <c r="G13" i="245"/>
  <c r="AA12" i="245"/>
  <c r="X12" i="245"/>
  <c r="R12" i="245"/>
  <c r="S12" i="245" s="1"/>
  <c r="Q12" i="245"/>
  <c r="P12" i="245"/>
  <c r="O12" i="245"/>
  <c r="M12" i="245"/>
  <c r="K12" i="245"/>
  <c r="I12" i="245"/>
  <c r="H12" i="245"/>
  <c r="G12" i="245"/>
  <c r="AA11" i="245"/>
  <c r="X11" i="245"/>
  <c r="R11" i="245"/>
  <c r="S11" i="245" s="1"/>
  <c r="Q11" i="245"/>
  <c r="P11" i="245"/>
  <c r="O11" i="245"/>
  <c r="M11" i="245"/>
  <c r="K11" i="245"/>
  <c r="I11" i="245"/>
  <c r="H11" i="245"/>
  <c r="G11" i="245"/>
  <c r="AA10" i="245"/>
  <c r="X10" i="245"/>
  <c r="R10" i="245"/>
  <c r="S10" i="245" s="1"/>
  <c r="Q10" i="245"/>
  <c r="P10" i="245"/>
  <c r="O10" i="245"/>
  <c r="M10" i="245"/>
  <c r="K10" i="245"/>
  <c r="I10" i="245"/>
  <c r="H10" i="245"/>
  <c r="G10" i="245"/>
  <c r="AA9" i="245"/>
  <c r="X9" i="245"/>
  <c r="R9" i="245"/>
  <c r="S9" i="245" s="1"/>
  <c r="Q9" i="245"/>
  <c r="P9" i="245"/>
  <c r="O9" i="245"/>
  <c r="M9" i="245"/>
  <c r="K9" i="245"/>
  <c r="I9" i="245"/>
  <c r="H9" i="245"/>
  <c r="G9" i="245"/>
  <c r="AA8" i="245"/>
  <c r="X8" i="245"/>
  <c r="R8" i="245"/>
  <c r="S8" i="245" s="1"/>
  <c r="Q8" i="245"/>
  <c r="P8" i="245"/>
  <c r="O8" i="245"/>
  <c r="M8" i="245"/>
  <c r="K8" i="245"/>
  <c r="I8" i="245"/>
  <c r="H8" i="245"/>
  <c r="G8" i="245"/>
  <c r="AA7" i="245"/>
  <c r="X7" i="245"/>
  <c r="R7" i="245"/>
  <c r="S7" i="245" s="1"/>
  <c r="Q7" i="245"/>
  <c r="P7" i="245"/>
  <c r="O7" i="245"/>
  <c r="M7" i="245"/>
  <c r="K7" i="245"/>
  <c r="I7" i="245"/>
  <c r="H7" i="245"/>
  <c r="G7" i="245"/>
  <c r="AA6" i="245"/>
  <c r="X6" i="245"/>
  <c r="R6" i="245"/>
  <c r="S6" i="245" s="1"/>
  <c r="Q6" i="245"/>
  <c r="P6" i="245"/>
  <c r="O6" i="245"/>
  <c r="M6" i="245"/>
  <c r="K6" i="245"/>
  <c r="I6" i="245"/>
  <c r="H6" i="245"/>
  <c r="G6" i="245"/>
  <c r="AA5" i="245"/>
  <c r="X5" i="245"/>
  <c r="R5" i="245"/>
  <c r="R4" i="245" s="1"/>
  <c r="Q5" i="245"/>
  <c r="P5" i="245"/>
  <c r="O5" i="245"/>
  <c r="M5" i="245"/>
  <c r="K5" i="245"/>
  <c r="I5" i="245"/>
  <c r="H5" i="245"/>
  <c r="G5" i="245"/>
  <c r="P4" i="245"/>
  <c r="Q4" i="245" s="1"/>
  <c r="O4" i="245"/>
  <c r="N4" i="245"/>
  <c r="L4" i="245"/>
  <c r="M4" i="245" s="1"/>
  <c r="K4" i="245"/>
  <c r="J4" i="245"/>
  <c r="I4" i="245"/>
  <c r="H4" i="245"/>
  <c r="F4" i="245"/>
  <c r="E4" i="245"/>
  <c r="G4" i="245" s="1"/>
  <c r="D4" i="245"/>
  <c r="C4" i="245"/>
  <c r="B4" i="245"/>
  <c r="I2" i="245"/>
  <c r="G2" i="245"/>
  <c r="AA15" i="244"/>
  <c r="X15" i="244"/>
  <c r="R15" i="244"/>
  <c r="S15" i="244" s="1"/>
  <c r="Q15" i="244"/>
  <c r="P15" i="244"/>
  <c r="O15" i="244"/>
  <c r="M15" i="244"/>
  <c r="K15" i="244"/>
  <c r="I15" i="244"/>
  <c r="H15" i="244"/>
  <c r="G15" i="244"/>
  <c r="AA14" i="244"/>
  <c r="X14" i="244"/>
  <c r="R14" i="244"/>
  <c r="S14" i="244" s="1"/>
  <c r="Q14" i="244"/>
  <c r="P14" i="244"/>
  <c r="O14" i="244"/>
  <c r="M14" i="244"/>
  <c r="K14" i="244"/>
  <c r="I14" i="244"/>
  <c r="H14" i="244"/>
  <c r="G14" i="244"/>
  <c r="AA13" i="244"/>
  <c r="X13" i="244"/>
  <c r="R13" i="244"/>
  <c r="S13" i="244" s="1"/>
  <c r="Q13" i="244"/>
  <c r="P13" i="244"/>
  <c r="O13" i="244"/>
  <c r="M13" i="244"/>
  <c r="K13" i="244"/>
  <c r="I13" i="244"/>
  <c r="H13" i="244"/>
  <c r="G13" i="244"/>
  <c r="AA12" i="244"/>
  <c r="X12" i="244"/>
  <c r="R12" i="244"/>
  <c r="S12" i="244" s="1"/>
  <c r="Q12" i="244"/>
  <c r="P12" i="244"/>
  <c r="O12" i="244"/>
  <c r="M12" i="244"/>
  <c r="K12" i="244"/>
  <c r="I12" i="244"/>
  <c r="H12" i="244"/>
  <c r="G12" i="244"/>
  <c r="AA11" i="244"/>
  <c r="X11" i="244"/>
  <c r="R11" i="244"/>
  <c r="S11" i="244" s="1"/>
  <c r="Q11" i="244"/>
  <c r="P11" i="244"/>
  <c r="O11" i="244"/>
  <c r="M11" i="244"/>
  <c r="K11" i="244"/>
  <c r="I11" i="244"/>
  <c r="H11" i="244"/>
  <c r="G11" i="244"/>
  <c r="AA10" i="244"/>
  <c r="X10" i="244"/>
  <c r="R10" i="244"/>
  <c r="S10" i="244" s="1"/>
  <c r="Q10" i="244"/>
  <c r="P10" i="244"/>
  <c r="O10" i="244"/>
  <c r="M10" i="244"/>
  <c r="K10" i="244"/>
  <c r="I10" i="244"/>
  <c r="H10" i="244"/>
  <c r="G10" i="244"/>
  <c r="AA9" i="244"/>
  <c r="X9" i="244"/>
  <c r="R9" i="244"/>
  <c r="S9" i="244" s="1"/>
  <c r="Q9" i="244"/>
  <c r="P9" i="244"/>
  <c r="O9" i="244"/>
  <c r="M9" i="244"/>
  <c r="K9" i="244"/>
  <c r="I9" i="244"/>
  <c r="H9" i="244"/>
  <c r="G9" i="244"/>
  <c r="AA8" i="244"/>
  <c r="X8" i="244"/>
  <c r="R8" i="244"/>
  <c r="S8" i="244" s="1"/>
  <c r="Q8" i="244"/>
  <c r="P8" i="244"/>
  <c r="O8" i="244"/>
  <c r="M8" i="244"/>
  <c r="K8" i="244"/>
  <c r="I8" i="244"/>
  <c r="H8" i="244"/>
  <c r="G8" i="244"/>
  <c r="AA7" i="244"/>
  <c r="X7" i="244"/>
  <c r="R7" i="244"/>
  <c r="S7" i="244" s="1"/>
  <c r="Q7" i="244"/>
  <c r="P7" i="244"/>
  <c r="O7" i="244"/>
  <c r="M7" i="244"/>
  <c r="K7" i="244"/>
  <c r="I7" i="244"/>
  <c r="H7" i="244"/>
  <c r="G7" i="244"/>
  <c r="AA6" i="244"/>
  <c r="X6" i="244"/>
  <c r="R6" i="244"/>
  <c r="S6" i="244" s="1"/>
  <c r="Q6" i="244"/>
  <c r="P6" i="244"/>
  <c r="O6" i="244"/>
  <c r="M6" i="244"/>
  <c r="K6" i="244"/>
  <c r="I6" i="244"/>
  <c r="H6" i="244"/>
  <c r="G6" i="244"/>
  <c r="AA5" i="244"/>
  <c r="X5" i="244"/>
  <c r="R5" i="244"/>
  <c r="R4" i="244" s="1"/>
  <c r="Q5" i="244"/>
  <c r="P5" i="244"/>
  <c r="O5" i="244"/>
  <c r="M5" i="244"/>
  <c r="K5" i="244"/>
  <c r="I5" i="244"/>
  <c r="H5" i="244"/>
  <c r="G5" i="244"/>
  <c r="Q4" i="244"/>
  <c r="P4" i="244"/>
  <c r="O4" i="244"/>
  <c r="N4" i="244"/>
  <c r="M4" i="244"/>
  <c r="L4" i="244"/>
  <c r="K4" i="244"/>
  <c r="J4" i="244"/>
  <c r="I4" i="244"/>
  <c r="F4" i="244"/>
  <c r="E4" i="244"/>
  <c r="G4" i="244" s="1"/>
  <c r="D4" i="244"/>
  <c r="C4" i="244"/>
  <c r="B4" i="244"/>
  <c r="I2" i="244"/>
  <c r="G2" i="244"/>
  <c r="AA15" i="243"/>
  <c r="X15" i="243"/>
  <c r="R15" i="243"/>
  <c r="S15" i="243" s="1"/>
  <c r="Q15" i="243"/>
  <c r="P15" i="243"/>
  <c r="O15" i="243"/>
  <c r="M15" i="243"/>
  <c r="K15" i="243"/>
  <c r="I15" i="243"/>
  <c r="H15" i="243"/>
  <c r="G15" i="243"/>
  <c r="AA14" i="243"/>
  <c r="X14" i="243"/>
  <c r="R14" i="243"/>
  <c r="S14" i="243" s="1"/>
  <c r="Q14" i="243"/>
  <c r="P14" i="243"/>
  <c r="O14" i="243"/>
  <c r="M14" i="243"/>
  <c r="K14" i="243"/>
  <c r="I14" i="243"/>
  <c r="H14" i="243"/>
  <c r="G14" i="243"/>
  <c r="AA13" i="243"/>
  <c r="X13" i="243"/>
  <c r="R13" i="243"/>
  <c r="S13" i="243" s="1"/>
  <c r="Q13" i="243"/>
  <c r="P13" i="243"/>
  <c r="O13" i="243"/>
  <c r="M13" i="243"/>
  <c r="K13" i="243"/>
  <c r="I13" i="243"/>
  <c r="H13" i="243"/>
  <c r="G13" i="243"/>
  <c r="AA12" i="243"/>
  <c r="X12" i="243"/>
  <c r="R12" i="243"/>
  <c r="S12" i="243" s="1"/>
  <c r="Q12" i="243"/>
  <c r="P12" i="243"/>
  <c r="O12" i="243"/>
  <c r="M12" i="243"/>
  <c r="K12" i="243"/>
  <c r="I12" i="243"/>
  <c r="H12" i="243"/>
  <c r="G12" i="243"/>
  <c r="AA11" i="243"/>
  <c r="X11" i="243"/>
  <c r="S11" i="243"/>
  <c r="R11" i="243"/>
  <c r="Q11" i="243"/>
  <c r="P11" i="243"/>
  <c r="O11" i="243"/>
  <c r="M11" i="243"/>
  <c r="K11" i="243"/>
  <c r="I11" i="243"/>
  <c r="H11" i="243"/>
  <c r="G11" i="243"/>
  <c r="AA10" i="243"/>
  <c r="X10" i="243"/>
  <c r="S10" i="243"/>
  <c r="R10" i="243"/>
  <c r="Q10" i="243"/>
  <c r="P10" i="243"/>
  <c r="O10" i="243"/>
  <c r="M10" i="243"/>
  <c r="K10" i="243"/>
  <c r="I10" i="243"/>
  <c r="H10" i="243"/>
  <c r="G10" i="243"/>
  <c r="AA9" i="243"/>
  <c r="X9" i="243"/>
  <c r="S9" i="243"/>
  <c r="R9" i="243"/>
  <c r="Q9" i="243"/>
  <c r="P9" i="243"/>
  <c r="O9" i="243"/>
  <c r="M9" i="243"/>
  <c r="K9" i="243"/>
  <c r="I9" i="243"/>
  <c r="H9" i="243"/>
  <c r="G9" i="243"/>
  <c r="AA8" i="243"/>
  <c r="X8" i="243"/>
  <c r="S8" i="243"/>
  <c r="R8" i="243"/>
  <c r="Q8" i="243"/>
  <c r="P8" i="243"/>
  <c r="O8" i="243"/>
  <c r="M8" i="243"/>
  <c r="K8" i="243"/>
  <c r="I8" i="243"/>
  <c r="H8" i="243"/>
  <c r="G8" i="243"/>
  <c r="AA7" i="243"/>
  <c r="X7" i="243"/>
  <c r="S7" i="243"/>
  <c r="R7" i="243"/>
  <c r="Q7" i="243"/>
  <c r="P7" i="243"/>
  <c r="O7" i="243"/>
  <c r="M7" i="243"/>
  <c r="K7" i="243"/>
  <c r="I7" i="243"/>
  <c r="H7" i="243"/>
  <c r="G7" i="243"/>
  <c r="AA6" i="243"/>
  <c r="X6" i="243"/>
  <c r="S6" i="243"/>
  <c r="R6" i="243"/>
  <c r="Q6" i="243"/>
  <c r="P6" i="243"/>
  <c r="O6" i="243"/>
  <c r="M6" i="243"/>
  <c r="K6" i="243"/>
  <c r="I6" i="243"/>
  <c r="H6" i="243"/>
  <c r="G6" i="243"/>
  <c r="AA5" i="243"/>
  <c r="X5" i="243"/>
  <c r="S5" i="243"/>
  <c r="R5" i="243"/>
  <c r="Q5" i="243"/>
  <c r="P5" i="243"/>
  <c r="O5" i="243"/>
  <c r="M5" i="243"/>
  <c r="K5" i="243"/>
  <c r="I5" i="243"/>
  <c r="H5" i="243"/>
  <c r="G5" i="243"/>
  <c r="P4" i="243"/>
  <c r="Q4" i="243" s="1"/>
  <c r="O4" i="243"/>
  <c r="N4" i="243"/>
  <c r="L4" i="243"/>
  <c r="M4" i="243" s="1"/>
  <c r="K4" i="243"/>
  <c r="J4" i="243"/>
  <c r="F4" i="243"/>
  <c r="E4" i="243"/>
  <c r="D4" i="243"/>
  <c r="C4" i="243"/>
  <c r="B4" i="243"/>
  <c r="I2" i="243"/>
  <c r="AA15" i="242"/>
  <c r="X15" i="242"/>
  <c r="S15" i="242"/>
  <c r="R15" i="242"/>
  <c r="Q15" i="242"/>
  <c r="P15" i="242"/>
  <c r="O15" i="242"/>
  <c r="M15" i="242"/>
  <c r="K15" i="242"/>
  <c r="I15" i="242"/>
  <c r="H15" i="242"/>
  <c r="G15" i="242"/>
  <c r="AA14" i="242"/>
  <c r="X14" i="242"/>
  <c r="S14" i="242"/>
  <c r="R14" i="242"/>
  <c r="Q14" i="242"/>
  <c r="P14" i="242"/>
  <c r="O14" i="242"/>
  <c r="M14" i="242"/>
  <c r="K14" i="242"/>
  <c r="I14" i="242"/>
  <c r="H14" i="242"/>
  <c r="G14" i="242"/>
  <c r="AA13" i="242"/>
  <c r="X13" i="242"/>
  <c r="S13" i="242"/>
  <c r="R13" i="242"/>
  <c r="Q13" i="242"/>
  <c r="P13" i="242"/>
  <c r="O13" i="242"/>
  <c r="M13" i="242"/>
  <c r="K13" i="242"/>
  <c r="I13" i="242"/>
  <c r="H13" i="242"/>
  <c r="G13" i="242"/>
  <c r="AA12" i="242"/>
  <c r="X12" i="242"/>
  <c r="S12" i="242"/>
  <c r="R12" i="242"/>
  <c r="Q12" i="242"/>
  <c r="P12" i="242"/>
  <c r="O12" i="242"/>
  <c r="M12" i="242"/>
  <c r="K12" i="242"/>
  <c r="I12" i="242"/>
  <c r="H12" i="242"/>
  <c r="G12" i="242"/>
  <c r="AA11" i="242"/>
  <c r="X11" i="242"/>
  <c r="S11" i="242"/>
  <c r="R11" i="242"/>
  <c r="Q11" i="242"/>
  <c r="P11" i="242"/>
  <c r="O11" i="242"/>
  <c r="M11" i="242"/>
  <c r="K11" i="242"/>
  <c r="I11" i="242"/>
  <c r="H11" i="242"/>
  <c r="G11" i="242"/>
  <c r="AA10" i="242"/>
  <c r="X10" i="242"/>
  <c r="S10" i="242"/>
  <c r="R10" i="242"/>
  <c r="Q10" i="242"/>
  <c r="P10" i="242"/>
  <c r="O10" i="242"/>
  <c r="M10" i="242"/>
  <c r="K10" i="242"/>
  <c r="I10" i="242"/>
  <c r="H10" i="242"/>
  <c r="G10" i="242"/>
  <c r="AA9" i="242"/>
  <c r="X9" i="242"/>
  <c r="S9" i="242"/>
  <c r="R9" i="242"/>
  <c r="Q9" i="242"/>
  <c r="P9" i="242"/>
  <c r="O9" i="242"/>
  <c r="M9" i="242"/>
  <c r="K9" i="242"/>
  <c r="I9" i="242"/>
  <c r="H9" i="242"/>
  <c r="G9" i="242"/>
  <c r="AA8" i="242"/>
  <c r="X8" i="242"/>
  <c r="S8" i="242"/>
  <c r="R8" i="242"/>
  <c r="Q8" i="242"/>
  <c r="P8" i="242"/>
  <c r="O8" i="242"/>
  <c r="M8" i="242"/>
  <c r="K8" i="242"/>
  <c r="I8" i="242"/>
  <c r="H8" i="242"/>
  <c r="G8" i="242"/>
  <c r="AA7" i="242"/>
  <c r="X7" i="242"/>
  <c r="S7" i="242"/>
  <c r="R7" i="242"/>
  <c r="Q7" i="242"/>
  <c r="P7" i="242"/>
  <c r="O7" i="242"/>
  <c r="M7" i="242"/>
  <c r="K7" i="242"/>
  <c r="I7" i="242"/>
  <c r="H7" i="242"/>
  <c r="G7" i="242"/>
  <c r="AA6" i="242"/>
  <c r="X6" i="242"/>
  <c r="S6" i="242"/>
  <c r="R6" i="242"/>
  <c r="Q6" i="242"/>
  <c r="P6" i="242"/>
  <c r="O6" i="242"/>
  <c r="M6" i="242"/>
  <c r="K6" i="242"/>
  <c r="I6" i="242"/>
  <c r="H6" i="242"/>
  <c r="G6" i="242"/>
  <c r="AA5" i="242"/>
  <c r="X5" i="242"/>
  <c r="S5" i="242"/>
  <c r="R5" i="242"/>
  <c r="R4" i="242" s="1"/>
  <c r="Q5" i="242"/>
  <c r="P5" i="242"/>
  <c r="O5" i="242"/>
  <c r="M5" i="242"/>
  <c r="K5" i="242"/>
  <c r="I5" i="242"/>
  <c r="H5" i="242"/>
  <c r="G5" i="242"/>
  <c r="P4" i="242"/>
  <c r="Q4" i="242" s="1"/>
  <c r="O4" i="242"/>
  <c r="N4" i="242"/>
  <c r="L4" i="242"/>
  <c r="M4" i="242" s="1"/>
  <c r="K4" i="242"/>
  <c r="J4" i="242"/>
  <c r="I4" i="242"/>
  <c r="H4" i="242"/>
  <c r="F4" i="242"/>
  <c r="E4" i="242"/>
  <c r="G4" i="242" s="1"/>
  <c r="D4" i="242"/>
  <c r="C4" i="242"/>
  <c r="B4" i="242"/>
  <c r="I2" i="242"/>
  <c r="G2" i="242"/>
  <c r="AA15" i="241"/>
  <c r="X15" i="241"/>
  <c r="R15" i="241"/>
  <c r="S15" i="241" s="1"/>
  <c r="Q15" i="241"/>
  <c r="P15" i="241"/>
  <c r="O15" i="241"/>
  <c r="M15" i="241"/>
  <c r="K15" i="241"/>
  <c r="I15" i="241"/>
  <c r="H15" i="241"/>
  <c r="G15" i="241"/>
  <c r="AA14" i="241"/>
  <c r="X14" i="241"/>
  <c r="R14" i="241"/>
  <c r="S14" i="241" s="1"/>
  <c r="Q14" i="241"/>
  <c r="P14" i="241"/>
  <c r="O14" i="241"/>
  <c r="M14" i="241"/>
  <c r="K14" i="241"/>
  <c r="I14" i="241"/>
  <c r="H14" i="241"/>
  <c r="G14" i="241"/>
  <c r="AA13" i="241"/>
  <c r="X13" i="241"/>
  <c r="R13" i="241"/>
  <c r="S13" i="241" s="1"/>
  <c r="Q13" i="241"/>
  <c r="P13" i="241"/>
  <c r="O13" i="241"/>
  <c r="M13" i="241"/>
  <c r="K13" i="241"/>
  <c r="I13" i="241"/>
  <c r="H13" i="241"/>
  <c r="G13" i="241"/>
  <c r="AA12" i="241"/>
  <c r="X12" i="241"/>
  <c r="R12" i="241"/>
  <c r="S12" i="241" s="1"/>
  <c r="Q12" i="241"/>
  <c r="P12" i="241"/>
  <c r="O12" i="241"/>
  <c r="M12" i="241"/>
  <c r="K12" i="241"/>
  <c r="I12" i="241"/>
  <c r="H12" i="241"/>
  <c r="G12" i="241"/>
  <c r="AA11" i="241"/>
  <c r="X11" i="241"/>
  <c r="R11" i="241"/>
  <c r="S11" i="241" s="1"/>
  <c r="Q11" i="241"/>
  <c r="P11" i="241"/>
  <c r="O11" i="241"/>
  <c r="M11" i="241"/>
  <c r="K11" i="241"/>
  <c r="I11" i="241"/>
  <c r="H11" i="241"/>
  <c r="G11" i="241"/>
  <c r="AA10" i="241"/>
  <c r="X10" i="241"/>
  <c r="R10" i="241"/>
  <c r="S10" i="241" s="1"/>
  <c r="Q10" i="241"/>
  <c r="P10" i="241"/>
  <c r="O10" i="241"/>
  <c r="M10" i="241"/>
  <c r="K10" i="241"/>
  <c r="I10" i="241"/>
  <c r="H10" i="241"/>
  <c r="G10" i="241"/>
  <c r="AA9" i="241"/>
  <c r="X9" i="241"/>
  <c r="R9" i="241"/>
  <c r="S9" i="241" s="1"/>
  <c r="Q9" i="241"/>
  <c r="P9" i="241"/>
  <c r="O9" i="241"/>
  <c r="M9" i="241"/>
  <c r="K9" i="241"/>
  <c r="I9" i="241"/>
  <c r="H9" i="241"/>
  <c r="G9" i="241"/>
  <c r="AA8" i="241"/>
  <c r="X8" i="241"/>
  <c r="R8" i="241"/>
  <c r="S8" i="241" s="1"/>
  <c r="Q8" i="241"/>
  <c r="P8" i="241"/>
  <c r="O8" i="241"/>
  <c r="M8" i="241"/>
  <c r="K8" i="241"/>
  <c r="I8" i="241"/>
  <c r="H8" i="241"/>
  <c r="G8" i="241"/>
  <c r="AA7" i="241"/>
  <c r="X7" i="241"/>
  <c r="R7" i="241"/>
  <c r="S7" i="241" s="1"/>
  <c r="Q7" i="241"/>
  <c r="P7" i="241"/>
  <c r="O7" i="241"/>
  <c r="M7" i="241"/>
  <c r="K7" i="241"/>
  <c r="I7" i="241"/>
  <c r="H7" i="241"/>
  <c r="G7" i="241"/>
  <c r="AA6" i="241"/>
  <c r="X6" i="241"/>
  <c r="R6" i="241"/>
  <c r="R4" i="241" s="1"/>
  <c r="Q6" i="241"/>
  <c r="P6" i="241"/>
  <c r="O6" i="241"/>
  <c r="M6" i="241"/>
  <c r="K6" i="241"/>
  <c r="I6" i="241"/>
  <c r="H6" i="241"/>
  <c r="G6" i="241"/>
  <c r="AA5" i="241"/>
  <c r="X5" i="241"/>
  <c r="S5" i="241"/>
  <c r="Q5" i="241"/>
  <c r="P5" i="241"/>
  <c r="O5" i="241"/>
  <c r="M5" i="241"/>
  <c r="K5" i="241"/>
  <c r="I5" i="241"/>
  <c r="H5" i="241"/>
  <c r="G5" i="241"/>
  <c r="S4" i="241"/>
  <c r="P4" i="241"/>
  <c r="Q4" i="241" s="1"/>
  <c r="O4" i="241"/>
  <c r="N4" i="241"/>
  <c r="L4" i="241"/>
  <c r="M4" i="241" s="1"/>
  <c r="K4" i="241"/>
  <c r="J4" i="241"/>
  <c r="F4" i="241"/>
  <c r="E4" i="241"/>
  <c r="I4" i="241" s="1"/>
  <c r="D4" i="241"/>
  <c r="H4" i="241" s="1"/>
  <c r="C4" i="241"/>
  <c r="G4" i="241" s="1"/>
  <c r="B4" i="241"/>
  <c r="I2" i="241" s="1"/>
  <c r="G2" i="241"/>
  <c r="AA15" i="240"/>
  <c r="X15" i="240"/>
  <c r="R15" i="240"/>
  <c r="S15" i="240" s="1"/>
  <c r="Q15" i="240"/>
  <c r="P15" i="240"/>
  <c r="O15" i="240"/>
  <c r="M15" i="240"/>
  <c r="K15" i="240"/>
  <c r="I15" i="240"/>
  <c r="H15" i="240"/>
  <c r="G15" i="240"/>
  <c r="AA14" i="240"/>
  <c r="R14" i="240" s="1"/>
  <c r="S14" i="240" s="1"/>
  <c r="X14" i="240"/>
  <c r="Q14" i="240"/>
  <c r="P14" i="240"/>
  <c r="O14" i="240"/>
  <c r="M14" i="240"/>
  <c r="K14" i="240"/>
  <c r="I14" i="240"/>
  <c r="H14" i="240"/>
  <c r="G14" i="240"/>
  <c r="AA13" i="240"/>
  <c r="R13" i="240" s="1"/>
  <c r="S13" i="240" s="1"/>
  <c r="X13" i="240"/>
  <c r="Q13" i="240"/>
  <c r="P13" i="240"/>
  <c r="O13" i="240"/>
  <c r="M13" i="240"/>
  <c r="K13" i="240"/>
  <c r="I13" i="240"/>
  <c r="H13" i="240"/>
  <c r="G13" i="240"/>
  <c r="AA12" i="240"/>
  <c r="X12" i="240"/>
  <c r="R12" i="240"/>
  <c r="S12" i="240" s="1"/>
  <c r="Q12" i="240"/>
  <c r="P12" i="240"/>
  <c r="O12" i="240"/>
  <c r="M12" i="240"/>
  <c r="K12" i="240"/>
  <c r="I12" i="240"/>
  <c r="H12" i="240"/>
  <c r="G12" i="240"/>
  <c r="AA11" i="240"/>
  <c r="X11" i="240"/>
  <c r="R11" i="240"/>
  <c r="Q11" i="240"/>
  <c r="P11" i="240"/>
  <c r="O11" i="240"/>
  <c r="M11" i="240"/>
  <c r="K11" i="240"/>
  <c r="I11" i="240"/>
  <c r="H11" i="240"/>
  <c r="G11" i="240"/>
  <c r="AA10" i="240"/>
  <c r="R10" i="240" s="1"/>
  <c r="S10" i="240" s="1"/>
  <c r="X10" i="240"/>
  <c r="Q10" i="240"/>
  <c r="P10" i="240"/>
  <c r="O10" i="240"/>
  <c r="M10" i="240"/>
  <c r="K10" i="240"/>
  <c r="I10" i="240"/>
  <c r="H10" i="240"/>
  <c r="G10" i="240"/>
  <c r="AA9" i="240"/>
  <c r="R9" i="240" s="1"/>
  <c r="S9" i="240" s="1"/>
  <c r="X9" i="240"/>
  <c r="Q9" i="240"/>
  <c r="P9" i="240"/>
  <c r="O9" i="240"/>
  <c r="M9" i="240"/>
  <c r="K9" i="240"/>
  <c r="I9" i="240"/>
  <c r="H9" i="240"/>
  <c r="G9" i="240"/>
  <c r="AA8" i="240"/>
  <c r="X8" i="240"/>
  <c r="R8" i="240"/>
  <c r="S8" i="240" s="1"/>
  <c r="Q8" i="240"/>
  <c r="P8" i="240"/>
  <c r="O8" i="240"/>
  <c r="M8" i="240"/>
  <c r="K8" i="240"/>
  <c r="I8" i="240"/>
  <c r="H8" i="240"/>
  <c r="G8" i="240"/>
  <c r="AA7" i="240"/>
  <c r="X7" i="240"/>
  <c r="R7" i="240"/>
  <c r="S7" i="240" s="1"/>
  <c r="Q7" i="240"/>
  <c r="P7" i="240"/>
  <c r="O7" i="240"/>
  <c r="M7" i="240"/>
  <c r="K7" i="240"/>
  <c r="I7" i="240"/>
  <c r="H7" i="240"/>
  <c r="G7" i="240"/>
  <c r="AA6" i="240"/>
  <c r="R6" i="240" s="1"/>
  <c r="S6" i="240" s="1"/>
  <c r="X6" i="240"/>
  <c r="Q6" i="240"/>
  <c r="P6" i="240"/>
  <c r="O6" i="240"/>
  <c r="M6" i="240"/>
  <c r="K6" i="240"/>
  <c r="I6" i="240"/>
  <c r="H6" i="240"/>
  <c r="G6" i="240"/>
  <c r="AA5" i="240"/>
  <c r="X5" i="240"/>
  <c r="S5" i="240"/>
  <c r="P5" i="240"/>
  <c r="O5" i="240"/>
  <c r="M5" i="240"/>
  <c r="K5" i="240"/>
  <c r="I5" i="240"/>
  <c r="H5" i="240"/>
  <c r="G5" i="240"/>
  <c r="N4" i="240"/>
  <c r="L4" i="240"/>
  <c r="K4" i="240"/>
  <c r="J4" i="240"/>
  <c r="M4" i="240" s="1"/>
  <c r="F4" i="240"/>
  <c r="E4" i="240"/>
  <c r="I4" i="240" s="1"/>
  <c r="D4" i="240"/>
  <c r="C4" i="240"/>
  <c r="G4" i="240" s="1"/>
  <c r="B4" i="240"/>
  <c r="I2" i="240" s="1"/>
  <c r="AA15" i="239"/>
  <c r="R15" i="239" s="1"/>
  <c r="S15" i="239" s="1"/>
  <c r="X15" i="239"/>
  <c r="P15" i="239" s="1"/>
  <c r="Q15" i="239" s="1"/>
  <c r="O15" i="239"/>
  <c r="M15" i="239"/>
  <c r="K15" i="239"/>
  <c r="I15" i="239"/>
  <c r="H15" i="239"/>
  <c r="G15" i="239"/>
  <c r="AA14" i="239"/>
  <c r="R14" i="239" s="1"/>
  <c r="S14" i="239" s="1"/>
  <c r="X14" i="239"/>
  <c r="Q14" i="239"/>
  <c r="P14" i="239"/>
  <c r="O14" i="239"/>
  <c r="M14" i="239"/>
  <c r="K14" i="239"/>
  <c r="I14" i="239"/>
  <c r="H14" i="239"/>
  <c r="G14" i="239"/>
  <c r="AA13" i="239"/>
  <c r="R13" i="239" s="1"/>
  <c r="S13" i="239" s="1"/>
  <c r="X13" i="239"/>
  <c r="P13" i="239" s="1"/>
  <c r="Q13" i="239" s="1"/>
  <c r="O13" i="239"/>
  <c r="M13" i="239"/>
  <c r="K13" i="239"/>
  <c r="I13" i="239"/>
  <c r="H13" i="239"/>
  <c r="G13" i="239"/>
  <c r="AA12" i="239"/>
  <c r="R12" i="239" s="1"/>
  <c r="S12" i="239" s="1"/>
  <c r="X12" i="239"/>
  <c r="P12" i="239"/>
  <c r="Q12" i="239" s="1"/>
  <c r="O12" i="239"/>
  <c r="M12" i="239"/>
  <c r="K12" i="239"/>
  <c r="I12" i="239"/>
  <c r="H12" i="239"/>
  <c r="G12" i="239"/>
  <c r="AA11" i="239"/>
  <c r="R11" i="239" s="1"/>
  <c r="S11" i="239" s="1"/>
  <c r="X11" i="239"/>
  <c r="P11" i="239" s="1"/>
  <c r="Q11" i="239" s="1"/>
  <c r="O11" i="239"/>
  <c r="M11" i="239"/>
  <c r="K11" i="239"/>
  <c r="I11" i="239"/>
  <c r="H11" i="239"/>
  <c r="G11" i="239"/>
  <c r="AA10" i="239"/>
  <c r="R10" i="239" s="1"/>
  <c r="S10" i="239" s="1"/>
  <c r="X10" i="239"/>
  <c r="Q10" i="239"/>
  <c r="P10" i="239"/>
  <c r="O10" i="239"/>
  <c r="M10" i="239"/>
  <c r="K10" i="239"/>
  <c r="I10" i="239"/>
  <c r="H10" i="239"/>
  <c r="G10" i="239"/>
  <c r="AA9" i="239"/>
  <c r="R9" i="239" s="1"/>
  <c r="S9" i="239" s="1"/>
  <c r="X9" i="239"/>
  <c r="P9" i="239" s="1"/>
  <c r="Q9" i="239" s="1"/>
  <c r="O9" i="239"/>
  <c r="M9" i="239"/>
  <c r="K9" i="239"/>
  <c r="I9" i="239"/>
  <c r="H9" i="239"/>
  <c r="G9" i="239"/>
  <c r="AA8" i="239"/>
  <c r="R8" i="239" s="1"/>
  <c r="S8" i="239" s="1"/>
  <c r="X8" i="239"/>
  <c r="Q8" i="239"/>
  <c r="O8" i="239"/>
  <c r="M8" i="239"/>
  <c r="K8" i="239"/>
  <c r="I8" i="239"/>
  <c r="H8" i="239"/>
  <c r="G8" i="239"/>
  <c r="AA7" i="239"/>
  <c r="X7" i="239"/>
  <c r="P7" i="239" s="1"/>
  <c r="Q7" i="239" s="1"/>
  <c r="S7" i="239"/>
  <c r="R7" i="239"/>
  <c r="O7" i="239"/>
  <c r="M7" i="239"/>
  <c r="K7" i="239"/>
  <c r="I7" i="239"/>
  <c r="H7" i="239"/>
  <c r="G7" i="239"/>
  <c r="AA6" i="239"/>
  <c r="X6" i="239"/>
  <c r="P6" i="239" s="1"/>
  <c r="S6" i="239"/>
  <c r="R6" i="239"/>
  <c r="O6" i="239"/>
  <c r="M6" i="239"/>
  <c r="K6" i="239"/>
  <c r="I6" i="239"/>
  <c r="H6" i="239"/>
  <c r="G6" i="239"/>
  <c r="AA5" i="239"/>
  <c r="X5" i="239"/>
  <c r="P5" i="239" s="1"/>
  <c r="Q5" i="239" s="1"/>
  <c r="S5" i="239"/>
  <c r="O5" i="239"/>
  <c r="M5" i="239"/>
  <c r="K5" i="239"/>
  <c r="I5" i="239"/>
  <c r="H5" i="239"/>
  <c r="G5" i="239"/>
  <c r="O4" i="239"/>
  <c r="N4" i="239"/>
  <c r="L4" i="239"/>
  <c r="M4" i="239" s="1"/>
  <c r="J4" i="239"/>
  <c r="F4" i="239"/>
  <c r="E4" i="239"/>
  <c r="D4" i="239"/>
  <c r="C4" i="239"/>
  <c r="B4" i="239"/>
  <c r="I2" i="239"/>
  <c r="AA15" i="238"/>
  <c r="X15" i="238"/>
  <c r="S15" i="238"/>
  <c r="R15" i="238"/>
  <c r="Q15" i="238"/>
  <c r="P15" i="238"/>
  <c r="O15" i="238"/>
  <c r="M15" i="238"/>
  <c r="K15" i="238"/>
  <c r="I15" i="238"/>
  <c r="H15" i="238"/>
  <c r="G15" i="238"/>
  <c r="AA14" i="238"/>
  <c r="X14" i="238"/>
  <c r="S14" i="238"/>
  <c r="R14" i="238"/>
  <c r="Q14" i="238"/>
  <c r="P14" i="238"/>
  <c r="O14" i="238"/>
  <c r="M14" i="238"/>
  <c r="K14" i="238"/>
  <c r="I14" i="238"/>
  <c r="H14" i="238"/>
  <c r="G14" i="238"/>
  <c r="AA13" i="238"/>
  <c r="X13" i="238"/>
  <c r="S13" i="238"/>
  <c r="R13" i="238"/>
  <c r="Q13" i="238"/>
  <c r="P13" i="238"/>
  <c r="O13" i="238"/>
  <c r="M13" i="238"/>
  <c r="K13" i="238"/>
  <c r="I13" i="238"/>
  <c r="H13" i="238"/>
  <c r="G13" i="238"/>
  <c r="AA12" i="238"/>
  <c r="X12" i="238"/>
  <c r="S12" i="238"/>
  <c r="R12" i="238"/>
  <c r="Q12" i="238"/>
  <c r="P12" i="238"/>
  <c r="O12" i="238"/>
  <c r="M12" i="238"/>
  <c r="K12" i="238"/>
  <c r="I12" i="238"/>
  <c r="H12" i="238"/>
  <c r="G12" i="238"/>
  <c r="AA11" i="238"/>
  <c r="X11" i="238"/>
  <c r="S11" i="238"/>
  <c r="R11" i="238"/>
  <c r="Q11" i="238"/>
  <c r="P11" i="238"/>
  <c r="O11" i="238"/>
  <c r="M11" i="238"/>
  <c r="K11" i="238"/>
  <c r="I11" i="238"/>
  <c r="H11" i="238"/>
  <c r="G11" i="238"/>
  <c r="AA10" i="238"/>
  <c r="X10" i="238"/>
  <c r="S10" i="238"/>
  <c r="R10" i="238"/>
  <c r="Q10" i="238"/>
  <c r="P10" i="238"/>
  <c r="O10" i="238"/>
  <c r="M10" i="238"/>
  <c r="K10" i="238"/>
  <c r="I10" i="238"/>
  <c r="H10" i="238"/>
  <c r="G10" i="238"/>
  <c r="AA9" i="238"/>
  <c r="X9" i="238"/>
  <c r="S9" i="238"/>
  <c r="R9" i="238"/>
  <c r="Q9" i="238"/>
  <c r="P9" i="238"/>
  <c r="O9" i="238"/>
  <c r="M9" i="238"/>
  <c r="K9" i="238"/>
  <c r="I9" i="238"/>
  <c r="H9" i="238"/>
  <c r="G9" i="238"/>
  <c r="AA8" i="238"/>
  <c r="X8" i="238"/>
  <c r="S8" i="238"/>
  <c r="R8" i="238"/>
  <c r="Q8" i="238"/>
  <c r="P8" i="238"/>
  <c r="O8" i="238"/>
  <c r="M8" i="238"/>
  <c r="K8" i="238"/>
  <c r="I8" i="238"/>
  <c r="H8" i="238"/>
  <c r="G8" i="238"/>
  <c r="AA7" i="238"/>
  <c r="X7" i="238"/>
  <c r="S7" i="238"/>
  <c r="R7" i="238"/>
  <c r="Q7" i="238"/>
  <c r="P7" i="238"/>
  <c r="O7" i="238"/>
  <c r="M7" i="238"/>
  <c r="K7" i="238"/>
  <c r="I7" i="238"/>
  <c r="H7" i="238"/>
  <c r="G7" i="238"/>
  <c r="AA6" i="238"/>
  <c r="X6" i="238"/>
  <c r="S6" i="238"/>
  <c r="R6" i="238"/>
  <c r="Q6" i="238"/>
  <c r="P6" i="238"/>
  <c r="O6" i="238"/>
  <c r="M6" i="238"/>
  <c r="K6" i="238"/>
  <c r="I6" i="238"/>
  <c r="H6" i="238"/>
  <c r="G6" i="238"/>
  <c r="AA5" i="238"/>
  <c r="X5" i="238"/>
  <c r="S5" i="238"/>
  <c r="R5" i="238"/>
  <c r="R4" i="238" s="1"/>
  <c r="Q5" i="238"/>
  <c r="P5" i="238"/>
  <c r="O5" i="238"/>
  <c r="M5" i="238"/>
  <c r="K5" i="238"/>
  <c r="I5" i="238"/>
  <c r="H5" i="238"/>
  <c r="G5" i="238"/>
  <c r="P4" i="238"/>
  <c r="O4" i="238"/>
  <c r="N4" i="238"/>
  <c r="L4" i="238"/>
  <c r="M4" i="238" s="1"/>
  <c r="K4" i="238"/>
  <c r="J4" i="238"/>
  <c r="F4" i="238"/>
  <c r="E4" i="238"/>
  <c r="D4" i="238"/>
  <c r="C4" i="238"/>
  <c r="B4" i="238"/>
  <c r="I2" i="238"/>
  <c r="S15" i="237"/>
  <c r="Q15" i="237"/>
  <c r="O15" i="237"/>
  <c r="M15" i="237"/>
  <c r="K15" i="237"/>
  <c r="I15" i="237"/>
  <c r="H15" i="237"/>
  <c r="G15" i="237"/>
  <c r="S14" i="237"/>
  <c r="Q14" i="237"/>
  <c r="O14" i="237"/>
  <c r="M14" i="237"/>
  <c r="K14" i="237"/>
  <c r="I14" i="237"/>
  <c r="H14" i="237"/>
  <c r="G14" i="237"/>
  <c r="S13" i="237"/>
  <c r="Q13" i="237"/>
  <c r="O13" i="237"/>
  <c r="M13" i="237"/>
  <c r="K13" i="237"/>
  <c r="I13" i="237"/>
  <c r="H13" i="237"/>
  <c r="G13" i="237"/>
  <c r="S12" i="237"/>
  <c r="Q12" i="237"/>
  <c r="O12" i="237"/>
  <c r="M12" i="237"/>
  <c r="K12" i="237"/>
  <c r="I12" i="237"/>
  <c r="H12" i="237"/>
  <c r="G12" i="237"/>
  <c r="S11" i="237"/>
  <c r="Q11" i="237"/>
  <c r="O11" i="237"/>
  <c r="M11" i="237"/>
  <c r="K11" i="237"/>
  <c r="I11" i="237"/>
  <c r="H11" i="237"/>
  <c r="G11" i="237"/>
  <c r="S10" i="237"/>
  <c r="Q10" i="237"/>
  <c r="O10" i="237"/>
  <c r="M10" i="237"/>
  <c r="K10" i="237"/>
  <c r="I10" i="237"/>
  <c r="H10" i="237"/>
  <c r="G10" i="237"/>
  <c r="S9" i="237"/>
  <c r="Q9" i="237"/>
  <c r="O9" i="237"/>
  <c r="M9" i="237"/>
  <c r="K9" i="237"/>
  <c r="I9" i="237"/>
  <c r="H9" i="237"/>
  <c r="G9" i="237"/>
  <c r="S8" i="237"/>
  <c r="Q8" i="237"/>
  <c r="O8" i="237"/>
  <c r="M8" i="237"/>
  <c r="K8" i="237"/>
  <c r="I8" i="237"/>
  <c r="H8" i="237"/>
  <c r="G8" i="237"/>
  <c r="S7" i="237"/>
  <c r="Q7" i="237"/>
  <c r="O7" i="237"/>
  <c r="M7" i="237"/>
  <c r="K7" i="237"/>
  <c r="I7" i="237"/>
  <c r="H7" i="237"/>
  <c r="G7" i="237"/>
  <c r="S6" i="237"/>
  <c r="Q6" i="237"/>
  <c r="O6" i="237"/>
  <c r="M6" i="237"/>
  <c r="K6" i="237"/>
  <c r="I6" i="237"/>
  <c r="H6" i="237"/>
  <c r="G6" i="237"/>
  <c r="S5" i="237"/>
  <c r="Q5" i="237"/>
  <c r="O5" i="237"/>
  <c r="M5" i="237"/>
  <c r="K5" i="237"/>
  <c r="I5" i="237"/>
  <c r="H5" i="237"/>
  <c r="G5" i="237"/>
  <c r="R4" i="237"/>
  <c r="P4" i="237"/>
  <c r="Q4" i="237" s="1"/>
  <c r="O4" i="237"/>
  <c r="N4" i="237"/>
  <c r="L4" i="237"/>
  <c r="M4" i="237" s="1"/>
  <c r="K4" i="237"/>
  <c r="J4" i="237"/>
  <c r="I4" i="237"/>
  <c r="H4" i="237"/>
  <c r="F4" i="237"/>
  <c r="E4" i="237"/>
  <c r="D4" i="237"/>
  <c r="C4" i="237"/>
  <c r="B4" i="237"/>
  <c r="I2" i="237"/>
  <c r="G2" i="237"/>
  <c r="S15" i="236"/>
  <c r="Q15" i="236"/>
  <c r="O15" i="236"/>
  <c r="M15" i="236"/>
  <c r="K15" i="236"/>
  <c r="I15" i="236"/>
  <c r="H15" i="236"/>
  <c r="G15" i="236"/>
  <c r="S14" i="236"/>
  <c r="Q14" i="236"/>
  <c r="O14" i="236"/>
  <c r="M14" i="236"/>
  <c r="K14" i="236"/>
  <c r="I14" i="236"/>
  <c r="H14" i="236"/>
  <c r="G14" i="236"/>
  <c r="S13" i="236"/>
  <c r="Q13" i="236"/>
  <c r="O13" i="236"/>
  <c r="M13" i="236"/>
  <c r="K13" i="236"/>
  <c r="I13" i="236"/>
  <c r="H13" i="236"/>
  <c r="G13" i="236"/>
  <c r="S12" i="236"/>
  <c r="Q12" i="236"/>
  <c r="O12" i="236"/>
  <c r="M12" i="236"/>
  <c r="K12" i="236"/>
  <c r="I12" i="236"/>
  <c r="H12" i="236"/>
  <c r="G12" i="236"/>
  <c r="S11" i="236"/>
  <c r="Q11" i="236"/>
  <c r="O11" i="236"/>
  <c r="M11" i="236"/>
  <c r="K11" i="236"/>
  <c r="I11" i="236"/>
  <c r="H11" i="236"/>
  <c r="G11" i="236"/>
  <c r="S10" i="236"/>
  <c r="Q10" i="236"/>
  <c r="O10" i="236"/>
  <c r="M10" i="236"/>
  <c r="K10" i="236"/>
  <c r="I10" i="236"/>
  <c r="H10" i="236"/>
  <c r="G10" i="236"/>
  <c r="S9" i="236"/>
  <c r="Q9" i="236"/>
  <c r="O9" i="236"/>
  <c r="M9" i="236"/>
  <c r="K9" i="236"/>
  <c r="I9" i="236"/>
  <c r="H9" i="236"/>
  <c r="G9" i="236"/>
  <c r="S8" i="236"/>
  <c r="Q8" i="236"/>
  <c r="O8" i="236"/>
  <c r="M8" i="236"/>
  <c r="K8" i="236"/>
  <c r="I8" i="236"/>
  <c r="H8" i="236"/>
  <c r="G8" i="236"/>
  <c r="S7" i="236"/>
  <c r="Q7" i="236"/>
  <c r="O7" i="236"/>
  <c r="M7" i="236"/>
  <c r="K7" i="236"/>
  <c r="I7" i="236"/>
  <c r="H7" i="236"/>
  <c r="G7" i="236"/>
  <c r="S6" i="236"/>
  <c r="Q6" i="236"/>
  <c r="O6" i="236"/>
  <c r="M6" i="236"/>
  <c r="K6" i="236"/>
  <c r="I6" i="236"/>
  <c r="H6" i="236"/>
  <c r="G6" i="236"/>
  <c r="S5" i="236"/>
  <c r="Q5" i="236"/>
  <c r="O5" i="236"/>
  <c r="M5" i="236"/>
  <c r="K5" i="236"/>
  <c r="K4" i="236" s="1"/>
  <c r="I5" i="236"/>
  <c r="H5" i="236"/>
  <c r="G5" i="236"/>
  <c r="S4" i="236"/>
  <c r="R4" i="236"/>
  <c r="P4" i="236"/>
  <c r="Q4" i="236" s="1"/>
  <c r="O4" i="236"/>
  <c r="N4" i="236"/>
  <c r="L4" i="236"/>
  <c r="M4" i="236" s="1"/>
  <c r="J4" i="236"/>
  <c r="H4" i="236"/>
  <c r="F4" i="236"/>
  <c r="E4" i="236"/>
  <c r="I4" i="236" s="1"/>
  <c r="D4" i="236"/>
  <c r="C4" i="236"/>
  <c r="G4" i="236" s="1"/>
  <c r="B4" i="236"/>
  <c r="I2" i="236"/>
  <c r="G2" i="236"/>
  <c r="S15" i="235"/>
  <c r="Q15" i="235"/>
  <c r="O15" i="235"/>
  <c r="M15" i="235"/>
  <c r="K15" i="235"/>
  <c r="I15" i="235"/>
  <c r="H15" i="235"/>
  <c r="G15" i="235"/>
  <c r="S14" i="235"/>
  <c r="Q14" i="235"/>
  <c r="O14" i="235"/>
  <c r="M14" i="235"/>
  <c r="K14" i="235"/>
  <c r="I14" i="235"/>
  <c r="H14" i="235"/>
  <c r="G14" i="235"/>
  <c r="S13" i="235"/>
  <c r="Q13" i="235"/>
  <c r="O13" i="235"/>
  <c r="M13" i="235"/>
  <c r="K13" i="235"/>
  <c r="I13" i="235"/>
  <c r="H13" i="235"/>
  <c r="G13" i="235"/>
  <c r="S12" i="235"/>
  <c r="Q12" i="235"/>
  <c r="O12" i="235"/>
  <c r="M12" i="235"/>
  <c r="K12" i="235"/>
  <c r="I12" i="235"/>
  <c r="H12" i="235"/>
  <c r="G12" i="235"/>
  <c r="S11" i="235"/>
  <c r="Q11" i="235"/>
  <c r="O11" i="235"/>
  <c r="M11" i="235"/>
  <c r="K11" i="235"/>
  <c r="I11" i="235"/>
  <c r="H11" i="235"/>
  <c r="G11" i="235"/>
  <c r="S10" i="235"/>
  <c r="Q10" i="235"/>
  <c r="O10" i="235"/>
  <c r="M10" i="235"/>
  <c r="K10" i="235"/>
  <c r="I10" i="235"/>
  <c r="H10" i="235"/>
  <c r="G10" i="235"/>
  <c r="S9" i="235"/>
  <c r="Q9" i="235"/>
  <c r="O9" i="235"/>
  <c r="M9" i="235"/>
  <c r="K9" i="235"/>
  <c r="I9" i="235"/>
  <c r="H9" i="235"/>
  <c r="G9" i="235"/>
  <c r="S8" i="235"/>
  <c r="Q8" i="235"/>
  <c r="O8" i="235"/>
  <c r="M8" i="235"/>
  <c r="K8" i="235"/>
  <c r="I8" i="235"/>
  <c r="H8" i="235"/>
  <c r="G8" i="235"/>
  <c r="S7" i="235"/>
  <c r="Q7" i="235"/>
  <c r="O7" i="235"/>
  <c r="M7" i="235"/>
  <c r="K7" i="235"/>
  <c r="K4" i="235" s="1"/>
  <c r="I7" i="235"/>
  <c r="H7" i="235"/>
  <c r="G7" i="235"/>
  <c r="S6" i="235"/>
  <c r="Q6" i="235"/>
  <c r="O6" i="235"/>
  <c r="M6" i="235"/>
  <c r="K6" i="235"/>
  <c r="I6" i="235"/>
  <c r="H6" i="235"/>
  <c r="G6" i="235"/>
  <c r="S5" i="235"/>
  <c r="Q5" i="235"/>
  <c r="O5" i="235"/>
  <c r="M5" i="235"/>
  <c r="K5" i="235"/>
  <c r="I5" i="235"/>
  <c r="H5" i="235"/>
  <c r="G5" i="235"/>
  <c r="T4" i="235"/>
  <c r="R4" i="235"/>
  <c r="P4" i="235"/>
  <c r="Q4" i="235" s="1"/>
  <c r="N4" i="235"/>
  <c r="O4" i="235" s="1"/>
  <c r="L4" i="235"/>
  <c r="M4" i="235" s="1"/>
  <c r="J4" i="235"/>
  <c r="I4" i="235"/>
  <c r="F4" i="235"/>
  <c r="E4" i="235"/>
  <c r="G2" i="235" s="1"/>
  <c r="D4" i="235"/>
  <c r="C4" i="235"/>
  <c r="B4" i="235"/>
  <c r="I2" i="235"/>
  <c r="S15" i="234"/>
  <c r="Q15" i="234"/>
  <c r="O15" i="234"/>
  <c r="M15" i="234"/>
  <c r="K15" i="234"/>
  <c r="I15" i="234"/>
  <c r="H15" i="234"/>
  <c r="G15" i="234"/>
  <c r="S14" i="234"/>
  <c r="Q14" i="234"/>
  <c r="O14" i="234"/>
  <c r="M14" i="234"/>
  <c r="K14" i="234"/>
  <c r="I14" i="234"/>
  <c r="H14" i="234"/>
  <c r="G14" i="234"/>
  <c r="S13" i="234"/>
  <c r="Q13" i="234"/>
  <c r="O13" i="234"/>
  <c r="M13" i="234"/>
  <c r="K13" i="234"/>
  <c r="I13" i="234"/>
  <c r="H13" i="234"/>
  <c r="G13" i="234"/>
  <c r="S12" i="234"/>
  <c r="Q12" i="234"/>
  <c r="O12" i="234"/>
  <c r="M12" i="234"/>
  <c r="K12" i="234"/>
  <c r="I12" i="234"/>
  <c r="H12" i="234"/>
  <c r="G12" i="234"/>
  <c r="S11" i="234"/>
  <c r="Q11" i="234"/>
  <c r="O11" i="234"/>
  <c r="M11" i="234"/>
  <c r="K11" i="234"/>
  <c r="I11" i="234"/>
  <c r="H11" i="234"/>
  <c r="G11" i="234"/>
  <c r="S10" i="234"/>
  <c r="Q10" i="234"/>
  <c r="O10" i="234"/>
  <c r="M10" i="234"/>
  <c r="K10" i="234"/>
  <c r="I10" i="234"/>
  <c r="H10" i="234"/>
  <c r="G10" i="234"/>
  <c r="S9" i="234"/>
  <c r="Q9" i="234"/>
  <c r="O9" i="234"/>
  <c r="M9" i="234"/>
  <c r="K9" i="234"/>
  <c r="I9" i="234"/>
  <c r="H9" i="234"/>
  <c r="G9" i="234"/>
  <c r="S8" i="234"/>
  <c r="Q8" i="234"/>
  <c r="O8" i="234"/>
  <c r="M8" i="234"/>
  <c r="K8" i="234"/>
  <c r="I8" i="234"/>
  <c r="H8" i="234"/>
  <c r="G8" i="234"/>
  <c r="S7" i="234"/>
  <c r="Q7" i="234"/>
  <c r="O7" i="234"/>
  <c r="M7" i="234"/>
  <c r="K7" i="234"/>
  <c r="I7" i="234"/>
  <c r="H7" i="234"/>
  <c r="G7" i="234"/>
  <c r="S6" i="234"/>
  <c r="Q6" i="234"/>
  <c r="O6" i="234"/>
  <c r="M6" i="234"/>
  <c r="K6" i="234"/>
  <c r="I6" i="234"/>
  <c r="H6" i="234"/>
  <c r="G6" i="234"/>
  <c r="S5" i="234"/>
  <c r="Q5" i="234"/>
  <c r="O5" i="234"/>
  <c r="M5" i="234"/>
  <c r="K5" i="234"/>
  <c r="I5" i="234"/>
  <c r="H5" i="234"/>
  <c r="G5" i="234"/>
  <c r="T4" i="234"/>
  <c r="R4" i="234"/>
  <c r="S4" i="234" s="1"/>
  <c r="Q4" i="234"/>
  <c r="P4" i="234"/>
  <c r="N4" i="234"/>
  <c r="M4" i="234"/>
  <c r="L4" i="234"/>
  <c r="K4" i="234"/>
  <c r="J4" i="234"/>
  <c r="I4" i="234"/>
  <c r="F4" i="234"/>
  <c r="E4" i="234"/>
  <c r="D4" i="234"/>
  <c r="C4" i="234"/>
  <c r="B4" i="234"/>
  <c r="I2" i="234"/>
  <c r="S15" i="233"/>
  <c r="Q15" i="233"/>
  <c r="O15" i="233"/>
  <c r="M15" i="233"/>
  <c r="K15" i="233"/>
  <c r="I15" i="233"/>
  <c r="H15" i="233"/>
  <c r="G15" i="233"/>
  <c r="S14" i="233"/>
  <c r="Q14" i="233"/>
  <c r="O14" i="233"/>
  <c r="M14" i="233"/>
  <c r="K14" i="233"/>
  <c r="I14" i="233"/>
  <c r="H14" i="233"/>
  <c r="G14" i="233"/>
  <c r="S13" i="233"/>
  <c r="Q13" i="233"/>
  <c r="O13" i="233"/>
  <c r="M13" i="233"/>
  <c r="K13" i="233"/>
  <c r="I13" i="233"/>
  <c r="H13" i="233"/>
  <c r="G13" i="233"/>
  <c r="S12" i="233"/>
  <c r="Q12" i="233"/>
  <c r="O12" i="233"/>
  <c r="M12" i="233"/>
  <c r="K12" i="233"/>
  <c r="I12" i="233"/>
  <c r="H12" i="233"/>
  <c r="G12" i="233"/>
  <c r="S11" i="233"/>
  <c r="Q11" i="233"/>
  <c r="O11" i="233"/>
  <c r="M11" i="233"/>
  <c r="K11" i="233"/>
  <c r="I11" i="233"/>
  <c r="H11" i="233"/>
  <c r="G11" i="233"/>
  <c r="S10" i="233"/>
  <c r="Q10" i="233"/>
  <c r="O10" i="233"/>
  <c r="M10" i="233"/>
  <c r="K10" i="233"/>
  <c r="I10" i="233"/>
  <c r="H10" i="233"/>
  <c r="G10" i="233"/>
  <c r="S9" i="233"/>
  <c r="Q9" i="233"/>
  <c r="O9" i="233"/>
  <c r="M9" i="233"/>
  <c r="K9" i="233"/>
  <c r="I9" i="233"/>
  <c r="H9" i="233"/>
  <c r="G9" i="233"/>
  <c r="S8" i="233"/>
  <c r="Q8" i="233"/>
  <c r="O8" i="233"/>
  <c r="M8" i="233"/>
  <c r="K8" i="233"/>
  <c r="I8" i="233"/>
  <c r="H8" i="233"/>
  <c r="G8" i="233"/>
  <c r="S7" i="233"/>
  <c r="Q7" i="233"/>
  <c r="O7" i="233"/>
  <c r="M7" i="233"/>
  <c r="K7" i="233"/>
  <c r="I7" i="233"/>
  <c r="H7" i="233"/>
  <c r="G7" i="233"/>
  <c r="S6" i="233"/>
  <c r="Q6" i="233"/>
  <c r="O6" i="233"/>
  <c r="M6" i="233"/>
  <c r="K6" i="233"/>
  <c r="I6" i="233"/>
  <c r="H6" i="233"/>
  <c r="G6" i="233"/>
  <c r="S5" i="233"/>
  <c r="Q5" i="233"/>
  <c r="O5" i="233"/>
  <c r="M5" i="233"/>
  <c r="K5" i="233"/>
  <c r="K4" i="233" s="1"/>
  <c r="I5" i="233"/>
  <c r="H5" i="233"/>
  <c r="G5" i="233"/>
  <c r="T4" i="233"/>
  <c r="R4" i="233"/>
  <c r="S4" i="233" s="1"/>
  <c r="P4" i="233"/>
  <c r="Q4" i="233" s="1"/>
  <c r="N4" i="233"/>
  <c r="L4" i="233"/>
  <c r="J4" i="233"/>
  <c r="O4" i="233" s="1"/>
  <c r="F4" i="233"/>
  <c r="E4" i="233"/>
  <c r="I4" i="233" s="1"/>
  <c r="D4" i="233"/>
  <c r="H4" i="233" s="1"/>
  <c r="C4" i="233"/>
  <c r="G4" i="233" s="1"/>
  <c r="B4" i="233"/>
  <c r="I2" i="233" s="1"/>
  <c r="G2" i="233"/>
  <c r="S15" i="232"/>
  <c r="Q15" i="232"/>
  <c r="O15" i="232"/>
  <c r="M15" i="232"/>
  <c r="K15" i="232"/>
  <c r="I15" i="232"/>
  <c r="H15" i="232"/>
  <c r="G15" i="232"/>
  <c r="S14" i="232"/>
  <c r="Q14" i="232"/>
  <c r="O14" i="232"/>
  <c r="M14" i="232"/>
  <c r="K14" i="232"/>
  <c r="I14" i="232"/>
  <c r="H14" i="232"/>
  <c r="G14" i="232"/>
  <c r="S13" i="232"/>
  <c r="Q13" i="232"/>
  <c r="O13" i="232"/>
  <c r="M13" i="232"/>
  <c r="K13" i="232"/>
  <c r="I13" i="232"/>
  <c r="H13" i="232"/>
  <c r="G13" i="232"/>
  <c r="R12" i="232"/>
  <c r="S12" i="232" s="1"/>
  <c r="Q12" i="232"/>
  <c r="O12" i="232"/>
  <c r="M12" i="232"/>
  <c r="K12" i="232"/>
  <c r="I12" i="232"/>
  <c r="H12" i="232"/>
  <c r="G12" i="232"/>
  <c r="S11" i="232"/>
  <c r="Q11" i="232"/>
  <c r="O11" i="232"/>
  <c r="M11" i="232"/>
  <c r="K11" i="232"/>
  <c r="I11" i="232"/>
  <c r="H11" i="232"/>
  <c r="G11" i="232"/>
  <c r="S10" i="232"/>
  <c r="Q10" i="232"/>
  <c r="O10" i="232"/>
  <c r="M10" i="232"/>
  <c r="K10" i="232"/>
  <c r="I10" i="232"/>
  <c r="H10" i="232"/>
  <c r="G10" i="232"/>
  <c r="S9" i="232"/>
  <c r="Q9" i="232"/>
  <c r="O9" i="232"/>
  <c r="M9" i="232"/>
  <c r="K9" i="232"/>
  <c r="I9" i="232"/>
  <c r="H9" i="232"/>
  <c r="G9" i="232"/>
  <c r="S8" i="232"/>
  <c r="Q8" i="232"/>
  <c r="O8" i="232"/>
  <c r="M8" i="232"/>
  <c r="K8" i="232"/>
  <c r="I8" i="232"/>
  <c r="H8" i="232"/>
  <c r="G8" i="232"/>
  <c r="S7" i="232"/>
  <c r="Q7" i="232"/>
  <c r="O7" i="232"/>
  <c r="M7" i="232"/>
  <c r="K7" i="232"/>
  <c r="I7" i="232"/>
  <c r="H7" i="232"/>
  <c r="G7" i="232"/>
  <c r="S6" i="232"/>
  <c r="Q6" i="232"/>
  <c r="O6" i="232"/>
  <c r="M6" i="232"/>
  <c r="K6" i="232"/>
  <c r="I6" i="232"/>
  <c r="H6" i="232"/>
  <c r="G6" i="232"/>
  <c r="S5" i="232"/>
  <c r="Q5" i="232"/>
  <c r="O5" i="232"/>
  <c r="M5" i="232"/>
  <c r="K5" i="232"/>
  <c r="K4" i="232" s="1"/>
  <c r="I5" i="232"/>
  <c r="H5" i="232"/>
  <c r="G5" i="232"/>
  <c r="T4" i="232"/>
  <c r="R4" i="232"/>
  <c r="S4" i="232" s="1"/>
  <c r="Q4" i="232"/>
  <c r="P4" i="232"/>
  <c r="N4" i="232"/>
  <c r="O4" i="232" s="1"/>
  <c r="L4" i="232"/>
  <c r="M4" i="232" s="1"/>
  <c r="J4" i="232"/>
  <c r="H4" i="232"/>
  <c r="F4" i="232"/>
  <c r="E4" i="232"/>
  <c r="G4" i="232" s="1"/>
  <c r="D4" i="232"/>
  <c r="C4" i="232"/>
  <c r="B4" i="232"/>
  <c r="G2" i="232"/>
  <c r="S15" i="231"/>
  <c r="Q15" i="231"/>
  <c r="O15" i="231"/>
  <c r="M15" i="231"/>
  <c r="K15" i="231"/>
  <c r="I15" i="231"/>
  <c r="H15" i="231"/>
  <c r="G15" i="231"/>
  <c r="S14" i="231"/>
  <c r="Q14" i="231"/>
  <c r="O14" i="231"/>
  <c r="M14" i="231"/>
  <c r="K14" i="231"/>
  <c r="I14" i="231"/>
  <c r="H14" i="231"/>
  <c r="G14" i="231"/>
  <c r="S13" i="231"/>
  <c r="Q13" i="231"/>
  <c r="O13" i="231"/>
  <c r="M13" i="231"/>
  <c r="K13" i="231"/>
  <c r="I13" i="231"/>
  <c r="H13" i="231"/>
  <c r="G13" i="231"/>
  <c r="R12" i="231"/>
  <c r="Q12" i="231"/>
  <c r="O12" i="231"/>
  <c r="M12" i="231"/>
  <c r="K12" i="231"/>
  <c r="I12" i="231"/>
  <c r="H12" i="231"/>
  <c r="G12" i="231"/>
  <c r="S11" i="231"/>
  <c r="Q11" i="231"/>
  <c r="O11" i="231"/>
  <c r="M11" i="231"/>
  <c r="K11" i="231"/>
  <c r="I11" i="231"/>
  <c r="H11" i="231"/>
  <c r="G11" i="231"/>
  <c r="S10" i="231"/>
  <c r="Q10" i="231"/>
  <c r="O10" i="231"/>
  <c r="M10" i="231"/>
  <c r="K10" i="231"/>
  <c r="I10" i="231"/>
  <c r="H10" i="231"/>
  <c r="G10" i="231"/>
  <c r="S9" i="231"/>
  <c r="Q9" i="231"/>
  <c r="O9" i="231"/>
  <c r="M9" i="231"/>
  <c r="K9" i="231"/>
  <c r="I9" i="231"/>
  <c r="H9" i="231"/>
  <c r="G9" i="231"/>
  <c r="S8" i="231"/>
  <c r="Q8" i="231"/>
  <c r="O8" i="231"/>
  <c r="M8" i="231"/>
  <c r="K8" i="231"/>
  <c r="I8" i="231"/>
  <c r="H8" i="231"/>
  <c r="G8" i="231"/>
  <c r="S7" i="231"/>
  <c r="Q7" i="231"/>
  <c r="O7" i="231"/>
  <c r="M7" i="231"/>
  <c r="K7" i="231"/>
  <c r="I7" i="231"/>
  <c r="H7" i="231"/>
  <c r="G7" i="231"/>
  <c r="S6" i="231"/>
  <c r="Q6" i="231"/>
  <c r="O6" i="231"/>
  <c r="M6" i="231"/>
  <c r="K6" i="231"/>
  <c r="I6" i="231"/>
  <c r="H6" i="231"/>
  <c r="G6" i="231"/>
  <c r="S5" i="231"/>
  <c r="Q5" i="231"/>
  <c r="O5" i="231"/>
  <c r="M5" i="231"/>
  <c r="K5" i="231"/>
  <c r="K4" i="231" s="1"/>
  <c r="I5" i="231"/>
  <c r="H5" i="231"/>
  <c r="G5" i="231"/>
  <c r="T4" i="231"/>
  <c r="P4" i="231"/>
  <c r="Q4" i="231" s="1"/>
  <c r="N4" i="231"/>
  <c r="O4" i="231" s="1"/>
  <c r="L4" i="231"/>
  <c r="J4" i="231"/>
  <c r="H4" i="231"/>
  <c r="F4" i="231"/>
  <c r="E4" i="231"/>
  <c r="I4" i="231" s="1"/>
  <c r="D4" i="231"/>
  <c r="C4" i="231"/>
  <c r="G4" i="231" s="1"/>
  <c r="B4" i="231"/>
  <c r="I2" i="231" s="1"/>
  <c r="G2" i="231"/>
  <c r="S15" i="230"/>
  <c r="Q15" i="230"/>
  <c r="O15" i="230"/>
  <c r="M15" i="230"/>
  <c r="K15" i="230"/>
  <c r="I15" i="230"/>
  <c r="H15" i="230"/>
  <c r="G15" i="230"/>
  <c r="S14" i="230"/>
  <c r="Q14" i="230"/>
  <c r="O14" i="230"/>
  <c r="M14" i="230"/>
  <c r="K14" i="230"/>
  <c r="I14" i="230"/>
  <c r="H14" i="230"/>
  <c r="G14" i="230"/>
  <c r="S13" i="230"/>
  <c r="Q13" i="230"/>
  <c r="O13" i="230"/>
  <c r="M13" i="230"/>
  <c r="K13" i="230"/>
  <c r="I13" i="230"/>
  <c r="H13" i="230"/>
  <c r="G13" i="230"/>
  <c r="S12" i="230"/>
  <c r="R12" i="230"/>
  <c r="Q12" i="230"/>
  <c r="O12" i="230"/>
  <c r="M12" i="230"/>
  <c r="K12" i="230"/>
  <c r="I12" i="230"/>
  <c r="H12" i="230"/>
  <c r="G12" i="230"/>
  <c r="S11" i="230"/>
  <c r="Q11" i="230"/>
  <c r="O11" i="230"/>
  <c r="M11" i="230"/>
  <c r="K11" i="230"/>
  <c r="I11" i="230"/>
  <c r="H11" i="230"/>
  <c r="G11" i="230"/>
  <c r="S10" i="230"/>
  <c r="Q10" i="230"/>
  <c r="O10" i="230"/>
  <c r="M10" i="230"/>
  <c r="K10" i="230"/>
  <c r="I10" i="230"/>
  <c r="H10" i="230"/>
  <c r="G10" i="230"/>
  <c r="S9" i="230"/>
  <c r="Q9" i="230"/>
  <c r="O9" i="230"/>
  <c r="M9" i="230"/>
  <c r="K9" i="230"/>
  <c r="I9" i="230"/>
  <c r="H9" i="230"/>
  <c r="G9" i="230"/>
  <c r="S8" i="230"/>
  <c r="Q8" i="230"/>
  <c r="O8" i="230"/>
  <c r="M8" i="230"/>
  <c r="K8" i="230"/>
  <c r="I8" i="230"/>
  <c r="H8" i="230"/>
  <c r="G8" i="230"/>
  <c r="S7" i="230"/>
  <c r="Q7" i="230"/>
  <c r="O7" i="230"/>
  <c r="M7" i="230"/>
  <c r="K7" i="230"/>
  <c r="I7" i="230"/>
  <c r="H7" i="230"/>
  <c r="G7" i="230"/>
  <c r="S6" i="230"/>
  <c r="Q6" i="230"/>
  <c r="O6" i="230"/>
  <c r="M6" i="230"/>
  <c r="K6" i="230"/>
  <c r="I6" i="230"/>
  <c r="H6" i="230"/>
  <c r="G6" i="230"/>
  <c r="S5" i="230"/>
  <c r="Q5" i="230"/>
  <c r="O5" i="230"/>
  <c r="M5" i="230"/>
  <c r="K5" i="230"/>
  <c r="I5" i="230"/>
  <c r="H5" i="230"/>
  <c r="G5" i="230"/>
  <c r="T4" i="230"/>
  <c r="R4" i="230"/>
  <c r="P4" i="230"/>
  <c r="N4" i="230"/>
  <c r="L4" i="230"/>
  <c r="M4" i="230" s="1"/>
  <c r="J4" i="230"/>
  <c r="F4" i="230"/>
  <c r="E4" i="230"/>
  <c r="D4" i="230"/>
  <c r="C4" i="230"/>
  <c r="B4" i="230"/>
  <c r="I2" i="230"/>
  <c r="R15" i="229"/>
  <c r="S15" i="229" s="1"/>
  <c r="Q15" i="229"/>
  <c r="P15" i="229"/>
  <c r="O15" i="229"/>
  <c r="M15" i="229"/>
  <c r="K15" i="229"/>
  <c r="I15" i="229"/>
  <c r="H15" i="229"/>
  <c r="G15" i="229"/>
  <c r="S14" i="229"/>
  <c r="R14" i="229"/>
  <c r="P14" i="229"/>
  <c r="Q14" i="229" s="1"/>
  <c r="O14" i="229"/>
  <c r="M14" i="229"/>
  <c r="K14" i="229"/>
  <c r="I14" i="229"/>
  <c r="H14" i="229"/>
  <c r="G14" i="229"/>
  <c r="R13" i="229"/>
  <c r="P13" i="229"/>
  <c r="Q13" i="229" s="1"/>
  <c r="O13" i="229"/>
  <c r="M13" i="229"/>
  <c r="K13" i="229"/>
  <c r="I13" i="229"/>
  <c r="H13" i="229"/>
  <c r="G13" i="229"/>
  <c r="R12" i="229"/>
  <c r="S12" i="229" s="1"/>
  <c r="Q12" i="229"/>
  <c r="O12" i="229"/>
  <c r="M12" i="229"/>
  <c r="K12" i="229"/>
  <c r="I12" i="229"/>
  <c r="H12" i="229"/>
  <c r="G12" i="229"/>
  <c r="S11" i="229"/>
  <c r="R11" i="229"/>
  <c r="Q11" i="229"/>
  <c r="P11" i="229"/>
  <c r="O11" i="229"/>
  <c r="M11" i="229"/>
  <c r="K11" i="229"/>
  <c r="I11" i="229"/>
  <c r="H11" i="229"/>
  <c r="G11" i="229"/>
  <c r="S10" i="229"/>
  <c r="R10" i="229"/>
  <c r="Q10" i="229"/>
  <c r="P10" i="229"/>
  <c r="O10" i="229"/>
  <c r="M10" i="229"/>
  <c r="K10" i="229"/>
  <c r="I10" i="229"/>
  <c r="H10" i="229"/>
  <c r="G10" i="229"/>
  <c r="S9" i="229"/>
  <c r="R9" i="229"/>
  <c r="Q9" i="229"/>
  <c r="P9" i="229"/>
  <c r="O9" i="229"/>
  <c r="M9" i="229"/>
  <c r="K9" i="229"/>
  <c r="I9" i="229"/>
  <c r="H9" i="229"/>
  <c r="G9" i="229"/>
  <c r="S8" i="229"/>
  <c r="R8" i="229"/>
  <c r="Q8" i="229"/>
  <c r="P8" i="229"/>
  <c r="O8" i="229"/>
  <c r="M8" i="229"/>
  <c r="K8" i="229"/>
  <c r="I8" i="229"/>
  <c r="H8" i="229"/>
  <c r="G8" i="229"/>
  <c r="S7" i="229"/>
  <c r="R7" i="229"/>
  <c r="Q7" i="229"/>
  <c r="P7" i="229"/>
  <c r="O7" i="229"/>
  <c r="M7" i="229"/>
  <c r="K7" i="229"/>
  <c r="I7" i="229"/>
  <c r="H7" i="229"/>
  <c r="G7" i="229"/>
  <c r="S6" i="229"/>
  <c r="R6" i="229"/>
  <c r="Q6" i="229"/>
  <c r="P6" i="229"/>
  <c r="O6" i="229"/>
  <c r="M6" i="229"/>
  <c r="K6" i="229"/>
  <c r="I6" i="229"/>
  <c r="H6" i="229"/>
  <c r="G6" i="229"/>
  <c r="S5" i="229"/>
  <c r="R5" i="229"/>
  <c r="Q5" i="229"/>
  <c r="P5" i="229"/>
  <c r="O5" i="229"/>
  <c r="M5" i="229"/>
  <c r="K5" i="229"/>
  <c r="K4" i="229" s="1"/>
  <c r="I5" i="229"/>
  <c r="H5" i="229"/>
  <c r="G5" i="229"/>
  <c r="T4" i="229"/>
  <c r="P4" i="229"/>
  <c r="Q4" i="229" s="1"/>
  <c r="N4" i="229"/>
  <c r="L4" i="229"/>
  <c r="J4" i="229"/>
  <c r="O4" i="229" s="1"/>
  <c r="F4" i="229"/>
  <c r="E4" i="229"/>
  <c r="I4" i="229" s="1"/>
  <c r="D4" i="229"/>
  <c r="H4" i="229" s="1"/>
  <c r="C4" i="229"/>
  <c r="G4" i="229" s="1"/>
  <c r="B4" i="229"/>
  <c r="I2" i="229" s="1"/>
  <c r="G2" i="229"/>
  <c r="R15" i="228"/>
  <c r="S15" i="228" s="1"/>
  <c r="P15" i="228"/>
  <c r="Q15" i="228" s="1"/>
  <c r="O15" i="228"/>
  <c r="M15" i="228"/>
  <c r="K15" i="228"/>
  <c r="I15" i="228"/>
  <c r="H15" i="228"/>
  <c r="G15" i="228"/>
  <c r="R14" i="228"/>
  <c r="S14" i="228" s="1"/>
  <c r="P14" i="228"/>
  <c r="P4" i="228" s="1"/>
  <c r="O14" i="228"/>
  <c r="M14" i="228"/>
  <c r="K14" i="228"/>
  <c r="I14" i="228"/>
  <c r="H14" i="228"/>
  <c r="G14" i="228"/>
  <c r="R13" i="228"/>
  <c r="S13" i="228" s="1"/>
  <c r="P13" i="228"/>
  <c r="Q13" i="228" s="1"/>
  <c r="O13" i="228"/>
  <c r="M13" i="228"/>
  <c r="K13" i="228"/>
  <c r="I13" i="228"/>
  <c r="H13" i="228"/>
  <c r="G13" i="228"/>
  <c r="R12" i="228"/>
  <c r="S12" i="228" s="1"/>
  <c r="Q12" i="228"/>
  <c r="O12" i="228"/>
  <c r="M12" i="228"/>
  <c r="K12" i="228"/>
  <c r="I12" i="228"/>
  <c r="H12" i="228"/>
  <c r="G12" i="228"/>
  <c r="S11" i="228"/>
  <c r="R11" i="228"/>
  <c r="Q11" i="228"/>
  <c r="P11" i="228"/>
  <c r="O11" i="228"/>
  <c r="M11" i="228"/>
  <c r="K11" i="228"/>
  <c r="I11" i="228"/>
  <c r="H11" i="228"/>
  <c r="G11" i="228"/>
  <c r="S10" i="228"/>
  <c r="R10" i="228"/>
  <c r="Q10" i="228"/>
  <c r="P10" i="228"/>
  <c r="O10" i="228"/>
  <c r="M10" i="228"/>
  <c r="K10" i="228"/>
  <c r="I10" i="228"/>
  <c r="H10" i="228"/>
  <c r="G10" i="228"/>
  <c r="S9" i="228"/>
  <c r="R9" i="228"/>
  <c r="Q9" i="228"/>
  <c r="P9" i="228"/>
  <c r="O9" i="228"/>
  <c r="M9" i="228"/>
  <c r="K9" i="228"/>
  <c r="I9" i="228"/>
  <c r="H9" i="228"/>
  <c r="G9" i="228"/>
  <c r="S8" i="228"/>
  <c r="R8" i="228"/>
  <c r="Q8" i="228"/>
  <c r="P8" i="228"/>
  <c r="O8" i="228"/>
  <c r="M8" i="228"/>
  <c r="K8" i="228"/>
  <c r="I8" i="228"/>
  <c r="H8" i="228"/>
  <c r="G8" i="228"/>
  <c r="S7" i="228"/>
  <c r="R7" i="228"/>
  <c r="Q7" i="228"/>
  <c r="P7" i="228"/>
  <c r="O7" i="228"/>
  <c r="M7" i="228"/>
  <c r="K7" i="228"/>
  <c r="I7" i="228"/>
  <c r="H7" i="228"/>
  <c r="G7" i="228"/>
  <c r="S6" i="228"/>
  <c r="R6" i="228"/>
  <c r="Q6" i="228"/>
  <c r="P6" i="228"/>
  <c r="O6" i="228"/>
  <c r="M6" i="228"/>
  <c r="K6" i="228"/>
  <c r="I6" i="228"/>
  <c r="H6" i="228"/>
  <c r="G6" i="228"/>
  <c r="S5" i="228"/>
  <c r="R5" i="228"/>
  <c r="Q5" i="228"/>
  <c r="P5" i="228"/>
  <c r="O5" i="228"/>
  <c r="M5" i="228"/>
  <c r="K5" i="228"/>
  <c r="I5" i="228"/>
  <c r="H5" i="228"/>
  <c r="G5" i="228"/>
  <c r="T4" i="228"/>
  <c r="Q4" i="228"/>
  <c r="N4" i="228"/>
  <c r="O4" i="228" s="1"/>
  <c r="M4" i="228"/>
  <c r="L4" i="228"/>
  <c r="J4" i="228"/>
  <c r="H4" i="228"/>
  <c r="F4" i="228"/>
  <c r="E4" i="228"/>
  <c r="G4" i="228" s="1"/>
  <c r="D4" i="228"/>
  <c r="C4" i="228"/>
  <c r="B4" i="228"/>
  <c r="G2" i="228"/>
  <c r="R15" i="227"/>
  <c r="S15" i="227" s="1"/>
  <c r="Q15" i="227"/>
  <c r="P15" i="227"/>
  <c r="O15" i="227"/>
  <c r="M15" i="227"/>
  <c r="K15" i="227"/>
  <c r="I15" i="227"/>
  <c r="H15" i="227"/>
  <c r="G15" i="227"/>
  <c r="S14" i="227"/>
  <c r="R14" i="227"/>
  <c r="P14" i="227"/>
  <c r="Q14" i="227" s="1"/>
  <c r="O14" i="227"/>
  <c r="M14" i="227"/>
  <c r="K14" i="227"/>
  <c r="I14" i="227"/>
  <c r="H14" i="227"/>
  <c r="G14" i="227"/>
  <c r="R13" i="227"/>
  <c r="S13" i="227" s="1"/>
  <c r="P13" i="227"/>
  <c r="Q13" i="227" s="1"/>
  <c r="O13" i="227"/>
  <c r="M13" i="227"/>
  <c r="K13" i="227"/>
  <c r="I13" i="227"/>
  <c r="H13" i="227"/>
  <c r="G13" i="227"/>
  <c r="R12" i="227"/>
  <c r="S12" i="227" s="1"/>
  <c r="Q12" i="227"/>
  <c r="O12" i="227"/>
  <c r="M12" i="227"/>
  <c r="K12" i="227"/>
  <c r="I12" i="227"/>
  <c r="H12" i="227"/>
  <c r="G12" i="227"/>
  <c r="S11" i="227"/>
  <c r="R11" i="227"/>
  <c r="P11" i="227"/>
  <c r="Q11" i="227" s="1"/>
  <c r="O11" i="227"/>
  <c r="M11" i="227"/>
  <c r="K11" i="227"/>
  <c r="I11" i="227"/>
  <c r="H11" i="227"/>
  <c r="G11" i="227"/>
  <c r="R10" i="227"/>
  <c r="S10" i="227" s="1"/>
  <c r="Q10" i="227"/>
  <c r="P10" i="227"/>
  <c r="O10" i="227"/>
  <c r="M10" i="227"/>
  <c r="K10" i="227"/>
  <c r="I10" i="227"/>
  <c r="H10" i="227"/>
  <c r="G10" i="227"/>
  <c r="S9" i="227"/>
  <c r="R9" i="227"/>
  <c r="P9" i="227"/>
  <c r="Q9" i="227" s="1"/>
  <c r="O9" i="227"/>
  <c r="M9" i="227"/>
  <c r="K9" i="227"/>
  <c r="I9" i="227"/>
  <c r="H9" i="227"/>
  <c r="G9" i="227"/>
  <c r="R8" i="227"/>
  <c r="S8" i="227" s="1"/>
  <c r="Q8" i="227"/>
  <c r="P8" i="227"/>
  <c r="O8" i="227"/>
  <c r="M8" i="227"/>
  <c r="K8" i="227"/>
  <c r="I8" i="227"/>
  <c r="H8" i="227"/>
  <c r="G8" i="227"/>
  <c r="S7" i="227"/>
  <c r="R7" i="227"/>
  <c r="P7" i="227"/>
  <c r="Q7" i="227" s="1"/>
  <c r="O7" i="227"/>
  <c r="M7" i="227"/>
  <c r="K7" i="227"/>
  <c r="I7" i="227"/>
  <c r="H7" i="227"/>
  <c r="G7" i="227"/>
  <c r="R6" i="227"/>
  <c r="S6" i="227" s="1"/>
  <c r="Q6" i="227"/>
  <c r="P6" i="227"/>
  <c r="O6" i="227"/>
  <c r="M6" i="227"/>
  <c r="K6" i="227"/>
  <c r="I6" i="227"/>
  <c r="H6" i="227"/>
  <c r="G6" i="227"/>
  <c r="S5" i="227"/>
  <c r="R5" i="227"/>
  <c r="P5" i="227"/>
  <c r="Q5" i="227" s="1"/>
  <c r="O5" i="227"/>
  <c r="M5" i="227"/>
  <c r="K5" i="227"/>
  <c r="I5" i="227"/>
  <c r="H5" i="227"/>
  <c r="G5" i="227"/>
  <c r="T4" i="227"/>
  <c r="P4" i="227"/>
  <c r="Q4" i="227" s="1"/>
  <c r="N4" i="227"/>
  <c r="O4" i="227" s="1"/>
  <c r="L4" i="227"/>
  <c r="M4" i="227" s="1"/>
  <c r="J4" i="227"/>
  <c r="F4" i="227"/>
  <c r="E4" i="227"/>
  <c r="D4" i="227"/>
  <c r="H4" i="227" s="1"/>
  <c r="C4" i="227"/>
  <c r="G2" i="227" s="1"/>
  <c r="B4" i="227"/>
  <c r="I2" i="227" s="1"/>
  <c r="S19" i="226"/>
  <c r="Q19" i="226"/>
  <c r="N19" i="226"/>
  <c r="O19" i="226" s="1"/>
  <c r="M19" i="226"/>
  <c r="K19" i="226"/>
  <c r="H19" i="226"/>
  <c r="G19" i="226"/>
  <c r="B19" i="226"/>
  <c r="S18" i="226"/>
  <c r="Q18" i="226"/>
  <c r="O18" i="226"/>
  <c r="M18" i="226"/>
  <c r="K18" i="226"/>
  <c r="I18" i="226"/>
  <c r="H18" i="226"/>
  <c r="G18" i="226"/>
  <c r="S17" i="226"/>
  <c r="Q17" i="226"/>
  <c r="O17" i="226"/>
  <c r="M17" i="226"/>
  <c r="K17" i="226"/>
  <c r="I17" i="226"/>
  <c r="H17" i="226"/>
  <c r="G17" i="226"/>
  <c r="S16" i="226"/>
  <c r="Q16" i="226"/>
  <c r="O16" i="226"/>
  <c r="M16" i="226"/>
  <c r="K16" i="226"/>
  <c r="I16" i="226"/>
  <c r="H16" i="226"/>
  <c r="G16" i="226"/>
  <c r="S15" i="226"/>
  <c r="Q15" i="226"/>
  <c r="O15" i="226"/>
  <c r="M15" i="226"/>
  <c r="K15" i="226"/>
  <c r="I15" i="226"/>
  <c r="H15" i="226"/>
  <c r="G15" i="226"/>
  <c r="S14" i="226"/>
  <c r="Q14" i="226"/>
  <c r="O14" i="226"/>
  <c r="N14" i="226"/>
  <c r="M14" i="226"/>
  <c r="K14" i="226"/>
  <c r="I14" i="226"/>
  <c r="H14" i="226"/>
  <c r="G14" i="226"/>
  <c r="S13" i="226"/>
  <c r="Q13" i="226"/>
  <c r="O13" i="226"/>
  <c r="M13" i="226"/>
  <c r="K13" i="226"/>
  <c r="I13" i="226"/>
  <c r="H13" i="226"/>
  <c r="G13" i="226"/>
  <c r="S12" i="226"/>
  <c r="Q12" i="226"/>
  <c r="O12" i="226"/>
  <c r="M12" i="226"/>
  <c r="K12" i="226"/>
  <c r="I12" i="226"/>
  <c r="H12" i="226"/>
  <c r="G12" i="226"/>
  <c r="S11" i="226"/>
  <c r="Q11" i="226"/>
  <c r="O11" i="226"/>
  <c r="M11" i="226"/>
  <c r="K11" i="226"/>
  <c r="I11" i="226"/>
  <c r="H11" i="226"/>
  <c r="G11" i="226"/>
  <c r="S10" i="226"/>
  <c r="Q10" i="226"/>
  <c r="O10" i="226"/>
  <c r="M10" i="226"/>
  <c r="K10" i="226"/>
  <c r="I10" i="226"/>
  <c r="H10" i="226"/>
  <c r="G10" i="226"/>
  <c r="S9" i="226"/>
  <c r="Q9" i="226"/>
  <c r="O9" i="226"/>
  <c r="N9" i="226"/>
  <c r="M9" i="226"/>
  <c r="K9" i="226"/>
  <c r="I9" i="226"/>
  <c r="H9" i="226"/>
  <c r="G9" i="226"/>
  <c r="S8" i="226"/>
  <c r="Q8" i="226"/>
  <c r="O8" i="226"/>
  <c r="M8" i="226"/>
  <c r="K8" i="226"/>
  <c r="I8" i="226"/>
  <c r="H8" i="226"/>
  <c r="G8" i="226"/>
  <c r="S7" i="226"/>
  <c r="Q7" i="226"/>
  <c r="O7" i="226"/>
  <c r="M7" i="226"/>
  <c r="K7" i="226"/>
  <c r="I7" i="226"/>
  <c r="H7" i="226"/>
  <c r="G7" i="226"/>
  <c r="S6" i="226"/>
  <c r="Q6" i="226"/>
  <c r="O6" i="226"/>
  <c r="M6" i="226"/>
  <c r="K6" i="226"/>
  <c r="K4" i="226" s="1"/>
  <c r="I6" i="226"/>
  <c r="H6" i="226"/>
  <c r="G6" i="226"/>
  <c r="Q5" i="226"/>
  <c r="M5" i="226"/>
  <c r="I5" i="226"/>
  <c r="H5" i="226"/>
  <c r="G5" i="226"/>
  <c r="T4" i="226"/>
  <c r="S4" i="226"/>
  <c r="R4" i="226"/>
  <c r="P4" i="226"/>
  <c r="Q4" i="226" s="1"/>
  <c r="L4" i="226"/>
  <c r="J4" i="226"/>
  <c r="H4" i="226"/>
  <c r="F4" i="226"/>
  <c r="E4" i="226"/>
  <c r="I4" i="226" s="1"/>
  <c r="D4" i="226"/>
  <c r="C4" i="226"/>
  <c r="G4" i="226" s="1"/>
  <c r="B4" i="226"/>
  <c r="G2" i="226"/>
  <c r="S19" i="225"/>
  <c r="Q19" i="225"/>
  <c r="N19" i="225"/>
  <c r="O19" i="225" s="1"/>
  <c r="M19" i="225"/>
  <c r="K19" i="225"/>
  <c r="H19" i="225"/>
  <c r="G19" i="225"/>
  <c r="B19" i="225"/>
  <c r="S18" i="225"/>
  <c r="Q18" i="225"/>
  <c r="O18" i="225"/>
  <c r="M18" i="225"/>
  <c r="K18" i="225"/>
  <c r="I18" i="225"/>
  <c r="H18" i="225"/>
  <c r="G18" i="225"/>
  <c r="S17" i="225"/>
  <c r="Q17" i="225"/>
  <c r="O17" i="225"/>
  <c r="M17" i="225"/>
  <c r="K17" i="225"/>
  <c r="I17" i="225"/>
  <c r="H17" i="225"/>
  <c r="G17" i="225"/>
  <c r="S16" i="225"/>
  <c r="Q16" i="225"/>
  <c r="O16" i="225"/>
  <c r="M16" i="225"/>
  <c r="K16" i="225"/>
  <c r="I16" i="225"/>
  <c r="H16" i="225"/>
  <c r="G16" i="225"/>
  <c r="S15" i="225"/>
  <c r="Q15" i="225"/>
  <c r="O15" i="225"/>
  <c r="M15" i="225"/>
  <c r="K15" i="225"/>
  <c r="I15" i="225"/>
  <c r="H15" i="225"/>
  <c r="G15" i="225"/>
  <c r="S14" i="225"/>
  <c r="Q14" i="225"/>
  <c r="N14" i="225"/>
  <c r="O14" i="225" s="1"/>
  <c r="M14" i="225"/>
  <c r="K14" i="225"/>
  <c r="I14" i="225"/>
  <c r="H14" i="225"/>
  <c r="G14" i="225"/>
  <c r="S13" i="225"/>
  <c r="Q13" i="225"/>
  <c r="O13" i="225"/>
  <c r="M13" i="225"/>
  <c r="K13" i="225"/>
  <c r="I13" i="225"/>
  <c r="H13" i="225"/>
  <c r="G13" i="225"/>
  <c r="S12" i="225"/>
  <c r="Q12" i="225"/>
  <c r="O12" i="225"/>
  <c r="M12" i="225"/>
  <c r="K12" i="225"/>
  <c r="I12" i="225"/>
  <c r="H12" i="225"/>
  <c r="G12" i="225"/>
  <c r="S11" i="225"/>
  <c r="Q11" i="225"/>
  <c r="O11" i="225"/>
  <c r="M11" i="225"/>
  <c r="K11" i="225"/>
  <c r="I11" i="225"/>
  <c r="H11" i="225"/>
  <c r="G11" i="225"/>
  <c r="S10" i="225"/>
  <c r="Q10" i="225"/>
  <c r="O10" i="225"/>
  <c r="M10" i="225"/>
  <c r="K10" i="225"/>
  <c r="K4" i="225" s="1"/>
  <c r="I10" i="225"/>
  <c r="H10" i="225"/>
  <c r="G10" i="225"/>
  <c r="S9" i="225"/>
  <c r="Q9" i="225"/>
  <c r="O9" i="225"/>
  <c r="N9" i="225"/>
  <c r="M9" i="225"/>
  <c r="K9" i="225"/>
  <c r="I9" i="225"/>
  <c r="H9" i="225"/>
  <c r="G9" i="225"/>
  <c r="S8" i="225"/>
  <c r="Q8" i="225"/>
  <c r="O8" i="225"/>
  <c r="M8" i="225"/>
  <c r="K8" i="225"/>
  <c r="I8" i="225"/>
  <c r="H8" i="225"/>
  <c r="G8" i="225"/>
  <c r="S7" i="225"/>
  <c r="Q7" i="225"/>
  <c r="O7" i="225"/>
  <c r="M7" i="225"/>
  <c r="K7" i="225"/>
  <c r="I7" i="225"/>
  <c r="H7" i="225"/>
  <c r="G7" i="225"/>
  <c r="S6" i="225"/>
  <c r="Q6" i="225"/>
  <c r="O6" i="225"/>
  <c r="M6" i="225"/>
  <c r="K6" i="225"/>
  <c r="I6" i="225"/>
  <c r="H6" i="225"/>
  <c r="G6" i="225"/>
  <c r="Q5" i="225"/>
  <c r="M5" i="225"/>
  <c r="I5" i="225"/>
  <c r="H5" i="225"/>
  <c r="G5" i="225"/>
  <c r="T4" i="225"/>
  <c r="S4" i="225"/>
  <c r="R4" i="225"/>
  <c r="P4" i="225"/>
  <c r="Q4" i="225" s="1"/>
  <c r="N4" i="225"/>
  <c r="O4" i="225" s="1"/>
  <c r="L4" i="225"/>
  <c r="J4" i="225"/>
  <c r="H4" i="225"/>
  <c r="F4" i="225"/>
  <c r="E4" i="225"/>
  <c r="D4" i="225"/>
  <c r="C4" i="225"/>
  <c r="G4" i="225" s="1"/>
  <c r="G2" i="225"/>
  <c r="S19" i="224"/>
  <c r="Q19" i="224"/>
  <c r="N19" i="224"/>
  <c r="O19" i="224" s="1"/>
  <c r="M19" i="224"/>
  <c r="K19" i="224"/>
  <c r="H19" i="224"/>
  <c r="G19" i="224"/>
  <c r="B19" i="224"/>
  <c r="S18" i="224"/>
  <c r="Q18" i="224"/>
  <c r="O18" i="224"/>
  <c r="M18" i="224"/>
  <c r="K18" i="224"/>
  <c r="I18" i="224"/>
  <c r="H18" i="224"/>
  <c r="G18" i="224"/>
  <c r="S17" i="224"/>
  <c r="Q17" i="224"/>
  <c r="O17" i="224"/>
  <c r="M17" i="224"/>
  <c r="K17" i="224"/>
  <c r="I17" i="224"/>
  <c r="H17" i="224"/>
  <c r="G17" i="224"/>
  <c r="S16" i="224"/>
  <c r="Q16" i="224"/>
  <c r="O16" i="224"/>
  <c r="M16" i="224"/>
  <c r="K16" i="224"/>
  <c r="I16" i="224"/>
  <c r="H16" i="224"/>
  <c r="G16" i="224"/>
  <c r="S15" i="224"/>
  <c r="Q15" i="224"/>
  <c r="O15" i="224"/>
  <c r="M15" i="224"/>
  <c r="K15" i="224"/>
  <c r="I15" i="224"/>
  <c r="H15" i="224"/>
  <c r="G15" i="224"/>
  <c r="S14" i="224"/>
  <c r="Q14" i="224"/>
  <c r="O14" i="224"/>
  <c r="N14" i="224"/>
  <c r="M14" i="224"/>
  <c r="K14" i="224"/>
  <c r="I14" i="224"/>
  <c r="H14" i="224"/>
  <c r="G14" i="224"/>
  <c r="S13" i="224"/>
  <c r="Q13" i="224"/>
  <c r="O13" i="224"/>
  <c r="M13" i="224"/>
  <c r="K13" i="224"/>
  <c r="I13" i="224"/>
  <c r="H13" i="224"/>
  <c r="G13" i="224"/>
  <c r="S12" i="224"/>
  <c r="Q12" i="224"/>
  <c r="O12" i="224"/>
  <c r="M12" i="224"/>
  <c r="K12" i="224"/>
  <c r="I12" i="224"/>
  <c r="H12" i="224"/>
  <c r="G12" i="224"/>
  <c r="S11" i="224"/>
  <c r="Q11" i="224"/>
  <c r="O11" i="224"/>
  <c r="M11" i="224"/>
  <c r="K11" i="224"/>
  <c r="I11" i="224"/>
  <c r="H11" i="224"/>
  <c r="G11" i="224"/>
  <c r="S10" i="224"/>
  <c r="Q10" i="224"/>
  <c r="O10" i="224"/>
  <c r="M10" i="224"/>
  <c r="K10" i="224"/>
  <c r="I10" i="224"/>
  <c r="H10" i="224"/>
  <c r="G10" i="224"/>
  <c r="S9" i="224"/>
  <c r="Q9" i="224"/>
  <c r="O9" i="224"/>
  <c r="N9" i="224"/>
  <c r="M9" i="224"/>
  <c r="K9" i="224"/>
  <c r="I9" i="224"/>
  <c r="H9" i="224"/>
  <c r="G9" i="224"/>
  <c r="S8" i="224"/>
  <c r="Q8" i="224"/>
  <c r="O8" i="224"/>
  <c r="M8" i="224"/>
  <c r="K8" i="224"/>
  <c r="I8" i="224"/>
  <c r="H8" i="224"/>
  <c r="G8" i="224"/>
  <c r="S7" i="224"/>
  <c r="Q7" i="224"/>
  <c r="O7" i="224"/>
  <c r="M7" i="224"/>
  <c r="K7" i="224"/>
  <c r="I7" i="224"/>
  <c r="H7" i="224"/>
  <c r="G7" i="224"/>
  <c r="S6" i="224"/>
  <c r="Q6" i="224"/>
  <c r="O6" i="224"/>
  <c r="M6" i="224"/>
  <c r="K6" i="224"/>
  <c r="I6" i="224"/>
  <c r="H6" i="224"/>
  <c r="G6" i="224"/>
  <c r="Q5" i="224"/>
  <c r="M5" i="224"/>
  <c r="I5" i="224"/>
  <c r="H5" i="224"/>
  <c r="G5" i="224"/>
  <c r="T4" i="224"/>
  <c r="R4" i="224"/>
  <c r="S4" i="224" s="1"/>
  <c r="P4" i="224"/>
  <c r="Q4" i="224" s="1"/>
  <c r="L4" i="224"/>
  <c r="M4" i="224" s="1"/>
  <c r="K4" i="224"/>
  <c r="J4" i="224"/>
  <c r="F4" i="224"/>
  <c r="E4" i="224"/>
  <c r="I4" i="224" s="1"/>
  <c r="D4" i="224"/>
  <c r="H4" i="224" s="1"/>
  <c r="C4" i="224"/>
  <c r="G4" i="224" s="1"/>
  <c r="B4" i="224"/>
  <c r="G2" i="224"/>
  <c r="S19" i="223"/>
  <c r="Q19" i="223"/>
  <c r="N19" i="223"/>
  <c r="O19" i="223" s="1"/>
  <c r="M19" i="223"/>
  <c r="K19" i="223"/>
  <c r="H19" i="223"/>
  <c r="G19" i="223"/>
  <c r="B19" i="223"/>
  <c r="S18" i="223"/>
  <c r="Q18" i="223"/>
  <c r="O18" i="223"/>
  <c r="M18" i="223"/>
  <c r="K18" i="223"/>
  <c r="I18" i="223"/>
  <c r="H18" i="223"/>
  <c r="G18" i="223"/>
  <c r="S17" i="223"/>
  <c r="Q17" i="223"/>
  <c r="O17" i="223"/>
  <c r="M17" i="223"/>
  <c r="K17" i="223"/>
  <c r="I17" i="223"/>
  <c r="H17" i="223"/>
  <c r="G17" i="223"/>
  <c r="S16" i="223"/>
  <c r="Q16" i="223"/>
  <c r="O16" i="223"/>
  <c r="M16" i="223"/>
  <c r="K16" i="223"/>
  <c r="I16" i="223"/>
  <c r="H16" i="223"/>
  <c r="G16" i="223"/>
  <c r="S15" i="223"/>
  <c r="Q15" i="223"/>
  <c r="O15" i="223"/>
  <c r="M15" i="223"/>
  <c r="K15" i="223"/>
  <c r="I15" i="223"/>
  <c r="H15" i="223"/>
  <c r="G15" i="223"/>
  <c r="S14" i="223"/>
  <c r="Q14" i="223"/>
  <c r="N14" i="223"/>
  <c r="M14" i="223"/>
  <c r="K14" i="223"/>
  <c r="I14" i="223"/>
  <c r="H14" i="223"/>
  <c r="G14" i="223"/>
  <c r="S13" i="223"/>
  <c r="Q13" i="223"/>
  <c r="O13" i="223"/>
  <c r="M13" i="223"/>
  <c r="K13" i="223"/>
  <c r="I13" i="223"/>
  <c r="H13" i="223"/>
  <c r="G13" i="223"/>
  <c r="S12" i="223"/>
  <c r="Q12" i="223"/>
  <c r="O12" i="223"/>
  <c r="M12" i="223"/>
  <c r="K12" i="223"/>
  <c r="I12" i="223"/>
  <c r="H12" i="223"/>
  <c r="G12" i="223"/>
  <c r="S11" i="223"/>
  <c r="Q11" i="223"/>
  <c r="O11" i="223"/>
  <c r="M11" i="223"/>
  <c r="K11" i="223"/>
  <c r="I11" i="223"/>
  <c r="H11" i="223"/>
  <c r="G11" i="223"/>
  <c r="S10" i="223"/>
  <c r="Q10" i="223"/>
  <c r="O10" i="223"/>
  <c r="M10" i="223"/>
  <c r="K10" i="223"/>
  <c r="I10" i="223"/>
  <c r="H10" i="223"/>
  <c r="G10" i="223"/>
  <c r="S9" i="223"/>
  <c r="Q9" i="223"/>
  <c r="O9" i="223"/>
  <c r="N9" i="223"/>
  <c r="M9" i="223"/>
  <c r="K9" i="223"/>
  <c r="I9" i="223"/>
  <c r="H9" i="223"/>
  <c r="G9" i="223"/>
  <c r="S8" i="223"/>
  <c r="Q8" i="223"/>
  <c r="O8" i="223"/>
  <c r="M8" i="223"/>
  <c r="K8" i="223"/>
  <c r="I8" i="223"/>
  <c r="H8" i="223"/>
  <c r="G8" i="223"/>
  <c r="S7" i="223"/>
  <c r="Q7" i="223"/>
  <c r="O7" i="223"/>
  <c r="M7" i="223"/>
  <c r="K7" i="223"/>
  <c r="I7" i="223"/>
  <c r="H7" i="223"/>
  <c r="G7" i="223"/>
  <c r="S6" i="223"/>
  <c r="Q6" i="223"/>
  <c r="O6" i="223"/>
  <c r="M6" i="223"/>
  <c r="K6" i="223"/>
  <c r="I6" i="223"/>
  <c r="H6" i="223"/>
  <c r="G6" i="223"/>
  <c r="Q5" i="223"/>
  <c r="M5" i="223"/>
  <c r="I5" i="223"/>
  <c r="H5" i="223"/>
  <c r="G5" i="223"/>
  <c r="T4" i="223"/>
  <c r="R4" i="223"/>
  <c r="S4" i="223" s="1"/>
  <c r="P4" i="223"/>
  <c r="Q4" i="223" s="1"/>
  <c r="L4" i="223"/>
  <c r="M4" i="223" s="1"/>
  <c r="K4" i="223"/>
  <c r="J4" i="223"/>
  <c r="F4" i="223"/>
  <c r="E4" i="223"/>
  <c r="D4" i="223"/>
  <c r="H4" i="223" s="1"/>
  <c r="C4" i="223"/>
  <c r="G2" i="223" s="1"/>
  <c r="S19" i="222"/>
  <c r="Q19" i="222"/>
  <c r="N19" i="222"/>
  <c r="O19" i="222" s="1"/>
  <c r="M19" i="222"/>
  <c r="K19" i="222"/>
  <c r="H19" i="222"/>
  <c r="G19" i="222"/>
  <c r="B19" i="222"/>
  <c r="S18" i="222"/>
  <c r="Q18" i="222"/>
  <c r="O18" i="222"/>
  <c r="M18" i="222"/>
  <c r="K18" i="222"/>
  <c r="I18" i="222"/>
  <c r="H18" i="222"/>
  <c r="G18" i="222"/>
  <c r="S17" i="222"/>
  <c r="Q17" i="222"/>
  <c r="O17" i="222"/>
  <c r="M17" i="222"/>
  <c r="K17" i="222"/>
  <c r="I17" i="222"/>
  <c r="H17" i="222"/>
  <c r="G17" i="222"/>
  <c r="S16" i="222"/>
  <c r="Q16" i="222"/>
  <c r="O16" i="222"/>
  <c r="M16" i="222"/>
  <c r="K16" i="222"/>
  <c r="I16" i="222"/>
  <c r="H16" i="222"/>
  <c r="G16" i="222"/>
  <c r="S15" i="222"/>
  <c r="Q15" i="222"/>
  <c r="O15" i="222"/>
  <c r="M15" i="222"/>
  <c r="K15" i="222"/>
  <c r="I15" i="222"/>
  <c r="H15" i="222"/>
  <c r="G15" i="222"/>
  <c r="S14" i="222"/>
  <c r="Q14" i="222"/>
  <c r="O14" i="222"/>
  <c r="N14" i="222"/>
  <c r="M14" i="222"/>
  <c r="K14" i="222"/>
  <c r="I14" i="222"/>
  <c r="H14" i="222"/>
  <c r="G14" i="222"/>
  <c r="S13" i="222"/>
  <c r="Q13" i="222"/>
  <c r="O13" i="222"/>
  <c r="M13" i="222"/>
  <c r="K13" i="222"/>
  <c r="I13" i="222"/>
  <c r="H13" i="222"/>
  <c r="G13" i="222"/>
  <c r="S12" i="222"/>
  <c r="Q12" i="222"/>
  <c r="O12" i="222"/>
  <c r="M12" i="222"/>
  <c r="K12" i="222"/>
  <c r="I12" i="222"/>
  <c r="H12" i="222"/>
  <c r="G12" i="222"/>
  <c r="S11" i="222"/>
  <c r="Q11" i="222"/>
  <c r="O11" i="222"/>
  <c r="M11" i="222"/>
  <c r="K11" i="222"/>
  <c r="I11" i="222"/>
  <c r="H11" i="222"/>
  <c r="G11" i="222"/>
  <c r="S10" i="222"/>
  <c r="Q10" i="222"/>
  <c r="O10" i="222"/>
  <c r="M10" i="222"/>
  <c r="K10" i="222"/>
  <c r="I10" i="222"/>
  <c r="H10" i="222"/>
  <c r="G10" i="222"/>
  <c r="S9" i="222"/>
  <c r="Q9" i="222"/>
  <c r="O9" i="222"/>
  <c r="N9" i="222"/>
  <c r="M9" i="222"/>
  <c r="K9" i="222"/>
  <c r="I9" i="222"/>
  <c r="H9" i="222"/>
  <c r="G9" i="222"/>
  <c r="S8" i="222"/>
  <c r="Q8" i="222"/>
  <c r="O8" i="222"/>
  <c r="M8" i="222"/>
  <c r="K8" i="222"/>
  <c r="I8" i="222"/>
  <c r="H8" i="222"/>
  <c r="G8" i="222"/>
  <c r="S7" i="222"/>
  <c r="Q7" i="222"/>
  <c r="O7" i="222"/>
  <c r="M7" i="222"/>
  <c r="K7" i="222"/>
  <c r="I7" i="222"/>
  <c r="H7" i="222"/>
  <c r="G7" i="222"/>
  <c r="S6" i="222"/>
  <c r="Q6" i="222"/>
  <c r="O6" i="222"/>
  <c r="M6" i="222"/>
  <c r="K6" i="222"/>
  <c r="I6" i="222"/>
  <c r="H6" i="222"/>
  <c r="G6" i="222"/>
  <c r="Q5" i="222"/>
  <c r="M5" i="222"/>
  <c r="I5" i="222"/>
  <c r="H5" i="222"/>
  <c r="G5" i="222"/>
  <c r="T4" i="222"/>
  <c r="S4" i="222"/>
  <c r="R4" i="222"/>
  <c r="P4" i="222"/>
  <c r="Q4" i="222" s="1"/>
  <c r="N4" i="222"/>
  <c r="O4" i="222" s="1"/>
  <c r="L4" i="222"/>
  <c r="M4" i="222" s="1"/>
  <c r="J4" i="222"/>
  <c r="F4" i="222"/>
  <c r="E4" i="222"/>
  <c r="I4" i="222" s="1"/>
  <c r="D4" i="222"/>
  <c r="H4" i="222" s="1"/>
  <c r="C4" i="222"/>
  <c r="G2" i="222" s="1"/>
  <c r="B4" i="222"/>
  <c r="S19" i="221"/>
  <c r="Q19" i="221"/>
  <c r="N19" i="221"/>
  <c r="O19" i="221" s="1"/>
  <c r="M19" i="221"/>
  <c r="K19" i="221"/>
  <c r="H19" i="221"/>
  <c r="G19" i="221"/>
  <c r="B19" i="221"/>
  <c r="S18" i="221"/>
  <c r="Q18" i="221"/>
  <c r="O18" i="221"/>
  <c r="M18" i="221"/>
  <c r="K18" i="221"/>
  <c r="I18" i="221"/>
  <c r="H18" i="221"/>
  <c r="G18" i="221"/>
  <c r="S17" i="221"/>
  <c r="Q17" i="221"/>
  <c r="O17" i="221"/>
  <c r="M17" i="221"/>
  <c r="K17" i="221"/>
  <c r="I17" i="221"/>
  <c r="H17" i="221"/>
  <c r="G17" i="221"/>
  <c r="S16" i="221"/>
  <c r="Q16" i="221"/>
  <c r="O16" i="221"/>
  <c r="M16" i="221"/>
  <c r="K16" i="221"/>
  <c r="I16" i="221"/>
  <c r="H16" i="221"/>
  <c r="G16" i="221"/>
  <c r="S15" i="221"/>
  <c r="Q15" i="221"/>
  <c r="O15" i="221"/>
  <c r="M15" i="221"/>
  <c r="K15" i="221"/>
  <c r="I15" i="221"/>
  <c r="H15" i="221"/>
  <c r="G15" i="221"/>
  <c r="S14" i="221"/>
  <c r="Q14" i="221"/>
  <c r="N14" i="221"/>
  <c r="O14" i="221" s="1"/>
  <c r="M14" i="221"/>
  <c r="K14" i="221"/>
  <c r="I14" i="221"/>
  <c r="H14" i="221"/>
  <c r="G14" i="221"/>
  <c r="S13" i="221"/>
  <c r="Q13" i="221"/>
  <c r="O13" i="221"/>
  <c r="M13" i="221"/>
  <c r="K13" i="221"/>
  <c r="I13" i="221"/>
  <c r="H13" i="221"/>
  <c r="G13" i="221"/>
  <c r="S12" i="221"/>
  <c r="Q12" i="221"/>
  <c r="O12" i="221"/>
  <c r="M12" i="221"/>
  <c r="K12" i="221"/>
  <c r="I12" i="221"/>
  <c r="H12" i="221"/>
  <c r="G12" i="221"/>
  <c r="S11" i="221"/>
  <c r="Q11" i="221"/>
  <c r="O11" i="221"/>
  <c r="M11" i="221"/>
  <c r="K11" i="221"/>
  <c r="I11" i="221"/>
  <c r="H11" i="221"/>
  <c r="G11" i="221"/>
  <c r="S10" i="221"/>
  <c r="Q10" i="221"/>
  <c r="O10" i="221"/>
  <c r="M10" i="221"/>
  <c r="K10" i="221"/>
  <c r="K4" i="221" s="1"/>
  <c r="I10" i="221"/>
  <c r="H10" i="221"/>
  <c r="G10" i="221"/>
  <c r="S9" i="221"/>
  <c r="Q9" i="221"/>
  <c r="O9" i="221"/>
  <c r="N9" i="221"/>
  <c r="M9" i="221"/>
  <c r="K9" i="221"/>
  <c r="I9" i="221"/>
  <c r="H9" i="221"/>
  <c r="G9" i="221"/>
  <c r="S8" i="221"/>
  <c r="Q8" i="221"/>
  <c r="O8" i="221"/>
  <c r="M8" i="221"/>
  <c r="K8" i="221"/>
  <c r="I8" i="221"/>
  <c r="H8" i="221"/>
  <c r="G8" i="221"/>
  <c r="S7" i="221"/>
  <c r="Q7" i="221"/>
  <c r="O7" i="221"/>
  <c r="M7" i="221"/>
  <c r="K7" i="221"/>
  <c r="I7" i="221"/>
  <c r="H7" i="221"/>
  <c r="G7" i="221"/>
  <c r="S6" i="221"/>
  <c r="Q6" i="221"/>
  <c r="O6" i="221"/>
  <c r="M6" i="221"/>
  <c r="K6" i="221"/>
  <c r="I6" i="221"/>
  <c r="H6" i="221"/>
  <c r="G6" i="221"/>
  <c r="Q5" i="221"/>
  <c r="M5" i="221"/>
  <c r="I5" i="221"/>
  <c r="H5" i="221"/>
  <c r="G5" i="221"/>
  <c r="T4" i="221"/>
  <c r="S4" i="221"/>
  <c r="R4" i="221"/>
  <c r="P4" i="221"/>
  <c r="Q4" i="221" s="1"/>
  <c r="N4" i="221"/>
  <c r="O4" i="221" s="1"/>
  <c r="L4" i="221"/>
  <c r="J4" i="221"/>
  <c r="H4" i="221"/>
  <c r="F4" i="221"/>
  <c r="E4" i="221"/>
  <c r="D4" i="221"/>
  <c r="C4" i="221"/>
  <c r="G4" i="221" s="1"/>
  <c r="B4" i="221"/>
  <c r="G2" i="221"/>
  <c r="S19" i="220"/>
  <c r="Q19" i="220"/>
  <c r="N19" i="220"/>
  <c r="O19" i="220" s="1"/>
  <c r="M19" i="220"/>
  <c r="K19" i="220"/>
  <c r="H19" i="220"/>
  <c r="G19" i="220"/>
  <c r="B19" i="220"/>
  <c r="B4" i="220" s="1"/>
  <c r="S18" i="220"/>
  <c r="Q18" i="220"/>
  <c r="O18" i="220"/>
  <c r="M18" i="220"/>
  <c r="K18" i="220"/>
  <c r="I18" i="220"/>
  <c r="H18" i="220"/>
  <c r="G18" i="220"/>
  <c r="S17" i="220"/>
  <c r="Q17" i="220"/>
  <c r="O17" i="220"/>
  <c r="M17" i="220"/>
  <c r="K17" i="220"/>
  <c r="I17" i="220"/>
  <c r="H17" i="220"/>
  <c r="G17" i="220"/>
  <c r="S16" i="220"/>
  <c r="Q16" i="220"/>
  <c r="O16" i="220"/>
  <c r="M16" i="220"/>
  <c r="K16" i="220"/>
  <c r="I16" i="220"/>
  <c r="H16" i="220"/>
  <c r="G16" i="220"/>
  <c r="S15" i="220"/>
  <c r="Q15" i="220"/>
  <c r="O15" i="220"/>
  <c r="M15" i="220"/>
  <c r="K15" i="220"/>
  <c r="I15" i="220"/>
  <c r="H15" i="220"/>
  <c r="G15" i="220"/>
  <c r="S14" i="220"/>
  <c r="Q14" i="220"/>
  <c r="O14" i="220"/>
  <c r="N14" i="220"/>
  <c r="M14" i="220"/>
  <c r="K14" i="220"/>
  <c r="I14" i="220"/>
  <c r="H14" i="220"/>
  <c r="G14" i="220"/>
  <c r="S13" i="220"/>
  <c r="Q13" i="220"/>
  <c r="O13" i="220"/>
  <c r="M13" i="220"/>
  <c r="K13" i="220"/>
  <c r="I13" i="220"/>
  <c r="H13" i="220"/>
  <c r="G13" i="220"/>
  <c r="S12" i="220"/>
  <c r="Q12" i="220"/>
  <c r="O12" i="220"/>
  <c r="M12" i="220"/>
  <c r="K12" i="220"/>
  <c r="I12" i="220"/>
  <c r="H12" i="220"/>
  <c r="G12" i="220"/>
  <c r="S11" i="220"/>
  <c r="Q11" i="220"/>
  <c r="O11" i="220"/>
  <c r="M11" i="220"/>
  <c r="K11" i="220"/>
  <c r="I11" i="220"/>
  <c r="H11" i="220"/>
  <c r="G11" i="220"/>
  <c r="S10" i="220"/>
  <c r="Q10" i="220"/>
  <c r="O10" i="220"/>
  <c r="M10" i="220"/>
  <c r="K10" i="220"/>
  <c r="I10" i="220"/>
  <c r="H10" i="220"/>
  <c r="G10" i="220"/>
  <c r="S9" i="220"/>
  <c r="Q9" i="220"/>
  <c r="O9" i="220"/>
  <c r="N9" i="220"/>
  <c r="M9" i="220"/>
  <c r="K9" i="220"/>
  <c r="I9" i="220"/>
  <c r="H9" i="220"/>
  <c r="G9" i="220"/>
  <c r="S8" i="220"/>
  <c r="Q8" i="220"/>
  <c r="O8" i="220"/>
  <c r="M8" i="220"/>
  <c r="K8" i="220"/>
  <c r="I8" i="220"/>
  <c r="H8" i="220"/>
  <c r="G8" i="220"/>
  <c r="S7" i="220"/>
  <c r="Q7" i="220"/>
  <c r="O7" i="220"/>
  <c r="M7" i="220"/>
  <c r="K7" i="220"/>
  <c r="I7" i="220"/>
  <c r="H7" i="220"/>
  <c r="G7" i="220"/>
  <c r="S6" i="220"/>
  <c r="Q6" i="220"/>
  <c r="O6" i="220"/>
  <c r="M6" i="220"/>
  <c r="K6" i="220"/>
  <c r="K4" i="220" s="1"/>
  <c r="I6" i="220"/>
  <c r="H6" i="220"/>
  <c r="G6" i="220"/>
  <c r="Q5" i="220"/>
  <c r="M5" i="220"/>
  <c r="I5" i="220"/>
  <c r="H5" i="220"/>
  <c r="G5" i="220"/>
  <c r="T4" i="220"/>
  <c r="R4" i="220"/>
  <c r="S4" i="220" s="1"/>
  <c r="P4" i="220"/>
  <c r="Q4" i="220" s="1"/>
  <c r="L4" i="220"/>
  <c r="J4" i="220"/>
  <c r="F4" i="220"/>
  <c r="E4" i="220"/>
  <c r="D4" i="220"/>
  <c r="H4" i="220" s="1"/>
  <c r="C4" i="220"/>
  <c r="G4" i="220" s="1"/>
  <c r="G2" i="220"/>
  <c r="S19" i="219"/>
  <c r="Q19" i="219"/>
  <c r="N19" i="219"/>
  <c r="O19" i="219" s="1"/>
  <c r="M19" i="219"/>
  <c r="K19" i="219"/>
  <c r="H19" i="219"/>
  <c r="G19" i="219"/>
  <c r="B19" i="219"/>
  <c r="S18" i="219"/>
  <c r="Q18" i="219"/>
  <c r="O18" i="219"/>
  <c r="M18" i="219"/>
  <c r="K18" i="219"/>
  <c r="I18" i="219"/>
  <c r="H18" i="219"/>
  <c r="G18" i="219"/>
  <c r="F18" i="219"/>
  <c r="S17" i="219"/>
  <c r="Q17" i="219"/>
  <c r="O17" i="219"/>
  <c r="M17" i="219"/>
  <c r="K17" i="219"/>
  <c r="I17" i="219"/>
  <c r="H17" i="219"/>
  <c r="G17" i="219"/>
  <c r="F17" i="219"/>
  <c r="S16" i="219"/>
  <c r="Q16" i="219"/>
  <c r="O16" i="219"/>
  <c r="M16" i="219"/>
  <c r="K16" i="219"/>
  <c r="I16" i="219"/>
  <c r="H16" i="219"/>
  <c r="G16" i="219"/>
  <c r="F16" i="219"/>
  <c r="S15" i="219"/>
  <c r="Q15" i="219"/>
  <c r="O15" i="219"/>
  <c r="M15" i="219"/>
  <c r="K15" i="219"/>
  <c r="I15" i="219"/>
  <c r="H15" i="219"/>
  <c r="G15" i="219"/>
  <c r="F15" i="219"/>
  <c r="S14" i="219"/>
  <c r="Q14" i="219"/>
  <c r="N14" i="219"/>
  <c r="O14" i="219" s="1"/>
  <c r="M14" i="219"/>
  <c r="K14" i="219"/>
  <c r="I14" i="219"/>
  <c r="H14" i="219"/>
  <c r="G14" i="219"/>
  <c r="F14" i="219"/>
  <c r="S13" i="219"/>
  <c r="Q13" i="219"/>
  <c r="O13" i="219"/>
  <c r="M13" i="219"/>
  <c r="K13" i="219"/>
  <c r="I13" i="219"/>
  <c r="H13" i="219"/>
  <c r="G13" i="219"/>
  <c r="F13" i="219"/>
  <c r="S12" i="219"/>
  <c r="Q12" i="219"/>
  <c r="O12" i="219"/>
  <c r="M12" i="219"/>
  <c r="K12" i="219"/>
  <c r="I12" i="219"/>
  <c r="H12" i="219"/>
  <c r="G12" i="219"/>
  <c r="F12" i="219"/>
  <c r="S11" i="219"/>
  <c r="Q11" i="219"/>
  <c r="O11" i="219"/>
  <c r="M11" i="219"/>
  <c r="K11" i="219"/>
  <c r="I11" i="219"/>
  <c r="H11" i="219"/>
  <c r="G11" i="219"/>
  <c r="F11" i="219"/>
  <c r="S10" i="219"/>
  <c r="Q10" i="219"/>
  <c r="O10" i="219"/>
  <c r="M10" i="219"/>
  <c r="K10" i="219"/>
  <c r="I10" i="219"/>
  <c r="H10" i="219"/>
  <c r="G10" i="219"/>
  <c r="F10" i="219"/>
  <c r="F4" i="219" s="1"/>
  <c r="S9" i="219"/>
  <c r="Q9" i="219"/>
  <c r="N9" i="219"/>
  <c r="O9" i="219" s="1"/>
  <c r="M9" i="219"/>
  <c r="K9" i="219"/>
  <c r="I9" i="219"/>
  <c r="H9" i="219"/>
  <c r="G9" i="219"/>
  <c r="F9" i="219"/>
  <c r="S8" i="219"/>
  <c r="Q8" i="219"/>
  <c r="O8" i="219"/>
  <c r="N8" i="219"/>
  <c r="M8" i="219"/>
  <c r="K8" i="219"/>
  <c r="I8" i="219"/>
  <c r="H8" i="219"/>
  <c r="G8" i="219"/>
  <c r="F8" i="219"/>
  <c r="S7" i="219"/>
  <c r="Q7" i="219"/>
  <c r="O7" i="219"/>
  <c r="M7" i="219"/>
  <c r="K7" i="219"/>
  <c r="I7" i="219"/>
  <c r="H7" i="219"/>
  <c r="G7" i="219"/>
  <c r="F7" i="219"/>
  <c r="S6" i="219"/>
  <c r="Q6" i="219"/>
  <c r="O6" i="219"/>
  <c r="M6" i="219"/>
  <c r="K6" i="219"/>
  <c r="I6" i="219"/>
  <c r="H6" i="219"/>
  <c r="G6" i="219"/>
  <c r="F6" i="219"/>
  <c r="Q5" i="219"/>
  <c r="M5" i="219"/>
  <c r="H5" i="219"/>
  <c r="G5" i="219"/>
  <c r="I5" i="219" s="1"/>
  <c r="T4" i="219"/>
  <c r="R4" i="219"/>
  <c r="S4" i="219" s="1"/>
  <c r="Q4" i="219"/>
  <c r="P4" i="219"/>
  <c r="N4" i="219"/>
  <c r="O4" i="219" s="1"/>
  <c r="M4" i="219"/>
  <c r="L4" i="219"/>
  <c r="J4" i="219"/>
  <c r="E4" i="219"/>
  <c r="D4" i="219"/>
  <c r="H4" i="219" s="1"/>
  <c r="C4" i="219"/>
  <c r="G2" i="219"/>
  <c r="S19" i="218"/>
  <c r="Q19" i="218"/>
  <c r="N19" i="218"/>
  <c r="O19" i="218" s="1"/>
  <c r="M19" i="218"/>
  <c r="K19" i="218"/>
  <c r="H19" i="218"/>
  <c r="G19" i="218"/>
  <c r="B19" i="218"/>
  <c r="S18" i="218"/>
  <c r="Q18" i="218"/>
  <c r="N18" i="218"/>
  <c r="O18" i="218" s="1"/>
  <c r="M18" i="218"/>
  <c r="K18" i="218"/>
  <c r="I18" i="218"/>
  <c r="H18" i="218"/>
  <c r="G18" i="218"/>
  <c r="F18" i="218"/>
  <c r="S17" i="218"/>
  <c r="Q17" i="218"/>
  <c r="N17" i="218"/>
  <c r="O17" i="218" s="1"/>
  <c r="M17" i="218"/>
  <c r="K17" i="218"/>
  <c r="I17" i="218"/>
  <c r="H17" i="218"/>
  <c r="G17" i="218"/>
  <c r="F17" i="218"/>
  <c r="S16" i="218"/>
  <c r="Q16" i="218"/>
  <c r="O16" i="218"/>
  <c r="N16" i="218"/>
  <c r="M16" i="218"/>
  <c r="K16" i="218"/>
  <c r="I16" i="218"/>
  <c r="H16" i="218"/>
  <c r="G16" i="218"/>
  <c r="F16" i="218"/>
  <c r="S15" i="218"/>
  <c r="Q15" i="218"/>
  <c r="N15" i="218"/>
  <c r="O15" i="218" s="1"/>
  <c r="M15" i="218"/>
  <c r="K15" i="218"/>
  <c r="I15" i="218"/>
  <c r="H15" i="218"/>
  <c r="G15" i="218"/>
  <c r="F15" i="218"/>
  <c r="S14" i="218"/>
  <c r="Q14" i="218"/>
  <c r="O14" i="218"/>
  <c r="N14" i="218"/>
  <c r="M14" i="218"/>
  <c r="K14" i="218"/>
  <c r="I14" i="218"/>
  <c r="H14" i="218"/>
  <c r="G14" i="218"/>
  <c r="F14" i="218"/>
  <c r="S13" i="218"/>
  <c r="Q13" i="218"/>
  <c r="N13" i="218"/>
  <c r="O13" i="218" s="1"/>
  <c r="M13" i="218"/>
  <c r="K13" i="218"/>
  <c r="I13" i="218"/>
  <c r="H13" i="218"/>
  <c r="G13" i="218"/>
  <c r="F13" i="218"/>
  <c r="S12" i="218"/>
  <c r="Q12" i="218"/>
  <c r="N12" i="218"/>
  <c r="O12" i="218" s="1"/>
  <c r="M12" i="218"/>
  <c r="K12" i="218"/>
  <c r="I12" i="218"/>
  <c r="H12" i="218"/>
  <c r="G12" i="218"/>
  <c r="F12" i="218"/>
  <c r="S11" i="218"/>
  <c r="Q11" i="218"/>
  <c r="N11" i="218"/>
  <c r="O11" i="218" s="1"/>
  <c r="M11" i="218"/>
  <c r="K11" i="218"/>
  <c r="I11" i="218"/>
  <c r="H11" i="218"/>
  <c r="G11" i="218"/>
  <c r="F11" i="218"/>
  <c r="S10" i="218"/>
  <c r="Q10" i="218"/>
  <c r="N10" i="218"/>
  <c r="O10" i="218" s="1"/>
  <c r="M10" i="218"/>
  <c r="K10" i="218"/>
  <c r="I10" i="218"/>
  <c r="H10" i="218"/>
  <c r="G10" i="218"/>
  <c r="F10" i="218"/>
  <c r="S9" i="218"/>
  <c r="Q9" i="218"/>
  <c r="N9" i="218"/>
  <c r="M9" i="218"/>
  <c r="K9" i="218"/>
  <c r="I9" i="218"/>
  <c r="H9" i="218"/>
  <c r="G9" i="218"/>
  <c r="F9" i="218"/>
  <c r="S8" i="218"/>
  <c r="Q8" i="218"/>
  <c r="O8" i="218"/>
  <c r="N8" i="218"/>
  <c r="M8" i="218"/>
  <c r="K8" i="218"/>
  <c r="I8" i="218"/>
  <c r="H8" i="218"/>
  <c r="G8" i="218"/>
  <c r="F8" i="218"/>
  <c r="S7" i="218"/>
  <c r="Q7" i="218"/>
  <c r="N7" i="218"/>
  <c r="O7" i="218" s="1"/>
  <c r="M7" i="218"/>
  <c r="K7" i="218"/>
  <c r="I7" i="218"/>
  <c r="H7" i="218"/>
  <c r="G7" i="218"/>
  <c r="F7" i="218"/>
  <c r="S6" i="218"/>
  <c r="Q6" i="218"/>
  <c r="O6" i="218"/>
  <c r="N6" i="218"/>
  <c r="M6" i="218"/>
  <c r="K6" i="218"/>
  <c r="I6" i="218"/>
  <c r="H6" i="218"/>
  <c r="G6" i="218"/>
  <c r="F6" i="218"/>
  <c r="Q5" i="218"/>
  <c r="M5" i="218"/>
  <c r="I5" i="218"/>
  <c r="H5" i="218"/>
  <c r="G5" i="218"/>
  <c r="T4" i="218"/>
  <c r="R4" i="218"/>
  <c r="S4" i="218" s="1"/>
  <c r="P4" i="218"/>
  <c r="Q4" i="218" s="1"/>
  <c r="L4" i="218"/>
  <c r="M4" i="218" s="1"/>
  <c r="J4" i="218"/>
  <c r="E4" i="218"/>
  <c r="D4" i="218"/>
  <c r="H4" i="218" s="1"/>
  <c r="C4" i="218"/>
  <c r="S19" i="217"/>
  <c r="Q19" i="217"/>
  <c r="N19" i="217"/>
  <c r="O19" i="217" s="1"/>
  <c r="M19" i="217"/>
  <c r="K19" i="217"/>
  <c r="H19" i="217"/>
  <c r="G19" i="217"/>
  <c r="B19" i="217"/>
  <c r="I19" i="217" s="1"/>
  <c r="S18" i="217"/>
  <c r="Q18" i="217"/>
  <c r="O18" i="217"/>
  <c r="N18" i="217"/>
  <c r="M18" i="217"/>
  <c r="K18" i="217"/>
  <c r="I18" i="217"/>
  <c r="H18" i="217"/>
  <c r="G18" i="217"/>
  <c r="F18" i="217"/>
  <c r="S17" i="217"/>
  <c r="Q17" i="217"/>
  <c r="N17" i="217"/>
  <c r="O17" i="217" s="1"/>
  <c r="M17" i="217"/>
  <c r="K17" i="217"/>
  <c r="I17" i="217"/>
  <c r="H17" i="217"/>
  <c r="G17" i="217"/>
  <c r="F17" i="217"/>
  <c r="S16" i="217"/>
  <c r="Q16" i="217"/>
  <c r="O16" i="217"/>
  <c r="N16" i="217"/>
  <c r="M16" i="217"/>
  <c r="K16" i="217"/>
  <c r="I16" i="217"/>
  <c r="H16" i="217"/>
  <c r="G16" i="217"/>
  <c r="F16" i="217"/>
  <c r="S15" i="217"/>
  <c r="Q15" i="217"/>
  <c r="N15" i="217"/>
  <c r="O15" i="217" s="1"/>
  <c r="M15" i="217"/>
  <c r="K15" i="217"/>
  <c r="I15" i="217"/>
  <c r="H15" i="217"/>
  <c r="G15" i="217"/>
  <c r="F15" i="217"/>
  <c r="S14" i="217"/>
  <c r="Q14" i="217"/>
  <c r="O14" i="217"/>
  <c r="N14" i="217"/>
  <c r="M14" i="217"/>
  <c r="K14" i="217"/>
  <c r="I14" i="217"/>
  <c r="H14" i="217"/>
  <c r="G14" i="217"/>
  <c r="F14" i="217"/>
  <c r="S13" i="217"/>
  <c r="Q13" i="217"/>
  <c r="N13" i="217"/>
  <c r="O13" i="217" s="1"/>
  <c r="M13" i="217"/>
  <c r="K13" i="217"/>
  <c r="I13" i="217"/>
  <c r="H13" i="217"/>
  <c r="G13" i="217"/>
  <c r="F13" i="217"/>
  <c r="S12" i="217"/>
  <c r="Q12" i="217"/>
  <c r="O12" i="217"/>
  <c r="N12" i="217"/>
  <c r="M12" i="217"/>
  <c r="K12" i="217"/>
  <c r="I12" i="217"/>
  <c r="H12" i="217"/>
  <c r="G12" i="217"/>
  <c r="F12" i="217"/>
  <c r="S11" i="217"/>
  <c r="Q11" i="217"/>
  <c r="N11" i="217"/>
  <c r="O11" i="217" s="1"/>
  <c r="M11" i="217"/>
  <c r="K11" i="217"/>
  <c r="I11" i="217"/>
  <c r="H11" i="217"/>
  <c r="G11" i="217"/>
  <c r="F11" i="217"/>
  <c r="S10" i="217"/>
  <c r="Q10" i="217"/>
  <c r="O10" i="217"/>
  <c r="N10" i="217"/>
  <c r="M10" i="217"/>
  <c r="K10" i="217"/>
  <c r="I10" i="217"/>
  <c r="H10" i="217"/>
  <c r="G10" i="217"/>
  <c r="F10" i="217"/>
  <c r="S9" i="217"/>
  <c r="Q9" i="217"/>
  <c r="N9" i="217"/>
  <c r="O9" i="217" s="1"/>
  <c r="M9" i="217"/>
  <c r="K9" i="217"/>
  <c r="I9" i="217"/>
  <c r="H9" i="217"/>
  <c r="G9" i="217"/>
  <c r="F9" i="217"/>
  <c r="S8" i="217"/>
  <c r="Q8" i="217"/>
  <c r="O8" i="217"/>
  <c r="N8" i="217"/>
  <c r="M8" i="217"/>
  <c r="K8" i="217"/>
  <c r="I8" i="217"/>
  <c r="H8" i="217"/>
  <c r="G8" i="217"/>
  <c r="F8" i="217"/>
  <c r="S7" i="217"/>
  <c r="Q7" i="217"/>
  <c r="N7" i="217"/>
  <c r="M7" i="217"/>
  <c r="K7" i="217"/>
  <c r="I7" i="217"/>
  <c r="H7" i="217"/>
  <c r="G7" i="217"/>
  <c r="F7" i="217"/>
  <c r="S6" i="217"/>
  <c r="Q6" i="217"/>
  <c r="O6" i="217"/>
  <c r="N6" i="217"/>
  <c r="M6" i="217"/>
  <c r="K6" i="217"/>
  <c r="K4" i="217" s="1"/>
  <c r="I6" i="217"/>
  <c r="H6" i="217"/>
  <c r="G6" i="217"/>
  <c r="F6" i="217"/>
  <c r="Q5" i="217"/>
  <c r="M5" i="217"/>
  <c r="H5" i="217"/>
  <c r="G5" i="217"/>
  <c r="I5" i="217" s="1"/>
  <c r="T4" i="217"/>
  <c r="R4" i="217"/>
  <c r="P4" i="217"/>
  <c r="Q4" i="217" s="1"/>
  <c r="L4" i="217"/>
  <c r="M4" i="217" s="1"/>
  <c r="J4" i="217"/>
  <c r="E4" i="217"/>
  <c r="S4" i="217" s="1"/>
  <c r="D4" i="217"/>
  <c r="H4" i="217" s="1"/>
  <c r="C4" i="217"/>
  <c r="B4" i="217"/>
  <c r="I2" i="217"/>
  <c r="G2" i="217"/>
  <c r="S19" i="216"/>
  <c r="Q19" i="216"/>
  <c r="N19" i="216"/>
  <c r="O19" i="216" s="1"/>
  <c r="M19" i="216"/>
  <c r="K19" i="216"/>
  <c r="I19" i="216"/>
  <c r="H19" i="216"/>
  <c r="G19" i="216"/>
  <c r="B19" i="216"/>
  <c r="S18" i="216"/>
  <c r="Q18" i="216"/>
  <c r="O18" i="216"/>
  <c r="N18" i="216"/>
  <c r="M18" i="216"/>
  <c r="K18" i="216"/>
  <c r="I18" i="216"/>
  <c r="H18" i="216"/>
  <c r="G18" i="216"/>
  <c r="F18" i="216"/>
  <c r="S17" i="216"/>
  <c r="Q17" i="216"/>
  <c r="N17" i="216"/>
  <c r="O17" i="216" s="1"/>
  <c r="M17" i="216"/>
  <c r="K17" i="216"/>
  <c r="I17" i="216"/>
  <c r="H17" i="216"/>
  <c r="G17" i="216"/>
  <c r="F17" i="216"/>
  <c r="S16" i="216"/>
  <c r="Q16" i="216"/>
  <c r="O16" i="216"/>
  <c r="N16" i="216"/>
  <c r="M16" i="216"/>
  <c r="K16" i="216"/>
  <c r="I16" i="216"/>
  <c r="H16" i="216"/>
  <c r="G16" i="216"/>
  <c r="F16" i="216"/>
  <c r="S15" i="216"/>
  <c r="Q15" i="216"/>
  <c r="N15" i="216"/>
  <c r="O15" i="216" s="1"/>
  <c r="M15" i="216"/>
  <c r="K15" i="216"/>
  <c r="I15" i="216"/>
  <c r="H15" i="216"/>
  <c r="G15" i="216"/>
  <c r="F15" i="216"/>
  <c r="S14" i="216"/>
  <c r="Q14" i="216"/>
  <c r="O14" i="216"/>
  <c r="N14" i="216"/>
  <c r="M14" i="216"/>
  <c r="K14" i="216"/>
  <c r="I14" i="216"/>
  <c r="H14" i="216"/>
  <c r="G14" i="216"/>
  <c r="S13" i="216"/>
  <c r="Q13" i="216"/>
  <c r="N13" i="216"/>
  <c r="O13" i="216" s="1"/>
  <c r="M13" i="216"/>
  <c r="K13" i="216"/>
  <c r="I13" i="216"/>
  <c r="H13" i="216"/>
  <c r="G13" i="216"/>
  <c r="F13" i="216"/>
  <c r="S12" i="216"/>
  <c r="Q12" i="216"/>
  <c r="O12" i="216"/>
  <c r="N12" i="216"/>
  <c r="M12" i="216"/>
  <c r="K12" i="216"/>
  <c r="I12" i="216"/>
  <c r="H12" i="216"/>
  <c r="G12" i="216"/>
  <c r="F12" i="216"/>
  <c r="S11" i="216"/>
  <c r="Q11" i="216"/>
  <c r="N11" i="216"/>
  <c r="O11" i="216" s="1"/>
  <c r="M11" i="216"/>
  <c r="K11" i="216"/>
  <c r="I11" i="216"/>
  <c r="H11" i="216"/>
  <c r="G11" i="216"/>
  <c r="F11" i="216"/>
  <c r="S10" i="216"/>
  <c r="Q10" i="216"/>
  <c r="O10" i="216"/>
  <c r="N10" i="216"/>
  <c r="M10" i="216"/>
  <c r="K10" i="216"/>
  <c r="I10" i="216"/>
  <c r="H10" i="216"/>
  <c r="G10" i="216"/>
  <c r="F10" i="216"/>
  <c r="S9" i="216"/>
  <c r="Q9" i="216"/>
  <c r="N9" i="216"/>
  <c r="O9" i="216" s="1"/>
  <c r="M9" i="216"/>
  <c r="K9" i="216"/>
  <c r="I9" i="216"/>
  <c r="H9" i="216"/>
  <c r="G9" i="216"/>
  <c r="F9" i="216"/>
  <c r="S8" i="216"/>
  <c r="Q8" i="216"/>
  <c r="O8" i="216"/>
  <c r="N8" i="216"/>
  <c r="M8" i="216"/>
  <c r="K8" i="216"/>
  <c r="I8" i="216"/>
  <c r="H8" i="216"/>
  <c r="G8" i="216"/>
  <c r="F8" i="216"/>
  <c r="S7" i="216"/>
  <c r="Q7" i="216"/>
  <c r="N7" i="216"/>
  <c r="N4" i="216" s="1"/>
  <c r="O4" i="216" s="1"/>
  <c r="M7" i="216"/>
  <c r="K7" i="216"/>
  <c r="I7" i="216"/>
  <c r="H7" i="216"/>
  <c r="G7" i="216"/>
  <c r="F7" i="216"/>
  <c r="S6" i="216"/>
  <c r="Q6" i="216"/>
  <c r="O6" i="216"/>
  <c r="N6" i="216"/>
  <c r="M6" i="216"/>
  <c r="K6" i="216"/>
  <c r="I6" i="216"/>
  <c r="H6" i="216"/>
  <c r="G6" i="216"/>
  <c r="F6" i="216"/>
  <c r="Q5" i="216"/>
  <c r="M5" i="216"/>
  <c r="I5" i="216"/>
  <c r="H5" i="216"/>
  <c r="G5" i="216"/>
  <c r="T4" i="216"/>
  <c r="S4" i="216"/>
  <c r="R4" i="216"/>
  <c r="P4" i="216"/>
  <c r="Q4" i="216" s="1"/>
  <c r="L4" i="216"/>
  <c r="M4" i="216" s="1"/>
  <c r="K4" i="216"/>
  <c r="J4" i="216"/>
  <c r="G4" i="216"/>
  <c r="E4" i="216"/>
  <c r="I4" i="216" s="1"/>
  <c r="D4" i="216"/>
  <c r="H4" i="216" s="1"/>
  <c r="C4" i="216"/>
  <c r="G2" i="216" s="1"/>
  <c r="B4" i="216"/>
  <c r="I2" i="216" s="1"/>
  <c r="S19" i="215"/>
  <c r="Q19" i="215"/>
  <c r="N19" i="215"/>
  <c r="O19" i="215" s="1"/>
  <c r="M19" i="215"/>
  <c r="K19" i="215"/>
  <c r="H19" i="215"/>
  <c r="G19" i="215"/>
  <c r="B19" i="215"/>
  <c r="I19" i="215" s="1"/>
  <c r="S18" i="215"/>
  <c r="Q18" i="215"/>
  <c r="O18" i="215"/>
  <c r="N18" i="215"/>
  <c r="M18" i="215"/>
  <c r="K18" i="215"/>
  <c r="I18" i="215"/>
  <c r="H18" i="215"/>
  <c r="G18" i="215"/>
  <c r="S17" i="215"/>
  <c r="Q17" i="215"/>
  <c r="O17" i="215"/>
  <c r="N17" i="215"/>
  <c r="M17" i="215"/>
  <c r="K17" i="215"/>
  <c r="I17" i="215"/>
  <c r="H17" i="215"/>
  <c r="G17" i="215"/>
  <c r="S16" i="215"/>
  <c r="Q16" i="215"/>
  <c r="N16" i="215"/>
  <c r="O16" i="215" s="1"/>
  <c r="M16" i="215"/>
  <c r="K16" i="215"/>
  <c r="I16" i="215"/>
  <c r="H16" i="215"/>
  <c r="G16" i="215"/>
  <c r="S15" i="215"/>
  <c r="Q15" i="215"/>
  <c r="N15" i="215"/>
  <c r="O15" i="215" s="1"/>
  <c r="M15" i="215"/>
  <c r="K15" i="215"/>
  <c r="I15" i="215"/>
  <c r="H15" i="215"/>
  <c r="G15" i="215"/>
  <c r="S14" i="215"/>
  <c r="Q14" i="215"/>
  <c r="O14" i="215"/>
  <c r="N14" i="215"/>
  <c r="M14" i="215"/>
  <c r="K14" i="215"/>
  <c r="I14" i="215"/>
  <c r="H14" i="215"/>
  <c r="G14" i="215"/>
  <c r="S13" i="215"/>
  <c r="Q13" i="215"/>
  <c r="O13" i="215"/>
  <c r="N13" i="215"/>
  <c r="M13" i="215"/>
  <c r="K13" i="215"/>
  <c r="I13" i="215"/>
  <c r="H13" i="215"/>
  <c r="G13" i="215"/>
  <c r="S12" i="215"/>
  <c r="Q12" i="215"/>
  <c r="N12" i="215"/>
  <c r="O12" i="215" s="1"/>
  <c r="M12" i="215"/>
  <c r="K12" i="215"/>
  <c r="I12" i="215"/>
  <c r="H12" i="215"/>
  <c r="G12" i="215"/>
  <c r="S11" i="215"/>
  <c r="Q11" i="215"/>
  <c r="N11" i="215"/>
  <c r="O11" i="215" s="1"/>
  <c r="M11" i="215"/>
  <c r="K11" i="215"/>
  <c r="I11" i="215"/>
  <c r="H11" i="215"/>
  <c r="G11" i="215"/>
  <c r="S10" i="215"/>
  <c r="Q10" i="215"/>
  <c r="O10" i="215"/>
  <c r="N10" i="215"/>
  <c r="M10" i="215"/>
  <c r="K10" i="215"/>
  <c r="I10" i="215"/>
  <c r="H10" i="215"/>
  <c r="G10" i="215"/>
  <c r="S9" i="215"/>
  <c r="Q9" i="215"/>
  <c r="O9" i="215"/>
  <c r="N9" i="215"/>
  <c r="M9" i="215"/>
  <c r="K9" i="215"/>
  <c r="I9" i="215"/>
  <c r="H9" i="215"/>
  <c r="G9" i="215"/>
  <c r="F9" i="215"/>
  <c r="F4" i="215" s="1"/>
  <c r="S8" i="215"/>
  <c r="Q8" i="215"/>
  <c r="N8" i="215"/>
  <c r="M8" i="215"/>
  <c r="K8" i="215"/>
  <c r="I8" i="215"/>
  <c r="H8" i="215"/>
  <c r="G8" i="215"/>
  <c r="S7" i="215"/>
  <c r="Q7" i="215"/>
  <c r="O7" i="215"/>
  <c r="N7" i="215"/>
  <c r="M7" i="215"/>
  <c r="K7" i="215"/>
  <c r="I7" i="215"/>
  <c r="H7" i="215"/>
  <c r="G7" i="215"/>
  <c r="S6" i="215"/>
  <c r="Q6" i="215"/>
  <c r="O6" i="215"/>
  <c r="N6" i="215"/>
  <c r="M6" i="215"/>
  <c r="K6" i="215"/>
  <c r="K4" i="215" s="1"/>
  <c r="I6" i="215"/>
  <c r="H6" i="215"/>
  <c r="G6" i="215"/>
  <c r="Q5" i="215"/>
  <c r="M5" i="215"/>
  <c r="I5" i="215"/>
  <c r="H5" i="215"/>
  <c r="G5" i="215"/>
  <c r="T4" i="215"/>
  <c r="S4" i="215"/>
  <c r="R4" i="215"/>
  <c r="P4" i="215"/>
  <c r="Q4" i="215" s="1"/>
  <c r="L4" i="215"/>
  <c r="M4" i="215" s="1"/>
  <c r="J4" i="215"/>
  <c r="E4" i="215"/>
  <c r="I4" i="215" s="1"/>
  <c r="D4" i="215"/>
  <c r="H4" i="215" s="1"/>
  <c r="C4" i="215"/>
  <c r="B4" i="215"/>
  <c r="S19" i="214"/>
  <c r="Q19" i="214"/>
  <c r="N19" i="214"/>
  <c r="O19" i="214" s="1"/>
  <c r="M19" i="214"/>
  <c r="K19" i="214"/>
  <c r="H19" i="214"/>
  <c r="G19" i="214"/>
  <c r="B19" i="214"/>
  <c r="I19" i="214" s="1"/>
  <c r="S18" i="214"/>
  <c r="Q18" i="214"/>
  <c r="O18" i="214"/>
  <c r="N18" i="214"/>
  <c r="M18" i="214"/>
  <c r="K18" i="214"/>
  <c r="I18" i="214"/>
  <c r="H18" i="214"/>
  <c r="G18" i="214"/>
  <c r="S17" i="214"/>
  <c r="Q17" i="214"/>
  <c r="O17" i="214"/>
  <c r="N17" i="214"/>
  <c r="M17" i="214"/>
  <c r="K17" i="214"/>
  <c r="I17" i="214"/>
  <c r="H17" i="214"/>
  <c r="G17" i="214"/>
  <c r="S16" i="214"/>
  <c r="Q16" i="214"/>
  <c r="N16" i="214"/>
  <c r="O16" i="214" s="1"/>
  <c r="M16" i="214"/>
  <c r="K16" i="214"/>
  <c r="I16" i="214"/>
  <c r="H16" i="214"/>
  <c r="G16" i="214"/>
  <c r="S15" i="214"/>
  <c r="Q15" i="214"/>
  <c r="N15" i="214"/>
  <c r="O15" i="214" s="1"/>
  <c r="M15" i="214"/>
  <c r="K15" i="214"/>
  <c r="I15" i="214"/>
  <c r="H15" i="214"/>
  <c r="G15" i="214"/>
  <c r="S14" i="214"/>
  <c r="Q14" i="214"/>
  <c r="O14" i="214"/>
  <c r="N14" i="214"/>
  <c r="M14" i="214"/>
  <c r="K14" i="214"/>
  <c r="I14" i="214"/>
  <c r="H14" i="214"/>
  <c r="G14" i="214"/>
  <c r="S13" i="214"/>
  <c r="Q13" i="214"/>
  <c r="O13" i="214"/>
  <c r="N13" i="214"/>
  <c r="M13" i="214"/>
  <c r="K13" i="214"/>
  <c r="I13" i="214"/>
  <c r="H13" i="214"/>
  <c r="G13" i="214"/>
  <c r="S12" i="214"/>
  <c r="Q12" i="214"/>
  <c r="N12" i="214"/>
  <c r="O12" i="214" s="1"/>
  <c r="M12" i="214"/>
  <c r="K12" i="214"/>
  <c r="I12" i="214"/>
  <c r="H12" i="214"/>
  <c r="G12" i="214"/>
  <c r="S11" i="214"/>
  <c r="Q11" i="214"/>
  <c r="N11" i="214"/>
  <c r="O11" i="214" s="1"/>
  <c r="M11" i="214"/>
  <c r="K11" i="214"/>
  <c r="I11" i="214"/>
  <c r="H11" i="214"/>
  <c r="G11" i="214"/>
  <c r="S10" i="214"/>
  <c r="Q10" i="214"/>
  <c r="O10" i="214"/>
  <c r="N10" i="214"/>
  <c r="M10" i="214"/>
  <c r="K10" i="214"/>
  <c r="I10" i="214"/>
  <c r="H10" i="214"/>
  <c r="G10" i="214"/>
  <c r="S9" i="214"/>
  <c r="Q9" i="214"/>
  <c r="O9" i="214"/>
  <c r="N9" i="214"/>
  <c r="M9" i="214"/>
  <c r="K9" i="214"/>
  <c r="I9" i="214"/>
  <c r="H9" i="214"/>
  <c r="G9" i="214"/>
  <c r="F9" i="214"/>
  <c r="F4" i="214" s="1"/>
  <c r="S8" i="214"/>
  <c r="Q8" i="214"/>
  <c r="N8" i="214"/>
  <c r="M8" i="214"/>
  <c r="K8" i="214"/>
  <c r="I8" i="214"/>
  <c r="H8" i="214"/>
  <c r="G8" i="214"/>
  <c r="S7" i="214"/>
  <c r="Q7" i="214"/>
  <c r="O7" i="214"/>
  <c r="N7" i="214"/>
  <c r="M7" i="214"/>
  <c r="K7" i="214"/>
  <c r="I7" i="214"/>
  <c r="H7" i="214"/>
  <c r="G7" i="214"/>
  <c r="S6" i="214"/>
  <c r="Q6" i="214"/>
  <c r="O6" i="214"/>
  <c r="N6" i="214"/>
  <c r="M6" i="214"/>
  <c r="K6" i="214"/>
  <c r="K4" i="214" s="1"/>
  <c r="I6" i="214"/>
  <c r="H6" i="214"/>
  <c r="G6" i="214"/>
  <c r="Q5" i="214"/>
  <c r="M5" i="214"/>
  <c r="I5" i="214"/>
  <c r="H5" i="214"/>
  <c r="G5" i="214"/>
  <c r="T4" i="214"/>
  <c r="S4" i="214"/>
  <c r="R4" i="214"/>
  <c r="P4" i="214"/>
  <c r="Q4" i="214" s="1"/>
  <c r="L4" i="214"/>
  <c r="M4" i="214" s="1"/>
  <c r="J4" i="214"/>
  <c r="G4" i="214"/>
  <c r="E4" i="214"/>
  <c r="I4" i="214" s="1"/>
  <c r="D4" i="214"/>
  <c r="H4" i="214" s="1"/>
  <c r="C4" i="214"/>
  <c r="G2" i="214" s="1"/>
  <c r="B4" i="214"/>
  <c r="S19" i="213"/>
  <c r="Q19" i="213"/>
  <c r="N19" i="213"/>
  <c r="O19" i="213" s="1"/>
  <c r="M19" i="213"/>
  <c r="K19" i="213"/>
  <c r="H19" i="213"/>
  <c r="G19" i="213"/>
  <c r="B19" i="213"/>
  <c r="I19" i="213" s="1"/>
  <c r="S18" i="213"/>
  <c r="Q18" i="213"/>
  <c r="O18" i="213"/>
  <c r="N18" i="213"/>
  <c r="M18" i="213"/>
  <c r="K18" i="213"/>
  <c r="I18" i="213"/>
  <c r="H18" i="213"/>
  <c r="G18" i="213"/>
  <c r="F18" i="213"/>
  <c r="S17" i="213"/>
  <c r="Q17" i="213"/>
  <c r="N17" i="213"/>
  <c r="O17" i="213" s="1"/>
  <c r="M17" i="213"/>
  <c r="K17" i="213"/>
  <c r="I17" i="213"/>
  <c r="H17" i="213"/>
  <c r="G17" i="213"/>
  <c r="F17" i="213"/>
  <c r="S16" i="213"/>
  <c r="Q16" i="213"/>
  <c r="O16" i="213"/>
  <c r="N16" i="213"/>
  <c r="M16" i="213"/>
  <c r="K16" i="213"/>
  <c r="I16" i="213"/>
  <c r="H16" i="213"/>
  <c r="G16" i="213"/>
  <c r="F16" i="213"/>
  <c r="S15" i="213"/>
  <c r="Q15" i="213"/>
  <c r="N15" i="213"/>
  <c r="O15" i="213" s="1"/>
  <c r="M15" i="213"/>
  <c r="K15" i="213"/>
  <c r="I15" i="213"/>
  <c r="H15" i="213"/>
  <c r="G15" i="213"/>
  <c r="F15" i="213"/>
  <c r="S14" i="213"/>
  <c r="Q14" i="213"/>
  <c r="O14" i="213"/>
  <c r="N14" i="213"/>
  <c r="M14" i="213"/>
  <c r="K14" i="213"/>
  <c r="I14" i="213"/>
  <c r="H14" i="213"/>
  <c r="G14" i="213"/>
  <c r="S13" i="213"/>
  <c r="Q13" i="213"/>
  <c r="O13" i="213"/>
  <c r="N13" i="213"/>
  <c r="M13" i="213"/>
  <c r="K13" i="213"/>
  <c r="I13" i="213"/>
  <c r="H13" i="213"/>
  <c r="G13" i="213"/>
  <c r="F13" i="213"/>
  <c r="S12" i="213"/>
  <c r="Q12" i="213"/>
  <c r="N12" i="213"/>
  <c r="O12" i="213" s="1"/>
  <c r="M12" i="213"/>
  <c r="K12" i="213"/>
  <c r="I12" i="213"/>
  <c r="H12" i="213"/>
  <c r="G12" i="213"/>
  <c r="F12" i="213"/>
  <c r="S11" i="213"/>
  <c r="Q11" i="213"/>
  <c r="O11" i="213"/>
  <c r="N11" i="213"/>
  <c r="M11" i="213"/>
  <c r="K11" i="213"/>
  <c r="I11" i="213"/>
  <c r="H11" i="213"/>
  <c r="G11" i="213"/>
  <c r="F11" i="213"/>
  <c r="S10" i="213"/>
  <c r="Q10" i="213"/>
  <c r="N10" i="213"/>
  <c r="O10" i="213" s="1"/>
  <c r="M10" i="213"/>
  <c r="K10" i="213"/>
  <c r="I10" i="213"/>
  <c r="H10" i="213"/>
  <c r="G10" i="213"/>
  <c r="F10" i="213"/>
  <c r="S9" i="213"/>
  <c r="Q9" i="213"/>
  <c r="O9" i="213"/>
  <c r="N9" i="213"/>
  <c r="M9" i="213"/>
  <c r="K9" i="213"/>
  <c r="I9" i="213"/>
  <c r="H9" i="213"/>
  <c r="G9" i="213"/>
  <c r="F9" i="213"/>
  <c r="S8" i="213"/>
  <c r="Q8" i="213"/>
  <c r="N8" i="213"/>
  <c r="O8" i="213" s="1"/>
  <c r="M8" i="213"/>
  <c r="K8" i="213"/>
  <c r="I8" i="213"/>
  <c r="H8" i="213"/>
  <c r="G8" i="213"/>
  <c r="F8" i="213"/>
  <c r="S7" i="213"/>
  <c r="Q7" i="213"/>
  <c r="O7" i="213"/>
  <c r="N7" i="213"/>
  <c r="M7" i="213"/>
  <c r="K7" i="213"/>
  <c r="I7" i="213"/>
  <c r="H7" i="213"/>
  <c r="G7" i="213"/>
  <c r="F7" i="213"/>
  <c r="S6" i="213"/>
  <c r="Q6" i="213"/>
  <c r="N6" i="213"/>
  <c r="O6" i="213" s="1"/>
  <c r="M6" i="213"/>
  <c r="K6" i="213"/>
  <c r="I6" i="213"/>
  <c r="H6" i="213"/>
  <c r="G6" i="213"/>
  <c r="F6" i="213"/>
  <c r="Q5" i="213"/>
  <c r="M5" i="213"/>
  <c r="I5" i="213"/>
  <c r="H5" i="213"/>
  <c r="G5" i="213"/>
  <c r="T4" i="213"/>
  <c r="R4" i="213"/>
  <c r="S4" i="213" s="1"/>
  <c r="P4" i="213"/>
  <c r="L4" i="213"/>
  <c r="J4" i="213"/>
  <c r="M4" i="213" s="1"/>
  <c r="F4" i="213"/>
  <c r="E4" i="213"/>
  <c r="Q4" i="213" s="1"/>
  <c r="D4" i="213"/>
  <c r="C4" i="213"/>
  <c r="G4" i="213" s="1"/>
  <c r="B4" i="213"/>
  <c r="I2" i="213" s="1"/>
  <c r="S19" i="212"/>
  <c r="Q19" i="212"/>
  <c r="O19" i="212"/>
  <c r="N19" i="212"/>
  <c r="M19" i="212"/>
  <c r="K19" i="212"/>
  <c r="H19" i="212"/>
  <c r="G19" i="212"/>
  <c r="B19" i="212"/>
  <c r="S18" i="212"/>
  <c r="Q18" i="212"/>
  <c r="N18" i="212"/>
  <c r="O18" i="212" s="1"/>
  <c r="M18" i="212"/>
  <c r="K18" i="212"/>
  <c r="I18" i="212"/>
  <c r="H18" i="212"/>
  <c r="G18" i="212"/>
  <c r="B18" i="212"/>
  <c r="S17" i="212"/>
  <c r="Q17" i="212"/>
  <c r="O17" i="212"/>
  <c r="N17" i="212"/>
  <c r="M17" i="212"/>
  <c r="K17" i="212"/>
  <c r="H17" i="212"/>
  <c r="G17" i="212"/>
  <c r="B17" i="212"/>
  <c r="I17" i="212" s="1"/>
  <c r="S16" i="212"/>
  <c r="Q16" i="212"/>
  <c r="N16" i="212"/>
  <c r="O16" i="212" s="1"/>
  <c r="M16" i="212"/>
  <c r="K16" i="212"/>
  <c r="I16" i="212"/>
  <c r="H16" i="212"/>
  <c r="G16" i="212"/>
  <c r="B16" i="212"/>
  <c r="S15" i="212"/>
  <c r="Q15" i="212"/>
  <c r="O15" i="212"/>
  <c r="N15" i="212"/>
  <c r="M15" i="212"/>
  <c r="K15" i="212"/>
  <c r="H15" i="212"/>
  <c r="G15" i="212"/>
  <c r="B15" i="212"/>
  <c r="I15" i="212" s="1"/>
  <c r="S14" i="212"/>
  <c r="Q14" i="212"/>
  <c r="N14" i="212"/>
  <c r="O14" i="212" s="1"/>
  <c r="M14" i="212"/>
  <c r="K14" i="212"/>
  <c r="I14" i="212"/>
  <c r="H14" i="212"/>
  <c r="G14" i="212"/>
  <c r="B14" i="212"/>
  <c r="S13" i="212"/>
  <c r="Q13" i="212"/>
  <c r="O13" i="212"/>
  <c r="N13" i="212"/>
  <c r="M13" i="212"/>
  <c r="K13" i="212"/>
  <c r="H13" i="212"/>
  <c r="G13" i="212"/>
  <c r="B13" i="212"/>
  <c r="I13" i="212" s="1"/>
  <c r="S12" i="212"/>
  <c r="Q12" i="212"/>
  <c r="N12" i="212"/>
  <c r="O12" i="212" s="1"/>
  <c r="M12" i="212"/>
  <c r="K12" i="212"/>
  <c r="I12" i="212"/>
  <c r="H12" i="212"/>
  <c r="G12" i="212"/>
  <c r="B12" i="212"/>
  <c r="S11" i="212"/>
  <c r="Q11" i="212"/>
  <c r="O11" i="212"/>
  <c r="N11" i="212"/>
  <c r="M11" i="212"/>
  <c r="K11" i="212"/>
  <c r="H11" i="212"/>
  <c r="G11" i="212"/>
  <c r="B11" i="212"/>
  <c r="I11" i="212" s="1"/>
  <c r="S10" i="212"/>
  <c r="Q10" i="212"/>
  <c r="N10" i="212"/>
  <c r="O10" i="212" s="1"/>
  <c r="M10" i="212"/>
  <c r="K10" i="212"/>
  <c r="I10" i="212"/>
  <c r="H10" i="212"/>
  <c r="G10" i="212"/>
  <c r="B10" i="212"/>
  <c r="S9" i="212"/>
  <c r="Q9" i="212"/>
  <c r="O9" i="212"/>
  <c r="N9" i="212"/>
  <c r="M9" i="212"/>
  <c r="K9" i="212"/>
  <c r="H9" i="212"/>
  <c r="G9" i="212"/>
  <c r="B9" i="212"/>
  <c r="I9" i="212" s="1"/>
  <c r="S8" i="212"/>
  <c r="Q8" i="212"/>
  <c r="N8" i="212"/>
  <c r="O8" i="212" s="1"/>
  <c r="M8" i="212"/>
  <c r="K8" i="212"/>
  <c r="I8" i="212"/>
  <c r="H8" i="212"/>
  <c r="G8" i="212"/>
  <c r="B8" i="212"/>
  <c r="S7" i="212"/>
  <c r="Q7" i="212"/>
  <c r="O7" i="212"/>
  <c r="N7" i="212"/>
  <c r="M7" i="212"/>
  <c r="K7" i="212"/>
  <c r="H7" i="212"/>
  <c r="G7" i="212"/>
  <c r="B7" i="212"/>
  <c r="I7" i="212" s="1"/>
  <c r="S6" i="212"/>
  <c r="Q6" i="212"/>
  <c r="N6" i="212"/>
  <c r="O6" i="212" s="1"/>
  <c r="M6" i="212"/>
  <c r="K6" i="212"/>
  <c r="I6" i="212"/>
  <c r="H6" i="212"/>
  <c r="G6" i="212"/>
  <c r="B6" i="212"/>
  <c r="Q5" i="212"/>
  <c r="M5" i="212"/>
  <c r="I5" i="212"/>
  <c r="H5" i="212"/>
  <c r="G5" i="212"/>
  <c r="T4" i="212"/>
  <c r="R4" i="212"/>
  <c r="S4" i="212" s="1"/>
  <c r="P4" i="212"/>
  <c r="N4" i="212"/>
  <c r="O4" i="212" s="1"/>
  <c r="L4" i="212"/>
  <c r="J4" i="212"/>
  <c r="M4" i="212" s="1"/>
  <c r="F4" i="212"/>
  <c r="E4" i="212"/>
  <c r="Q4" i="212" s="1"/>
  <c r="D4" i="212"/>
  <c r="C4" i="212"/>
  <c r="G4" i="212" s="1"/>
  <c r="B4" i="212"/>
  <c r="S19" i="211"/>
  <c r="Q19" i="211"/>
  <c r="O19" i="211"/>
  <c r="N19" i="211"/>
  <c r="M19" i="211"/>
  <c r="K19" i="211"/>
  <c r="H19" i="211"/>
  <c r="G19" i="211"/>
  <c r="B19" i="211"/>
  <c r="S18" i="211"/>
  <c r="Q18" i="211"/>
  <c r="N18" i="211"/>
  <c r="O18" i="211" s="1"/>
  <c r="M18" i="211"/>
  <c r="K18" i="211"/>
  <c r="I18" i="211"/>
  <c r="H18" i="211"/>
  <c r="G18" i="211"/>
  <c r="B18" i="211"/>
  <c r="S17" i="211"/>
  <c r="Q17" i="211"/>
  <c r="O17" i="211"/>
  <c r="N17" i="211"/>
  <c r="M17" i="211"/>
  <c r="K17" i="211"/>
  <c r="H17" i="211"/>
  <c r="G17" i="211"/>
  <c r="B17" i="211"/>
  <c r="I17" i="211" s="1"/>
  <c r="S16" i="211"/>
  <c r="Q16" i="211"/>
  <c r="N16" i="211"/>
  <c r="O16" i="211" s="1"/>
  <c r="M16" i="211"/>
  <c r="K16" i="211"/>
  <c r="I16" i="211"/>
  <c r="H16" i="211"/>
  <c r="G16" i="211"/>
  <c r="B16" i="211"/>
  <c r="S15" i="211"/>
  <c r="Q15" i="211"/>
  <c r="O15" i="211"/>
  <c r="N15" i="211"/>
  <c r="M15" i="211"/>
  <c r="K15" i="211"/>
  <c r="H15" i="211"/>
  <c r="G15" i="211"/>
  <c r="B15" i="211"/>
  <c r="I15" i="211" s="1"/>
  <c r="S14" i="211"/>
  <c r="Q14" i="211"/>
  <c r="N14" i="211"/>
  <c r="O14" i="211" s="1"/>
  <c r="M14" i="211"/>
  <c r="K14" i="211"/>
  <c r="I14" i="211"/>
  <c r="H14" i="211"/>
  <c r="G14" i="211"/>
  <c r="B14" i="211"/>
  <c r="S13" i="211"/>
  <c r="Q13" i="211"/>
  <c r="O13" i="211"/>
  <c r="N13" i="211"/>
  <c r="M13" i="211"/>
  <c r="K13" i="211"/>
  <c r="H13" i="211"/>
  <c r="G13" i="211"/>
  <c r="B13" i="211"/>
  <c r="I13" i="211" s="1"/>
  <c r="S12" i="211"/>
  <c r="Q12" i="211"/>
  <c r="N12" i="211"/>
  <c r="O12" i="211" s="1"/>
  <c r="M12" i="211"/>
  <c r="K12" i="211"/>
  <c r="I12" i="211"/>
  <c r="H12" i="211"/>
  <c r="G12" i="211"/>
  <c r="B12" i="211"/>
  <c r="S11" i="211"/>
  <c r="Q11" i="211"/>
  <c r="O11" i="211"/>
  <c r="N11" i="211"/>
  <c r="M11" i="211"/>
  <c r="K11" i="211"/>
  <c r="H11" i="211"/>
  <c r="G11" i="211"/>
  <c r="B11" i="211"/>
  <c r="I11" i="211" s="1"/>
  <c r="S10" i="211"/>
  <c r="Q10" i="211"/>
  <c r="N10" i="211"/>
  <c r="O10" i="211" s="1"/>
  <c r="M10" i="211"/>
  <c r="K10" i="211"/>
  <c r="I10" i="211"/>
  <c r="H10" i="211"/>
  <c r="G10" i="211"/>
  <c r="B10" i="211"/>
  <c r="S9" i="211"/>
  <c r="Q9" i="211"/>
  <c r="O9" i="211"/>
  <c r="N9" i="211"/>
  <c r="M9" i="211"/>
  <c r="K9" i="211"/>
  <c r="H9" i="211"/>
  <c r="G9" i="211"/>
  <c r="B9" i="211"/>
  <c r="I9" i="211" s="1"/>
  <c r="S8" i="211"/>
  <c r="Q8" i="211"/>
  <c r="N8" i="211"/>
  <c r="O8" i="211" s="1"/>
  <c r="M8" i="211"/>
  <c r="K8" i="211"/>
  <c r="I8" i="211"/>
  <c r="H8" i="211"/>
  <c r="G8" i="211"/>
  <c r="B8" i="211"/>
  <c r="S7" i="211"/>
  <c r="Q7" i="211"/>
  <c r="O7" i="211"/>
  <c r="N7" i="211"/>
  <c r="M7" i="211"/>
  <c r="K7" i="211"/>
  <c r="H7" i="211"/>
  <c r="G7" i="211"/>
  <c r="B7" i="211"/>
  <c r="I7" i="211" s="1"/>
  <c r="S6" i="211"/>
  <c r="Q6" i="211"/>
  <c r="N6" i="211"/>
  <c r="O6" i="211" s="1"/>
  <c r="M6" i="211"/>
  <c r="K6" i="211"/>
  <c r="I6" i="211"/>
  <c r="H6" i="211"/>
  <c r="G6" i="211"/>
  <c r="B6" i="211"/>
  <c r="Q5" i="211"/>
  <c r="M5" i="211"/>
  <c r="I5" i="211"/>
  <c r="H5" i="211"/>
  <c r="G5" i="211"/>
  <c r="T4" i="211"/>
  <c r="R4" i="211"/>
  <c r="S4" i="211" s="1"/>
  <c r="P4" i="211"/>
  <c r="N4" i="211"/>
  <c r="O4" i="211" s="1"/>
  <c r="L4" i="211"/>
  <c r="J4" i="211"/>
  <c r="M4" i="211" s="1"/>
  <c r="F4" i="211"/>
  <c r="E4" i="211"/>
  <c r="Q4" i="211" s="1"/>
  <c r="D4" i="211"/>
  <c r="C4" i="211"/>
  <c r="G4" i="211" s="1"/>
  <c r="S19" i="210"/>
  <c r="Q19" i="210"/>
  <c r="O19" i="210"/>
  <c r="N19" i="210"/>
  <c r="M19" i="210"/>
  <c r="K19" i="210"/>
  <c r="H19" i="210"/>
  <c r="G19" i="210"/>
  <c r="B19" i="210"/>
  <c r="S18" i="210"/>
  <c r="Q18" i="210"/>
  <c r="N18" i="210"/>
  <c r="O18" i="210" s="1"/>
  <c r="M18" i="210"/>
  <c r="K18" i="210"/>
  <c r="I18" i="210"/>
  <c r="H18" i="210"/>
  <c r="G18" i="210"/>
  <c r="B18" i="210"/>
  <c r="S17" i="210"/>
  <c r="Q17" i="210"/>
  <c r="O17" i="210"/>
  <c r="N17" i="210"/>
  <c r="M17" i="210"/>
  <c r="K17" i="210"/>
  <c r="H17" i="210"/>
  <c r="G17" i="210"/>
  <c r="B17" i="210"/>
  <c r="I17" i="210" s="1"/>
  <c r="S16" i="210"/>
  <c r="Q16" i="210"/>
  <c r="N16" i="210"/>
  <c r="O16" i="210" s="1"/>
  <c r="M16" i="210"/>
  <c r="K16" i="210"/>
  <c r="I16" i="210"/>
  <c r="H16" i="210"/>
  <c r="G16" i="210"/>
  <c r="B16" i="210"/>
  <c r="S15" i="210"/>
  <c r="Q15" i="210"/>
  <c r="O15" i="210"/>
  <c r="N15" i="210"/>
  <c r="M15" i="210"/>
  <c r="K15" i="210"/>
  <c r="H15" i="210"/>
  <c r="G15" i="210"/>
  <c r="B15" i="210"/>
  <c r="I15" i="210" s="1"/>
  <c r="S14" i="210"/>
  <c r="Q14" i="210"/>
  <c r="N14" i="210"/>
  <c r="O14" i="210" s="1"/>
  <c r="M14" i="210"/>
  <c r="K14" i="210"/>
  <c r="I14" i="210"/>
  <c r="H14" i="210"/>
  <c r="G14" i="210"/>
  <c r="B14" i="210"/>
  <c r="S13" i="210"/>
  <c r="Q13" i="210"/>
  <c r="O13" i="210"/>
  <c r="N13" i="210"/>
  <c r="M13" i="210"/>
  <c r="K13" i="210"/>
  <c r="H13" i="210"/>
  <c r="G13" i="210"/>
  <c r="B13" i="210"/>
  <c r="I13" i="210" s="1"/>
  <c r="S12" i="210"/>
  <c r="Q12" i="210"/>
  <c r="N12" i="210"/>
  <c r="O12" i="210" s="1"/>
  <c r="M12" i="210"/>
  <c r="K12" i="210"/>
  <c r="I12" i="210"/>
  <c r="H12" i="210"/>
  <c r="G12" i="210"/>
  <c r="B12" i="210"/>
  <c r="S11" i="210"/>
  <c r="Q11" i="210"/>
  <c r="O11" i="210"/>
  <c r="N11" i="210"/>
  <c r="M11" i="210"/>
  <c r="K11" i="210"/>
  <c r="H11" i="210"/>
  <c r="G11" i="210"/>
  <c r="B11" i="210"/>
  <c r="I11" i="210" s="1"/>
  <c r="S10" i="210"/>
  <c r="Q10" i="210"/>
  <c r="N10" i="210"/>
  <c r="O10" i="210" s="1"/>
  <c r="M10" i="210"/>
  <c r="K10" i="210"/>
  <c r="I10" i="210"/>
  <c r="H10" i="210"/>
  <c r="G10" i="210"/>
  <c r="B10" i="210"/>
  <c r="S9" i="210"/>
  <c r="Q9" i="210"/>
  <c r="O9" i="210"/>
  <c r="N9" i="210"/>
  <c r="M9" i="210"/>
  <c r="K9" i="210"/>
  <c r="H9" i="210"/>
  <c r="G9" i="210"/>
  <c r="B9" i="210"/>
  <c r="I9" i="210" s="1"/>
  <c r="S8" i="210"/>
  <c r="Q8" i="210"/>
  <c r="N8" i="210"/>
  <c r="M8" i="210"/>
  <c r="K8" i="210"/>
  <c r="I8" i="210"/>
  <c r="H8" i="210"/>
  <c r="G8" i="210"/>
  <c r="B8" i="210"/>
  <c r="S7" i="210"/>
  <c r="Q7" i="210"/>
  <c r="O7" i="210"/>
  <c r="N7" i="210"/>
  <c r="M7" i="210"/>
  <c r="K7" i="210"/>
  <c r="K4" i="210" s="1"/>
  <c r="H7" i="210"/>
  <c r="G7" i="210"/>
  <c r="B7" i="210"/>
  <c r="I7" i="210" s="1"/>
  <c r="S6" i="210"/>
  <c r="Q6" i="210"/>
  <c r="N6" i="210"/>
  <c r="O6" i="210" s="1"/>
  <c r="M6" i="210"/>
  <c r="K6" i="210"/>
  <c r="I6" i="210"/>
  <c r="H6" i="210"/>
  <c r="G6" i="210"/>
  <c r="B6" i="210"/>
  <c r="Q5" i="210"/>
  <c r="M5" i="210"/>
  <c r="I5" i="210"/>
  <c r="H5" i="210"/>
  <c r="G5" i="210"/>
  <c r="T4" i="210"/>
  <c r="R4" i="210"/>
  <c r="S4" i="210" s="1"/>
  <c r="P4" i="210"/>
  <c r="L4" i="210"/>
  <c r="J4" i="210"/>
  <c r="M4" i="210" s="1"/>
  <c r="F4" i="210"/>
  <c r="E4" i="210"/>
  <c r="Q4" i="210" s="1"/>
  <c r="D4" i="210"/>
  <c r="C4" i="210"/>
  <c r="G4" i="210" s="1"/>
  <c r="S19" i="209"/>
  <c r="Q19" i="209"/>
  <c r="O19" i="209"/>
  <c r="N19" i="209"/>
  <c r="M19" i="209"/>
  <c r="K19" i="209"/>
  <c r="H19" i="209"/>
  <c r="G19" i="209"/>
  <c r="B19" i="209"/>
  <c r="S18" i="209"/>
  <c r="Q18" i="209"/>
  <c r="N18" i="209"/>
  <c r="O18" i="209" s="1"/>
  <c r="M18" i="209"/>
  <c r="K18" i="209"/>
  <c r="I18" i="209"/>
  <c r="H18" i="209"/>
  <c r="G18" i="209"/>
  <c r="B18" i="209"/>
  <c r="S17" i="209"/>
  <c r="Q17" i="209"/>
  <c r="O17" i="209"/>
  <c r="N17" i="209"/>
  <c r="M17" i="209"/>
  <c r="K17" i="209"/>
  <c r="H17" i="209"/>
  <c r="G17" i="209"/>
  <c r="B17" i="209"/>
  <c r="I17" i="209" s="1"/>
  <c r="S16" i="209"/>
  <c r="Q16" i="209"/>
  <c r="N16" i="209"/>
  <c r="O16" i="209" s="1"/>
  <c r="M16" i="209"/>
  <c r="K16" i="209"/>
  <c r="I16" i="209"/>
  <c r="H16" i="209"/>
  <c r="G16" i="209"/>
  <c r="B16" i="209"/>
  <c r="S15" i="209"/>
  <c r="Q15" i="209"/>
  <c r="O15" i="209"/>
  <c r="N15" i="209"/>
  <c r="M15" i="209"/>
  <c r="K15" i="209"/>
  <c r="H15" i="209"/>
  <c r="G15" i="209"/>
  <c r="B15" i="209"/>
  <c r="I15" i="209" s="1"/>
  <c r="S14" i="209"/>
  <c r="Q14" i="209"/>
  <c r="N14" i="209"/>
  <c r="O14" i="209" s="1"/>
  <c r="M14" i="209"/>
  <c r="K14" i="209"/>
  <c r="I14" i="209"/>
  <c r="H14" i="209"/>
  <c r="G14" i="209"/>
  <c r="B14" i="209"/>
  <c r="S13" i="209"/>
  <c r="Q13" i="209"/>
  <c r="O13" i="209"/>
  <c r="N13" i="209"/>
  <c r="M13" i="209"/>
  <c r="K13" i="209"/>
  <c r="H13" i="209"/>
  <c r="G13" i="209"/>
  <c r="B13" i="209"/>
  <c r="I13" i="209" s="1"/>
  <c r="S12" i="209"/>
  <c r="Q12" i="209"/>
  <c r="N12" i="209"/>
  <c r="O12" i="209" s="1"/>
  <c r="M12" i="209"/>
  <c r="K12" i="209"/>
  <c r="I12" i="209"/>
  <c r="H12" i="209"/>
  <c r="G12" i="209"/>
  <c r="B12" i="209"/>
  <c r="S11" i="209"/>
  <c r="Q11" i="209"/>
  <c r="O11" i="209"/>
  <c r="N11" i="209"/>
  <c r="M11" i="209"/>
  <c r="K11" i="209"/>
  <c r="H11" i="209"/>
  <c r="G11" i="209"/>
  <c r="B11" i="209"/>
  <c r="I11" i="209" s="1"/>
  <c r="S10" i="209"/>
  <c r="Q10" i="209"/>
  <c r="N10" i="209"/>
  <c r="O10" i="209" s="1"/>
  <c r="M10" i="209"/>
  <c r="K10" i="209"/>
  <c r="I10" i="209"/>
  <c r="H10" i="209"/>
  <c r="G10" i="209"/>
  <c r="B10" i="209"/>
  <c r="S9" i="209"/>
  <c r="Q9" i="209"/>
  <c r="O9" i="209"/>
  <c r="N9" i="209"/>
  <c r="M9" i="209"/>
  <c r="K9" i="209"/>
  <c r="H9" i="209"/>
  <c r="G9" i="209"/>
  <c r="B9" i="209"/>
  <c r="I9" i="209" s="1"/>
  <c r="S8" i="209"/>
  <c r="Q8" i="209"/>
  <c r="N8" i="209"/>
  <c r="O8" i="209" s="1"/>
  <c r="M8" i="209"/>
  <c r="K8" i="209"/>
  <c r="I8" i="209"/>
  <c r="H8" i="209"/>
  <c r="G8" i="209"/>
  <c r="B8" i="209"/>
  <c r="S7" i="209"/>
  <c r="Q7" i="209"/>
  <c r="O7" i="209"/>
  <c r="N7" i="209"/>
  <c r="M7" i="209"/>
  <c r="K7" i="209"/>
  <c r="K4" i="209" s="1"/>
  <c r="H7" i="209"/>
  <c r="G7" i="209"/>
  <c r="B7" i="209"/>
  <c r="I7" i="209" s="1"/>
  <c r="S6" i="209"/>
  <c r="Q6" i="209"/>
  <c r="N6" i="209"/>
  <c r="O6" i="209" s="1"/>
  <c r="M6" i="209"/>
  <c r="K6" i="209"/>
  <c r="I6" i="209"/>
  <c r="H6" i="209"/>
  <c r="G6" i="209"/>
  <c r="B6" i="209"/>
  <c r="Q5" i="209"/>
  <c r="M5" i="209"/>
  <c r="I5" i="209"/>
  <c r="H5" i="209"/>
  <c r="G5" i="209"/>
  <c r="T4" i="209"/>
  <c r="R4" i="209"/>
  <c r="S4" i="209" s="1"/>
  <c r="P4" i="209"/>
  <c r="L4" i="209"/>
  <c r="J4" i="209"/>
  <c r="M4" i="209" s="1"/>
  <c r="F4" i="209"/>
  <c r="E4" i="209"/>
  <c r="Q4" i="209" s="1"/>
  <c r="D4" i="209"/>
  <c r="C4" i="209"/>
  <c r="G4" i="209" s="1"/>
  <c r="B4" i="209"/>
  <c r="S19" i="208"/>
  <c r="Q19" i="208"/>
  <c r="O19" i="208"/>
  <c r="N19" i="208"/>
  <c r="M19" i="208"/>
  <c r="K19" i="208"/>
  <c r="H19" i="208"/>
  <c r="G19" i="208"/>
  <c r="B19" i="208"/>
  <c r="S18" i="208"/>
  <c r="Q18" i="208"/>
  <c r="N18" i="208"/>
  <c r="O18" i="208" s="1"/>
  <c r="M18" i="208"/>
  <c r="K18" i="208"/>
  <c r="I18" i="208"/>
  <c r="H18" i="208"/>
  <c r="G18" i="208"/>
  <c r="B18" i="208"/>
  <c r="S17" i="208"/>
  <c r="Q17" i="208"/>
  <c r="O17" i="208"/>
  <c r="N17" i="208"/>
  <c r="M17" i="208"/>
  <c r="K17" i="208"/>
  <c r="H17" i="208"/>
  <c r="G17" i="208"/>
  <c r="B17" i="208"/>
  <c r="I17" i="208" s="1"/>
  <c r="S16" i="208"/>
  <c r="Q16" i="208"/>
  <c r="N16" i="208"/>
  <c r="O16" i="208" s="1"/>
  <c r="M16" i="208"/>
  <c r="K16" i="208"/>
  <c r="I16" i="208"/>
  <c r="H16" i="208"/>
  <c r="G16" i="208"/>
  <c r="B16" i="208"/>
  <c r="S15" i="208"/>
  <c r="Q15" i="208"/>
  <c r="O15" i="208"/>
  <c r="N15" i="208"/>
  <c r="M15" i="208"/>
  <c r="K15" i="208"/>
  <c r="H15" i="208"/>
  <c r="G15" i="208"/>
  <c r="B15" i="208"/>
  <c r="I15" i="208" s="1"/>
  <c r="S14" i="208"/>
  <c r="Q14" i="208"/>
  <c r="N14" i="208"/>
  <c r="O14" i="208" s="1"/>
  <c r="M14" i="208"/>
  <c r="K14" i="208"/>
  <c r="I14" i="208"/>
  <c r="H14" i="208"/>
  <c r="G14" i="208"/>
  <c r="B14" i="208"/>
  <c r="S13" i="208"/>
  <c r="Q13" i="208"/>
  <c r="O13" i="208"/>
  <c r="N13" i="208"/>
  <c r="M13" i="208"/>
  <c r="K13" i="208"/>
  <c r="H13" i="208"/>
  <c r="G13" i="208"/>
  <c r="B13" i="208"/>
  <c r="I13" i="208" s="1"/>
  <c r="S12" i="208"/>
  <c r="Q12" i="208"/>
  <c r="N12" i="208"/>
  <c r="O12" i="208" s="1"/>
  <c r="M12" i="208"/>
  <c r="K12" i="208"/>
  <c r="I12" i="208"/>
  <c r="H12" i="208"/>
  <c r="G12" i="208"/>
  <c r="B12" i="208"/>
  <c r="S11" i="208"/>
  <c r="Q11" i="208"/>
  <c r="O11" i="208"/>
  <c r="N11" i="208"/>
  <c r="M11" i="208"/>
  <c r="K11" i="208"/>
  <c r="H11" i="208"/>
  <c r="G11" i="208"/>
  <c r="B11" i="208"/>
  <c r="I11" i="208" s="1"/>
  <c r="S10" i="208"/>
  <c r="Q10" i="208"/>
  <c r="N10" i="208"/>
  <c r="O10" i="208" s="1"/>
  <c r="M10" i="208"/>
  <c r="K10" i="208"/>
  <c r="I10" i="208"/>
  <c r="H10" i="208"/>
  <c r="G10" i="208"/>
  <c r="B10" i="208"/>
  <c r="S9" i="208"/>
  <c r="Q9" i="208"/>
  <c r="O9" i="208"/>
  <c r="N9" i="208"/>
  <c r="M9" i="208"/>
  <c r="K9" i="208"/>
  <c r="H9" i="208"/>
  <c r="G9" i="208"/>
  <c r="B9" i="208"/>
  <c r="I9" i="208" s="1"/>
  <c r="S8" i="208"/>
  <c r="Q8" i="208"/>
  <c r="N8" i="208"/>
  <c r="O8" i="208" s="1"/>
  <c r="M8" i="208"/>
  <c r="K8" i="208"/>
  <c r="I8" i="208"/>
  <c r="H8" i="208"/>
  <c r="G8" i="208"/>
  <c r="B8" i="208"/>
  <c r="S7" i="208"/>
  <c r="Q7" i="208"/>
  <c r="O7" i="208"/>
  <c r="N7" i="208"/>
  <c r="M7" i="208"/>
  <c r="K7" i="208"/>
  <c r="H7" i="208"/>
  <c r="G7" i="208"/>
  <c r="B7" i="208"/>
  <c r="I7" i="208" s="1"/>
  <c r="S6" i="208"/>
  <c r="Q6" i="208"/>
  <c r="N6" i="208"/>
  <c r="O6" i="208" s="1"/>
  <c r="M6" i="208"/>
  <c r="K6" i="208"/>
  <c r="I6" i="208"/>
  <c r="H6" i="208"/>
  <c r="G6" i="208"/>
  <c r="B6" i="208"/>
  <c r="Q5" i="208"/>
  <c r="M5" i="208"/>
  <c r="I5" i="208"/>
  <c r="H5" i="208"/>
  <c r="G5" i="208"/>
  <c r="T4" i="208"/>
  <c r="R4" i="208"/>
  <c r="S4" i="208" s="1"/>
  <c r="P4" i="208"/>
  <c r="N4" i="208"/>
  <c r="O4" i="208" s="1"/>
  <c r="L4" i="208"/>
  <c r="J4" i="208"/>
  <c r="M4" i="208" s="1"/>
  <c r="F4" i="208"/>
  <c r="E4" i="208"/>
  <c r="Q4" i="208" s="1"/>
  <c r="D4" i="208"/>
  <c r="C4" i="208"/>
  <c r="G4" i="208" s="1"/>
  <c r="B4" i="208"/>
  <c r="S19" i="207"/>
  <c r="Q19" i="207"/>
  <c r="O19" i="207"/>
  <c r="N19" i="207"/>
  <c r="M19" i="207"/>
  <c r="K19" i="207"/>
  <c r="H19" i="207"/>
  <c r="G19" i="207"/>
  <c r="B19" i="207"/>
  <c r="S18" i="207"/>
  <c r="Q18" i="207"/>
  <c r="N18" i="207"/>
  <c r="O18" i="207" s="1"/>
  <c r="M18" i="207"/>
  <c r="K18" i="207"/>
  <c r="I18" i="207"/>
  <c r="H18" i="207"/>
  <c r="G18" i="207"/>
  <c r="B18" i="207"/>
  <c r="S17" i="207"/>
  <c r="Q17" i="207"/>
  <c r="N17" i="207"/>
  <c r="O17" i="207" s="1"/>
  <c r="M17" i="207"/>
  <c r="K17" i="207"/>
  <c r="H17" i="207"/>
  <c r="G17" i="207"/>
  <c r="B17" i="207"/>
  <c r="I17" i="207" s="1"/>
  <c r="S16" i="207"/>
  <c r="Q16" i="207"/>
  <c r="N16" i="207"/>
  <c r="O16" i="207" s="1"/>
  <c r="M16" i="207"/>
  <c r="K16" i="207"/>
  <c r="I16" i="207"/>
  <c r="H16" i="207"/>
  <c r="G16" i="207"/>
  <c r="B16" i="207"/>
  <c r="S15" i="207"/>
  <c r="Q15" i="207"/>
  <c r="N15" i="207"/>
  <c r="O15" i="207" s="1"/>
  <c r="M15" i="207"/>
  <c r="K15" i="207"/>
  <c r="H15" i="207"/>
  <c r="G15" i="207"/>
  <c r="B15" i="207"/>
  <c r="I15" i="207" s="1"/>
  <c r="S14" i="207"/>
  <c r="Q14" i="207"/>
  <c r="N14" i="207"/>
  <c r="O14" i="207" s="1"/>
  <c r="M14" i="207"/>
  <c r="K14" i="207"/>
  <c r="I14" i="207"/>
  <c r="H14" i="207"/>
  <c r="G14" i="207"/>
  <c r="B14" i="207"/>
  <c r="S13" i="207"/>
  <c r="Q13" i="207"/>
  <c r="N13" i="207"/>
  <c r="O13" i="207" s="1"/>
  <c r="M13" i="207"/>
  <c r="K13" i="207"/>
  <c r="H13" i="207"/>
  <c r="G13" i="207"/>
  <c r="B13" i="207"/>
  <c r="I13" i="207" s="1"/>
  <c r="S12" i="207"/>
  <c r="Q12" i="207"/>
  <c r="N12" i="207"/>
  <c r="O12" i="207" s="1"/>
  <c r="M12" i="207"/>
  <c r="K12" i="207"/>
  <c r="I12" i="207"/>
  <c r="H12" i="207"/>
  <c r="G12" i="207"/>
  <c r="B12" i="207"/>
  <c r="S11" i="207"/>
  <c r="Q11" i="207"/>
  <c r="N11" i="207"/>
  <c r="O11" i="207" s="1"/>
  <c r="M11" i="207"/>
  <c r="K11" i="207"/>
  <c r="H11" i="207"/>
  <c r="G11" i="207"/>
  <c r="B11" i="207"/>
  <c r="I11" i="207" s="1"/>
  <c r="S10" i="207"/>
  <c r="Q10" i="207"/>
  <c r="N10" i="207"/>
  <c r="O10" i="207" s="1"/>
  <c r="M10" i="207"/>
  <c r="K10" i="207"/>
  <c r="I10" i="207"/>
  <c r="H10" i="207"/>
  <c r="G10" i="207"/>
  <c r="B10" i="207"/>
  <c r="S9" i="207"/>
  <c r="Q9" i="207"/>
  <c r="N9" i="207"/>
  <c r="O9" i="207" s="1"/>
  <c r="M9" i="207"/>
  <c r="K9" i="207"/>
  <c r="H9" i="207"/>
  <c r="G9" i="207"/>
  <c r="B9" i="207"/>
  <c r="I9" i="207" s="1"/>
  <c r="S8" i="207"/>
  <c r="Q8" i="207"/>
  <c r="N8" i="207"/>
  <c r="M8" i="207"/>
  <c r="K8" i="207"/>
  <c r="I8" i="207"/>
  <c r="H8" i="207"/>
  <c r="G8" i="207"/>
  <c r="B8" i="207"/>
  <c r="S7" i="207"/>
  <c r="Q7" i="207"/>
  <c r="N7" i="207"/>
  <c r="O7" i="207" s="1"/>
  <c r="M7" i="207"/>
  <c r="K7" i="207"/>
  <c r="H7" i="207"/>
  <c r="G7" i="207"/>
  <c r="B7" i="207"/>
  <c r="I7" i="207" s="1"/>
  <c r="S6" i="207"/>
  <c r="Q6" i="207"/>
  <c r="N6" i="207"/>
  <c r="O6" i="207" s="1"/>
  <c r="M6" i="207"/>
  <c r="K6" i="207"/>
  <c r="I6" i="207"/>
  <c r="H6" i="207"/>
  <c r="G6" i="207"/>
  <c r="B6" i="207"/>
  <c r="Q5" i="207"/>
  <c r="M5" i="207"/>
  <c r="I5" i="207"/>
  <c r="H5" i="207"/>
  <c r="G5" i="207"/>
  <c r="T4" i="207"/>
  <c r="R4" i="207"/>
  <c r="S4" i="207" s="1"/>
  <c r="P4" i="207"/>
  <c r="Q4" i="207" s="1"/>
  <c r="L4" i="207"/>
  <c r="J4" i="207"/>
  <c r="F4" i="207"/>
  <c r="E4" i="207"/>
  <c r="D4" i="207"/>
  <c r="H4" i="207" s="1"/>
  <c r="C4" i="207"/>
  <c r="G2" i="207" s="1"/>
  <c r="S19" i="206"/>
  <c r="Q19" i="206"/>
  <c r="N19" i="206"/>
  <c r="O19" i="206" s="1"/>
  <c r="M19" i="206"/>
  <c r="K19" i="206"/>
  <c r="H19" i="206"/>
  <c r="G19" i="206"/>
  <c r="B19" i="206"/>
  <c r="S18" i="206"/>
  <c r="Q18" i="206"/>
  <c r="N18" i="206"/>
  <c r="O18" i="206" s="1"/>
  <c r="M18" i="206"/>
  <c r="K18" i="206"/>
  <c r="I18" i="206"/>
  <c r="H18" i="206"/>
  <c r="G18" i="206"/>
  <c r="B18" i="206"/>
  <c r="S17" i="206"/>
  <c r="Q17" i="206"/>
  <c r="N17" i="206"/>
  <c r="O17" i="206" s="1"/>
  <c r="M17" i="206"/>
  <c r="K17" i="206"/>
  <c r="H17" i="206"/>
  <c r="G17" i="206"/>
  <c r="B17" i="206"/>
  <c r="I17" i="206" s="1"/>
  <c r="S16" i="206"/>
  <c r="Q16" i="206"/>
  <c r="N16" i="206"/>
  <c r="O16" i="206" s="1"/>
  <c r="M16" i="206"/>
  <c r="K16" i="206"/>
  <c r="I16" i="206"/>
  <c r="H16" i="206"/>
  <c r="G16" i="206"/>
  <c r="B16" i="206"/>
  <c r="S15" i="206"/>
  <c r="Q15" i="206"/>
  <c r="N15" i="206"/>
  <c r="O15" i="206" s="1"/>
  <c r="M15" i="206"/>
  <c r="K15" i="206"/>
  <c r="H15" i="206"/>
  <c r="G15" i="206"/>
  <c r="B15" i="206"/>
  <c r="I15" i="206" s="1"/>
  <c r="S14" i="206"/>
  <c r="Q14" i="206"/>
  <c r="N14" i="206"/>
  <c r="O14" i="206" s="1"/>
  <c r="M14" i="206"/>
  <c r="K14" i="206"/>
  <c r="I14" i="206"/>
  <c r="H14" i="206"/>
  <c r="G14" i="206"/>
  <c r="B14" i="206"/>
  <c r="S13" i="206"/>
  <c r="Q13" i="206"/>
  <c r="N13" i="206"/>
  <c r="O13" i="206" s="1"/>
  <c r="M13" i="206"/>
  <c r="K13" i="206"/>
  <c r="H13" i="206"/>
  <c r="G13" i="206"/>
  <c r="B13" i="206"/>
  <c r="I13" i="206" s="1"/>
  <c r="S12" i="206"/>
  <c r="Q12" i="206"/>
  <c r="N12" i="206"/>
  <c r="O12" i="206" s="1"/>
  <c r="M12" i="206"/>
  <c r="K12" i="206"/>
  <c r="I12" i="206"/>
  <c r="H12" i="206"/>
  <c r="G12" i="206"/>
  <c r="B12" i="206"/>
  <c r="S11" i="206"/>
  <c r="Q11" i="206"/>
  <c r="N11" i="206"/>
  <c r="O11" i="206" s="1"/>
  <c r="M11" i="206"/>
  <c r="K11" i="206"/>
  <c r="H11" i="206"/>
  <c r="G11" i="206"/>
  <c r="B11" i="206"/>
  <c r="I11" i="206" s="1"/>
  <c r="S10" i="206"/>
  <c r="Q10" i="206"/>
  <c r="N10" i="206"/>
  <c r="O10" i="206" s="1"/>
  <c r="M10" i="206"/>
  <c r="K10" i="206"/>
  <c r="I10" i="206"/>
  <c r="H10" i="206"/>
  <c r="G10" i="206"/>
  <c r="B10" i="206"/>
  <c r="S9" i="206"/>
  <c r="Q9" i="206"/>
  <c r="N9" i="206"/>
  <c r="O9" i="206" s="1"/>
  <c r="M9" i="206"/>
  <c r="K9" i="206"/>
  <c r="H9" i="206"/>
  <c r="G9" i="206"/>
  <c r="B9" i="206"/>
  <c r="I9" i="206" s="1"/>
  <c r="S8" i="206"/>
  <c r="Q8" i="206"/>
  <c r="N8" i="206"/>
  <c r="M8" i="206"/>
  <c r="K8" i="206"/>
  <c r="I8" i="206"/>
  <c r="H8" i="206"/>
  <c r="G8" i="206"/>
  <c r="B8" i="206"/>
  <c r="S7" i="206"/>
  <c r="Q7" i="206"/>
  <c r="N7" i="206"/>
  <c r="O7" i="206" s="1"/>
  <c r="M7" i="206"/>
  <c r="K7" i="206"/>
  <c r="H7" i="206"/>
  <c r="G7" i="206"/>
  <c r="B7" i="206"/>
  <c r="I7" i="206" s="1"/>
  <c r="S6" i="206"/>
  <c r="Q6" i="206"/>
  <c r="N6" i="206"/>
  <c r="O6" i="206" s="1"/>
  <c r="M6" i="206"/>
  <c r="K6" i="206"/>
  <c r="I6" i="206"/>
  <c r="H6" i="206"/>
  <c r="G6" i="206"/>
  <c r="B6" i="206"/>
  <c r="Q5" i="206"/>
  <c r="M5" i="206"/>
  <c r="I5" i="206"/>
  <c r="H5" i="206"/>
  <c r="G5" i="206"/>
  <c r="T4" i="206"/>
  <c r="R4" i="206"/>
  <c r="S4" i="206" s="1"/>
  <c r="P4" i="206"/>
  <c r="Q4" i="206" s="1"/>
  <c r="L4" i="206"/>
  <c r="J4" i="206"/>
  <c r="F4" i="206"/>
  <c r="E4" i="206"/>
  <c r="D4" i="206"/>
  <c r="H4" i="206" s="1"/>
  <c r="C4" i="206"/>
  <c r="G2" i="206" s="1"/>
  <c r="B4" i="206"/>
  <c r="S19" i="205"/>
  <c r="Q19" i="205"/>
  <c r="N19" i="205"/>
  <c r="O19" i="205" s="1"/>
  <c r="M19" i="205"/>
  <c r="K19" i="205"/>
  <c r="H19" i="205"/>
  <c r="G19" i="205"/>
  <c r="B19" i="205"/>
  <c r="S18" i="205"/>
  <c r="Q18" i="205"/>
  <c r="N18" i="205"/>
  <c r="O18" i="205" s="1"/>
  <c r="M18" i="205"/>
  <c r="K18" i="205"/>
  <c r="I18" i="205"/>
  <c r="H18" i="205"/>
  <c r="G18" i="205"/>
  <c r="B18" i="205"/>
  <c r="S17" i="205"/>
  <c r="Q17" i="205"/>
  <c r="N17" i="205"/>
  <c r="O17" i="205" s="1"/>
  <c r="M17" i="205"/>
  <c r="K17" i="205"/>
  <c r="H17" i="205"/>
  <c r="G17" i="205"/>
  <c r="B17" i="205"/>
  <c r="I17" i="205" s="1"/>
  <c r="S16" i="205"/>
  <c r="Q16" i="205"/>
  <c r="N16" i="205"/>
  <c r="O16" i="205" s="1"/>
  <c r="M16" i="205"/>
  <c r="K16" i="205"/>
  <c r="I16" i="205"/>
  <c r="H16" i="205"/>
  <c r="G16" i="205"/>
  <c r="B16" i="205"/>
  <c r="S15" i="205"/>
  <c r="Q15" i="205"/>
  <c r="N15" i="205"/>
  <c r="O15" i="205" s="1"/>
  <c r="M15" i="205"/>
  <c r="K15" i="205"/>
  <c r="H15" i="205"/>
  <c r="G15" i="205"/>
  <c r="B15" i="205"/>
  <c r="I15" i="205" s="1"/>
  <c r="S14" i="205"/>
  <c r="Q14" i="205"/>
  <c r="N14" i="205"/>
  <c r="O14" i="205" s="1"/>
  <c r="M14" i="205"/>
  <c r="K14" i="205"/>
  <c r="I14" i="205"/>
  <c r="H14" i="205"/>
  <c r="G14" i="205"/>
  <c r="B14" i="205"/>
  <c r="S13" i="205"/>
  <c r="Q13" i="205"/>
  <c r="N13" i="205"/>
  <c r="O13" i="205" s="1"/>
  <c r="M13" i="205"/>
  <c r="K13" i="205"/>
  <c r="H13" i="205"/>
  <c r="G13" i="205"/>
  <c r="B13" i="205"/>
  <c r="I13" i="205" s="1"/>
  <c r="S12" i="205"/>
  <c r="Q12" i="205"/>
  <c r="N12" i="205"/>
  <c r="O12" i="205" s="1"/>
  <c r="M12" i="205"/>
  <c r="K12" i="205"/>
  <c r="I12" i="205"/>
  <c r="H12" i="205"/>
  <c r="G12" i="205"/>
  <c r="B12" i="205"/>
  <c r="S11" i="205"/>
  <c r="Q11" i="205"/>
  <c r="N11" i="205"/>
  <c r="O11" i="205" s="1"/>
  <c r="M11" i="205"/>
  <c r="K11" i="205"/>
  <c r="H11" i="205"/>
  <c r="G11" i="205"/>
  <c r="B11" i="205"/>
  <c r="I11" i="205" s="1"/>
  <c r="S10" i="205"/>
  <c r="Q10" i="205"/>
  <c r="N10" i="205"/>
  <c r="O10" i="205" s="1"/>
  <c r="M10" i="205"/>
  <c r="K10" i="205"/>
  <c r="I10" i="205"/>
  <c r="H10" i="205"/>
  <c r="G10" i="205"/>
  <c r="B10" i="205"/>
  <c r="S9" i="205"/>
  <c r="Q9" i="205"/>
  <c r="N9" i="205"/>
  <c r="O9" i="205" s="1"/>
  <c r="M9" i="205"/>
  <c r="K9" i="205"/>
  <c r="H9" i="205"/>
  <c r="G9" i="205"/>
  <c r="B9" i="205"/>
  <c r="I9" i="205" s="1"/>
  <c r="S8" i="205"/>
  <c r="Q8" i="205"/>
  <c r="N8" i="205"/>
  <c r="M8" i="205"/>
  <c r="K8" i="205"/>
  <c r="I8" i="205"/>
  <c r="H8" i="205"/>
  <c r="G8" i="205"/>
  <c r="B8" i="205"/>
  <c r="S7" i="205"/>
  <c r="Q7" i="205"/>
  <c r="N7" i="205"/>
  <c r="O7" i="205" s="1"/>
  <c r="M7" i="205"/>
  <c r="K7" i="205"/>
  <c r="H7" i="205"/>
  <c r="G7" i="205"/>
  <c r="B7" i="205"/>
  <c r="I7" i="205" s="1"/>
  <c r="S6" i="205"/>
  <c r="Q6" i="205"/>
  <c r="N6" i="205"/>
  <c r="O6" i="205" s="1"/>
  <c r="M6" i="205"/>
  <c r="K6" i="205"/>
  <c r="I6" i="205"/>
  <c r="H6" i="205"/>
  <c r="G6" i="205"/>
  <c r="B6" i="205"/>
  <c r="Q5" i="205"/>
  <c r="M5" i="205"/>
  <c r="I5" i="205"/>
  <c r="H5" i="205"/>
  <c r="G5" i="205"/>
  <c r="T4" i="205"/>
  <c r="R4" i="205"/>
  <c r="S4" i="205" s="1"/>
  <c r="P4" i="205"/>
  <c r="Q4" i="205" s="1"/>
  <c r="L4" i="205"/>
  <c r="J4" i="205"/>
  <c r="F4" i="205"/>
  <c r="E4" i="205"/>
  <c r="D4" i="205"/>
  <c r="H4" i="205" s="1"/>
  <c r="C4" i="205"/>
  <c r="G2" i="205" s="1"/>
  <c r="S19" i="204"/>
  <c r="Q19" i="204"/>
  <c r="N19" i="204"/>
  <c r="O19" i="204" s="1"/>
  <c r="M19" i="204"/>
  <c r="K19" i="204"/>
  <c r="H19" i="204"/>
  <c r="G19" i="204"/>
  <c r="B19" i="204"/>
  <c r="S18" i="204"/>
  <c r="Q18" i="204"/>
  <c r="N18" i="204"/>
  <c r="O18" i="204" s="1"/>
  <c r="M18" i="204"/>
  <c r="K18" i="204"/>
  <c r="I18" i="204"/>
  <c r="H18" i="204"/>
  <c r="G18" i="204"/>
  <c r="B18" i="204"/>
  <c r="S17" i="204"/>
  <c r="Q17" i="204"/>
  <c r="N17" i="204"/>
  <c r="O17" i="204" s="1"/>
  <c r="M17" i="204"/>
  <c r="K17" i="204"/>
  <c r="H17" i="204"/>
  <c r="G17" i="204"/>
  <c r="B17" i="204"/>
  <c r="I17" i="204" s="1"/>
  <c r="S16" i="204"/>
  <c r="Q16" i="204"/>
  <c r="N16" i="204"/>
  <c r="O16" i="204" s="1"/>
  <c r="M16" i="204"/>
  <c r="K16" i="204"/>
  <c r="I16" i="204"/>
  <c r="H16" i="204"/>
  <c r="G16" i="204"/>
  <c r="B16" i="204"/>
  <c r="S15" i="204"/>
  <c r="Q15" i="204"/>
  <c r="N15" i="204"/>
  <c r="O15" i="204" s="1"/>
  <c r="M15" i="204"/>
  <c r="K15" i="204"/>
  <c r="H15" i="204"/>
  <c r="G15" i="204"/>
  <c r="B15" i="204"/>
  <c r="I15" i="204" s="1"/>
  <c r="S14" i="204"/>
  <c r="Q14" i="204"/>
  <c r="N14" i="204"/>
  <c r="O14" i="204" s="1"/>
  <c r="M14" i="204"/>
  <c r="K14" i="204"/>
  <c r="I14" i="204"/>
  <c r="H14" i="204"/>
  <c r="G14" i="204"/>
  <c r="B14" i="204"/>
  <c r="S13" i="204"/>
  <c r="Q13" i="204"/>
  <c r="N13" i="204"/>
  <c r="O13" i="204" s="1"/>
  <c r="M13" i="204"/>
  <c r="K13" i="204"/>
  <c r="H13" i="204"/>
  <c r="G13" i="204"/>
  <c r="B13" i="204"/>
  <c r="I13" i="204" s="1"/>
  <c r="S12" i="204"/>
  <c r="Q12" i="204"/>
  <c r="N12" i="204"/>
  <c r="O12" i="204" s="1"/>
  <c r="M12" i="204"/>
  <c r="K12" i="204"/>
  <c r="I12" i="204"/>
  <c r="H12" i="204"/>
  <c r="G12" i="204"/>
  <c r="B12" i="204"/>
  <c r="S11" i="204"/>
  <c r="Q11" i="204"/>
  <c r="N11" i="204"/>
  <c r="O11" i="204" s="1"/>
  <c r="M11" i="204"/>
  <c r="K11" i="204"/>
  <c r="H11" i="204"/>
  <c r="G11" i="204"/>
  <c r="B11" i="204"/>
  <c r="I11" i="204" s="1"/>
  <c r="S10" i="204"/>
  <c r="Q10" i="204"/>
  <c r="N10" i="204"/>
  <c r="O10" i="204" s="1"/>
  <c r="M10" i="204"/>
  <c r="K10" i="204"/>
  <c r="I10" i="204"/>
  <c r="H10" i="204"/>
  <c r="G10" i="204"/>
  <c r="B10" i="204"/>
  <c r="S9" i="204"/>
  <c r="Q9" i="204"/>
  <c r="N9" i="204"/>
  <c r="O9" i="204" s="1"/>
  <c r="M9" i="204"/>
  <c r="K9" i="204"/>
  <c r="H9" i="204"/>
  <c r="G9" i="204"/>
  <c r="B9" i="204"/>
  <c r="I9" i="204" s="1"/>
  <c r="S8" i="204"/>
  <c r="Q8" i="204"/>
  <c r="N8" i="204"/>
  <c r="M8" i="204"/>
  <c r="K8" i="204"/>
  <c r="I8" i="204"/>
  <c r="H8" i="204"/>
  <c r="G8" i="204"/>
  <c r="B8" i="204"/>
  <c r="S7" i="204"/>
  <c r="Q7" i="204"/>
  <c r="N7" i="204"/>
  <c r="O7" i="204" s="1"/>
  <c r="M7" i="204"/>
  <c r="K7" i="204"/>
  <c r="H7" i="204"/>
  <c r="G7" i="204"/>
  <c r="B7" i="204"/>
  <c r="I7" i="204" s="1"/>
  <c r="S6" i="204"/>
  <c r="Q6" i="204"/>
  <c r="N6" i="204"/>
  <c r="O6" i="204" s="1"/>
  <c r="M6" i="204"/>
  <c r="K6" i="204"/>
  <c r="I6" i="204"/>
  <c r="H6" i="204"/>
  <c r="G6" i="204"/>
  <c r="B6" i="204"/>
  <c r="Q5" i="204"/>
  <c r="M5" i="204"/>
  <c r="I5" i="204"/>
  <c r="H5" i="204"/>
  <c r="G5" i="204"/>
  <c r="T4" i="204"/>
  <c r="R4" i="204"/>
  <c r="S4" i="204" s="1"/>
  <c r="P4" i="204"/>
  <c r="Q4" i="204" s="1"/>
  <c r="L4" i="204"/>
  <c r="J4" i="204"/>
  <c r="F4" i="204"/>
  <c r="E4" i="204"/>
  <c r="D4" i="204"/>
  <c r="H4" i="204" s="1"/>
  <c r="C4" i="204"/>
  <c r="G2" i="204" s="1"/>
  <c r="B4" i="204"/>
  <c r="S19" i="203"/>
  <c r="Q19" i="203"/>
  <c r="N19" i="203"/>
  <c r="O19" i="203" s="1"/>
  <c r="M19" i="203"/>
  <c r="K19" i="203"/>
  <c r="H19" i="203"/>
  <c r="G19" i="203"/>
  <c r="B19" i="203"/>
  <c r="S18" i="203"/>
  <c r="Q18" i="203"/>
  <c r="N18" i="203"/>
  <c r="O18" i="203" s="1"/>
  <c r="M18" i="203"/>
  <c r="K18" i="203"/>
  <c r="I18" i="203"/>
  <c r="H18" i="203"/>
  <c r="G18" i="203"/>
  <c r="B18" i="203"/>
  <c r="S17" i="203"/>
  <c r="Q17" i="203"/>
  <c r="N17" i="203"/>
  <c r="O17" i="203" s="1"/>
  <c r="M17" i="203"/>
  <c r="K17" i="203"/>
  <c r="H17" i="203"/>
  <c r="G17" i="203"/>
  <c r="B17" i="203"/>
  <c r="I17" i="203" s="1"/>
  <c r="S16" i="203"/>
  <c r="Q16" i="203"/>
  <c r="N16" i="203"/>
  <c r="O16" i="203" s="1"/>
  <c r="M16" i="203"/>
  <c r="K16" i="203"/>
  <c r="I16" i="203"/>
  <c r="H16" i="203"/>
  <c r="G16" i="203"/>
  <c r="B16" i="203"/>
  <c r="S15" i="203"/>
  <c r="Q15" i="203"/>
  <c r="N15" i="203"/>
  <c r="O15" i="203" s="1"/>
  <c r="M15" i="203"/>
  <c r="K15" i="203"/>
  <c r="H15" i="203"/>
  <c r="G15" i="203"/>
  <c r="B15" i="203"/>
  <c r="I15" i="203" s="1"/>
  <c r="S14" i="203"/>
  <c r="Q14" i="203"/>
  <c r="N14" i="203"/>
  <c r="O14" i="203" s="1"/>
  <c r="M14" i="203"/>
  <c r="K14" i="203"/>
  <c r="I14" i="203"/>
  <c r="H14" i="203"/>
  <c r="G14" i="203"/>
  <c r="B14" i="203"/>
  <c r="S13" i="203"/>
  <c r="Q13" i="203"/>
  <c r="N13" i="203"/>
  <c r="O13" i="203" s="1"/>
  <c r="M13" i="203"/>
  <c r="K13" i="203"/>
  <c r="H13" i="203"/>
  <c r="G13" i="203"/>
  <c r="B13" i="203"/>
  <c r="I13" i="203" s="1"/>
  <c r="S12" i="203"/>
  <c r="Q12" i="203"/>
  <c r="N12" i="203"/>
  <c r="O12" i="203" s="1"/>
  <c r="M12" i="203"/>
  <c r="K12" i="203"/>
  <c r="I12" i="203"/>
  <c r="H12" i="203"/>
  <c r="G12" i="203"/>
  <c r="B12" i="203"/>
  <c r="S11" i="203"/>
  <c r="Q11" i="203"/>
  <c r="N11" i="203"/>
  <c r="O11" i="203" s="1"/>
  <c r="M11" i="203"/>
  <c r="K11" i="203"/>
  <c r="H11" i="203"/>
  <c r="G11" i="203"/>
  <c r="B11" i="203"/>
  <c r="I11" i="203" s="1"/>
  <c r="S10" i="203"/>
  <c r="Q10" i="203"/>
  <c r="N10" i="203"/>
  <c r="O10" i="203" s="1"/>
  <c r="M10" i="203"/>
  <c r="K10" i="203"/>
  <c r="I10" i="203"/>
  <c r="H10" i="203"/>
  <c r="G10" i="203"/>
  <c r="B10" i="203"/>
  <c r="S9" i="203"/>
  <c r="Q9" i="203"/>
  <c r="N9" i="203"/>
  <c r="O9" i="203" s="1"/>
  <c r="M9" i="203"/>
  <c r="K9" i="203"/>
  <c r="H9" i="203"/>
  <c r="G9" i="203"/>
  <c r="B9" i="203"/>
  <c r="I9" i="203" s="1"/>
  <c r="S8" i="203"/>
  <c r="Q8" i="203"/>
  <c r="N8" i="203"/>
  <c r="O8" i="203" s="1"/>
  <c r="M8" i="203"/>
  <c r="K8" i="203"/>
  <c r="I8" i="203"/>
  <c r="H8" i="203"/>
  <c r="G8" i="203"/>
  <c r="B8" i="203"/>
  <c r="S7" i="203"/>
  <c r="Q7" i="203"/>
  <c r="N7" i="203"/>
  <c r="O7" i="203" s="1"/>
  <c r="M7" i="203"/>
  <c r="K7" i="203"/>
  <c r="H7" i="203"/>
  <c r="G7" i="203"/>
  <c r="B7" i="203"/>
  <c r="I7" i="203" s="1"/>
  <c r="S6" i="203"/>
  <c r="Q6" i="203"/>
  <c r="N6" i="203"/>
  <c r="O6" i="203" s="1"/>
  <c r="M6" i="203"/>
  <c r="K6" i="203"/>
  <c r="I6" i="203"/>
  <c r="H6" i="203"/>
  <c r="G6" i="203"/>
  <c r="B6" i="203"/>
  <c r="Q5" i="203"/>
  <c r="M5" i="203"/>
  <c r="I5" i="203"/>
  <c r="H5" i="203"/>
  <c r="G5" i="203"/>
  <c r="T4" i="203"/>
  <c r="S4" i="203"/>
  <c r="R4" i="203"/>
  <c r="P4" i="203"/>
  <c r="Q4" i="203" s="1"/>
  <c r="L4" i="203"/>
  <c r="J4" i="203"/>
  <c r="F4" i="203"/>
  <c r="E4" i="203"/>
  <c r="D4" i="203"/>
  <c r="H4" i="203" s="1"/>
  <c r="C4" i="203"/>
  <c r="G2" i="203" s="1"/>
  <c r="S19" i="202"/>
  <c r="Q19" i="202"/>
  <c r="N19" i="202"/>
  <c r="O19" i="202" s="1"/>
  <c r="M19" i="202"/>
  <c r="K19" i="202"/>
  <c r="H19" i="202"/>
  <c r="G19" i="202"/>
  <c r="B19" i="202"/>
  <c r="S18" i="202"/>
  <c r="Q18" i="202"/>
  <c r="O18" i="202"/>
  <c r="N18" i="202"/>
  <c r="M18" i="202"/>
  <c r="K18" i="202"/>
  <c r="I18" i="202"/>
  <c r="H18" i="202"/>
  <c r="G18" i="202"/>
  <c r="B18" i="202"/>
  <c r="S17" i="202"/>
  <c r="Q17" i="202"/>
  <c r="N17" i="202"/>
  <c r="O17" i="202" s="1"/>
  <c r="M17" i="202"/>
  <c r="K17" i="202"/>
  <c r="H17" i="202"/>
  <c r="G17" i="202"/>
  <c r="B17" i="202"/>
  <c r="I17" i="202" s="1"/>
  <c r="S16" i="202"/>
  <c r="Q16" i="202"/>
  <c r="N16" i="202"/>
  <c r="O16" i="202" s="1"/>
  <c r="M16" i="202"/>
  <c r="K16" i="202"/>
  <c r="I16" i="202"/>
  <c r="H16" i="202"/>
  <c r="G16" i="202"/>
  <c r="B16" i="202"/>
  <c r="S15" i="202"/>
  <c r="Q15" i="202"/>
  <c r="N15" i="202"/>
  <c r="O15" i="202" s="1"/>
  <c r="M15" i="202"/>
  <c r="K15" i="202"/>
  <c r="H15" i="202"/>
  <c r="G15" i="202"/>
  <c r="B15" i="202"/>
  <c r="I15" i="202" s="1"/>
  <c r="S14" i="202"/>
  <c r="Q14" i="202"/>
  <c r="O14" i="202"/>
  <c r="N14" i="202"/>
  <c r="M14" i="202"/>
  <c r="K14" i="202"/>
  <c r="I14" i="202"/>
  <c r="H14" i="202"/>
  <c r="G14" i="202"/>
  <c r="B14" i="202"/>
  <c r="S13" i="202"/>
  <c r="Q13" i="202"/>
  <c r="N13" i="202"/>
  <c r="O13" i="202" s="1"/>
  <c r="M13" i="202"/>
  <c r="K13" i="202"/>
  <c r="H13" i="202"/>
  <c r="G13" i="202"/>
  <c r="B13" i="202"/>
  <c r="I13" i="202" s="1"/>
  <c r="S12" i="202"/>
  <c r="Q12" i="202"/>
  <c r="N12" i="202"/>
  <c r="O12" i="202" s="1"/>
  <c r="M12" i="202"/>
  <c r="K12" i="202"/>
  <c r="I12" i="202"/>
  <c r="H12" i="202"/>
  <c r="G12" i="202"/>
  <c r="B12" i="202"/>
  <c r="S11" i="202"/>
  <c r="Q11" i="202"/>
  <c r="N11" i="202"/>
  <c r="O11" i="202" s="1"/>
  <c r="M11" i="202"/>
  <c r="K11" i="202"/>
  <c r="H11" i="202"/>
  <c r="G11" i="202"/>
  <c r="B11" i="202"/>
  <c r="I11" i="202" s="1"/>
  <c r="S10" i="202"/>
  <c r="Q10" i="202"/>
  <c r="O10" i="202"/>
  <c r="N10" i="202"/>
  <c r="M10" i="202"/>
  <c r="K10" i="202"/>
  <c r="I10" i="202"/>
  <c r="H10" i="202"/>
  <c r="G10" i="202"/>
  <c r="B10" i="202"/>
  <c r="S9" i="202"/>
  <c r="Q9" i="202"/>
  <c r="N9" i="202"/>
  <c r="O9" i="202" s="1"/>
  <c r="M9" i="202"/>
  <c r="K9" i="202"/>
  <c r="H9" i="202"/>
  <c r="G9" i="202"/>
  <c r="B9" i="202"/>
  <c r="I9" i="202" s="1"/>
  <c r="S8" i="202"/>
  <c r="Q8" i="202"/>
  <c r="N8" i="202"/>
  <c r="O8" i="202" s="1"/>
  <c r="M8" i="202"/>
  <c r="K8" i="202"/>
  <c r="I8" i="202"/>
  <c r="H8" i="202"/>
  <c r="G8" i="202"/>
  <c r="B8" i="202"/>
  <c r="S7" i="202"/>
  <c r="Q7" i="202"/>
  <c r="N7" i="202"/>
  <c r="O7" i="202" s="1"/>
  <c r="M7" i="202"/>
  <c r="K7" i="202"/>
  <c r="H7" i="202"/>
  <c r="G7" i="202"/>
  <c r="B7" i="202"/>
  <c r="I7" i="202" s="1"/>
  <c r="S6" i="202"/>
  <c r="Q6" i="202"/>
  <c r="O6" i="202"/>
  <c r="N6" i="202"/>
  <c r="M6" i="202"/>
  <c r="K6" i="202"/>
  <c r="I6" i="202"/>
  <c r="H6" i="202"/>
  <c r="G6" i="202"/>
  <c r="B6" i="202"/>
  <c r="Q5" i="202"/>
  <c r="M5" i="202"/>
  <c r="I5" i="202"/>
  <c r="H5" i="202"/>
  <c r="G5" i="202"/>
  <c r="T4" i="202"/>
  <c r="R4" i="202"/>
  <c r="S4" i="202" s="1"/>
  <c r="P4" i="202"/>
  <c r="Q4" i="202" s="1"/>
  <c r="N4" i="202"/>
  <c r="O4" i="202" s="1"/>
  <c r="L4" i="202"/>
  <c r="M4" i="202" s="1"/>
  <c r="J4" i="202"/>
  <c r="F4" i="202"/>
  <c r="E4" i="202"/>
  <c r="D4" i="202"/>
  <c r="H4" i="202" s="1"/>
  <c r="C4" i="202"/>
  <c r="G2" i="202" s="1"/>
  <c r="B4" i="202"/>
  <c r="S19" i="201"/>
  <c r="Q19" i="201"/>
  <c r="M19" i="201"/>
  <c r="K19" i="201"/>
  <c r="H19" i="201"/>
  <c r="G19" i="201"/>
  <c r="B19" i="201"/>
  <c r="S18" i="201"/>
  <c r="Q18" i="201"/>
  <c r="N18" i="201"/>
  <c r="O18" i="201" s="1"/>
  <c r="M18" i="201"/>
  <c r="K18" i="201"/>
  <c r="I18" i="201"/>
  <c r="H18" i="201"/>
  <c r="G18" i="201"/>
  <c r="B18" i="201"/>
  <c r="S17" i="201"/>
  <c r="Q17" i="201"/>
  <c r="N17" i="201"/>
  <c r="O17" i="201" s="1"/>
  <c r="M17" i="201"/>
  <c r="K17" i="201"/>
  <c r="H17" i="201"/>
  <c r="G17" i="201"/>
  <c r="B17" i="201"/>
  <c r="I17" i="201" s="1"/>
  <c r="S16" i="201"/>
  <c r="Q16" i="201"/>
  <c r="O16" i="201"/>
  <c r="N16" i="201"/>
  <c r="M16" i="201"/>
  <c r="K16" i="201"/>
  <c r="I16" i="201"/>
  <c r="H16" i="201"/>
  <c r="G16" i="201"/>
  <c r="B16" i="201"/>
  <c r="S15" i="201"/>
  <c r="Q15" i="201"/>
  <c r="N15" i="201"/>
  <c r="O15" i="201" s="1"/>
  <c r="M15" i="201"/>
  <c r="K15" i="201"/>
  <c r="H15" i="201"/>
  <c r="G15" i="201"/>
  <c r="B15" i="201"/>
  <c r="I15" i="201" s="1"/>
  <c r="S14" i="201"/>
  <c r="Q14" i="201"/>
  <c r="N14" i="201"/>
  <c r="O14" i="201" s="1"/>
  <c r="M14" i="201"/>
  <c r="K14" i="201"/>
  <c r="I14" i="201"/>
  <c r="H14" i="201"/>
  <c r="G14" i="201"/>
  <c r="B14" i="201"/>
  <c r="S13" i="201"/>
  <c r="Q13" i="201"/>
  <c r="N13" i="201"/>
  <c r="O13" i="201" s="1"/>
  <c r="M13" i="201"/>
  <c r="K13" i="201"/>
  <c r="H13" i="201"/>
  <c r="G13" i="201"/>
  <c r="B13" i="201"/>
  <c r="I13" i="201" s="1"/>
  <c r="S12" i="201"/>
  <c r="Q12" i="201"/>
  <c r="O12" i="201"/>
  <c r="N12" i="201"/>
  <c r="M12" i="201"/>
  <c r="K12" i="201"/>
  <c r="I12" i="201"/>
  <c r="H12" i="201"/>
  <c r="G12" i="201"/>
  <c r="B12" i="201"/>
  <c r="S11" i="201"/>
  <c r="Q11" i="201"/>
  <c r="N11" i="201"/>
  <c r="O11" i="201" s="1"/>
  <c r="M11" i="201"/>
  <c r="K11" i="201"/>
  <c r="H11" i="201"/>
  <c r="G11" i="201"/>
  <c r="B11" i="201"/>
  <c r="I11" i="201" s="1"/>
  <c r="S10" i="201"/>
  <c r="Q10" i="201"/>
  <c r="N10" i="201"/>
  <c r="O10" i="201" s="1"/>
  <c r="M10" i="201"/>
  <c r="K10" i="201"/>
  <c r="I10" i="201"/>
  <c r="H10" i="201"/>
  <c r="G10" i="201"/>
  <c r="B10" i="201"/>
  <c r="S9" i="201"/>
  <c r="Q9" i="201"/>
  <c r="N9" i="201"/>
  <c r="O9" i="201" s="1"/>
  <c r="M9" i="201"/>
  <c r="K9" i="201"/>
  <c r="H9" i="201"/>
  <c r="G9" i="201"/>
  <c r="B9" i="201"/>
  <c r="I9" i="201" s="1"/>
  <c r="S8" i="201"/>
  <c r="Q8" i="201"/>
  <c r="O8" i="201"/>
  <c r="N8" i="201"/>
  <c r="M8" i="201"/>
  <c r="K8" i="201"/>
  <c r="I8" i="201"/>
  <c r="H8" i="201"/>
  <c r="G8" i="201"/>
  <c r="B8" i="201"/>
  <c r="S7" i="201"/>
  <c r="Q7" i="201"/>
  <c r="N7" i="201"/>
  <c r="O7" i="201" s="1"/>
  <c r="M7" i="201"/>
  <c r="K7" i="201"/>
  <c r="K4" i="201" s="1"/>
  <c r="H7" i="201"/>
  <c r="G7" i="201"/>
  <c r="B7" i="201"/>
  <c r="I7" i="201" s="1"/>
  <c r="S6" i="201"/>
  <c r="Q6" i="201"/>
  <c r="N6" i="201"/>
  <c r="M6" i="201"/>
  <c r="K6" i="201"/>
  <c r="I6" i="201"/>
  <c r="H6" i="201"/>
  <c r="G6" i="201"/>
  <c r="B6" i="201"/>
  <c r="Q5" i="201"/>
  <c r="M5" i="201"/>
  <c r="I5" i="201"/>
  <c r="H5" i="201"/>
  <c r="G5" i="201"/>
  <c r="T4" i="201"/>
  <c r="R4" i="201"/>
  <c r="S4" i="201" s="1"/>
  <c r="P4" i="201"/>
  <c r="Q4" i="201" s="1"/>
  <c r="L4" i="201"/>
  <c r="J4" i="201"/>
  <c r="F4" i="201"/>
  <c r="E4" i="201"/>
  <c r="D4" i="201"/>
  <c r="H4" i="201" s="1"/>
  <c r="C4" i="201"/>
  <c r="G2" i="201" s="1"/>
  <c r="S19" i="200"/>
  <c r="Q19" i="200"/>
  <c r="M19" i="200"/>
  <c r="K19" i="200"/>
  <c r="H19" i="200"/>
  <c r="G19" i="200"/>
  <c r="B19" i="200"/>
  <c r="S18" i="200"/>
  <c r="Q18" i="200"/>
  <c r="O18" i="200"/>
  <c r="N18" i="200"/>
  <c r="M18" i="200"/>
  <c r="K18" i="200"/>
  <c r="I18" i="200"/>
  <c r="H18" i="200"/>
  <c r="G18" i="200"/>
  <c r="B18" i="200"/>
  <c r="S17" i="200"/>
  <c r="Q17" i="200"/>
  <c r="N17" i="200"/>
  <c r="O17" i="200" s="1"/>
  <c r="M17" i="200"/>
  <c r="K17" i="200"/>
  <c r="H17" i="200"/>
  <c r="G17" i="200"/>
  <c r="B17" i="200"/>
  <c r="I17" i="200" s="1"/>
  <c r="S16" i="200"/>
  <c r="Q16" i="200"/>
  <c r="N16" i="200"/>
  <c r="O16" i="200" s="1"/>
  <c r="M16" i="200"/>
  <c r="K16" i="200"/>
  <c r="I16" i="200"/>
  <c r="H16" i="200"/>
  <c r="G16" i="200"/>
  <c r="B16" i="200"/>
  <c r="S15" i="200"/>
  <c r="Q15" i="200"/>
  <c r="N15" i="200"/>
  <c r="O15" i="200" s="1"/>
  <c r="M15" i="200"/>
  <c r="K15" i="200"/>
  <c r="H15" i="200"/>
  <c r="G15" i="200"/>
  <c r="B15" i="200"/>
  <c r="I15" i="200" s="1"/>
  <c r="S14" i="200"/>
  <c r="Q14" i="200"/>
  <c r="O14" i="200"/>
  <c r="N14" i="200"/>
  <c r="M14" i="200"/>
  <c r="K14" i="200"/>
  <c r="I14" i="200"/>
  <c r="H14" i="200"/>
  <c r="G14" i="200"/>
  <c r="B14" i="200"/>
  <c r="S13" i="200"/>
  <c r="Q13" i="200"/>
  <c r="N13" i="200"/>
  <c r="O13" i="200" s="1"/>
  <c r="M13" i="200"/>
  <c r="K13" i="200"/>
  <c r="H13" i="200"/>
  <c r="G13" i="200"/>
  <c r="B13" i="200"/>
  <c r="I13" i="200" s="1"/>
  <c r="S12" i="200"/>
  <c r="Q12" i="200"/>
  <c r="N12" i="200"/>
  <c r="O12" i="200" s="1"/>
  <c r="M12" i="200"/>
  <c r="K12" i="200"/>
  <c r="I12" i="200"/>
  <c r="H12" i="200"/>
  <c r="G12" i="200"/>
  <c r="B12" i="200"/>
  <c r="S11" i="200"/>
  <c r="Q11" i="200"/>
  <c r="N11" i="200"/>
  <c r="O11" i="200" s="1"/>
  <c r="M11" i="200"/>
  <c r="K11" i="200"/>
  <c r="H11" i="200"/>
  <c r="G11" i="200"/>
  <c r="B11" i="200"/>
  <c r="I11" i="200" s="1"/>
  <c r="S10" i="200"/>
  <c r="Q10" i="200"/>
  <c r="O10" i="200"/>
  <c r="N10" i="200"/>
  <c r="M10" i="200"/>
  <c r="K10" i="200"/>
  <c r="I10" i="200"/>
  <c r="H10" i="200"/>
  <c r="G10" i="200"/>
  <c r="B10" i="200"/>
  <c r="S9" i="200"/>
  <c r="Q9" i="200"/>
  <c r="N9" i="200"/>
  <c r="O9" i="200" s="1"/>
  <c r="M9" i="200"/>
  <c r="K9" i="200"/>
  <c r="H9" i="200"/>
  <c r="G9" i="200"/>
  <c r="B9" i="200"/>
  <c r="I9" i="200" s="1"/>
  <c r="S8" i="200"/>
  <c r="Q8" i="200"/>
  <c r="N8" i="200"/>
  <c r="O8" i="200" s="1"/>
  <c r="M8" i="200"/>
  <c r="K8" i="200"/>
  <c r="I8" i="200"/>
  <c r="H8" i="200"/>
  <c r="G8" i="200"/>
  <c r="B8" i="200"/>
  <c r="S7" i="200"/>
  <c r="Q7" i="200"/>
  <c r="N7" i="200"/>
  <c r="O7" i="200" s="1"/>
  <c r="M7" i="200"/>
  <c r="K7" i="200"/>
  <c r="K4" i="200" s="1"/>
  <c r="H7" i="200"/>
  <c r="G7" i="200"/>
  <c r="B7" i="200"/>
  <c r="I7" i="200" s="1"/>
  <c r="S6" i="200"/>
  <c r="Q6" i="200"/>
  <c r="O6" i="200"/>
  <c r="N6" i="200"/>
  <c r="M6" i="200"/>
  <c r="K6" i="200"/>
  <c r="I6" i="200"/>
  <c r="H6" i="200"/>
  <c r="G6" i="200"/>
  <c r="B6" i="200"/>
  <c r="Q5" i="200"/>
  <c r="M5" i="200"/>
  <c r="I5" i="200"/>
  <c r="H5" i="200"/>
  <c r="G5" i="200"/>
  <c r="T4" i="200"/>
  <c r="R4" i="200"/>
  <c r="S4" i="200" s="1"/>
  <c r="P4" i="200"/>
  <c r="Q4" i="200" s="1"/>
  <c r="L4" i="200"/>
  <c r="M4" i="200" s="1"/>
  <c r="J4" i="200"/>
  <c r="F4" i="200"/>
  <c r="E4" i="200"/>
  <c r="D4" i="200"/>
  <c r="H4" i="200" s="1"/>
  <c r="C4" i="200"/>
  <c r="G2" i="200" s="1"/>
  <c r="B4" i="200"/>
  <c r="S19" i="199"/>
  <c r="Q19" i="199"/>
  <c r="M19" i="199"/>
  <c r="K19" i="199"/>
  <c r="H19" i="199"/>
  <c r="G19" i="199"/>
  <c r="B19" i="199"/>
  <c r="S18" i="199"/>
  <c r="Q18" i="199"/>
  <c r="M18" i="199"/>
  <c r="K18" i="199"/>
  <c r="I18" i="199"/>
  <c r="H18" i="199"/>
  <c r="G18" i="199"/>
  <c r="B18" i="199"/>
  <c r="S17" i="199"/>
  <c r="Q17" i="199"/>
  <c r="M17" i="199"/>
  <c r="K17" i="199"/>
  <c r="H17" i="199"/>
  <c r="G17" i="199"/>
  <c r="B17" i="199"/>
  <c r="I17" i="199" s="1"/>
  <c r="S16" i="199"/>
  <c r="Q16" i="199"/>
  <c r="M16" i="199"/>
  <c r="K16" i="199"/>
  <c r="I16" i="199"/>
  <c r="H16" i="199"/>
  <c r="G16" i="199"/>
  <c r="B16" i="199"/>
  <c r="S15" i="199"/>
  <c r="Q15" i="199"/>
  <c r="M15" i="199"/>
  <c r="K15" i="199"/>
  <c r="H15" i="199"/>
  <c r="G15" i="199"/>
  <c r="B15" i="199"/>
  <c r="I15" i="199" s="1"/>
  <c r="S14" i="199"/>
  <c r="Q14" i="199"/>
  <c r="M14" i="199"/>
  <c r="K14" i="199"/>
  <c r="I14" i="199"/>
  <c r="H14" i="199"/>
  <c r="G14" i="199"/>
  <c r="B14" i="199"/>
  <c r="S13" i="199"/>
  <c r="Q13" i="199"/>
  <c r="M13" i="199"/>
  <c r="K13" i="199"/>
  <c r="H13" i="199"/>
  <c r="G13" i="199"/>
  <c r="B13" i="199"/>
  <c r="I13" i="199" s="1"/>
  <c r="S12" i="199"/>
  <c r="Q12" i="199"/>
  <c r="M12" i="199"/>
  <c r="K12" i="199"/>
  <c r="I12" i="199"/>
  <c r="H12" i="199"/>
  <c r="G12" i="199"/>
  <c r="B12" i="199"/>
  <c r="S11" i="199"/>
  <c r="Q11" i="199"/>
  <c r="M11" i="199"/>
  <c r="K11" i="199"/>
  <c r="H11" i="199"/>
  <c r="G11" i="199"/>
  <c r="B11" i="199"/>
  <c r="I11" i="199" s="1"/>
  <c r="S10" i="199"/>
  <c r="Q10" i="199"/>
  <c r="M10" i="199"/>
  <c r="K10" i="199"/>
  <c r="I10" i="199"/>
  <c r="H10" i="199"/>
  <c r="G10" i="199"/>
  <c r="B10" i="199"/>
  <c r="S9" i="199"/>
  <c r="Q9" i="199"/>
  <c r="M9" i="199"/>
  <c r="K9" i="199"/>
  <c r="H9" i="199"/>
  <c r="G9" i="199"/>
  <c r="B9" i="199"/>
  <c r="I9" i="199" s="1"/>
  <c r="S8" i="199"/>
  <c r="Q8" i="199"/>
  <c r="M8" i="199"/>
  <c r="K8" i="199"/>
  <c r="I8" i="199"/>
  <c r="H8" i="199"/>
  <c r="G8" i="199"/>
  <c r="B8" i="199"/>
  <c r="S7" i="199"/>
  <c r="Q7" i="199"/>
  <c r="M7" i="199"/>
  <c r="K7" i="199"/>
  <c r="H7" i="199"/>
  <c r="G7" i="199"/>
  <c r="B7" i="199"/>
  <c r="I7" i="199" s="1"/>
  <c r="S6" i="199"/>
  <c r="Q6" i="199"/>
  <c r="M6" i="199"/>
  <c r="K6" i="199"/>
  <c r="I6" i="199"/>
  <c r="H6" i="199"/>
  <c r="G6" i="199"/>
  <c r="B6" i="199"/>
  <c r="Q5" i="199"/>
  <c r="M5" i="199"/>
  <c r="I5" i="199"/>
  <c r="H5" i="199"/>
  <c r="G5" i="199"/>
  <c r="T4" i="199"/>
  <c r="R4" i="199"/>
  <c r="S4" i="199" s="1"/>
  <c r="P4" i="199"/>
  <c r="Q4" i="199" s="1"/>
  <c r="L4" i="199"/>
  <c r="M4" i="199" s="1"/>
  <c r="J4" i="199"/>
  <c r="F4" i="199"/>
  <c r="E4" i="199"/>
  <c r="D4" i="199"/>
  <c r="H4" i="199" s="1"/>
  <c r="C4" i="199"/>
  <c r="G2" i="199" s="1"/>
  <c r="B4" i="199"/>
  <c r="S19" i="198"/>
  <c r="Q19" i="198"/>
  <c r="M19" i="198"/>
  <c r="K19" i="198"/>
  <c r="H19" i="198"/>
  <c r="G19" i="198"/>
  <c r="B19" i="198"/>
  <c r="S18" i="198"/>
  <c r="Q18" i="198"/>
  <c r="M18" i="198"/>
  <c r="K18" i="198"/>
  <c r="I18" i="198"/>
  <c r="H18" i="198"/>
  <c r="G18" i="198"/>
  <c r="B18" i="198"/>
  <c r="S17" i="198"/>
  <c r="Q17" i="198"/>
  <c r="M17" i="198"/>
  <c r="K17" i="198"/>
  <c r="H17" i="198"/>
  <c r="G17" i="198"/>
  <c r="B17" i="198"/>
  <c r="I17" i="198" s="1"/>
  <c r="S16" i="198"/>
  <c r="Q16" i="198"/>
  <c r="M16" i="198"/>
  <c r="K16" i="198"/>
  <c r="I16" i="198"/>
  <c r="H16" i="198"/>
  <c r="G16" i="198"/>
  <c r="B16" i="198"/>
  <c r="S15" i="198"/>
  <c r="Q15" i="198"/>
  <c r="M15" i="198"/>
  <c r="K15" i="198"/>
  <c r="H15" i="198"/>
  <c r="G15" i="198"/>
  <c r="B15" i="198"/>
  <c r="I15" i="198" s="1"/>
  <c r="S14" i="198"/>
  <c r="Q14" i="198"/>
  <c r="M14" i="198"/>
  <c r="K14" i="198"/>
  <c r="I14" i="198"/>
  <c r="H14" i="198"/>
  <c r="G14" i="198"/>
  <c r="B14" i="198"/>
  <c r="S13" i="198"/>
  <c r="Q13" i="198"/>
  <c r="M13" i="198"/>
  <c r="K13" i="198"/>
  <c r="H13" i="198"/>
  <c r="G13" i="198"/>
  <c r="B13" i="198"/>
  <c r="I13" i="198" s="1"/>
  <c r="S12" i="198"/>
  <c r="Q12" i="198"/>
  <c r="M12" i="198"/>
  <c r="K12" i="198"/>
  <c r="I12" i="198"/>
  <c r="H12" i="198"/>
  <c r="G12" i="198"/>
  <c r="B12" i="198"/>
  <c r="S11" i="198"/>
  <c r="Q11" i="198"/>
  <c r="M11" i="198"/>
  <c r="K11" i="198"/>
  <c r="H11" i="198"/>
  <c r="G11" i="198"/>
  <c r="B11" i="198"/>
  <c r="I11" i="198" s="1"/>
  <c r="S10" i="198"/>
  <c r="Q10" i="198"/>
  <c r="M10" i="198"/>
  <c r="K10" i="198"/>
  <c r="I10" i="198"/>
  <c r="H10" i="198"/>
  <c r="G10" i="198"/>
  <c r="B10" i="198"/>
  <c r="S9" i="198"/>
  <c r="Q9" i="198"/>
  <c r="M9" i="198"/>
  <c r="K9" i="198"/>
  <c r="H9" i="198"/>
  <c r="G9" i="198"/>
  <c r="B9" i="198"/>
  <c r="I9" i="198" s="1"/>
  <c r="S8" i="198"/>
  <c r="Q8" i="198"/>
  <c r="M8" i="198"/>
  <c r="K8" i="198"/>
  <c r="I8" i="198"/>
  <c r="H8" i="198"/>
  <c r="G8" i="198"/>
  <c r="B8" i="198"/>
  <c r="S7" i="198"/>
  <c r="Q7" i="198"/>
  <c r="M7" i="198"/>
  <c r="K7" i="198"/>
  <c r="H7" i="198"/>
  <c r="G7" i="198"/>
  <c r="B7" i="198"/>
  <c r="I7" i="198" s="1"/>
  <c r="S6" i="198"/>
  <c r="Q6" i="198"/>
  <c r="M6" i="198"/>
  <c r="K6" i="198"/>
  <c r="I6" i="198"/>
  <c r="H6" i="198"/>
  <c r="G6" i="198"/>
  <c r="B6" i="198"/>
  <c r="Q5" i="198"/>
  <c r="M5" i="198"/>
  <c r="I5" i="198"/>
  <c r="H5" i="198"/>
  <c r="G5" i="198"/>
  <c r="T4" i="198"/>
  <c r="R4" i="198"/>
  <c r="S4" i="198" s="1"/>
  <c r="P4" i="198"/>
  <c r="Q4" i="198" s="1"/>
  <c r="L4" i="198"/>
  <c r="M4" i="198" s="1"/>
  <c r="J4" i="198"/>
  <c r="F4" i="198"/>
  <c r="E4" i="198"/>
  <c r="D4" i="198"/>
  <c r="H4" i="198" s="1"/>
  <c r="C4" i="198"/>
  <c r="G2" i="198" s="1"/>
  <c r="B4" i="198"/>
  <c r="S19" i="197"/>
  <c r="Q19" i="197"/>
  <c r="M19" i="197"/>
  <c r="K19" i="197"/>
  <c r="H19" i="197"/>
  <c r="G19" i="197"/>
  <c r="B19" i="197"/>
  <c r="S18" i="197"/>
  <c r="Q18" i="197"/>
  <c r="M18" i="197"/>
  <c r="K18" i="197"/>
  <c r="I18" i="197"/>
  <c r="H18" i="197"/>
  <c r="G18" i="197"/>
  <c r="B18" i="197"/>
  <c r="S17" i="197"/>
  <c r="Q17" i="197"/>
  <c r="M17" i="197"/>
  <c r="K17" i="197"/>
  <c r="H17" i="197"/>
  <c r="G17" i="197"/>
  <c r="B17" i="197"/>
  <c r="I17" i="197" s="1"/>
  <c r="S16" i="197"/>
  <c r="Q16" i="197"/>
  <c r="M16" i="197"/>
  <c r="K16" i="197"/>
  <c r="I16" i="197"/>
  <c r="H16" i="197"/>
  <c r="G16" i="197"/>
  <c r="B16" i="197"/>
  <c r="S15" i="197"/>
  <c r="Q15" i="197"/>
  <c r="M15" i="197"/>
  <c r="K15" i="197"/>
  <c r="H15" i="197"/>
  <c r="G15" i="197"/>
  <c r="B15" i="197"/>
  <c r="I15" i="197" s="1"/>
  <c r="S14" i="197"/>
  <c r="Q14" i="197"/>
  <c r="M14" i="197"/>
  <c r="K14" i="197"/>
  <c r="I14" i="197"/>
  <c r="H14" i="197"/>
  <c r="G14" i="197"/>
  <c r="B14" i="197"/>
  <c r="S13" i="197"/>
  <c r="Q13" i="197"/>
  <c r="M13" i="197"/>
  <c r="K13" i="197"/>
  <c r="H13" i="197"/>
  <c r="G13" i="197"/>
  <c r="B13" i="197"/>
  <c r="I13" i="197" s="1"/>
  <c r="S12" i="197"/>
  <c r="Q12" i="197"/>
  <c r="M12" i="197"/>
  <c r="K12" i="197"/>
  <c r="I12" i="197"/>
  <c r="H12" i="197"/>
  <c r="G12" i="197"/>
  <c r="B12" i="197"/>
  <c r="S11" i="197"/>
  <c r="Q11" i="197"/>
  <c r="M11" i="197"/>
  <c r="K11" i="197"/>
  <c r="H11" i="197"/>
  <c r="G11" i="197"/>
  <c r="B11" i="197"/>
  <c r="I11" i="197" s="1"/>
  <c r="S10" i="197"/>
  <c r="Q10" i="197"/>
  <c r="M10" i="197"/>
  <c r="K10" i="197"/>
  <c r="I10" i="197"/>
  <c r="H10" i="197"/>
  <c r="G10" i="197"/>
  <c r="B10" i="197"/>
  <c r="S9" i="197"/>
  <c r="Q9" i="197"/>
  <c r="M9" i="197"/>
  <c r="K9" i="197"/>
  <c r="H9" i="197"/>
  <c r="G9" i="197"/>
  <c r="B9" i="197"/>
  <c r="I9" i="197" s="1"/>
  <c r="S8" i="197"/>
  <c r="Q8" i="197"/>
  <c r="M8" i="197"/>
  <c r="K8" i="197"/>
  <c r="I8" i="197"/>
  <c r="H8" i="197"/>
  <c r="G8" i="197"/>
  <c r="B8" i="197"/>
  <c r="S7" i="197"/>
  <c r="Q7" i="197"/>
  <c r="M7" i="197"/>
  <c r="K7" i="197"/>
  <c r="H7" i="197"/>
  <c r="G7" i="197"/>
  <c r="B7" i="197"/>
  <c r="I7" i="197" s="1"/>
  <c r="S6" i="197"/>
  <c r="Q6" i="197"/>
  <c r="M6" i="197"/>
  <c r="K6" i="197"/>
  <c r="I6" i="197"/>
  <c r="H6" i="197"/>
  <c r="G6" i="197"/>
  <c r="B6" i="197"/>
  <c r="Q5" i="197"/>
  <c r="M5" i="197"/>
  <c r="I5" i="197"/>
  <c r="H5" i="197"/>
  <c r="G5" i="197"/>
  <c r="T4" i="197"/>
  <c r="R4" i="197"/>
  <c r="S4" i="197" s="1"/>
  <c r="P4" i="197"/>
  <c r="Q4" i="197" s="1"/>
  <c r="L4" i="197"/>
  <c r="M4" i="197" s="1"/>
  <c r="J4" i="197"/>
  <c r="F4" i="197"/>
  <c r="E4" i="197"/>
  <c r="D4" i="197"/>
  <c r="H4" i="197" s="1"/>
  <c r="C4" i="197"/>
  <c r="G2" i="197" s="1"/>
  <c r="B4" i="197"/>
  <c r="S19" i="196"/>
  <c r="Q19" i="196"/>
  <c r="M19" i="196"/>
  <c r="K19" i="196"/>
  <c r="H19" i="196"/>
  <c r="G19" i="196"/>
  <c r="B19" i="196"/>
  <c r="S18" i="196"/>
  <c r="Q18" i="196"/>
  <c r="M18" i="196"/>
  <c r="K18" i="196"/>
  <c r="I18" i="196"/>
  <c r="H18" i="196"/>
  <c r="G18" i="196"/>
  <c r="B18" i="196"/>
  <c r="S17" i="196"/>
  <c r="Q17" i="196"/>
  <c r="M17" i="196"/>
  <c r="K17" i="196"/>
  <c r="H17" i="196"/>
  <c r="G17" i="196"/>
  <c r="B17" i="196"/>
  <c r="I17" i="196" s="1"/>
  <c r="S16" i="196"/>
  <c r="Q16" i="196"/>
  <c r="M16" i="196"/>
  <c r="K16" i="196"/>
  <c r="I16" i="196"/>
  <c r="H16" i="196"/>
  <c r="G16" i="196"/>
  <c r="B16" i="196"/>
  <c r="S15" i="196"/>
  <c r="Q15" i="196"/>
  <c r="M15" i="196"/>
  <c r="K15" i="196"/>
  <c r="H15" i="196"/>
  <c r="G15" i="196"/>
  <c r="B15" i="196"/>
  <c r="I15" i="196" s="1"/>
  <c r="S14" i="196"/>
  <c r="Q14" i="196"/>
  <c r="M14" i="196"/>
  <c r="K14" i="196"/>
  <c r="I14" i="196"/>
  <c r="H14" i="196"/>
  <c r="G14" i="196"/>
  <c r="B14" i="196"/>
  <c r="S13" i="196"/>
  <c r="Q13" i="196"/>
  <c r="M13" i="196"/>
  <c r="K13" i="196"/>
  <c r="H13" i="196"/>
  <c r="G13" i="196"/>
  <c r="B13" i="196"/>
  <c r="I13" i="196" s="1"/>
  <c r="S12" i="196"/>
  <c r="Q12" i="196"/>
  <c r="M12" i="196"/>
  <c r="K12" i="196"/>
  <c r="I12" i="196"/>
  <c r="H12" i="196"/>
  <c r="G12" i="196"/>
  <c r="B12" i="196"/>
  <c r="S11" i="196"/>
  <c r="Q11" i="196"/>
  <c r="M11" i="196"/>
  <c r="K11" i="196"/>
  <c r="H11" i="196"/>
  <c r="G11" i="196"/>
  <c r="B11" i="196"/>
  <c r="I11" i="196" s="1"/>
  <c r="S10" i="196"/>
  <c r="Q10" i="196"/>
  <c r="M10" i="196"/>
  <c r="K10" i="196"/>
  <c r="I10" i="196"/>
  <c r="H10" i="196"/>
  <c r="G10" i="196"/>
  <c r="B10" i="196"/>
  <c r="S9" i="196"/>
  <c r="Q9" i="196"/>
  <c r="M9" i="196"/>
  <c r="K9" i="196"/>
  <c r="H9" i="196"/>
  <c r="G9" i="196"/>
  <c r="B9" i="196"/>
  <c r="I9" i="196" s="1"/>
  <c r="S8" i="196"/>
  <c r="Q8" i="196"/>
  <c r="M8" i="196"/>
  <c r="K8" i="196"/>
  <c r="I8" i="196"/>
  <c r="H8" i="196"/>
  <c r="G8" i="196"/>
  <c r="B8" i="196"/>
  <c r="S7" i="196"/>
  <c r="Q7" i="196"/>
  <c r="M7" i="196"/>
  <c r="K7" i="196"/>
  <c r="H7" i="196"/>
  <c r="G7" i="196"/>
  <c r="B7" i="196"/>
  <c r="I7" i="196" s="1"/>
  <c r="S6" i="196"/>
  <c r="Q6" i="196"/>
  <c r="M6" i="196"/>
  <c r="K6" i="196"/>
  <c r="I6" i="196"/>
  <c r="H6" i="196"/>
  <c r="G6" i="196"/>
  <c r="B6" i="196"/>
  <c r="Q5" i="196"/>
  <c r="M5" i="196"/>
  <c r="I5" i="196"/>
  <c r="H5" i="196"/>
  <c r="G5" i="196"/>
  <c r="T4" i="196"/>
  <c r="R4" i="196"/>
  <c r="S4" i="196" s="1"/>
  <c r="P4" i="196"/>
  <c r="Q4" i="196" s="1"/>
  <c r="L4" i="196"/>
  <c r="M4" i="196" s="1"/>
  <c r="J4" i="196"/>
  <c r="F4" i="196"/>
  <c r="E4" i="196"/>
  <c r="D4" i="196"/>
  <c r="H4" i="196" s="1"/>
  <c r="C4" i="196"/>
  <c r="G2" i="196" s="1"/>
  <c r="B4" i="196"/>
  <c r="S19" i="195"/>
  <c r="Q19" i="195"/>
  <c r="M19" i="195"/>
  <c r="K19" i="195"/>
  <c r="H19" i="195"/>
  <c r="G19" i="195"/>
  <c r="B19" i="195"/>
  <c r="S18" i="195"/>
  <c r="Q18" i="195"/>
  <c r="M18" i="195"/>
  <c r="K18" i="195"/>
  <c r="I18" i="195"/>
  <c r="H18" i="195"/>
  <c r="G18" i="195"/>
  <c r="B18" i="195"/>
  <c r="S17" i="195"/>
  <c r="Q17" i="195"/>
  <c r="M17" i="195"/>
  <c r="K17" i="195"/>
  <c r="H17" i="195"/>
  <c r="G17" i="195"/>
  <c r="B17" i="195"/>
  <c r="I17" i="195" s="1"/>
  <c r="S16" i="195"/>
  <c r="Q16" i="195"/>
  <c r="M16" i="195"/>
  <c r="K16" i="195"/>
  <c r="I16" i="195"/>
  <c r="H16" i="195"/>
  <c r="G16" i="195"/>
  <c r="B16" i="195"/>
  <c r="S15" i="195"/>
  <c r="Q15" i="195"/>
  <c r="M15" i="195"/>
  <c r="K15" i="195"/>
  <c r="H15" i="195"/>
  <c r="G15" i="195"/>
  <c r="B15" i="195"/>
  <c r="I15" i="195" s="1"/>
  <c r="S14" i="195"/>
  <c r="Q14" i="195"/>
  <c r="M14" i="195"/>
  <c r="K14" i="195"/>
  <c r="I14" i="195"/>
  <c r="H14" i="195"/>
  <c r="G14" i="195"/>
  <c r="B14" i="195"/>
  <c r="S13" i="195"/>
  <c r="Q13" i="195"/>
  <c r="M13" i="195"/>
  <c r="K13" i="195"/>
  <c r="H13" i="195"/>
  <c r="G13" i="195"/>
  <c r="B13" i="195"/>
  <c r="I13" i="195" s="1"/>
  <c r="S12" i="195"/>
  <c r="Q12" i="195"/>
  <c r="M12" i="195"/>
  <c r="K12" i="195"/>
  <c r="I12" i="195"/>
  <c r="H12" i="195"/>
  <c r="G12" i="195"/>
  <c r="B12" i="195"/>
  <c r="S11" i="195"/>
  <c r="Q11" i="195"/>
  <c r="M11" i="195"/>
  <c r="K11" i="195"/>
  <c r="H11" i="195"/>
  <c r="G11" i="195"/>
  <c r="B11" i="195"/>
  <c r="I11" i="195" s="1"/>
  <c r="S10" i="195"/>
  <c r="Q10" i="195"/>
  <c r="M10" i="195"/>
  <c r="K10" i="195"/>
  <c r="I10" i="195"/>
  <c r="H10" i="195"/>
  <c r="G10" i="195"/>
  <c r="B10" i="195"/>
  <c r="S9" i="195"/>
  <c r="Q9" i="195"/>
  <c r="M9" i="195"/>
  <c r="K9" i="195"/>
  <c r="H9" i="195"/>
  <c r="G9" i="195"/>
  <c r="B9" i="195"/>
  <c r="I9" i="195" s="1"/>
  <c r="S8" i="195"/>
  <c r="Q8" i="195"/>
  <c r="M8" i="195"/>
  <c r="K8" i="195"/>
  <c r="I8" i="195"/>
  <c r="H8" i="195"/>
  <c r="G8" i="195"/>
  <c r="B8" i="195"/>
  <c r="S7" i="195"/>
  <c r="Q7" i="195"/>
  <c r="M7" i="195"/>
  <c r="K7" i="195"/>
  <c r="H7" i="195"/>
  <c r="G7" i="195"/>
  <c r="B7" i="195"/>
  <c r="I7" i="195" s="1"/>
  <c r="S6" i="195"/>
  <c r="Q6" i="195"/>
  <c r="M6" i="195"/>
  <c r="K6" i="195"/>
  <c r="I6" i="195"/>
  <c r="H6" i="195"/>
  <c r="G6" i="195"/>
  <c r="B6" i="195"/>
  <c r="Q5" i="195"/>
  <c r="M5" i="195"/>
  <c r="I5" i="195"/>
  <c r="H5" i="195"/>
  <c r="G5" i="195"/>
  <c r="T4" i="195"/>
  <c r="R4" i="195"/>
  <c r="S4" i="195" s="1"/>
  <c r="P4" i="195"/>
  <c r="Q4" i="195" s="1"/>
  <c r="L4" i="195"/>
  <c r="M4" i="195" s="1"/>
  <c r="J4" i="195"/>
  <c r="F4" i="195"/>
  <c r="E4" i="195"/>
  <c r="D4" i="195"/>
  <c r="H4" i="195" s="1"/>
  <c r="C4" i="195"/>
  <c r="G2" i="195" s="1"/>
  <c r="B4" i="195"/>
  <c r="S19" i="194"/>
  <c r="Q19" i="194"/>
  <c r="M19" i="194"/>
  <c r="K19" i="194"/>
  <c r="H19" i="194"/>
  <c r="G19" i="194"/>
  <c r="B19" i="194"/>
  <c r="S18" i="194"/>
  <c r="Q18" i="194"/>
  <c r="M18" i="194"/>
  <c r="K18" i="194"/>
  <c r="I18" i="194"/>
  <c r="H18" i="194"/>
  <c r="G18" i="194"/>
  <c r="B18" i="194"/>
  <c r="S17" i="194"/>
  <c r="Q17" i="194"/>
  <c r="M17" i="194"/>
  <c r="K17" i="194"/>
  <c r="H17" i="194"/>
  <c r="G17" i="194"/>
  <c r="B17" i="194"/>
  <c r="I17" i="194" s="1"/>
  <c r="S16" i="194"/>
  <c r="Q16" i="194"/>
  <c r="M16" i="194"/>
  <c r="K16" i="194"/>
  <c r="I16" i="194"/>
  <c r="H16" i="194"/>
  <c r="G16" i="194"/>
  <c r="B16" i="194"/>
  <c r="S15" i="194"/>
  <c r="Q15" i="194"/>
  <c r="M15" i="194"/>
  <c r="K15" i="194"/>
  <c r="H15" i="194"/>
  <c r="G15" i="194"/>
  <c r="B15" i="194"/>
  <c r="I15" i="194" s="1"/>
  <c r="S14" i="194"/>
  <c r="Q14" i="194"/>
  <c r="M14" i="194"/>
  <c r="K14" i="194"/>
  <c r="I14" i="194"/>
  <c r="H14" i="194"/>
  <c r="G14" i="194"/>
  <c r="B14" i="194"/>
  <c r="S13" i="194"/>
  <c r="Q13" i="194"/>
  <c r="M13" i="194"/>
  <c r="K13" i="194"/>
  <c r="H13" i="194"/>
  <c r="G13" i="194"/>
  <c r="B13" i="194"/>
  <c r="I13" i="194" s="1"/>
  <c r="S12" i="194"/>
  <c r="Q12" i="194"/>
  <c r="M12" i="194"/>
  <c r="K12" i="194"/>
  <c r="I12" i="194"/>
  <c r="H12" i="194"/>
  <c r="G12" i="194"/>
  <c r="B12" i="194"/>
  <c r="S11" i="194"/>
  <c r="Q11" i="194"/>
  <c r="M11" i="194"/>
  <c r="K11" i="194"/>
  <c r="H11" i="194"/>
  <c r="G11" i="194"/>
  <c r="B11" i="194"/>
  <c r="I11" i="194" s="1"/>
  <c r="S10" i="194"/>
  <c r="Q10" i="194"/>
  <c r="M10" i="194"/>
  <c r="K10" i="194"/>
  <c r="I10" i="194"/>
  <c r="H10" i="194"/>
  <c r="G10" i="194"/>
  <c r="B10" i="194"/>
  <c r="S9" i="194"/>
  <c r="Q9" i="194"/>
  <c r="M9" i="194"/>
  <c r="K9" i="194"/>
  <c r="H9" i="194"/>
  <c r="G9" i="194"/>
  <c r="B9" i="194"/>
  <c r="I9" i="194" s="1"/>
  <c r="S8" i="194"/>
  <c r="Q8" i="194"/>
  <c r="M8" i="194"/>
  <c r="K8" i="194"/>
  <c r="I8" i="194"/>
  <c r="H8" i="194"/>
  <c r="G8" i="194"/>
  <c r="B8" i="194"/>
  <c r="S7" i="194"/>
  <c r="Q7" i="194"/>
  <c r="M7" i="194"/>
  <c r="K7" i="194"/>
  <c r="H7" i="194"/>
  <c r="G7" i="194"/>
  <c r="B7" i="194"/>
  <c r="I7" i="194" s="1"/>
  <c r="S6" i="194"/>
  <c r="Q6" i="194"/>
  <c r="M6" i="194"/>
  <c r="K6" i="194"/>
  <c r="I6" i="194"/>
  <c r="H6" i="194"/>
  <c r="G6" i="194"/>
  <c r="B6" i="194"/>
  <c r="Q5" i="194"/>
  <c r="M5" i="194"/>
  <c r="I5" i="194"/>
  <c r="H5" i="194"/>
  <c r="G5" i="194"/>
  <c r="T4" i="194"/>
  <c r="R4" i="194"/>
  <c r="S4" i="194" s="1"/>
  <c r="P4" i="194"/>
  <c r="Q4" i="194" s="1"/>
  <c r="L4" i="194"/>
  <c r="M4" i="194" s="1"/>
  <c r="J4" i="194"/>
  <c r="F4" i="194"/>
  <c r="E4" i="194"/>
  <c r="D4" i="194"/>
  <c r="H4" i="194" s="1"/>
  <c r="C4" i="194"/>
  <c r="G2" i="194" s="1"/>
  <c r="B4" i="194"/>
  <c r="S19" i="193"/>
  <c r="Q19" i="193"/>
  <c r="M19" i="193"/>
  <c r="K19" i="193"/>
  <c r="H19" i="193"/>
  <c r="G19" i="193"/>
  <c r="B19" i="193"/>
  <c r="S18" i="193"/>
  <c r="Q18" i="193"/>
  <c r="M18" i="193"/>
  <c r="K18" i="193"/>
  <c r="I18" i="193"/>
  <c r="H18" i="193"/>
  <c r="G18" i="193"/>
  <c r="B18" i="193"/>
  <c r="S17" i="193"/>
  <c r="Q17" i="193"/>
  <c r="M17" i="193"/>
  <c r="K17" i="193"/>
  <c r="H17" i="193"/>
  <c r="G17" i="193"/>
  <c r="B17" i="193"/>
  <c r="I17" i="193" s="1"/>
  <c r="S16" i="193"/>
  <c r="Q16" i="193"/>
  <c r="M16" i="193"/>
  <c r="K16" i="193"/>
  <c r="I16" i="193"/>
  <c r="H16" i="193"/>
  <c r="G16" i="193"/>
  <c r="B16" i="193"/>
  <c r="S15" i="193"/>
  <c r="Q15" i="193"/>
  <c r="M15" i="193"/>
  <c r="K15" i="193"/>
  <c r="H15" i="193"/>
  <c r="G15" i="193"/>
  <c r="B15" i="193"/>
  <c r="I15" i="193" s="1"/>
  <c r="S14" i="193"/>
  <c r="Q14" i="193"/>
  <c r="M14" i="193"/>
  <c r="K14" i="193"/>
  <c r="I14" i="193"/>
  <c r="H14" i="193"/>
  <c r="G14" i="193"/>
  <c r="B14" i="193"/>
  <c r="S13" i="193"/>
  <c r="Q13" i="193"/>
  <c r="M13" i="193"/>
  <c r="K13" i="193"/>
  <c r="H13" i="193"/>
  <c r="G13" i="193"/>
  <c r="B13" i="193"/>
  <c r="I13" i="193" s="1"/>
  <c r="S12" i="193"/>
  <c r="Q12" i="193"/>
  <c r="M12" i="193"/>
  <c r="K12" i="193"/>
  <c r="I12" i="193"/>
  <c r="H12" i="193"/>
  <c r="G12" i="193"/>
  <c r="B12" i="193"/>
  <c r="S11" i="193"/>
  <c r="Q11" i="193"/>
  <c r="M11" i="193"/>
  <c r="K11" i="193"/>
  <c r="H11" i="193"/>
  <c r="G11" i="193"/>
  <c r="B11" i="193"/>
  <c r="I11" i="193" s="1"/>
  <c r="S10" i="193"/>
  <c r="Q10" i="193"/>
  <c r="M10" i="193"/>
  <c r="K10" i="193"/>
  <c r="I10" i="193"/>
  <c r="H10" i="193"/>
  <c r="G10" i="193"/>
  <c r="B10" i="193"/>
  <c r="S9" i="193"/>
  <c r="Q9" i="193"/>
  <c r="M9" i="193"/>
  <c r="K9" i="193"/>
  <c r="H9" i="193"/>
  <c r="G9" i="193"/>
  <c r="B9" i="193"/>
  <c r="I9" i="193" s="1"/>
  <c r="S8" i="193"/>
  <c r="Q8" i="193"/>
  <c r="M8" i="193"/>
  <c r="K8" i="193"/>
  <c r="I8" i="193"/>
  <c r="H8" i="193"/>
  <c r="G8" i="193"/>
  <c r="B8" i="193"/>
  <c r="S7" i="193"/>
  <c r="Q7" i="193"/>
  <c r="M7" i="193"/>
  <c r="K7" i="193"/>
  <c r="H7" i="193"/>
  <c r="G7" i="193"/>
  <c r="B7" i="193"/>
  <c r="I7" i="193" s="1"/>
  <c r="S6" i="193"/>
  <c r="Q6" i="193"/>
  <c r="M6" i="193"/>
  <c r="K6" i="193"/>
  <c r="I6" i="193"/>
  <c r="H6" i="193"/>
  <c r="G6" i="193"/>
  <c r="B6" i="193"/>
  <c r="Q5" i="193"/>
  <c r="M5" i="193"/>
  <c r="I5" i="193"/>
  <c r="H5" i="193"/>
  <c r="G5" i="193"/>
  <c r="T4" i="193"/>
  <c r="R4" i="193"/>
  <c r="S4" i="193" s="1"/>
  <c r="P4" i="193"/>
  <c r="Q4" i="193" s="1"/>
  <c r="L4" i="193"/>
  <c r="M4" i="193" s="1"/>
  <c r="J4" i="193"/>
  <c r="F4" i="193"/>
  <c r="E4" i="193"/>
  <c r="D4" i="193"/>
  <c r="H4" i="193" s="1"/>
  <c r="C4" i="193"/>
  <c r="G2" i="193" s="1"/>
  <c r="B4" i="193"/>
  <c r="S19" i="192"/>
  <c r="Q19" i="192"/>
  <c r="M19" i="192"/>
  <c r="K19" i="192"/>
  <c r="H19" i="192"/>
  <c r="G19" i="192"/>
  <c r="B19" i="192"/>
  <c r="S18" i="192"/>
  <c r="Q18" i="192"/>
  <c r="M18" i="192"/>
  <c r="K18" i="192"/>
  <c r="I18" i="192"/>
  <c r="H18" i="192"/>
  <c r="G18" i="192"/>
  <c r="B18" i="192"/>
  <c r="S17" i="192"/>
  <c r="Q17" i="192"/>
  <c r="M17" i="192"/>
  <c r="K17" i="192"/>
  <c r="H17" i="192"/>
  <c r="G17" i="192"/>
  <c r="B17" i="192"/>
  <c r="I17" i="192" s="1"/>
  <c r="S16" i="192"/>
  <c r="Q16" i="192"/>
  <c r="M16" i="192"/>
  <c r="K16" i="192"/>
  <c r="I16" i="192"/>
  <c r="H16" i="192"/>
  <c r="G16" i="192"/>
  <c r="B16" i="192"/>
  <c r="S15" i="192"/>
  <c r="Q15" i="192"/>
  <c r="M15" i="192"/>
  <c r="K15" i="192"/>
  <c r="H15" i="192"/>
  <c r="G15" i="192"/>
  <c r="B15" i="192"/>
  <c r="I15" i="192" s="1"/>
  <c r="S14" i="192"/>
  <c r="Q14" i="192"/>
  <c r="M14" i="192"/>
  <c r="K14" i="192"/>
  <c r="I14" i="192"/>
  <c r="H14" i="192"/>
  <c r="G14" i="192"/>
  <c r="B14" i="192"/>
  <c r="S13" i="192"/>
  <c r="Q13" i="192"/>
  <c r="M13" i="192"/>
  <c r="K13" i="192"/>
  <c r="H13" i="192"/>
  <c r="G13" i="192"/>
  <c r="B13" i="192"/>
  <c r="I13" i="192" s="1"/>
  <c r="S12" i="192"/>
  <c r="Q12" i="192"/>
  <c r="M12" i="192"/>
  <c r="K12" i="192"/>
  <c r="I12" i="192"/>
  <c r="H12" i="192"/>
  <c r="G12" i="192"/>
  <c r="B12" i="192"/>
  <c r="S11" i="192"/>
  <c r="Q11" i="192"/>
  <c r="M11" i="192"/>
  <c r="K11" i="192"/>
  <c r="H11" i="192"/>
  <c r="G11" i="192"/>
  <c r="B11" i="192"/>
  <c r="I11" i="192" s="1"/>
  <c r="S10" i="192"/>
  <c r="Q10" i="192"/>
  <c r="M10" i="192"/>
  <c r="K10" i="192"/>
  <c r="I10" i="192"/>
  <c r="H10" i="192"/>
  <c r="G10" i="192"/>
  <c r="B10" i="192"/>
  <c r="S9" i="192"/>
  <c r="Q9" i="192"/>
  <c r="M9" i="192"/>
  <c r="K9" i="192"/>
  <c r="H9" i="192"/>
  <c r="G9" i="192"/>
  <c r="B9" i="192"/>
  <c r="I9" i="192" s="1"/>
  <c r="S8" i="192"/>
  <c r="Q8" i="192"/>
  <c r="M8" i="192"/>
  <c r="K8" i="192"/>
  <c r="I8" i="192"/>
  <c r="H8" i="192"/>
  <c r="G8" i="192"/>
  <c r="B8" i="192"/>
  <c r="S7" i="192"/>
  <c r="Q7" i="192"/>
  <c r="M7" i="192"/>
  <c r="K7" i="192"/>
  <c r="H7" i="192"/>
  <c r="G7" i="192"/>
  <c r="B7" i="192"/>
  <c r="I7" i="192" s="1"/>
  <c r="S6" i="192"/>
  <c r="Q6" i="192"/>
  <c r="M6" i="192"/>
  <c r="K6" i="192"/>
  <c r="I6" i="192"/>
  <c r="H6" i="192"/>
  <c r="G6" i="192"/>
  <c r="B6" i="192"/>
  <c r="Q5" i="192"/>
  <c r="M5" i="192"/>
  <c r="I5" i="192"/>
  <c r="H5" i="192"/>
  <c r="G5" i="192"/>
  <c r="T4" i="192"/>
  <c r="R4" i="192"/>
  <c r="S4" i="192" s="1"/>
  <c r="P4" i="192"/>
  <c r="Q4" i="192" s="1"/>
  <c r="L4" i="192"/>
  <c r="M4" i="192" s="1"/>
  <c r="J4" i="192"/>
  <c r="F4" i="192"/>
  <c r="E4" i="192"/>
  <c r="D4" i="192"/>
  <c r="H4" i="192" s="1"/>
  <c r="C4" i="192"/>
  <c r="G2" i="192" s="1"/>
  <c r="B4" i="192"/>
  <c r="S19" i="191"/>
  <c r="Q19" i="191"/>
  <c r="M19" i="191"/>
  <c r="K19" i="191"/>
  <c r="H19" i="191"/>
  <c r="G19" i="191"/>
  <c r="B19" i="191"/>
  <c r="S18" i="191"/>
  <c r="Q18" i="191"/>
  <c r="M18" i="191"/>
  <c r="K18" i="191"/>
  <c r="I18" i="191"/>
  <c r="H18" i="191"/>
  <c r="G18" i="191"/>
  <c r="B18" i="191"/>
  <c r="S17" i="191"/>
  <c r="Q17" i="191"/>
  <c r="N17" i="191"/>
  <c r="O17" i="191" s="1"/>
  <c r="M17" i="191"/>
  <c r="K17" i="191"/>
  <c r="H17" i="191"/>
  <c r="G17" i="191"/>
  <c r="B17" i="191"/>
  <c r="I17" i="191" s="1"/>
  <c r="S16" i="191"/>
  <c r="Q16" i="191"/>
  <c r="M16" i="191"/>
  <c r="K16" i="191"/>
  <c r="I16" i="191"/>
  <c r="H16" i="191"/>
  <c r="G16" i="191"/>
  <c r="B16" i="191"/>
  <c r="S15" i="191"/>
  <c r="Q15" i="191"/>
  <c r="M15" i="191"/>
  <c r="K15" i="191"/>
  <c r="H15" i="191"/>
  <c r="G15" i="191"/>
  <c r="B15" i="191"/>
  <c r="I15" i="191" s="1"/>
  <c r="S14" i="191"/>
  <c r="Q14" i="191"/>
  <c r="M14" i="191"/>
  <c r="K14" i="191"/>
  <c r="I14" i="191"/>
  <c r="H14" i="191"/>
  <c r="G14" i="191"/>
  <c r="B14" i="191"/>
  <c r="S13" i="191"/>
  <c r="Q13" i="191"/>
  <c r="N13" i="191"/>
  <c r="O13" i="191" s="1"/>
  <c r="M13" i="191"/>
  <c r="K13" i="191"/>
  <c r="H13" i="191"/>
  <c r="G13" i="191"/>
  <c r="B13" i="191"/>
  <c r="I13" i="191" s="1"/>
  <c r="S12" i="191"/>
  <c r="Q12" i="191"/>
  <c r="M12" i="191"/>
  <c r="K12" i="191"/>
  <c r="I12" i="191"/>
  <c r="H12" i="191"/>
  <c r="G12" i="191"/>
  <c r="B12" i="191"/>
  <c r="S11" i="191"/>
  <c r="Q11" i="191"/>
  <c r="M11" i="191"/>
  <c r="K11" i="191"/>
  <c r="H11" i="191"/>
  <c r="G11" i="191"/>
  <c r="B11" i="191"/>
  <c r="I11" i="191" s="1"/>
  <c r="S10" i="191"/>
  <c r="Q10" i="191"/>
  <c r="M10" i="191"/>
  <c r="K10" i="191"/>
  <c r="I10" i="191"/>
  <c r="H10" i="191"/>
  <c r="G10" i="191"/>
  <c r="B10" i="191"/>
  <c r="S9" i="191"/>
  <c r="Q9" i="191"/>
  <c r="N9" i="191"/>
  <c r="O9" i="191" s="1"/>
  <c r="M9" i="191"/>
  <c r="K9" i="191"/>
  <c r="H9" i="191"/>
  <c r="G9" i="191"/>
  <c r="B9" i="191"/>
  <c r="I9" i="191" s="1"/>
  <c r="S8" i="191"/>
  <c r="Q8" i="191"/>
  <c r="M8" i="191"/>
  <c r="K8" i="191"/>
  <c r="I8" i="191"/>
  <c r="H8" i="191"/>
  <c r="G8" i="191"/>
  <c r="B8" i="191"/>
  <c r="S7" i="191"/>
  <c r="Q7" i="191"/>
  <c r="M7" i="191"/>
  <c r="K7" i="191"/>
  <c r="K4" i="191" s="1"/>
  <c r="H7" i="191"/>
  <c r="G7" i="191"/>
  <c r="B7" i="191"/>
  <c r="I7" i="191" s="1"/>
  <c r="S6" i="191"/>
  <c r="Q6" i="191"/>
  <c r="M6" i="191"/>
  <c r="K6" i="191"/>
  <c r="I6" i="191"/>
  <c r="H6" i="191"/>
  <c r="G6" i="191"/>
  <c r="B6" i="191"/>
  <c r="Q5" i="191"/>
  <c r="M5" i="191"/>
  <c r="I5" i="191"/>
  <c r="H5" i="191"/>
  <c r="G5" i="191"/>
  <c r="T4" i="191"/>
  <c r="R4" i="191"/>
  <c r="S4" i="191" s="1"/>
  <c r="P4" i="191"/>
  <c r="Q4" i="191" s="1"/>
  <c r="L4" i="191"/>
  <c r="J4" i="191"/>
  <c r="F4" i="191"/>
  <c r="E4" i="191"/>
  <c r="I4" i="191" s="1"/>
  <c r="D4" i="191"/>
  <c r="H4" i="191" s="1"/>
  <c r="C4" i="191"/>
  <c r="G4" i="191" s="1"/>
  <c r="B4" i="191"/>
  <c r="G2" i="191"/>
  <c r="S19" i="190"/>
  <c r="Q19" i="190"/>
  <c r="M19" i="190"/>
  <c r="K19" i="190"/>
  <c r="H19" i="190"/>
  <c r="G19" i="190"/>
  <c r="B19" i="190"/>
  <c r="S18" i="190"/>
  <c r="Q18" i="190"/>
  <c r="M18" i="190"/>
  <c r="K18" i="190"/>
  <c r="I18" i="190"/>
  <c r="H18" i="190"/>
  <c r="G18" i="190"/>
  <c r="B18" i="190"/>
  <c r="S17" i="190"/>
  <c r="Q17" i="190"/>
  <c r="M17" i="190"/>
  <c r="K17" i="190"/>
  <c r="H17" i="190"/>
  <c r="G17" i="190"/>
  <c r="B17" i="190"/>
  <c r="I17" i="190" s="1"/>
  <c r="S16" i="190"/>
  <c r="Q16" i="190"/>
  <c r="M16" i="190"/>
  <c r="K16" i="190"/>
  <c r="H16" i="190"/>
  <c r="G16" i="190"/>
  <c r="B16" i="190"/>
  <c r="I16" i="190" s="1"/>
  <c r="S15" i="190"/>
  <c r="Q15" i="190"/>
  <c r="M15" i="190"/>
  <c r="K15" i="190"/>
  <c r="H15" i="190"/>
  <c r="G15" i="190"/>
  <c r="B15" i="190"/>
  <c r="I15" i="190" s="1"/>
  <c r="S14" i="190"/>
  <c r="Q14" i="190"/>
  <c r="N14" i="190"/>
  <c r="O14" i="190" s="1"/>
  <c r="M14" i="190"/>
  <c r="K14" i="190"/>
  <c r="I14" i="190"/>
  <c r="H14" i="190"/>
  <c r="G14" i="190"/>
  <c r="B14" i="190"/>
  <c r="S13" i="190"/>
  <c r="Q13" i="190"/>
  <c r="M13" i="190"/>
  <c r="K13" i="190"/>
  <c r="H13" i="190"/>
  <c r="G13" i="190"/>
  <c r="B13" i="190"/>
  <c r="I13" i="190" s="1"/>
  <c r="S12" i="190"/>
  <c r="Q12" i="190"/>
  <c r="M12" i="190"/>
  <c r="K12" i="190"/>
  <c r="H12" i="190"/>
  <c r="G12" i="190"/>
  <c r="B12" i="190"/>
  <c r="I12" i="190" s="1"/>
  <c r="S11" i="190"/>
  <c r="Q11" i="190"/>
  <c r="M11" i="190"/>
  <c r="K11" i="190"/>
  <c r="H11" i="190"/>
  <c r="G11" i="190"/>
  <c r="B11" i="190"/>
  <c r="I11" i="190" s="1"/>
  <c r="S10" i="190"/>
  <c r="Q10" i="190"/>
  <c r="M10" i="190"/>
  <c r="K10" i="190"/>
  <c r="I10" i="190"/>
  <c r="H10" i="190"/>
  <c r="G10" i="190"/>
  <c r="B10" i="190"/>
  <c r="S9" i="190"/>
  <c r="Q9" i="190"/>
  <c r="M9" i="190"/>
  <c r="K9" i="190"/>
  <c r="H9" i="190"/>
  <c r="G9" i="190"/>
  <c r="B9" i="190"/>
  <c r="I9" i="190" s="1"/>
  <c r="S8" i="190"/>
  <c r="Q8" i="190"/>
  <c r="M8" i="190"/>
  <c r="K8" i="190"/>
  <c r="K4" i="190" s="1"/>
  <c r="H8" i="190"/>
  <c r="G8" i="190"/>
  <c r="B8" i="190"/>
  <c r="I8" i="190" s="1"/>
  <c r="S7" i="190"/>
  <c r="Q7" i="190"/>
  <c r="M7" i="190"/>
  <c r="K7" i="190"/>
  <c r="H7" i="190"/>
  <c r="G7" i="190"/>
  <c r="B7" i="190"/>
  <c r="I7" i="190" s="1"/>
  <c r="S6" i="190"/>
  <c r="Q6" i="190"/>
  <c r="N6" i="190"/>
  <c r="M6" i="190"/>
  <c r="K6" i="190"/>
  <c r="I6" i="190"/>
  <c r="H6" i="190"/>
  <c r="G6" i="190"/>
  <c r="B6" i="190"/>
  <c r="Q5" i="190"/>
  <c r="M5" i="190"/>
  <c r="I5" i="190"/>
  <c r="H5" i="190"/>
  <c r="G5" i="190"/>
  <c r="T4" i="190"/>
  <c r="R4" i="190"/>
  <c r="S4" i="190" s="1"/>
  <c r="P4" i="190"/>
  <c r="Q4" i="190" s="1"/>
  <c r="L4" i="190"/>
  <c r="M4" i="190" s="1"/>
  <c r="J4" i="190"/>
  <c r="F4" i="190"/>
  <c r="E4" i="190"/>
  <c r="D4" i="190"/>
  <c r="H4" i="190" s="1"/>
  <c r="C4" i="190"/>
  <c r="G2" i="190" s="1"/>
  <c r="S19" i="189"/>
  <c r="Q19" i="189"/>
  <c r="N19" i="189"/>
  <c r="O19" i="189" s="1"/>
  <c r="M19" i="189"/>
  <c r="K19" i="189"/>
  <c r="H19" i="189"/>
  <c r="G19" i="189"/>
  <c r="B19" i="189"/>
  <c r="S18" i="189"/>
  <c r="Q18" i="189"/>
  <c r="M18" i="189"/>
  <c r="K18" i="189"/>
  <c r="I18" i="189"/>
  <c r="H18" i="189"/>
  <c r="G18" i="189"/>
  <c r="B18" i="189"/>
  <c r="S17" i="189"/>
  <c r="Q17" i="189"/>
  <c r="M17" i="189"/>
  <c r="K17" i="189"/>
  <c r="H17" i="189"/>
  <c r="G17" i="189"/>
  <c r="B17" i="189"/>
  <c r="I17" i="189" s="1"/>
  <c r="S16" i="189"/>
  <c r="Q16" i="189"/>
  <c r="M16" i="189"/>
  <c r="K16" i="189"/>
  <c r="I16" i="189"/>
  <c r="H16" i="189"/>
  <c r="G16" i="189"/>
  <c r="B16" i="189"/>
  <c r="S15" i="189"/>
  <c r="Q15" i="189"/>
  <c r="N15" i="189"/>
  <c r="O15" i="189" s="1"/>
  <c r="M15" i="189"/>
  <c r="K15" i="189"/>
  <c r="H15" i="189"/>
  <c r="G15" i="189"/>
  <c r="B15" i="189"/>
  <c r="I15" i="189" s="1"/>
  <c r="S14" i="189"/>
  <c r="Q14" i="189"/>
  <c r="M14" i="189"/>
  <c r="K14" i="189"/>
  <c r="I14" i="189"/>
  <c r="H14" i="189"/>
  <c r="G14" i="189"/>
  <c r="B14" i="189"/>
  <c r="S13" i="189"/>
  <c r="Q13" i="189"/>
  <c r="M13" i="189"/>
  <c r="K13" i="189"/>
  <c r="H13" i="189"/>
  <c r="G13" i="189"/>
  <c r="B13" i="189"/>
  <c r="I13" i="189" s="1"/>
  <c r="S12" i="189"/>
  <c r="Q12" i="189"/>
  <c r="M12" i="189"/>
  <c r="K12" i="189"/>
  <c r="I12" i="189"/>
  <c r="H12" i="189"/>
  <c r="G12" i="189"/>
  <c r="B12" i="189"/>
  <c r="S11" i="189"/>
  <c r="Q11" i="189"/>
  <c r="N11" i="189"/>
  <c r="O11" i="189" s="1"/>
  <c r="M11" i="189"/>
  <c r="K11" i="189"/>
  <c r="H11" i="189"/>
  <c r="G11" i="189"/>
  <c r="B11" i="189"/>
  <c r="I11" i="189" s="1"/>
  <c r="S10" i="189"/>
  <c r="Q10" i="189"/>
  <c r="M10" i="189"/>
  <c r="K10" i="189"/>
  <c r="I10" i="189"/>
  <c r="H10" i="189"/>
  <c r="G10" i="189"/>
  <c r="B10" i="189"/>
  <c r="B4" i="189" s="1"/>
  <c r="S9" i="189"/>
  <c r="Q9" i="189"/>
  <c r="M9" i="189"/>
  <c r="K9" i="189"/>
  <c r="H9" i="189"/>
  <c r="G9" i="189"/>
  <c r="B9" i="189"/>
  <c r="I9" i="189" s="1"/>
  <c r="S8" i="189"/>
  <c r="Q8" i="189"/>
  <c r="M8" i="189"/>
  <c r="K8" i="189"/>
  <c r="I8" i="189"/>
  <c r="H8" i="189"/>
  <c r="G8" i="189"/>
  <c r="B8" i="189"/>
  <c r="S7" i="189"/>
  <c r="Q7" i="189"/>
  <c r="N7" i="189"/>
  <c r="O7" i="189" s="1"/>
  <c r="M7" i="189"/>
  <c r="K7" i="189"/>
  <c r="H7" i="189"/>
  <c r="G7" i="189"/>
  <c r="B7" i="189"/>
  <c r="I7" i="189" s="1"/>
  <c r="S6" i="189"/>
  <c r="Q6" i="189"/>
  <c r="M6" i="189"/>
  <c r="K6" i="189"/>
  <c r="K4" i="189" s="1"/>
  <c r="I6" i="189"/>
  <c r="H6" i="189"/>
  <c r="G6" i="189"/>
  <c r="B6" i="189"/>
  <c r="Q5" i="189"/>
  <c r="M5" i="189"/>
  <c r="I5" i="189"/>
  <c r="H5" i="189"/>
  <c r="G5" i="189"/>
  <c r="T4" i="189"/>
  <c r="R4" i="189"/>
  <c r="S4" i="189" s="1"/>
  <c r="P4" i="189"/>
  <c r="Q4" i="189" s="1"/>
  <c r="L4" i="189"/>
  <c r="M4" i="189" s="1"/>
  <c r="J4" i="189"/>
  <c r="F4" i="189"/>
  <c r="E4" i="189"/>
  <c r="D4" i="189"/>
  <c r="H4" i="189" s="1"/>
  <c r="C4" i="189"/>
  <c r="G2" i="189" s="1"/>
  <c r="S19" i="188"/>
  <c r="Q19" i="188"/>
  <c r="M19" i="188"/>
  <c r="K19" i="188"/>
  <c r="H19" i="188"/>
  <c r="G19" i="188"/>
  <c r="B19" i="188"/>
  <c r="S18" i="188"/>
  <c r="Q18" i="188"/>
  <c r="M18" i="188"/>
  <c r="K18" i="188"/>
  <c r="H18" i="188"/>
  <c r="G18" i="188"/>
  <c r="B18" i="188"/>
  <c r="I18" i="188" s="1"/>
  <c r="S17" i="188"/>
  <c r="Q17" i="188"/>
  <c r="M17" i="188"/>
  <c r="K17" i="188"/>
  <c r="H17" i="188"/>
  <c r="G17" i="188"/>
  <c r="B17" i="188"/>
  <c r="I17" i="188" s="1"/>
  <c r="S16" i="188"/>
  <c r="Q16" i="188"/>
  <c r="N16" i="188"/>
  <c r="O16" i="188" s="1"/>
  <c r="M16" i="188"/>
  <c r="K16" i="188"/>
  <c r="I16" i="188"/>
  <c r="H16" i="188"/>
  <c r="G16" i="188"/>
  <c r="B16" i="188"/>
  <c r="S15" i="188"/>
  <c r="Q15" i="188"/>
  <c r="M15" i="188"/>
  <c r="K15" i="188"/>
  <c r="H15" i="188"/>
  <c r="G15" i="188"/>
  <c r="B15" i="188"/>
  <c r="I15" i="188" s="1"/>
  <c r="S14" i="188"/>
  <c r="Q14" i="188"/>
  <c r="M14" i="188"/>
  <c r="K14" i="188"/>
  <c r="H14" i="188"/>
  <c r="G14" i="188"/>
  <c r="B14" i="188"/>
  <c r="I14" i="188" s="1"/>
  <c r="S13" i="188"/>
  <c r="Q13" i="188"/>
  <c r="M13" i="188"/>
  <c r="K13" i="188"/>
  <c r="H13" i="188"/>
  <c r="G13" i="188"/>
  <c r="B13" i="188"/>
  <c r="I13" i="188" s="1"/>
  <c r="S12" i="188"/>
  <c r="Q12" i="188"/>
  <c r="M12" i="188"/>
  <c r="K12" i="188"/>
  <c r="I12" i="188"/>
  <c r="H12" i="188"/>
  <c r="G12" i="188"/>
  <c r="B12" i="188"/>
  <c r="S11" i="188"/>
  <c r="Q11" i="188"/>
  <c r="M11" i="188"/>
  <c r="K11" i="188"/>
  <c r="H11" i="188"/>
  <c r="G11" i="188"/>
  <c r="B11" i="188"/>
  <c r="I11" i="188" s="1"/>
  <c r="S10" i="188"/>
  <c r="Q10" i="188"/>
  <c r="M10" i="188"/>
  <c r="K10" i="188"/>
  <c r="H10" i="188"/>
  <c r="G10" i="188"/>
  <c r="B10" i="188"/>
  <c r="S9" i="188"/>
  <c r="Q9" i="188"/>
  <c r="M9" i="188"/>
  <c r="K9" i="188"/>
  <c r="H9" i="188"/>
  <c r="G9" i="188"/>
  <c r="B9" i="188"/>
  <c r="I9" i="188" s="1"/>
  <c r="S8" i="188"/>
  <c r="Q8" i="188"/>
  <c r="M8" i="188"/>
  <c r="K8" i="188"/>
  <c r="I8" i="188"/>
  <c r="H8" i="188"/>
  <c r="G8" i="188"/>
  <c r="B8" i="188"/>
  <c r="S7" i="188"/>
  <c r="Q7" i="188"/>
  <c r="M7" i="188"/>
  <c r="K7" i="188"/>
  <c r="H7" i="188"/>
  <c r="G7" i="188"/>
  <c r="B7" i="188"/>
  <c r="I7" i="188" s="1"/>
  <c r="S6" i="188"/>
  <c r="Q6" i="188"/>
  <c r="M6" i="188"/>
  <c r="K6" i="188"/>
  <c r="K4" i="188" s="1"/>
  <c r="H6" i="188"/>
  <c r="G6" i="188"/>
  <c r="B6" i="188"/>
  <c r="I6" i="188" s="1"/>
  <c r="Q5" i="188"/>
  <c r="M5" i="188"/>
  <c r="I5" i="188"/>
  <c r="H5" i="188"/>
  <c r="G5" i="188"/>
  <c r="T4" i="188"/>
  <c r="S4" i="188"/>
  <c r="R4" i="188"/>
  <c r="P4" i="188"/>
  <c r="Q4" i="188" s="1"/>
  <c r="L4" i="188"/>
  <c r="J4" i="188"/>
  <c r="H4" i="188"/>
  <c r="F4" i="188"/>
  <c r="E4" i="188"/>
  <c r="D4" i="188"/>
  <c r="C4" i="188"/>
  <c r="G4" i="188" s="1"/>
  <c r="G2" i="188"/>
  <c r="S19" i="187"/>
  <c r="Q19" i="187"/>
  <c r="M19" i="187"/>
  <c r="K19" i="187"/>
  <c r="H19" i="187"/>
  <c r="G19" i="187"/>
  <c r="B19" i="187"/>
  <c r="I19" i="187" s="1"/>
  <c r="S18" i="187"/>
  <c r="Q18" i="187"/>
  <c r="M18" i="187"/>
  <c r="K18" i="187"/>
  <c r="I18" i="187"/>
  <c r="H18" i="187"/>
  <c r="G18" i="187"/>
  <c r="B18" i="187"/>
  <c r="S17" i="187"/>
  <c r="Q17" i="187"/>
  <c r="N17" i="187"/>
  <c r="O17" i="187" s="1"/>
  <c r="M17" i="187"/>
  <c r="K17" i="187"/>
  <c r="H17" i="187"/>
  <c r="G17" i="187"/>
  <c r="B17" i="187"/>
  <c r="I17" i="187" s="1"/>
  <c r="S16" i="187"/>
  <c r="Q16" i="187"/>
  <c r="M16" i="187"/>
  <c r="K16" i="187"/>
  <c r="I16" i="187"/>
  <c r="H16" i="187"/>
  <c r="G16" i="187"/>
  <c r="B16" i="187"/>
  <c r="S15" i="187"/>
  <c r="Q15" i="187"/>
  <c r="M15" i="187"/>
  <c r="K15" i="187"/>
  <c r="H15" i="187"/>
  <c r="G15" i="187"/>
  <c r="B15" i="187"/>
  <c r="I15" i="187" s="1"/>
  <c r="S14" i="187"/>
  <c r="Q14" i="187"/>
  <c r="M14" i="187"/>
  <c r="K14" i="187"/>
  <c r="I14" i="187"/>
  <c r="H14" i="187"/>
  <c r="G14" i="187"/>
  <c r="B14" i="187"/>
  <c r="S13" i="187"/>
  <c r="Q13" i="187"/>
  <c r="N13" i="187"/>
  <c r="O13" i="187" s="1"/>
  <c r="M13" i="187"/>
  <c r="K13" i="187"/>
  <c r="H13" i="187"/>
  <c r="G13" i="187"/>
  <c r="B13" i="187"/>
  <c r="I13" i="187" s="1"/>
  <c r="S12" i="187"/>
  <c r="Q12" i="187"/>
  <c r="M12" i="187"/>
  <c r="K12" i="187"/>
  <c r="I12" i="187"/>
  <c r="H12" i="187"/>
  <c r="G12" i="187"/>
  <c r="B12" i="187"/>
  <c r="S11" i="187"/>
  <c r="Q11" i="187"/>
  <c r="M11" i="187"/>
  <c r="K11" i="187"/>
  <c r="H11" i="187"/>
  <c r="G11" i="187"/>
  <c r="B11" i="187"/>
  <c r="I11" i="187" s="1"/>
  <c r="S10" i="187"/>
  <c r="Q10" i="187"/>
  <c r="M10" i="187"/>
  <c r="K10" i="187"/>
  <c r="I10" i="187"/>
  <c r="H10" i="187"/>
  <c r="G10" i="187"/>
  <c r="B10" i="187"/>
  <c r="S9" i="187"/>
  <c r="Q9" i="187"/>
  <c r="N9" i="187"/>
  <c r="O9" i="187" s="1"/>
  <c r="M9" i="187"/>
  <c r="K9" i="187"/>
  <c r="H9" i="187"/>
  <c r="G9" i="187"/>
  <c r="B9" i="187"/>
  <c r="I9" i="187" s="1"/>
  <c r="S8" i="187"/>
  <c r="Q8" i="187"/>
  <c r="M8" i="187"/>
  <c r="K8" i="187"/>
  <c r="I8" i="187"/>
  <c r="H8" i="187"/>
  <c r="G8" i="187"/>
  <c r="B8" i="187"/>
  <c r="S7" i="187"/>
  <c r="Q7" i="187"/>
  <c r="M7" i="187"/>
  <c r="K7" i="187"/>
  <c r="K4" i="187" s="1"/>
  <c r="H7" i="187"/>
  <c r="G7" i="187"/>
  <c r="B7" i="187"/>
  <c r="I7" i="187" s="1"/>
  <c r="S6" i="187"/>
  <c r="Q6" i="187"/>
  <c r="M6" i="187"/>
  <c r="K6" i="187"/>
  <c r="I6" i="187"/>
  <c r="H6" i="187"/>
  <c r="G6" i="187"/>
  <c r="B6" i="187"/>
  <c r="Q5" i="187"/>
  <c r="M5" i="187"/>
  <c r="I5" i="187"/>
  <c r="H5" i="187"/>
  <c r="G5" i="187"/>
  <c r="T4" i="187"/>
  <c r="R4" i="187"/>
  <c r="S4" i="187" s="1"/>
  <c r="P4" i="187"/>
  <c r="Q4" i="187" s="1"/>
  <c r="L4" i="187"/>
  <c r="J4" i="187"/>
  <c r="F4" i="187"/>
  <c r="E4" i="187"/>
  <c r="I4" i="187" s="1"/>
  <c r="D4" i="187"/>
  <c r="H4" i="187" s="1"/>
  <c r="C4" i="187"/>
  <c r="G2" i="187" s="1"/>
  <c r="B4" i="187"/>
  <c r="I2" i="187"/>
  <c r="S19" i="186"/>
  <c r="Q19" i="186"/>
  <c r="M19" i="186"/>
  <c r="K19" i="186"/>
  <c r="I19" i="186"/>
  <c r="H19" i="186"/>
  <c r="G19" i="186"/>
  <c r="B19" i="186"/>
  <c r="S18" i="186"/>
  <c r="Q18" i="186"/>
  <c r="M18" i="186"/>
  <c r="K18" i="186"/>
  <c r="I18" i="186"/>
  <c r="H18" i="186"/>
  <c r="G18" i="186"/>
  <c r="B18" i="186"/>
  <c r="S17" i="186"/>
  <c r="Q17" i="186"/>
  <c r="M17" i="186"/>
  <c r="K17" i="186"/>
  <c r="I17" i="186"/>
  <c r="H17" i="186"/>
  <c r="G17" i="186"/>
  <c r="B17" i="186"/>
  <c r="S16" i="186"/>
  <c r="Q16" i="186"/>
  <c r="M16" i="186"/>
  <c r="K16" i="186"/>
  <c r="I16" i="186"/>
  <c r="H16" i="186"/>
  <c r="G16" i="186"/>
  <c r="B16" i="186"/>
  <c r="S15" i="186"/>
  <c r="Q15" i="186"/>
  <c r="M15" i="186"/>
  <c r="K15" i="186"/>
  <c r="I15" i="186"/>
  <c r="H15" i="186"/>
  <c r="G15" i="186"/>
  <c r="B15" i="186"/>
  <c r="S14" i="186"/>
  <c r="Q14" i="186"/>
  <c r="M14" i="186"/>
  <c r="K14" i="186"/>
  <c r="I14" i="186"/>
  <c r="H14" i="186"/>
  <c r="G14" i="186"/>
  <c r="B14" i="186"/>
  <c r="S13" i="186"/>
  <c r="Q13" i="186"/>
  <c r="M13" i="186"/>
  <c r="K13" i="186"/>
  <c r="I13" i="186"/>
  <c r="H13" i="186"/>
  <c r="G13" i="186"/>
  <c r="B13" i="186"/>
  <c r="S12" i="186"/>
  <c r="Q12" i="186"/>
  <c r="M12" i="186"/>
  <c r="K12" i="186"/>
  <c r="I12" i="186"/>
  <c r="H12" i="186"/>
  <c r="G12" i="186"/>
  <c r="B12" i="186"/>
  <c r="S11" i="186"/>
  <c r="Q11" i="186"/>
  <c r="M11" i="186"/>
  <c r="K11" i="186"/>
  <c r="I11" i="186"/>
  <c r="H11" i="186"/>
  <c r="G11" i="186"/>
  <c r="B11" i="186"/>
  <c r="S10" i="186"/>
  <c r="Q10" i="186"/>
  <c r="M10" i="186"/>
  <c r="K10" i="186"/>
  <c r="I10" i="186"/>
  <c r="H10" i="186"/>
  <c r="G10" i="186"/>
  <c r="B10" i="186"/>
  <c r="S9" i="186"/>
  <c r="Q9" i="186"/>
  <c r="M9" i="186"/>
  <c r="K9" i="186"/>
  <c r="I9" i="186"/>
  <c r="H9" i="186"/>
  <c r="G9" i="186"/>
  <c r="B9" i="186"/>
  <c r="S8" i="186"/>
  <c r="Q8" i="186"/>
  <c r="M8" i="186"/>
  <c r="K8" i="186"/>
  <c r="I8" i="186"/>
  <c r="H8" i="186"/>
  <c r="G8" i="186"/>
  <c r="B8" i="186"/>
  <c r="S7" i="186"/>
  <c r="Q7" i="186"/>
  <c r="M7" i="186"/>
  <c r="K7" i="186"/>
  <c r="K4" i="186" s="1"/>
  <c r="I7" i="186"/>
  <c r="H7" i="186"/>
  <c r="G7" i="186"/>
  <c r="B7" i="186"/>
  <c r="S6" i="186"/>
  <c r="Q6" i="186"/>
  <c r="M6" i="186"/>
  <c r="K6" i="186"/>
  <c r="I6" i="186"/>
  <c r="H6" i="186"/>
  <c r="G6" i="186"/>
  <c r="B6" i="186"/>
  <c r="Q5" i="186"/>
  <c r="M5" i="186"/>
  <c r="H5" i="186"/>
  <c r="G5" i="186"/>
  <c r="I5" i="186" s="1"/>
  <c r="T4" i="186"/>
  <c r="R4" i="186"/>
  <c r="Q4" i="186"/>
  <c r="P4" i="186"/>
  <c r="M4" i="186"/>
  <c r="L4" i="186"/>
  <c r="J4" i="186"/>
  <c r="F4" i="186"/>
  <c r="E4" i="186"/>
  <c r="D4" i="186"/>
  <c r="C4" i="186"/>
  <c r="B4" i="186"/>
  <c r="I2" i="186"/>
  <c r="S19" i="185"/>
  <c r="Q19" i="185"/>
  <c r="M19" i="185"/>
  <c r="K19" i="185"/>
  <c r="I19" i="185"/>
  <c r="H19" i="185"/>
  <c r="G19" i="185"/>
  <c r="B19" i="185"/>
  <c r="S18" i="185"/>
  <c r="Q18" i="185"/>
  <c r="M18" i="185"/>
  <c r="K18" i="185"/>
  <c r="I18" i="185"/>
  <c r="H18" i="185"/>
  <c r="G18" i="185"/>
  <c r="B18" i="185"/>
  <c r="S17" i="185"/>
  <c r="Q17" i="185"/>
  <c r="M17" i="185"/>
  <c r="K17" i="185"/>
  <c r="I17" i="185"/>
  <c r="H17" i="185"/>
  <c r="G17" i="185"/>
  <c r="B17" i="185"/>
  <c r="S16" i="185"/>
  <c r="Q16" i="185"/>
  <c r="M16" i="185"/>
  <c r="K16" i="185"/>
  <c r="I16" i="185"/>
  <c r="H16" i="185"/>
  <c r="G16" i="185"/>
  <c r="B16" i="185"/>
  <c r="S15" i="185"/>
  <c r="Q15" i="185"/>
  <c r="M15" i="185"/>
  <c r="K15" i="185"/>
  <c r="I15" i="185"/>
  <c r="H15" i="185"/>
  <c r="G15" i="185"/>
  <c r="B15" i="185"/>
  <c r="S14" i="185"/>
  <c r="Q14" i="185"/>
  <c r="M14" i="185"/>
  <c r="K14" i="185"/>
  <c r="I14" i="185"/>
  <c r="H14" i="185"/>
  <c r="G14" i="185"/>
  <c r="B14" i="185"/>
  <c r="S13" i="185"/>
  <c r="Q13" i="185"/>
  <c r="M13" i="185"/>
  <c r="K13" i="185"/>
  <c r="I13" i="185"/>
  <c r="H13" i="185"/>
  <c r="G13" i="185"/>
  <c r="B13" i="185"/>
  <c r="S12" i="185"/>
  <c r="Q12" i="185"/>
  <c r="M12" i="185"/>
  <c r="K12" i="185"/>
  <c r="I12" i="185"/>
  <c r="H12" i="185"/>
  <c r="G12" i="185"/>
  <c r="B12" i="185"/>
  <c r="S11" i="185"/>
  <c r="Q11" i="185"/>
  <c r="M11" i="185"/>
  <c r="K11" i="185"/>
  <c r="I11" i="185"/>
  <c r="H11" i="185"/>
  <c r="G11" i="185"/>
  <c r="B11" i="185"/>
  <c r="S10" i="185"/>
  <c r="Q10" i="185"/>
  <c r="M10" i="185"/>
  <c r="K10" i="185"/>
  <c r="I10" i="185"/>
  <c r="H10" i="185"/>
  <c r="G10" i="185"/>
  <c r="B10" i="185"/>
  <c r="S9" i="185"/>
  <c r="Q9" i="185"/>
  <c r="M9" i="185"/>
  <c r="K9" i="185"/>
  <c r="I9" i="185"/>
  <c r="H9" i="185"/>
  <c r="G9" i="185"/>
  <c r="B9" i="185"/>
  <c r="S8" i="185"/>
  <c r="Q8" i="185"/>
  <c r="M8" i="185"/>
  <c r="K8" i="185"/>
  <c r="I8" i="185"/>
  <c r="H8" i="185"/>
  <c r="G8" i="185"/>
  <c r="B8" i="185"/>
  <c r="S7" i="185"/>
  <c r="Q7" i="185"/>
  <c r="M7" i="185"/>
  <c r="K7" i="185"/>
  <c r="I7" i="185"/>
  <c r="H7" i="185"/>
  <c r="G7" i="185"/>
  <c r="B7" i="185"/>
  <c r="S6" i="185"/>
  <c r="Q6" i="185"/>
  <c r="M6" i="185"/>
  <c r="K6" i="185"/>
  <c r="I6" i="185"/>
  <c r="H6" i="185"/>
  <c r="G6" i="185"/>
  <c r="B6" i="185"/>
  <c r="Q5" i="185"/>
  <c r="M5" i="185"/>
  <c r="H5" i="185"/>
  <c r="G5" i="185"/>
  <c r="I5" i="185" s="1"/>
  <c r="T4" i="185"/>
  <c r="R4" i="185"/>
  <c r="S4" i="185" s="1"/>
  <c r="P4" i="185"/>
  <c r="M4" i="185"/>
  <c r="L4" i="185"/>
  <c r="K4" i="185"/>
  <c r="J4" i="185"/>
  <c r="I4" i="185"/>
  <c r="F4" i="185"/>
  <c r="E4" i="185"/>
  <c r="D4" i="185"/>
  <c r="C4" i="185"/>
  <c r="B4" i="185"/>
  <c r="I2" i="185"/>
  <c r="S19" i="184"/>
  <c r="Q19" i="184"/>
  <c r="M19" i="184"/>
  <c r="K19" i="184"/>
  <c r="I19" i="184"/>
  <c r="H19" i="184"/>
  <c r="G19" i="184"/>
  <c r="B19" i="184"/>
  <c r="S18" i="184"/>
  <c r="Q18" i="184"/>
  <c r="M18" i="184"/>
  <c r="K18" i="184"/>
  <c r="I18" i="184"/>
  <c r="H18" i="184"/>
  <c r="G18" i="184"/>
  <c r="B18" i="184"/>
  <c r="S17" i="184"/>
  <c r="Q17" i="184"/>
  <c r="M17" i="184"/>
  <c r="K17" i="184"/>
  <c r="I17" i="184"/>
  <c r="H17" i="184"/>
  <c r="G17" i="184"/>
  <c r="B17" i="184"/>
  <c r="S16" i="184"/>
  <c r="Q16" i="184"/>
  <c r="M16" i="184"/>
  <c r="K16" i="184"/>
  <c r="I16" i="184"/>
  <c r="H16" i="184"/>
  <c r="G16" i="184"/>
  <c r="B16" i="184"/>
  <c r="S15" i="184"/>
  <c r="Q15" i="184"/>
  <c r="M15" i="184"/>
  <c r="K15" i="184"/>
  <c r="I15" i="184"/>
  <c r="H15" i="184"/>
  <c r="G15" i="184"/>
  <c r="B15" i="184"/>
  <c r="S14" i="184"/>
  <c r="Q14" i="184"/>
  <c r="M14" i="184"/>
  <c r="K14" i="184"/>
  <c r="I14" i="184"/>
  <c r="H14" i="184"/>
  <c r="G14" i="184"/>
  <c r="B14" i="184"/>
  <c r="S13" i="184"/>
  <c r="Q13" i="184"/>
  <c r="M13" i="184"/>
  <c r="K13" i="184"/>
  <c r="I13" i="184"/>
  <c r="H13" i="184"/>
  <c r="G13" i="184"/>
  <c r="B13" i="184"/>
  <c r="S12" i="184"/>
  <c r="Q12" i="184"/>
  <c r="M12" i="184"/>
  <c r="K12" i="184"/>
  <c r="I12" i="184"/>
  <c r="H12" i="184"/>
  <c r="G12" i="184"/>
  <c r="B12" i="184"/>
  <c r="S11" i="184"/>
  <c r="Q11" i="184"/>
  <c r="M11" i="184"/>
  <c r="K11" i="184"/>
  <c r="I11" i="184"/>
  <c r="H11" i="184"/>
  <c r="G11" i="184"/>
  <c r="B11" i="184"/>
  <c r="S10" i="184"/>
  <c r="Q10" i="184"/>
  <c r="M10" i="184"/>
  <c r="K10" i="184"/>
  <c r="I10" i="184"/>
  <c r="H10" i="184"/>
  <c r="G10" i="184"/>
  <c r="B10" i="184"/>
  <c r="S9" i="184"/>
  <c r="Q9" i="184"/>
  <c r="M9" i="184"/>
  <c r="K9" i="184"/>
  <c r="I9" i="184"/>
  <c r="H9" i="184"/>
  <c r="G9" i="184"/>
  <c r="B9" i="184"/>
  <c r="S8" i="184"/>
  <c r="Q8" i="184"/>
  <c r="M8" i="184"/>
  <c r="K8" i="184"/>
  <c r="I8" i="184"/>
  <c r="H8" i="184"/>
  <c r="G8" i="184"/>
  <c r="B8" i="184"/>
  <c r="S7" i="184"/>
  <c r="Q7" i="184"/>
  <c r="M7" i="184"/>
  <c r="K7" i="184"/>
  <c r="I7" i="184"/>
  <c r="H7" i="184"/>
  <c r="G7" i="184"/>
  <c r="B7" i="184"/>
  <c r="S6" i="184"/>
  <c r="Q6" i="184"/>
  <c r="M6" i="184"/>
  <c r="K6" i="184"/>
  <c r="I6" i="184"/>
  <c r="H6" i="184"/>
  <c r="G6" i="184"/>
  <c r="B6" i="184"/>
  <c r="Q5" i="184"/>
  <c r="M5" i="184"/>
  <c r="H5" i="184"/>
  <c r="G5" i="184"/>
  <c r="I5" i="184" s="1"/>
  <c r="T4" i="184"/>
  <c r="R4" i="184"/>
  <c r="P4" i="184"/>
  <c r="M4" i="184"/>
  <c r="L4" i="184"/>
  <c r="K4" i="184"/>
  <c r="J4" i="184"/>
  <c r="I4" i="184"/>
  <c r="F4" i="184"/>
  <c r="E4" i="184"/>
  <c r="D4" i="184"/>
  <c r="C4" i="184"/>
  <c r="B4" i="184"/>
  <c r="I2" i="184"/>
  <c r="S19" i="183"/>
  <c r="Q19" i="183"/>
  <c r="O19" i="183"/>
  <c r="M19" i="183"/>
  <c r="K19" i="183"/>
  <c r="H19" i="183"/>
  <c r="G19" i="183"/>
  <c r="B19" i="183"/>
  <c r="I19" i="183" s="1"/>
  <c r="S18" i="183"/>
  <c r="Q18" i="183"/>
  <c r="M18" i="183"/>
  <c r="K18" i="183"/>
  <c r="H18" i="183"/>
  <c r="G18" i="183"/>
  <c r="B18" i="183"/>
  <c r="I18" i="183" s="1"/>
  <c r="S17" i="183"/>
  <c r="Q17" i="183"/>
  <c r="N17" i="183"/>
  <c r="O17" i="183" s="1"/>
  <c r="M17" i="183"/>
  <c r="K17" i="183"/>
  <c r="H17" i="183"/>
  <c r="G17" i="183"/>
  <c r="B17" i="183"/>
  <c r="I17" i="183" s="1"/>
  <c r="S16" i="183"/>
  <c r="Q16" i="183"/>
  <c r="M16" i="183"/>
  <c r="K16" i="183"/>
  <c r="H16" i="183"/>
  <c r="G16" i="183"/>
  <c r="B16" i="183"/>
  <c r="I16" i="183" s="1"/>
  <c r="S15" i="183"/>
  <c r="Q15" i="183"/>
  <c r="N15" i="183"/>
  <c r="O15" i="183" s="1"/>
  <c r="M15" i="183"/>
  <c r="K15" i="183"/>
  <c r="H15" i="183"/>
  <c r="G15" i="183"/>
  <c r="B15" i="183"/>
  <c r="I15" i="183" s="1"/>
  <c r="S14" i="183"/>
  <c r="Q14" i="183"/>
  <c r="M14" i="183"/>
  <c r="K14" i="183"/>
  <c r="H14" i="183"/>
  <c r="G14" i="183"/>
  <c r="B14" i="183"/>
  <c r="I14" i="183" s="1"/>
  <c r="S13" i="183"/>
  <c r="Q13" i="183"/>
  <c r="N13" i="183"/>
  <c r="O13" i="183" s="1"/>
  <c r="M13" i="183"/>
  <c r="K13" i="183"/>
  <c r="H13" i="183"/>
  <c r="G13" i="183"/>
  <c r="B13" i="183"/>
  <c r="I13" i="183" s="1"/>
  <c r="S12" i="183"/>
  <c r="Q12" i="183"/>
  <c r="M12" i="183"/>
  <c r="K12" i="183"/>
  <c r="H12" i="183"/>
  <c r="G12" i="183"/>
  <c r="B12" i="183"/>
  <c r="I12" i="183" s="1"/>
  <c r="S11" i="183"/>
  <c r="Q11" i="183"/>
  <c r="N11" i="183"/>
  <c r="O11" i="183" s="1"/>
  <c r="M11" i="183"/>
  <c r="K11" i="183"/>
  <c r="H11" i="183"/>
  <c r="G11" i="183"/>
  <c r="B11" i="183"/>
  <c r="I11" i="183" s="1"/>
  <c r="S10" i="183"/>
  <c r="Q10" i="183"/>
  <c r="M10" i="183"/>
  <c r="K10" i="183"/>
  <c r="H10" i="183"/>
  <c r="G10" i="183"/>
  <c r="B10" i="183"/>
  <c r="S9" i="183"/>
  <c r="Q9" i="183"/>
  <c r="N9" i="183"/>
  <c r="O9" i="183" s="1"/>
  <c r="M9" i="183"/>
  <c r="K9" i="183"/>
  <c r="H9" i="183"/>
  <c r="G9" i="183"/>
  <c r="B9" i="183"/>
  <c r="I9" i="183" s="1"/>
  <c r="S8" i="183"/>
  <c r="Q8" i="183"/>
  <c r="M8" i="183"/>
  <c r="K8" i="183"/>
  <c r="H8" i="183"/>
  <c r="G8" i="183"/>
  <c r="B8" i="183"/>
  <c r="I8" i="183" s="1"/>
  <c r="S7" i="183"/>
  <c r="Q7" i="183"/>
  <c r="N7" i="183"/>
  <c r="O7" i="183" s="1"/>
  <c r="M7" i="183"/>
  <c r="K7" i="183"/>
  <c r="H7" i="183"/>
  <c r="G7" i="183"/>
  <c r="B7" i="183"/>
  <c r="I7" i="183" s="1"/>
  <c r="S6" i="183"/>
  <c r="Q6" i="183"/>
  <c r="M6" i="183"/>
  <c r="K6" i="183"/>
  <c r="H6" i="183"/>
  <c r="G6" i="183"/>
  <c r="B6" i="183"/>
  <c r="I6" i="183" s="1"/>
  <c r="Q5" i="183"/>
  <c r="M5" i="183"/>
  <c r="H5" i="183"/>
  <c r="G5" i="183"/>
  <c r="I5" i="183" s="1"/>
  <c r="T4" i="183"/>
  <c r="R4" i="183"/>
  <c r="S4" i="183" s="1"/>
  <c r="P4" i="183"/>
  <c r="Q4" i="183" s="1"/>
  <c r="L4" i="183"/>
  <c r="M4" i="183" s="1"/>
  <c r="J4" i="183"/>
  <c r="H4" i="183"/>
  <c r="F4" i="183"/>
  <c r="E4" i="183"/>
  <c r="G4" i="183" s="1"/>
  <c r="D4" i="183"/>
  <c r="C4" i="183"/>
  <c r="G2" i="183"/>
  <c r="S19" i="182"/>
  <c r="Q19" i="182"/>
  <c r="O19" i="182"/>
  <c r="M19" i="182"/>
  <c r="K19" i="182"/>
  <c r="I19" i="182"/>
  <c r="H19" i="182"/>
  <c r="G19" i="182"/>
  <c r="B19" i="182"/>
  <c r="S18" i="182"/>
  <c r="Q18" i="182"/>
  <c r="M18" i="182"/>
  <c r="K18" i="182"/>
  <c r="I18" i="182"/>
  <c r="H18" i="182"/>
  <c r="G18" i="182"/>
  <c r="B18" i="182"/>
  <c r="S17" i="182"/>
  <c r="Q17" i="182"/>
  <c r="M17" i="182"/>
  <c r="K17" i="182"/>
  <c r="I17" i="182"/>
  <c r="H17" i="182"/>
  <c r="G17" i="182"/>
  <c r="B17" i="182"/>
  <c r="S16" i="182"/>
  <c r="Q16" i="182"/>
  <c r="M16" i="182"/>
  <c r="K16" i="182"/>
  <c r="I16" i="182"/>
  <c r="H16" i="182"/>
  <c r="G16" i="182"/>
  <c r="B16" i="182"/>
  <c r="S15" i="182"/>
  <c r="Q15" i="182"/>
  <c r="M15" i="182"/>
  <c r="K15" i="182"/>
  <c r="I15" i="182"/>
  <c r="H15" i="182"/>
  <c r="G15" i="182"/>
  <c r="B15" i="182"/>
  <c r="S14" i="182"/>
  <c r="Q14" i="182"/>
  <c r="M14" i="182"/>
  <c r="K14" i="182"/>
  <c r="I14" i="182"/>
  <c r="H14" i="182"/>
  <c r="G14" i="182"/>
  <c r="B14" i="182"/>
  <c r="S13" i="182"/>
  <c r="Q13" i="182"/>
  <c r="M13" i="182"/>
  <c r="K13" i="182"/>
  <c r="I13" i="182"/>
  <c r="H13" i="182"/>
  <c r="G13" i="182"/>
  <c r="B13" i="182"/>
  <c r="S12" i="182"/>
  <c r="Q12" i="182"/>
  <c r="M12" i="182"/>
  <c r="K12" i="182"/>
  <c r="I12" i="182"/>
  <c r="H12" i="182"/>
  <c r="G12" i="182"/>
  <c r="B12" i="182"/>
  <c r="S11" i="182"/>
  <c r="Q11" i="182"/>
  <c r="M11" i="182"/>
  <c r="K11" i="182"/>
  <c r="I11" i="182"/>
  <c r="H11" i="182"/>
  <c r="G11" i="182"/>
  <c r="B11" i="182"/>
  <c r="S10" i="182"/>
  <c r="Q10" i="182"/>
  <c r="M10" i="182"/>
  <c r="K10" i="182"/>
  <c r="I10" i="182"/>
  <c r="H10" i="182"/>
  <c r="G10" i="182"/>
  <c r="B10" i="182"/>
  <c r="B4" i="182" s="1"/>
  <c r="I2" i="182" s="1"/>
  <c r="S9" i="182"/>
  <c r="Q9" i="182"/>
  <c r="M9" i="182"/>
  <c r="K9" i="182"/>
  <c r="I9" i="182"/>
  <c r="H9" i="182"/>
  <c r="G9" i="182"/>
  <c r="B9" i="182"/>
  <c r="S8" i="182"/>
  <c r="Q8" i="182"/>
  <c r="M8" i="182"/>
  <c r="K8" i="182"/>
  <c r="I8" i="182"/>
  <c r="H8" i="182"/>
  <c r="G8" i="182"/>
  <c r="B8" i="182"/>
  <c r="S7" i="182"/>
  <c r="Q7" i="182"/>
  <c r="M7" i="182"/>
  <c r="K7" i="182"/>
  <c r="I7" i="182"/>
  <c r="H7" i="182"/>
  <c r="G7" i="182"/>
  <c r="B7" i="182"/>
  <c r="S6" i="182"/>
  <c r="Q6" i="182"/>
  <c r="M6" i="182"/>
  <c r="K6" i="182"/>
  <c r="I6" i="182"/>
  <c r="H6" i="182"/>
  <c r="G6" i="182"/>
  <c r="B6" i="182"/>
  <c r="Q5" i="182"/>
  <c r="M5" i="182"/>
  <c r="I5" i="182"/>
  <c r="H5" i="182"/>
  <c r="G5" i="182"/>
  <c r="T4" i="182"/>
  <c r="S4" i="182"/>
  <c r="R4" i="182"/>
  <c r="P4" i="182"/>
  <c r="M4" i="182"/>
  <c r="L4" i="182"/>
  <c r="K4" i="182"/>
  <c r="J4" i="182"/>
  <c r="F4" i="182"/>
  <c r="E4" i="182"/>
  <c r="Q4" i="182" s="1"/>
  <c r="D4" i="182"/>
  <c r="C4" i="182"/>
  <c r="G4" i="182" s="1"/>
  <c r="S19" i="181"/>
  <c r="Q19" i="181"/>
  <c r="O19" i="181"/>
  <c r="M19" i="181"/>
  <c r="K19" i="181"/>
  <c r="H19" i="181"/>
  <c r="G19" i="181"/>
  <c r="B19" i="181"/>
  <c r="S18" i="181"/>
  <c r="Q18" i="181"/>
  <c r="M18" i="181"/>
  <c r="K18" i="181"/>
  <c r="H18" i="181"/>
  <c r="G18" i="181"/>
  <c r="B18" i="181"/>
  <c r="I18" i="181" s="1"/>
  <c r="S17" i="181"/>
  <c r="Q17" i="181"/>
  <c r="N17" i="181"/>
  <c r="O17" i="181" s="1"/>
  <c r="M17" i="181"/>
  <c r="K17" i="181"/>
  <c r="H17" i="181"/>
  <c r="G17" i="181"/>
  <c r="B17" i="181"/>
  <c r="I17" i="181" s="1"/>
  <c r="S16" i="181"/>
  <c r="Q16" i="181"/>
  <c r="N16" i="181"/>
  <c r="O16" i="181" s="1"/>
  <c r="M16" i="181"/>
  <c r="K16" i="181"/>
  <c r="H16" i="181"/>
  <c r="G16" i="181"/>
  <c r="B16" i="181"/>
  <c r="I16" i="181" s="1"/>
  <c r="S15" i="181"/>
  <c r="Q15" i="181"/>
  <c r="N15" i="181"/>
  <c r="O15" i="181" s="1"/>
  <c r="M15" i="181"/>
  <c r="K15" i="181"/>
  <c r="H15" i="181"/>
  <c r="G15" i="181"/>
  <c r="B15" i="181"/>
  <c r="I15" i="181" s="1"/>
  <c r="S14" i="181"/>
  <c r="Q14" i="181"/>
  <c r="N14" i="181"/>
  <c r="O14" i="181" s="1"/>
  <c r="M14" i="181"/>
  <c r="K14" i="181"/>
  <c r="H14" i="181"/>
  <c r="G14" i="181"/>
  <c r="B14" i="181"/>
  <c r="I14" i="181" s="1"/>
  <c r="S13" i="181"/>
  <c r="Q13" i="181"/>
  <c r="N13" i="181"/>
  <c r="O13" i="181" s="1"/>
  <c r="M13" i="181"/>
  <c r="K13" i="181"/>
  <c r="H13" i="181"/>
  <c r="G13" i="181"/>
  <c r="B13" i="181"/>
  <c r="I13" i="181" s="1"/>
  <c r="S12" i="181"/>
  <c r="Q12" i="181"/>
  <c r="N12" i="181"/>
  <c r="O12" i="181" s="1"/>
  <c r="M12" i="181"/>
  <c r="K12" i="181"/>
  <c r="H12" i="181"/>
  <c r="G12" i="181"/>
  <c r="B12" i="181"/>
  <c r="I12" i="181" s="1"/>
  <c r="S11" i="181"/>
  <c r="Q11" i="181"/>
  <c r="N11" i="181"/>
  <c r="O11" i="181" s="1"/>
  <c r="M11" i="181"/>
  <c r="K11" i="181"/>
  <c r="H11" i="181"/>
  <c r="G11" i="181"/>
  <c r="B11" i="181"/>
  <c r="I11" i="181" s="1"/>
  <c r="S10" i="181"/>
  <c r="Q10" i="181"/>
  <c r="N10" i="181"/>
  <c r="O10" i="181" s="1"/>
  <c r="M10" i="181"/>
  <c r="K10" i="181"/>
  <c r="H10" i="181"/>
  <c r="G10" i="181"/>
  <c r="B10" i="181"/>
  <c r="I10" i="181" s="1"/>
  <c r="S9" i="181"/>
  <c r="Q9" i="181"/>
  <c r="N9" i="181"/>
  <c r="O9" i="181" s="1"/>
  <c r="M9" i="181"/>
  <c r="K9" i="181"/>
  <c r="H9" i="181"/>
  <c r="G9" i="181"/>
  <c r="B9" i="181"/>
  <c r="I9" i="181" s="1"/>
  <c r="S8" i="181"/>
  <c r="Q8" i="181"/>
  <c r="M8" i="181"/>
  <c r="K8" i="181"/>
  <c r="H8" i="181"/>
  <c r="G8" i="181"/>
  <c r="B8" i="181"/>
  <c r="I8" i="181" s="1"/>
  <c r="S7" i="181"/>
  <c r="Q7" i="181"/>
  <c r="N7" i="181"/>
  <c r="O7" i="181" s="1"/>
  <c r="M7" i="181"/>
  <c r="K7" i="181"/>
  <c r="H7" i="181"/>
  <c r="G7" i="181"/>
  <c r="B7" i="181"/>
  <c r="I7" i="181" s="1"/>
  <c r="S6" i="181"/>
  <c r="Q6" i="181"/>
  <c r="M6" i="181"/>
  <c r="K6" i="181"/>
  <c r="K4" i="181" s="1"/>
  <c r="H6" i="181"/>
  <c r="G6" i="181"/>
  <c r="B6" i="181"/>
  <c r="I6" i="181" s="1"/>
  <c r="Q5" i="181"/>
  <c r="M5" i="181"/>
  <c r="I5" i="181"/>
  <c r="H5" i="181"/>
  <c r="G5" i="181"/>
  <c r="T4" i="181"/>
  <c r="R4" i="181"/>
  <c r="S4" i="181" s="1"/>
  <c r="P4" i="181"/>
  <c r="Q4" i="181" s="1"/>
  <c r="L4" i="181"/>
  <c r="J4" i="181"/>
  <c r="F4" i="181"/>
  <c r="E4" i="181"/>
  <c r="D4" i="181"/>
  <c r="H4" i="181" s="1"/>
  <c r="C4" i="181"/>
  <c r="G4" i="181" s="1"/>
  <c r="G2" i="181"/>
  <c r="Q19" i="180"/>
  <c r="O19" i="180"/>
  <c r="M19" i="180"/>
  <c r="K19" i="180"/>
  <c r="I19" i="180"/>
  <c r="G19" i="180"/>
  <c r="F19" i="180"/>
  <c r="B19" i="180"/>
  <c r="Q18" i="180"/>
  <c r="O18" i="180"/>
  <c r="K18" i="180"/>
  <c r="I18" i="180"/>
  <c r="F18" i="180"/>
  <c r="B18" i="180"/>
  <c r="G18" i="180" s="1"/>
  <c r="Q17" i="180"/>
  <c r="O17" i="180"/>
  <c r="K17" i="180"/>
  <c r="I17" i="180"/>
  <c r="F17" i="180"/>
  <c r="B17" i="180"/>
  <c r="G17" i="180" s="1"/>
  <c r="Q16" i="180"/>
  <c r="O16" i="180"/>
  <c r="K16" i="180"/>
  <c r="I16" i="180"/>
  <c r="G16" i="180"/>
  <c r="F16" i="180"/>
  <c r="B16" i="180"/>
  <c r="Q15" i="180"/>
  <c r="O15" i="180"/>
  <c r="K15" i="180"/>
  <c r="I15" i="180"/>
  <c r="G15" i="180"/>
  <c r="F15" i="180"/>
  <c r="B15" i="180"/>
  <c r="Q14" i="180"/>
  <c r="O14" i="180"/>
  <c r="K14" i="180"/>
  <c r="I14" i="180"/>
  <c r="F14" i="180"/>
  <c r="B14" i="180"/>
  <c r="G14" i="180" s="1"/>
  <c r="Q13" i="180"/>
  <c r="O13" i="180"/>
  <c r="K13" i="180"/>
  <c r="I13" i="180"/>
  <c r="F13" i="180"/>
  <c r="B13" i="180"/>
  <c r="G13" i="180" s="1"/>
  <c r="Q12" i="180"/>
  <c r="O12" i="180"/>
  <c r="K12" i="180"/>
  <c r="I12" i="180"/>
  <c r="G12" i="180"/>
  <c r="F12" i="180"/>
  <c r="B12" i="180"/>
  <c r="Q11" i="180"/>
  <c r="O11" i="180"/>
  <c r="K11" i="180"/>
  <c r="I11" i="180"/>
  <c r="G11" i="180"/>
  <c r="F11" i="180"/>
  <c r="B11" i="180"/>
  <c r="Q10" i="180"/>
  <c r="O10" i="180"/>
  <c r="K10" i="180"/>
  <c r="I10" i="180"/>
  <c r="F10" i="180"/>
  <c r="B10" i="180"/>
  <c r="G10" i="180" s="1"/>
  <c r="Q9" i="180"/>
  <c r="O9" i="180"/>
  <c r="K9" i="180"/>
  <c r="I9" i="180"/>
  <c r="F9" i="180"/>
  <c r="B9" i="180"/>
  <c r="Q8" i="180"/>
  <c r="O8" i="180"/>
  <c r="K8" i="180"/>
  <c r="I8" i="180"/>
  <c r="G8" i="180"/>
  <c r="F8" i="180"/>
  <c r="B8" i="180"/>
  <c r="Q7" i="180"/>
  <c r="O7" i="180"/>
  <c r="K7" i="180"/>
  <c r="I7" i="180"/>
  <c r="G7" i="180"/>
  <c r="F7" i="180"/>
  <c r="B7" i="180"/>
  <c r="Q6" i="180"/>
  <c r="O6" i="180"/>
  <c r="K6" i="180"/>
  <c r="I6" i="180"/>
  <c r="I4" i="180" s="1"/>
  <c r="F6" i="180"/>
  <c r="B6" i="180"/>
  <c r="G6" i="180" s="1"/>
  <c r="O5" i="180"/>
  <c r="K5" i="180"/>
  <c r="G5" i="180"/>
  <c r="F5" i="180"/>
  <c r="R4" i="180"/>
  <c r="P4" i="180"/>
  <c r="N4" i="180"/>
  <c r="J4" i="180"/>
  <c r="K4" i="180" s="1"/>
  <c r="H4" i="180"/>
  <c r="E4" i="180"/>
  <c r="D4" i="180"/>
  <c r="C4" i="180"/>
  <c r="Q19" i="179"/>
  <c r="O19" i="179"/>
  <c r="M19" i="179"/>
  <c r="K19" i="179"/>
  <c r="I19" i="179"/>
  <c r="F19" i="179"/>
  <c r="B19" i="179"/>
  <c r="G19" i="179" s="1"/>
  <c r="Q18" i="179"/>
  <c r="O18" i="179"/>
  <c r="K18" i="179"/>
  <c r="I18" i="179"/>
  <c r="G18" i="179"/>
  <c r="F18" i="179"/>
  <c r="B18" i="179"/>
  <c r="Q17" i="179"/>
  <c r="O17" i="179"/>
  <c r="K17" i="179"/>
  <c r="I17" i="179"/>
  <c r="G17" i="179"/>
  <c r="F17" i="179"/>
  <c r="B17" i="179"/>
  <c r="Q16" i="179"/>
  <c r="O16" i="179"/>
  <c r="K16" i="179"/>
  <c r="I16" i="179"/>
  <c r="F16" i="179"/>
  <c r="B16" i="179"/>
  <c r="G16" i="179" s="1"/>
  <c r="Q15" i="179"/>
  <c r="O15" i="179"/>
  <c r="K15" i="179"/>
  <c r="I15" i="179"/>
  <c r="F15" i="179"/>
  <c r="B15" i="179"/>
  <c r="G15" i="179" s="1"/>
  <c r="Q14" i="179"/>
  <c r="O14" i="179"/>
  <c r="L14" i="179"/>
  <c r="M14" i="179" s="1"/>
  <c r="K14" i="179"/>
  <c r="I14" i="179"/>
  <c r="G14" i="179"/>
  <c r="F14" i="179"/>
  <c r="B14" i="179"/>
  <c r="Q13" i="179"/>
  <c r="O13" i="179"/>
  <c r="K13" i="179"/>
  <c r="I13" i="179"/>
  <c r="G13" i="179"/>
  <c r="F13" i="179"/>
  <c r="B13" i="179"/>
  <c r="Q12" i="179"/>
  <c r="O12" i="179"/>
  <c r="K12" i="179"/>
  <c r="I12" i="179"/>
  <c r="F12" i="179"/>
  <c r="B12" i="179"/>
  <c r="G12" i="179" s="1"/>
  <c r="Q11" i="179"/>
  <c r="O11" i="179"/>
  <c r="K11" i="179"/>
  <c r="I11" i="179"/>
  <c r="F11" i="179"/>
  <c r="B11" i="179"/>
  <c r="G11" i="179" s="1"/>
  <c r="Q10" i="179"/>
  <c r="O10" i="179"/>
  <c r="L10" i="179"/>
  <c r="M10" i="179" s="1"/>
  <c r="K10" i="179"/>
  <c r="I10" i="179"/>
  <c r="G10" i="179"/>
  <c r="F10" i="179"/>
  <c r="B10" i="179"/>
  <c r="Q9" i="179"/>
  <c r="O9" i="179"/>
  <c r="K9" i="179"/>
  <c r="I9" i="179"/>
  <c r="G9" i="179"/>
  <c r="F9" i="179"/>
  <c r="B9" i="179"/>
  <c r="Q8" i="179"/>
  <c r="O8" i="179"/>
  <c r="L8" i="179"/>
  <c r="M8" i="179" s="1"/>
  <c r="K8" i="179"/>
  <c r="I8" i="179"/>
  <c r="F8" i="179"/>
  <c r="B8" i="179"/>
  <c r="G8" i="179" s="1"/>
  <c r="Q7" i="179"/>
  <c r="O7" i="179"/>
  <c r="K7" i="179"/>
  <c r="I7" i="179"/>
  <c r="F7" i="179"/>
  <c r="B7" i="179"/>
  <c r="G7" i="179" s="1"/>
  <c r="Q6" i="179"/>
  <c r="O6" i="179"/>
  <c r="K6" i="179"/>
  <c r="I6" i="179"/>
  <c r="I4" i="179" s="1"/>
  <c r="G6" i="179"/>
  <c r="F6" i="179"/>
  <c r="B6" i="179"/>
  <c r="O5" i="179"/>
  <c r="K5" i="179"/>
  <c r="G5" i="179"/>
  <c r="F5" i="179"/>
  <c r="R4" i="179"/>
  <c r="P4" i="179"/>
  <c r="Q4" i="179" s="1"/>
  <c r="N4" i="179"/>
  <c r="O4" i="179" s="1"/>
  <c r="J4" i="179"/>
  <c r="H4" i="179"/>
  <c r="F4" i="179"/>
  <c r="E4" i="179"/>
  <c r="D4" i="179"/>
  <c r="C4" i="179"/>
  <c r="B4" i="179"/>
  <c r="F2" i="179"/>
  <c r="Q19" i="178"/>
  <c r="O19" i="178"/>
  <c r="M19" i="178"/>
  <c r="K19" i="178"/>
  <c r="I19" i="178"/>
  <c r="G19" i="178"/>
  <c r="F19" i="178"/>
  <c r="B19" i="178"/>
  <c r="Q18" i="178"/>
  <c r="O18" i="178"/>
  <c r="K18" i="178"/>
  <c r="I18" i="178"/>
  <c r="F18" i="178"/>
  <c r="B18" i="178"/>
  <c r="G18" i="178" s="1"/>
  <c r="Q17" i="178"/>
  <c r="O17" i="178"/>
  <c r="K17" i="178"/>
  <c r="I17" i="178"/>
  <c r="F17" i="178"/>
  <c r="B17" i="178"/>
  <c r="G17" i="178" s="1"/>
  <c r="Q16" i="178"/>
  <c r="O16" i="178"/>
  <c r="L16" i="178"/>
  <c r="M16" i="178" s="1"/>
  <c r="K16" i="178"/>
  <c r="I16" i="178"/>
  <c r="G16" i="178"/>
  <c r="F16" i="178"/>
  <c r="B16" i="178"/>
  <c r="Q15" i="178"/>
  <c r="O15" i="178"/>
  <c r="K15" i="178"/>
  <c r="I15" i="178"/>
  <c r="F15" i="178"/>
  <c r="B15" i="178"/>
  <c r="G15" i="178" s="1"/>
  <c r="Q14" i="178"/>
  <c r="O14" i="178"/>
  <c r="L14" i="178"/>
  <c r="M14" i="178" s="1"/>
  <c r="K14" i="178"/>
  <c r="I14" i="178"/>
  <c r="F14" i="178"/>
  <c r="B14" i="178"/>
  <c r="G14" i="178" s="1"/>
  <c r="Q13" i="178"/>
  <c r="O13" i="178"/>
  <c r="K13" i="178"/>
  <c r="I13" i="178"/>
  <c r="F13" i="178"/>
  <c r="B13" i="178"/>
  <c r="G13" i="178" s="1"/>
  <c r="Q12" i="178"/>
  <c r="O12" i="178"/>
  <c r="K12" i="178"/>
  <c r="I12" i="178"/>
  <c r="G12" i="178"/>
  <c r="F12" i="178"/>
  <c r="B12" i="178"/>
  <c r="Q11" i="178"/>
  <c r="O11" i="178"/>
  <c r="K11" i="178"/>
  <c r="I11" i="178"/>
  <c r="F11" i="178"/>
  <c r="B11" i="178"/>
  <c r="G11" i="178" s="1"/>
  <c r="Q10" i="178"/>
  <c r="O10" i="178"/>
  <c r="K10" i="178"/>
  <c r="I10" i="178"/>
  <c r="F10" i="178"/>
  <c r="B10" i="178"/>
  <c r="G10" i="178" s="1"/>
  <c r="Q9" i="178"/>
  <c r="O9" i="178"/>
  <c r="K9" i="178"/>
  <c r="I9" i="178"/>
  <c r="G9" i="178"/>
  <c r="F9" i="178"/>
  <c r="B9" i="178"/>
  <c r="Q8" i="178"/>
  <c r="O8" i="178"/>
  <c r="K8" i="178"/>
  <c r="I8" i="178"/>
  <c r="G8" i="178"/>
  <c r="F8" i="178"/>
  <c r="B8" i="178"/>
  <c r="Q7" i="178"/>
  <c r="O7" i="178"/>
  <c r="K7" i="178"/>
  <c r="I7" i="178"/>
  <c r="G7" i="178"/>
  <c r="F7" i="178"/>
  <c r="B7" i="178"/>
  <c r="Q6" i="178"/>
  <c r="O6" i="178"/>
  <c r="K6" i="178"/>
  <c r="I6" i="178"/>
  <c r="F6" i="178"/>
  <c r="B6" i="178"/>
  <c r="G6" i="178" s="1"/>
  <c r="O5" i="178"/>
  <c r="K5" i="178"/>
  <c r="G5" i="178"/>
  <c r="F5" i="178"/>
  <c r="R4" i="178"/>
  <c r="P4" i="178"/>
  <c r="Q4" i="178" s="1"/>
  <c r="N4" i="178"/>
  <c r="J4" i="178"/>
  <c r="H4" i="178"/>
  <c r="E4" i="178"/>
  <c r="D4" i="178"/>
  <c r="C4" i="178"/>
  <c r="Q19" i="177"/>
  <c r="O19" i="177"/>
  <c r="M19" i="177"/>
  <c r="K19" i="177"/>
  <c r="I19" i="177"/>
  <c r="G19" i="177"/>
  <c r="F19" i="177"/>
  <c r="B19" i="177"/>
  <c r="Q18" i="177"/>
  <c r="O18" i="177"/>
  <c r="K18" i="177"/>
  <c r="I18" i="177"/>
  <c r="G18" i="177"/>
  <c r="F18" i="177"/>
  <c r="B18" i="177"/>
  <c r="Q17" i="177"/>
  <c r="O17" i="177"/>
  <c r="K17" i="177"/>
  <c r="I17" i="177"/>
  <c r="G17" i="177"/>
  <c r="F17" i="177"/>
  <c r="B17" i="177"/>
  <c r="Q16" i="177"/>
  <c r="O16" i="177"/>
  <c r="K16" i="177"/>
  <c r="I16" i="177"/>
  <c r="F16" i="177"/>
  <c r="B16" i="177"/>
  <c r="G16" i="177" s="1"/>
  <c r="Q15" i="177"/>
  <c r="O15" i="177"/>
  <c r="K15" i="177"/>
  <c r="I15" i="177"/>
  <c r="G15" i="177"/>
  <c r="F15" i="177"/>
  <c r="B15" i="177"/>
  <c r="Q14" i="177"/>
  <c r="O14" i="177"/>
  <c r="L14" i="177"/>
  <c r="M14" i="177" s="1"/>
  <c r="K14" i="177"/>
  <c r="I14" i="177"/>
  <c r="G14" i="177"/>
  <c r="F14" i="177"/>
  <c r="B14" i="177"/>
  <c r="Q13" i="177"/>
  <c r="O13" i="177"/>
  <c r="K13" i="177"/>
  <c r="I13" i="177"/>
  <c r="G13" i="177"/>
  <c r="F13" i="177"/>
  <c r="B13" i="177"/>
  <c r="Q12" i="177"/>
  <c r="O12" i="177"/>
  <c r="L12" i="177"/>
  <c r="M12" i="177" s="1"/>
  <c r="K12" i="177"/>
  <c r="I12" i="177"/>
  <c r="F12" i="177"/>
  <c r="B12" i="177"/>
  <c r="G12" i="177" s="1"/>
  <c r="Q11" i="177"/>
  <c r="O11" i="177"/>
  <c r="K11" i="177"/>
  <c r="I11" i="177"/>
  <c r="F11" i="177"/>
  <c r="B11" i="177"/>
  <c r="G11" i="177" s="1"/>
  <c r="Q10" i="177"/>
  <c r="O10" i="177"/>
  <c r="L10" i="177"/>
  <c r="M10" i="177" s="1"/>
  <c r="K10" i="177"/>
  <c r="I10" i="177"/>
  <c r="G10" i="177"/>
  <c r="F10" i="177"/>
  <c r="B10" i="177"/>
  <c r="Q9" i="177"/>
  <c r="O9" i="177"/>
  <c r="K9" i="177"/>
  <c r="I9" i="177"/>
  <c r="F9" i="177"/>
  <c r="B9" i="177"/>
  <c r="G9" i="177" s="1"/>
  <c r="Q8" i="177"/>
  <c r="O8" i="177"/>
  <c r="K8" i="177"/>
  <c r="I8" i="177"/>
  <c r="F8" i="177"/>
  <c r="B8" i="177"/>
  <c r="G8" i="177" s="1"/>
  <c r="Q7" i="177"/>
  <c r="O7" i="177"/>
  <c r="K7" i="177"/>
  <c r="I7" i="177"/>
  <c r="F7" i="177"/>
  <c r="B7" i="177"/>
  <c r="G7" i="177" s="1"/>
  <c r="Q6" i="177"/>
  <c r="O6" i="177"/>
  <c r="K6" i="177"/>
  <c r="I6" i="177"/>
  <c r="I4" i="177" s="1"/>
  <c r="G6" i="177"/>
  <c r="F6" i="177"/>
  <c r="B6" i="177"/>
  <c r="O5" i="177"/>
  <c r="K5" i="177"/>
  <c r="G5" i="177"/>
  <c r="F5" i="177"/>
  <c r="R4" i="177"/>
  <c r="P4" i="177"/>
  <c r="N4" i="177"/>
  <c r="O4" i="177" s="1"/>
  <c r="J4" i="177"/>
  <c r="K4" i="177" s="1"/>
  <c r="H4" i="177"/>
  <c r="F4" i="177"/>
  <c r="E4" i="177"/>
  <c r="D4" i="177"/>
  <c r="C4" i="177"/>
  <c r="F2" i="177"/>
  <c r="Q19" i="176"/>
  <c r="O19" i="176"/>
  <c r="M19" i="176"/>
  <c r="K19" i="176"/>
  <c r="I19" i="176"/>
  <c r="F19" i="176"/>
  <c r="B19" i="176"/>
  <c r="G19" i="176" s="1"/>
  <c r="Q18" i="176"/>
  <c r="O18" i="176"/>
  <c r="K18" i="176"/>
  <c r="I18" i="176"/>
  <c r="F18" i="176"/>
  <c r="B18" i="176"/>
  <c r="G18" i="176" s="1"/>
  <c r="Q17" i="176"/>
  <c r="O17" i="176"/>
  <c r="K17" i="176"/>
  <c r="I17" i="176"/>
  <c r="F17" i="176"/>
  <c r="B17" i="176"/>
  <c r="G17" i="176" s="1"/>
  <c r="Q16" i="176"/>
  <c r="O16" i="176"/>
  <c r="K16" i="176"/>
  <c r="I16" i="176"/>
  <c r="G16" i="176"/>
  <c r="F16" i="176"/>
  <c r="B16" i="176"/>
  <c r="Q15" i="176"/>
  <c r="O15" i="176"/>
  <c r="K15" i="176"/>
  <c r="I15" i="176"/>
  <c r="F15" i="176"/>
  <c r="B15" i="176"/>
  <c r="G15" i="176" s="1"/>
  <c r="Q14" i="176"/>
  <c r="O14" i="176"/>
  <c r="K14" i="176"/>
  <c r="I14" i="176"/>
  <c r="F14" i="176"/>
  <c r="B14" i="176"/>
  <c r="G14" i="176" s="1"/>
  <c r="Q13" i="176"/>
  <c r="O13" i="176"/>
  <c r="K13" i="176"/>
  <c r="I13" i="176"/>
  <c r="G13" i="176"/>
  <c r="F13" i="176"/>
  <c r="B13" i="176"/>
  <c r="Q12" i="176"/>
  <c r="O12" i="176"/>
  <c r="K12" i="176"/>
  <c r="I12" i="176"/>
  <c r="G12" i="176"/>
  <c r="F12" i="176"/>
  <c r="B12" i="176"/>
  <c r="Q11" i="176"/>
  <c r="O11" i="176"/>
  <c r="K11" i="176"/>
  <c r="I11" i="176"/>
  <c r="G11" i="176"/>
  <c r="F11" i="176"/>
  <c r="B11" i="176"/>
  <c r="Q10" i="176"/>
  <c r="O10" i="176"/>
  <c r="K10" i="176"/>
  <c r="I10" i="176"/>
  <c r="F10" i="176"/>
  <c r="B10" i="176"/>
  <c r="G10" i="176" s="1"/>
  <c r="Q9" i="176"/>
  <c r="O9" i="176"/>
  <c r="K9" i="176"/>
  <c r="I9" i="176"/>
  <c r="G9" i="176"/>
  <c r="F9" i="176"/>
  <c r="B9" i="176"/>
  <c r="Q8" i="176"/>
  <c r="O8" i="176"/>
  <c r="L8" i="176"/>
  <c r="M8" i="176" s="1"/>
  <c r="K8" i="176"/>
  <c r="I8" i="176"/>
  <c r="G8" i="176"/>
  <c r="F8" i="176"/>
  <c r="B8" i="176"/>
  <c r="Q7" i="176"/>
  <c r="O7" i="176"/>
  <c r="K7" i="176"/>
  <c r="I7" i="176"/>
  <c r="G7" i="176"/>
  <c r="F7" i="176"/>
  <c r="B7" i="176"/>
  <c r="Q6" i="176"/>
  <c r="O6" i="176"/>
  <c r="L6" i="176"/>
  <c r="M6" i="176" s="1"/>
  <c r="K6" i="176"/>
  <c r="I6" i="176"/>
  <c r="F6" i="176"/>
  <c r="B6" i="176"/>
  <c r="G6" i="176" s="1"/>
  <c r="O5" i="176"/>
  <c r="K5" i="176"/>
  <c r="G5" i="176"/>
  <c r="F5" i="176"/>
  <c r="R4" i="176"/>
  <c r="P4" i="176"/>
  <c r="Q4" i="176" s="1"/>
  <c r="N4" i="176"/>
  <c r="O4" i="176" s="1"/>
  <c r="J4" i="176"/>
  <c r="H4" i="176"/>
  <c r="F4" i="176"/>
  <c r="E4" i="176"/>
  <c r="D4" i="176"/>
  <c r="C4" i="176"/>
  <c r="B4" i="176"/>
  <c r="F2" i="176"/>
  <c r="Q19" i="175"/>
  <c r="O19" i="175"/>
  <c r="M19" i="175"/>
  <c r="K19" i="175"/>
  <c r="I19" i="175"/>
  <c r="G19" i="175"/>
  <c r="F19" i="175"/>
  <c r="B19" i="175"/>
  <c r="B4" i="175" s="1"/>
  <c r="Q18" i="175"/>
  <c r="O18" i="175"/>
  <c r="K18" i="175"/>
  <c r="I18" i="175"/>
  <c r="G18" i="175"/>
  <c r="F18" i="175"/>
  <c r="B18" i="175"/>
  <c r="Q17" i="175"/>
  <c r="O17" i="175"/>
  <c r="K17" i="175"/>
  <c r="I17" i="175"/>
  <c r="G17" i="175"/>
  <c r="F17" i="175"/>
  <c r="B17" i="175"/>
  <c r="Q16" i="175"/>
  <c r="O16" i="175"/>
  <c r="L16" i="175"/>
  <c r="M16" i="175" s="1"/>
  <c r="K16" i="175"/>
  <c r="I16" i="175"/>
  <c r="F16" i="175"/>
  <c r="B16" i="175"/>
  <c r="G16" i="175" s="1"/>
  <c r="Q15" i="175"/>
  <c r="O15" i="175"/>
  <c r="K15" i="175"/>
  <c r="I15" i="175"/>
  <c r="F15" i="175"/>
  <c r="B15" i="175"/>
  <c r="G15" i="175" s="1"/>
  <c r="Q14" i="175"/>
  <c r="O14" i="175"/>
  <c r="L14" i="175"/>
  <c r="M14" i="175" s="1"/>
  <c r="K14" i="175"/>
  <c r="I14" i="175"/>
  <c r="G14" i="175"/>
  <c r="F14" i="175"/>
  <c r="B14" i="175"/>
  <c r="Q13" i="175"/>
  <c r="O13" i="175"/>
  <c r="K13" i="175"/>
  <c r="I13" i="175"/>
  <c r="F13" i="175"/>
  <c r="B13" i="175"/>
  <c r="G13" i="175" s="1"/>
  <c r="Q12" i="175"/>
  <c r="O12" i="175"/>
  <c r="L12" i="175"/>
  <c r="M12" i="175" s="1"/>
  <c r="K12" i="175"/>
  <c r="I12" i="175"/>
  <c r="F12" i="175"/>
  <c r="B12" i="175"/>
  <c r="G12" i="175" s="1"/>
  <c r="Q11" i="175"/>
  <c r="O11" i="175"/>
  <c r="K11" i="175"/>
  <c r="I11" i="175"/>
  <c r="F11" i="175"/>
  <c r="B11" i="175"/>
  <c r="G11" i="175" s="1"/>
  <c r="Q10" i="175"/>
  <c r="O10" i="175"/>
  <c r="K10" i="175"/>
  <c r="I10" i="175"/>
  <c r="G10" i="175"/>
  <c r="F10" i="175"/>
  <c r="B10" i="175"/>
  <c r="Q9" i="175"/>
  <c r="O9" i="175"/>
  <c r="K9" i="175"/>
  <c r="I9" i="175"/>
  <c r="F9" i="175"/>
  <c r="B9" i="175"/>
  <c r="G9" i="175" s="1"/>
  <c r="Q8" i="175"/>
  <c r="O8" i="175"/>
  <c r="K8" i="175"/>
  <c r="I8" i="175"/>
  <c r="F8" i="175"/>
  <c r="B8" i="175"/>
  <c r="G8" i="175" s="1"/>
  <c r="Q7" i="175"/>
  <c r="O7" i="175"/>
  <c r="K7" i="175"/>
  <c r="I7" i="175"/>
  <c r="G7" i="175"/>
  <c r="F7" i="175"/>
  <c r="B7" i="175"/>
  <c r="Q6" i="175"/>
  <c r="O6" i="175"/>
  <c r="K6" i="175"/>
  <c r="I6" i="175"/>
  <c r="G6" i="175"/>
  <c r="F6" i="175"/>
  <c r="B6" i="175"/>
  <c r="O5" i="175"/>
  <c r="K5" i="175"/>
  <c r="G5" i="175"/>
  <c r="F5" i="175"/>
  <c r="R4" i="175"/>
  <c r="P4" i="175"/>
  <c r="N4" i="175"/>
  <c r="J4" i="175"/>
  <c r="K4" i="175" s="1"/>
  <c r="H4" i="175"/>
  <c r="E4" i="175"/>
  <c r="D4" i="175"/>
  <c r="C4" i="175"/>
  <c r="Q19" i="174"/>
  <c r="O19" i="174"/>
  <c r="M19" i="174"/>
  <c r="K19" i="174"/>
  <c r="I19" i="174"/>
  <c r="F19" i="174"/>
  <c r="B19" i="174"/>
  <c r="Q18" i="174"/>
  <c r="O18" i="174"/>
  <c r="K18" i="174"/>
  <c r="I18" i="174"/>
  <c r="F18" i="174"/>
  <c r="B18" i="174"/>
  <c r="G18" i="174" s="1"/>
  <c r="Q17" i="174"/>
  <c r="O17" i="174"/>
  <c r="K17" i="174"/>
  <c r="I17" i="174"/>
  <c r="G17" i="174"/>
  <c r="F17" i="174"/>
  <c r="B17" i="174"/>
  <c r="Q16" i="174"/>
  <c r="O16" i="174"/>
  <c r="K16" i="174"/>
  <c r="I16" i="174"/>
  <c r="G16" i="174"/>
  <c r="F16" i="174"/>
  <c r="B16" i="174"/>
  <c r="Q15" i="174"/>
  <c r="O15" i="174"/>
  <c r="K15" i="174"/>
  <c r="I15" i="174"/>
  <c r="G15" i="174"/>
  <c r="F15" i="174"/>
  <c r="B15" i="174"/>
  <c r="Q14" i="174"/>
  <c r="O14" i="174"/>
  <c r="K14" i="174"/>
  <c r="I14" i="174"/>
  <c r="F14" i="174"/>
  <c r="B14" i="174"/>
  <c r="G14" i="174" s="1"/>
  <c r="Q13" i="174"/>
  <c r="O13" i="174"/>
  <c r="K13" i="174"/>
  <c r="I13" i="174"/>
  <c r="G13" i="174"/>
  <c r="F13" i="174"/>
  <c r="B13" i="174"/>
  <c r="Q12" i="174"/>
  <c r="O12" i="174"/>
  <c r="L12" i="174"/>
  <c r="M12" i="174" s="1"/>
  <c r="K12" i="174"/>
  <c r="I12" i="174"/>
  <c r="G12" i="174"/>
  <c r="F12" i="174"/>
  <c r="B12" i="174"/>
  <c r="Q11" i="174"/>
  <c r="O11" i="174"/>
  <c r="K11" i="174"/>
  <c r="I11" i="174"/>
  <c r="G11" i="174"/>
  <c r="F11" i="174"/>
  <c r="B11" i="174"/>
  <c r="Q10" i="174"/>
  <c r="O10" i="174"/>
  <c r="L10" i="174"/>
  <c r="M10" i="174" s="1"/>
  <c r="K10" i="174"/>
  <c r="I10" i="174"/>
  <c r="F10" i="174"/>
  <c r="B10" i="174"/>
  <c r="G10" i="174" s="1"/>
  <c r="Q9" i="174"/>
  <c r="O9" i="174"/>
  <c r="K9" i="174"/>
  <c r="I9" i="174"/>
  <c r="F9" i="174"/>
  <c r="B9" i="174"/>
  <c r="G9" i="174" s="1"/>
  <c r="Q8" i="174"/>
  <c r="O8" i="174"/>
  <c r="K8" i="174"/>
  <c r="I8" i="174"/>
  <c r="G8" i="174"/>
  <c r="F8" i="174"/>
  <c r="B8" i="174"/>
  <c r="Q7" i="174"/>
  <c r="O7" i="174"/>
  <c r="K7" i="174"/>
  <c r="I7" i="174"/>
  <c r="F7" i="174"/>
  <c r="B7" i="174"/>
  <c r="G7" i="174" s="1"/>
  <c r="Q6" i="174"/>
  <c r="O6" i="174"/>
  <c r="K6" i="174"/>
  <c r="I6" i="174"/>
  <c r="F6" i="174"/>
  <c r="B6" i="174"/>
  <c r="G6" i="174" s="1"/>
  <c r="O5" i="174"/>
  <c r="K5" i="174"/>
  <c r="G5" i="174"/>
  <c r="F5" i="174"/>
  <c r="R4" i="174"/>
  <c r="P4" i="174"/>
  <c r="Q4" i="174" s="1"/>
  <c r="N4" i="174"/>
  <c r="O4" i="174" s="1"/>
  <c r="J4" i="174"/>
  <c r="K4" i="174" s="1"/>
  <c r="E4" i="174"/>
  <c r="D4" i="174"/>
  <c r="F4" i="174" s="1"/>
  <c r="C4" i="174"/>
  <c r="F2" i="174" s="1"/>
  <c r="Q19" i="173"/>
  <c r="O19" i="173"/>
  <c r="M19" i="173"/>
  <c r="K19" i="173"/>
  <c r="I19" i="173"/>
  <c r="F19" i="173"/>
  <c r="B19" i="173"/>
  <c r="G19" i="173" s="1"/>
  <c r="Q18" i="173"/>
  <c r="O18" i="173"/>
  <c r="K18" i="173"/>
  <c r="I18" i="173"/>
  <c r="G18" i="173"/>
  <c r="F18" i="173"/>
  <c r="B18" i="173"/>
  <c r="Q17" i="173"/>
  <c r="O17" i="173"/>
  <c r="L17" i="173"/>
  <c r="M17" i="173" s="1"/>
  <c r="K17" i="173"/>
  <c r="I17" i="173"/>
  <c r="G17" i="173"/>
  <c r="F17" i="173"/>
  <c r="B17" i="173"/>
  <c r="Q16" i="173"/>
  <c r="O16" i="173"/>
  <c r="K16" i="173"/>
  <c r="I16" i="173"/>
  <c r="G16" i="173"/>
  <c r="F16" i="173"/>
  <c r="B16" i="173"/>
  <c r="Q15" i="173"/>
  <c r="O15" i="173"/>
  <c r="L15" i="173"/>
  <c r="M15" i="173" s="1"/>
  <c r="K15" i="173"/>
  <c r="I15" i="173"/>
  <c r="F15" i="173"/>
  <c r="B15" i="173"/>
  <c r="G15" i="173" s="1"/>
  <c r="Q14" i="173"/>
  <c r="O14" i="173"/>
  <c r="K14" i="173"/>
  <c r="I14" i="173"/>
  <c r="F14" i="173"/>
  <c r="B14" i="173"/>
  <c r="G14" i="173" s="1"/>
  <c r="Q13" i="173"/>
  <c r="O13" i="173"/>
  <c r="L13" i="173"/>
  <c r="M13" i="173" s="1"/>
  <c r="K13" i="173"/>
  <c r="I13" i="173"/>
  <c r="G13" i="173"/>
  <c r="F13" i="173"/>
  <c r="B13" i="173"/>
  <c r="Q12" i="173"/>
  <c r="O12" i="173"/>
  <c r="K12" i="173"/>
  <c r="I12" i="173"/>
  <c r="F12" i="173"/>
  <c r="B12" i="173"/>
  <c r="G12" i="173" s="1"/>
  <c r="Q11" i="173"/>
  <c r="O11" i="173"/>
  <c r="L11" i="173"/>
  <c r="M11" i="173" s="1"/>
  <c r="K11" i="173"/>
  <c r="I11" i="173"/>
  <c r="F11" i="173"/>
  <c r="B11" i="173"/>
  <c r="G11" i="173" s="1"/>
  <c r="Q10" i="173"/>
  <c r="O10" i="173"/>
  <c r="K10" i="173"/>
  <c r="I10" i="173"/>
  <c r="F10" i="173"/>
  <c r="B10" i="173"/>
  <c r="G10" i="173" s="1"/>
  <c r="Q9" i="173"/>
  <c r="O9" i="173"/>
  <c r="L9" i="173"/>
  <c r="M9" i="173" s="1"/>
  <c r="K9" i="173"/>
  <c r="I9" i="173"/>
  <c r="G9" i="173"/>
  <c r="F9" i="173"/>
  <c r="B9" i="173"/>
  <c r="Q8" i="173"/>
  <c r="O8" i="173"/>
  <c r="K8" i="173"/>
  <c r="I8" i="173"/>
  <c r="F8" i="173"/>
  <c r="B8" i="173"/>
  <c r="G8" i="173" s="1"/>
  <c r="Q7" i="173"/>
  <c r="O7" i="173"/>
  <c r="L7" i="173"/>
  <c r="M7" i="173" s="1"/>
  <c r="K7" i="173"/>
  <c r="I7" i="173"/>
  <c r="I4" i="173" s="1"/>
  <c r="F7" i="173"/>
  <c r="B7" i="173"/>
  <c r="G7" i="173" s="1"/>
  <c r="Q6" i="173"/>
  <c r="O6" i="173"/>
  <c r="K6" i="173"/>
  <c r="I6" i="173"/>
  <c r="G6" i="173"/>
  <c r="F6" i="173"/>
  <c r="B6" i="173"/>
  <c r="O5" i="173"/>
  <c r="K5" i="173"/>
  <c r="F5" i="173"/>
  <c r="G5" i="173" s="1"/>
  <c r="R4" i="173"/>
  <c r="Q4" i="173"/>
  <c r="P4" i="173"/>
  <c r="O4" i="173"/>
  <c r="N4" i="173"/>
  <c r="K4" i="173"/>
  <c r="J4" i="173"/>
  <c r="H4" i="173"/>
  <c r="E4" i="173"/>
  <c r="D4" i="173"/>
  <c r="C4" i="173"/>
  <c r="Q19" i="172"/>
  <c r="O19" i="172"/>
  <c r="M19" i="172"/>
  <c r="K19" i="172"/>
  <c r="I19" i="172"/>
  <c r="G19" i="172"/>
  <c r="F19" i="172"/>
  <c r="B19" i="172"/>
  <c r="Q18" i="172"/>
  <c r="O18" i="172"/>
  <c r="K18" i="172"/>
  <c r="I18" i="172"/>
  <c r="G18" i="172"/>
  <c r="F18" i="172"/>
  <c r="B18" i="172"/>
  <c r="Q17" i="172"/>
  <c r="O17" i="172"/>
  <c r="L17" i="172"/>
  <c r="M17" i="172" s="1"/>
  <c r="K17" i="172"/>
  <c r="I17" i="172"/>
  <c r="F17" i="172"/>
  <c r="B17" i="172"/>
  <c r="G17" i="172" s="1"/>
  <c r="Q16" i="172"/>
  <c r="O16" i="172"/>
  <c r="K16" i="172"/>
  <c r="I16" i="172"/>
  <c r="F16" i="172"/>
  <c r="B16" i="172"/>
  <c r="G16" i="172" s="1"/>
  <c r="Q15" i="172"/>
  <c r="O15" i="172"/>
  <c r="L15" i="172"/>
  <c r="M15" i="172" s="1"/>
  <c r="K15" i="172"/>
  <c r="I15" i="172"/>
  <c r="G15" i="172"/>
  <c r="F15" i="172"/>
  <c r="B15" i="172"/>
  <c r="Q14" i="172"/>
  <c r="O14" i="172"/>
  <c r="K14" i="172"/>
  <c r="I14" i="172"/>
  <c r="F14" i="172"/>
  <c r="B14" i="172"/>
  <c r="G14" i="172" s="1"/>
  <c r="Q13" i="172"/>
  <c r="O13" i="172"/>
  <c r="L13" i="172"/>
  <c r="M13" i="172" s="1"/>
  <c r="K13" i="172"/>
  <c r="I13" i="172"/>
  <c r="F13" i="172"/>
  <c r="B13" i="172"/>
  <c r="G13" i="172" s="1"/>
  <c r="Q12" i="172"/>
  <c r="O12" i="172"/>
  <c r="K12" i="172"/>
  <c r="I12" i="172"/>
  <c r="F12" i="172"/>
  <c r="B12" i="172"/>
  <c r="G12" i="172" s="1"/>
  <c r="Q11" i="172"/>
  <c r="O11" i="172"/>
  <c r="L11" i="172"/>
  <c r="M11" i="172" s="1"/>
  <c r="K11" i="172"/>
  <c r="I11" i="172"/>
  <c r="G11" i="172"/>
  <c r="F11" i="172"/>
  <c r="B11" i="172"/>
  <c r="Q10" i="172"/>
  <c r="O10" i="172"/>
  <c r="K10" i="172"/>
  <c r="I10" i="172"/>
  <c r="F10" i="172"/>
  <c r="B10" i="172"/>
  <c r="G10" i="172" s="1"/>
  <c r="Q9" i="172"/>
  <c r="O9" i="172"/>
  <c r="L9" i="172"/>
  <c r="M9" i="172" s="1"/>
  <c r="K9" i="172"/>
  <c r="I9" i="172"/>
  <c r="I4" i="172" s="1"/>
  <c r="F9" i="172"/>
  <c r="B9" i="172"/>
  <c r="G9" i="172" s="1"/>
  <c r="Q8" i="172"/>
  <c r="O8" i="172"/>
  <c r="K8" i="172"/>
  <c r="I8" i="172"/>
  <c r="G8" i="172"/>
  <c r="F8" i="172"/>
  <c r="B8" i="172"/>
  <c r="Q7" i="172"/>
  <c r="O7" i="172"/>
  <c r="L7" i="172"/>
  <c r="M7" i="172" s="1"/>
  <c r="K7" i="172"/>
  <c r="I7" i="172"/>
  <c r="G7" i="172"/>
  <c r="F7" i="172"/>
  <c r="B7" i="172"/>
  <c r="Q6" i="172"/>
  <c r="O6" i="172"/>
  <c r="K6" i="172"/>
  <c r="I6" i="172"/>
  <c r="G6" i="172"/>
  <c r="F6" i="172"/>
  <c r="B6" i="172"/>
  <c r="O5" i="172"/>
  <c r="K5" i="172"/>
  <c r="F5" i="172"/>
  <c r="G5" i="172" s="1"/>
  <c r="R4" i="172"/>
  <c r="Q4" i="172"/>
  <c r="P4" i="172"/>
  <c r="O4" i="172"/>
  <c r="N4" i="172"/>
  <c r="K4" i="172"/>
  <c r="J4" i="172"/>
  <c r="H4" i="172"/>
  <c r="E4" i="172"/>
  <c r="D4" i="172"/>
  <c r="C4" i="172"/>
  <c r="F2" i="172" s="1"/>
  <c r="Q19" i="171"/>
  <c r="O19" i="171"/>
  <c r="M19" i="171"/>
  <c r="K19" i="171"/>
  <c r="I19" i="171"/>
  <c r="F19" i="171"/>
  <c r="B19" i="171"/>
  <c r="G19" i="171" s="1"/>
  <c r="Q18" i="171"/>
  <c r="O18" i="171"/>
  <c r="K18" i="171"/>
  <c r="I18" i="171"/>
  <c r="F18" i="171"/>
  <c r="B18" i="171"/>
  <c r="G18" i="171" s="1"/>
  <c r="Q17" i="171"/>
  <c r="O17" i="171"/>
  <c r="L17" i="171"/>
  <c r="M17" i="171" s="1"/>
  <c r="K17" i="171"/>
  <c r="I17" i="171"/>
  <c r="G17" i="171"/>
  <c r="F17" i="171"/>
  <c r="B17" i="171"/>
  <c r="Q16" i="171"/>
  <c r="O16" i="171"/>
  <c r="K16" i="171"/>
  <c r="I16" i="171"/>
  <c r="F16" i="171"/>
  <c r="B16" i="171"/>
  <c r="G16" i="171" s="1"/>
  <c r="Q15" i="171"/>
  <c r="O15" i="171"/>
  <c r="L15" i="171"/>
  <c r="M15" i="171" s="1"/>
  <c r="K15" i="171"/>
  <c r="I15" i="171"/>
  <c r="F15" i="171"/>
  <c r="B15" i="171"/>
  <c r="G15" i="171" s="1"/>
  <c r="Q14" i="171"/>
  <c r="O14" i="171"/>
  <c r="K14" i="171"/>
  <c r="I14" i="171"/>
  <c r="F14" i="171"/>
  <c r="B14" i="171"/>
  <c r="G14" i="171" s="1"/>
  <c r="Q13" i="171"/>
  <c r="O13" i="171"/>
  <c r="L13" i="171"/>
  <c r="M13" i="171" s="1"/>
  <c r="K13" i="171"/>
  <c r="I13" i="171"/>
  <c r="G13" i="171"/>
  <c r="F13" i="171"/>
  <c r="B13" i="171"/>
  <c r="Q12" i="171"/>
  <c r="O12" i="171"/>
  <c r="K12" i="171"/>
  <c r="I12" i="171"/>
  <c r="F12" i="171"/>
  <c r="B12" i="171"/>
  <c r="G12" i="171" s="1"/>
  <c r="Q11" i="171"/>
  <c r="O11" i="171"/>
  <c r="L11" i="171"/>
  <c r="M11" i="171" s="1"/>
  <c r="K11" i="171"/>
  <c r="I11" i="171"/>
  <c r="F11" i="171"/>
  <c r="B11" i="171"/>
  <c r="G11" i="171" s="1"/>
  <c r="Q10" i="171"/>
  <c r="O10" i="171"/>
  <c r="K10" i="171"/>
  <c r="I10" i="171"/>
  <c r="G10" i="171"/>
  <c r="F10" i="171"/>
  <c r="B10" i="171"/>
  <c r="Q9" i="171"/>
  <c r="O9" i="171"/>
  <c r="L9" i="171"/>
  <c r="M9" i="171" s="1"/>
  <c r="K9" i="171"/>
  <c r="I9" i="171"/>
  <c r="G9" i="171"/>
  <c r="F9" i="171"/>
  <c r="B9" i="171"/>
  <c r="Q8" i="171"/>
  <c r="O8" i="171"/>
  <c r="K8" i="171"/>
  <c r="I8" i="171"/>
  <c r="G8" i="171"/>
  <c r="F8" i="171"/>
  <c r="B8" i="171"/>
  <c r="Q7" i="171"/>
  <c r="O7" i="171"/>
  <c r="L7" i="171"/>
  <c r="M7" i="171" s="1"/>
  <c r="K7" i="171"/>
  <c r="I7" i="171"/>
  <c r="I4" i="171" s="1"/>
  <c r="F7" i="171"/>
  <c r="B7" i="171"/>
  <c r="G7" i="171" s="1"/>
  <c r="Q6" i="171"/>
  <c r="O6" i="171"/>
  <c r="K6" i="171"/>
  <c r="I6" i="171"/>
  <c r="G6" i="171"/>
  <c r="F6" i="171"/>
  <c r="B6" i="171"/>
  <c r="O5" i="171"/>
  <c r="K5" i="171"/>
  <c r="F5" i="171"/>
  <c r="G5" i="171" s="1"/>
  <c r="R4" i="171"/>
  <c r="Q4" i="171"/>
  <c r="P4" i="171"/>
  <c r="O4" i="171"/>
  <c r="N4" i="171"/>
  <c r="K4" i="171"/>
  <c r="J4" i="171"/>
  <c r="H4" i="171"/>
  <c r="E4" i="171"/>
  <c r="D4" i="171"/>
  <c r="C4" i="171"/>
  <c r="Q19" i="170"/>
  <c r="O19" i="170"/>
  <c r="M19" i="170"/>
  <c r="K19" i="170"/>
  <c r="I19" i="170"/>
  <c r="G19" i="170"/>
  <c r="F19" i="170"/>
  <c r="B19" i="170"/>
  <c r="Q18" i="170"/>
  <c r="O18" i="170"/>
  <c r="K18" i="170"/>
  <c r="I18" i="170"/>
  <c r="F18" i="170"/>
  <c r="B18" i="170"/>
  <c r="G18" i="170" s="1"/>
  <c r="Q17" i="170"/>
  <c r="O17" i="170"/>
  <c r="L17" i="170"/>
  <c r="M17" i="170" s="1"/>
  <c r="K17" i="170"/>
  <c r="I17" i="170"/>
  <c r="F17" i="170"/>
  <c r="B17" i="170"/>
  <c r="G17" i="170" s="1"/>
  <c r="Q16" i="170"/>
  <c r="O16" i="170"/>
  <c r="K16" i="170"/>
  <c r="I16" i="170"/>
  <c r="F16" i="170"/>
  <c r="B16" i="170"/>
  <c r="G16" i="170" s="1"/>
  <c r="Q15" i="170"/>
  <c r="O15" i="170"/>
  <c r="L15" i="170"/>
  <c r="M15" i="170" s="1"/>
  <c r="K15" i="170"/>
  <c r="I15" i="170"/>
  <c r="G15" i="170"/>
  <c r="F15" i="170"/>
  <c r="B15" i="170"/>
  <c r="Q14" i="170"/>
  <c r="O14" i="170"/>
  <c r="K14" i="170"/>
  <c r="I14" i="170"/>
  <c r="F14" i="170"/>
  <c r="B14" i="170"/>
  <c r="G14" i="170" s="1"/>
  <c r="Q13" i="170"/>
  <c r="O13" i="170"/>
  <c r="L13" i="170"/>
  <c r="M13" i="170" s="1"/>
  <c r="K13" i="170"/>
  <c r="I13" i="170"/>
  <c r="F13" i="170"/>
  <c r="B13" i="170"/>
  <c r="G13" i="170" s="1"/>
  <c r="Q12" i="170"/>
  <c r="O12" i="170"/>
  <c r="K12" i="170"/>
  <c r="I12" i="170"/>
  <c r="G12" i="170"/>
  <c r="F12" i="170"/>
  <c r="B12" i="170"/>
  <c r="Q11" i="170"/>
  <c r="O11" i="170"/>
  <c r="L11" i="170"/>
  <c r="M11" i="170" s="1"/>
  <c r="K11" i="170"/>
  <c r="I11" i="170"/>
  <c r="G11" i="170"/>
  <c r="F11" i="170"/>
  <c r="B11" i="170"/>
  <c r="Q10" i="170"/>
  <c r="O10" i="170"/>
  <c r="K10" i="170"/>
  <c r="I10" i="170"/>
  <c r="G10" i="170"/>
  <c r="F10" i="170"/>
  <c r="B10" i="170"/>
  <c r="Q9" i="170"/>
  <c r="O9" i="170"/>
  <c r="L9" i="170"/>
  <c r="M9" i="170" s="1"/>
  <c r="K9" i="170"/>
  <c r="I9" i="170"/>
  <c r="I4" i="170" s="1"/>
  <c r="F9" i="170"/>
  <c r="B9" i="170"/>
  <c r="G9" i="170" s="1"/>
  <c r="Q8" i="170"/>
  <c r="O8" i="170"/>
  <c r="K8" i="170"/>
  <c r="I8" i="170"/>
  <c r="G8" i="170"/>
  <c r="F8" i="170"/>
  <c r="B8" i="170"/>
  <c r="Q7" i="170"/>
  <c r="O7" i="170"/>
  <c r="L7" i="170"/>
  <c r="M7" i="170" s="1"/>
  <c r="K7" i="170"/>
  <c r="I7" i="170"/>
  <c r="G7" i="170"/>
  <c r="F7" i="170"/>
  <c r="B7" i="170"/>
  <c r="Q6" i="170"/>
  <c r="O6" i="170"/>
  <c r="K6" i="170"/>
  <c r="I6" i="170"/>
  <c r="G6" i="170"/>
  <c r="F6" i="170"/>
  <c r="B6" i="170"/>
  <c r="O5" i="170"/>
  <c r="K5" i="170"/>
  <c r="F5" i="170"/>
  <c r="G5" i="170" s="1"/>
  <c r="R4" i="170"/>
  <c r="Q4" i="170"/>
  <c r="P4" i="170"/>
  <c r="O4" i="170"/>
  <c r="N4" i="170"/>
  <c r="K4" i="170"/>
  <c r="J4" i="170"/>
  <c r="H4" i="170"/>
  <c r="E4" i="170"/>
  <c r="D4" i="170"/>
  <c r="C4" i="170"/>
  <c r="F2" i="170" s="1"/>
  <c r="Q19" i="169"/>
  <c r="O19" i="169"/>
  <c r="M19" i="169"/>
  <c r="L19" i="169"/>
  <c r="K19" i="169"/>
  <c r="I19" i="169"/>
  <c r="G19" i="169"/>
  <c r="F19" i="169"/>
  <c r="B19" i="169"/>
  <c r="Q18" i="169"/>
  <c r="O18" i="169"/>
  <c r="L18" i="169"/>
  <c r="K18" i="169"/>
  <c r="I18" i="169"/>
  <c r="G18" i="169"/>
  <c r="F18" i="169"/>
  <c r="B18" i="169"/>
  <c r="Q17" i="169"/>
  <c r="O17" i="169"/>
  <c r="M17" i="169"/>
  <c r="L17" i="169"/>
  <c r="N17" i="189" s="1"/>
  <c r="O17" i="189" s="1"/>
  <c r="K17" i="169"/>
  <c r="I17" i="169"/>
  <c r="G17" i="169"/>
  <c r="F17" i="169"/>
  <c r="B17" i="169"/>
  <c r="Q16" i="169"/>
  <c r="O16" i="169"/>
  <c r="L16" i="169"/>
  <c r="L16" i="176" s="1"/>
  <c r="M16" i="176" s="1"/>
  <c r="K16" i="169"/>
  <c r="I16" i="169"/>
  <c r="F16" i="169"/>
  <c r="B16" i="169"/>
  <c r="G16" i="169" s="1"/>
  <c r="Q15" i="169"/>
  <c r="O15" i="169"/>
  <c r="M15" i="169"/>
  <c r="L15" i="169"/>
  <c r="K15" i="169"/>
  <c r="I15" i="169"/>
  <c r="G15" i="169"/>
  <c r="F15" i="169"/>
  <c r="B15" i="169"/>
  <c r="Q14" i="169"/>
  <c r="O14" i="169"/>
  <c r="L14" i="169"/>
  <c r="L14" i="176" s="1"/>
  <c r="M14" i="176" s="1"/>
  <c r="K14" i="169"/>
  <c r="I14" i="169"/>
  <c r="G14" i="169"/>
  <c r="F14" i="169"/>
  <c r="B14" i="169"/>
  <c r="Q13" i="169"/>
  <c r="O13" i="169"/>
  <c r="M13" i="169"/>
  <c r="L13" i="169"/>
  <c r="N13" i="189" s="1"/>
  <c r="O13" i="189" s="1"/>
  <c r="K13" i="169"/>
  <c r="I13" i="169"/>
  <c r="F13" i="169"/>
  <c r="B13" i="169"/>
  <c r="G13" i="169" s="1"/>
  <c r="Q12" i="169"/>
  <c r="O12" i="169"/>
  <c r="L12" i="169"/>
  <c r="K12" i="169"/>
  <c r="I12" i="169"/>
  <c r="F12" i="169"/>
  <c r="B12" i="169"/>
  <c r="G12" i="169" s="1"/>
  <c r="Q11" i="169"/>
  <c r="O11" i="169"/>
  <c r="M11" i="169"/>
  <c r="L11" i="169"/>
  <c r="K11" i="169"/>
  <c r="I11" i="169"/>
  <c r="F11" i="169"/>
  <c r="B11" i="169"/>
  <c r="G11" i="169" s="1"/>
  <c r="Q10" i="169"/>
  <c r="O10" i="169"/>
  <c r="L10" i="169"/>
  <c r="K10" i="169"/>
  <c r="I10" i="169"/>
  <c r="G10" i="169"/>
  <c r="F10" i="169"/>
  <c r="B10" i="169"/>
  <c r="Q9" i="169"/>
  <c r="O9" i="169"/>
  <c r="M9" i="169"/>
  <c r="L9" i="169"/>
  <c r="N9" i="189" s="1"/>
  <c r="O9" i="189" s="1"/>
  <c r="K9" i="169"/>
  <c r="I9" i="169"/>
  <c r="F9" i="169"/>
  <c r="B9" i="169"/>
  <c r="G9" i="169" s="1"/>
  <c r="Q8" i="169"/>
  <c r="O8" i="169"/>
  <c r="L8" i="169"/>
  <c r="K8" i="169"/>
  <c r="I8" i="169"/>
  <c r="F8" i="169"/>
  <c r="B8" i="169"/>
  <c r="G8" i="169" s="1"/>
  <c r="Q7" i="169"/>
  <c r="O7" i="169"/>
  <c r="M7" i="169"/>
  <c r="L7" i="169"/>
  <c r="K7" i="169"/>
  <c r="I7" i="169"/>
  <c r="F7" i="169"/>
  <c r="B7" i="169"/>
  <c r="G7" i="169" s="1"/>
  <c r="Q6" i="169"/>
  <c r="O6" i="169"/>
  <c r="L6" i="169"/>
  <c r="K6" i="169"/>
  <c r="I6" i="169"/>
  <c r="G6" i="169"/>
  <c r="F6" i="169"/>
  <c r="B6" i="169"/>
  <c r="O5" i="169"/>
  <c r="K5" i="169"/>
  <c r="G5" i="169"/>
  <c r="F5" i="169"/>
  <c r="R4" i="169"/>
  <c r="P4" i="169"/>
  <c r="Q4" i="169" s="1"/>
  <c r="N4" i="169"/>
  <c r="O4" i="169" s="1"/>
  <c r="J4" i="169"/>
  <c r="H4" i="169"/>
  <c r="F4" i="169"/>
  <c r="E4" i="169"/>
  <c r="D4" i="169"/>
  <c r="C4" i="169"/>
  <c r="B4" i="169"/>
  <c r="F2" i="169"/>
  <c r="Q19" i="168"/>
  <c r="O19" i="168"/>
  <c r="L19" i="168"/>
  <c r="M19" i="168" s="1"/>
  <c r="K19" i="168"/>
  <c r="I19" i="168"/>
  <c r="F19" i="168"/>
  <c r="B19" i="168"/>
  <c r="G19" i="168" s="1"/>
  <c r="Q18" i="168"/>
  <c r="O18" i="168"/>
  <c r="M18" i="168"/>
  <c r="L18" i="168"/>
  <c r="K18" i="168"/>
  <c r="I18" i="168"/>
  <c r="G18" i="168"/>
  <c r="F18" i="168"/>
  <c r="B18" i="168"/>
  <c r="Q17" i="168"/>
  <c r="O17" i="168"/>
  <c r="L17" i="168"/>
  <c r="M17" i="168" s="1"/>
  <c r="K17" i="168"/>
  <c r="I17" i="168"/>
  <c r="G17" i="168"/>
  <c r="F17" i="168"/>
  <c r="B17" i="168"/>
  <c r="Q16" i="168"/>
  <c r="O16" i="168"/>
  <c r="M16" i="168"/>
  <c r="L16" i="168"/>
  <c r="K16" i="168"/>
  <c r="I16" i="168"/>
  <c r="G16" i="168"/>
  <c r="F16" i="168"/>
  <c r="B16" i="168"/>
  <c r="Q15" i="168"/>
  <c r="O15" i="168"/>
  <c r="L15" i="168"/>
  <c r="M15" i="168" s="1"/>
  <c r="K15" i="168"/>
  <c r="I15" i="168"/>
  <c r="F15" i="168"/>
  <c r="B15" i="168"/>
  <c r="G15" i="168" s="1"/>
  <c r="Q14" i="168"/>
  <c r="O14" i="168"/>
  <c r="M14" i="168"/>
  <c r="L14" i="168"/>
  <c r="K14" i="168"/>
  <c r="I14" i="168"/>
  <c r="G14" i="168"/>
  <c r="F14" i="168"/>
  <c r="B14" i="168"/>
  <c r="Q13" i="168"/>
  <c r="O13" i="168"/>
  <c r="L13" i="168"/>
  <c r="M13" i="168" s="1"/>
  <c r="K13" i="168"/>
  <c r="I13" i="168"/>
  <c r="G13" i="168"/>
  <c r="F13" i="168"/>
  <c r="B13" i="168"/>
  <c r="Q12" i="168"/>
  <c r="O12" i="168"/>
  <c r="M12" i="168"/>
  <c r="L12" i="168"/>
  <c r="K12" i="168"/>
  <c r="I12" i="168"/>
  <c r="F12" i="168"/>
  <c r="B12" i="168"/>
  <c r="G12" i="168" s="1"/>
  <c r="Q11" i="168"/>
  <c r="O11" i="168"/>
  <c r="L11" i="168"/>
  <c r="M11" i="168" s="1"/>
  <c r="K11" i="168"/>
  <c r="I11" i="168"/>
  <c r="F11" i="168"/>
  <c r="B11" i="168"/>
  <c r="G11" i="168" s="1"/>
  <c r="Q10" i="168"/>
  <c r="O10" i="168"/>
  <c r="M10" i="168"/>
  <c r="L10" i="168"/>
  <c r="K10" i="168"/>
  <c r="I10" i="168"/>
  <c r="F10" i="168"/>
  <c r="B10" i="168"/>
  <c r="G10" i="168" s="1"/>
  <c r="Q9" i="168"/>
  <c r="O9" i="168"/>
  <c r="L9" i="168"/>
  <c r="M9" i="168" s="1"/>
  <c r="K9" i="168"/>
  <c r="I9" i="168"/>
  <c r="I4" i="168" s="1"/>
  <c r="G9" i="168"/>
  <c r="F9" i="168"/>
  <c r="B9" i="168"/>
  <c r="Q8" i="168"/>
  <c r="O8" i="168"/>
  <c r="M8" i="168"/>
  <c r="L8" i="168"/>
  <c r="K8" i="168"/>
  <c r="I8" i="168"/>
  <c r="F8" i="168"/>
  <c r="B8" i="168"/>
  <c r="G8" i="168" s="1"/>
  <c r="Q7" i="168"/>
  <c r="O7" i="168"/>
  <c r="L7" i="168"/>
  <c r="M7" i="168" s="1"/>
  <c r="K7" i="168"/>
  <c r="I7" i="168"/>
  <c r="F7" i="168"/>
  <c r="B7" i="168"/>
  <c r="G7" i="168" s="1"/>
  <c r="Q6" i="168"/>
  <c r="O6" i="168"/>
  <c r="M6" i="168"/>
  <c r="L6" i="168"/>
  <c r="K6" i="168"/>
  <c r="I6" i="168"/>
  <c r="F6" i="168"/>
  <c r="B6" i="168"/>
  <c r="B4" i="168" s="1"/>
  <c r="G4" i="168" s="1"/>
  <c r="O5" i="168"/>
  <c r="K5" i="168"/>
  <c r="F5" i="168"/>
  <c r="G5" i="168" s="1"/>
  <c r="R4" i="168"/>
  <c r="Q4" i="168"/>
  <c r="P4" i="168"/>
  <c r="O4" i="168"/>
  <c r="N4" i="168"/>
  <c r="K4" i="168"/>
  <c r="J4" i="168"/>
  <c r="H4" i="168"/>
  <c r="E4" i="168"/>
  <c r="D4" i="168"/>
  <c r="C4" i="168"/>
  <c r="Q19" i="167"/>
  <c r="O19" i="167"/>
  <c r="M19" i="167"/>
  <c r="L19" i="167"/>
  <c r="K19" i="167"/>
  <c r="I19" i="167"/>
  <c r="F19" i="167"/>
  <c r="B19" i="167"/>
  <c r="G19" i="167" s="1"/>
  <c r="Q18" i="167"/>
  <c r="O18" i="167"/>
  <c r="L18" i="167"/>
  <c r="M18" i="167" s="1"/>
  <c r="K18" i="167"/>
  <c r="I18" i="167"/>
  <c r="F18" i="167"/>
  <c r="B18" i="167"/>
  <c r="G18" i="167" s="1"/>
  <c r="Q17" i="167"/>
  <c r="O17" i="167"/>
  <c r="M17" i="167"/>
  <c r="L17" i="167"/>
  <c r="K17" i="167"/>
  <c r="I17" i="167"/>
  <c r="F17" i="167"/>
  <c r="B17" i="167"/>
  <c r="G17" i="167" s="1"/>
  <c r="Q16" i="167"/>
  <c r="O16" i="167"/>
  <c r="L16" i="167"/>
  <c r="M16" i="167" s="1"/>
  <c r="K16" i="167"/>
  <c r="I16" i="167"/>
  <c r="G16" i="167"/>
  <c r="F16" i="167"/>
  <c r="B16" i="167"/>
  <c r="Q15" i="167"/>
  <c r="O15" i="167"/>
  <c r="M15" i="167"/>
  <c r="L15" i="167"/>
  <c r="K15" i="167"/>
  <c r="I15" i="167"/>
  <c r="G15" i="167"/>
  <c r="F15" i="167"/>
  <c r="B15" i="167"/>
  <c r="Q14" i="167"/>
  <c r="O14" i="167"/>
  <c r="L14" i="167"/>
  <c r="M14" i="167" s="1"/>
  <c r="K14" i="167"/>
  <c r="I14" i="167"/>
  <c r="F14" i="167"/>
  <c r="B14" i="167"/>
  <c r="G14" i="167" s="1"/>
  <c r="Q13" i="167"/>
  <c r="O13" i="167"/>
  <c r="M13" i="167"/>
  <c r="L13" i="167"/>
  <c r="K13" i="167"/>
  <c r="I13" i="167"/>
  <c r="G13" i="167"/>
  <c r="F13" i="167"/>
  <c r="B13" i="167"/>
  <c r="Q12" i="167"/>
  <c r="O12" i="167"/>
  <c r="L12" i="167"/>
  <c r="M12" i="167" s="1"/>
  <c r="K12" i="167"/>
  <c r="I12" i="167"/>
  <c r="G12" i="167"/>
  <c r="F12" i="167"/>
  <c r="B12" i="167"/>
  <c r="Q11" i="167"/>
  <c r="O11" i="167"/>
  <c r="M11" i="167"/>
  <c r="L11" i="167"/>
  <c r="K11" i="167"/>
  <c r="I11" i="167"/>
  <c r="G11" i="167"/>
  <c r="F11" i="167"/>
  <c r="B11" i="167"/>
  <c r="Q10" i="167"/>
  <c r="O10" i="167"/>
  <c r="L10" i="167"/>
  <c r="M10" i="167" s="1"/>
  <c r="K10" i="167"/>
  <c r="I10" i="167"/>
  <c r="F10" i="167"/>
  <c r="B10" i="167"/>
  <c r="G10" i="167" s="1"/>
  <c r="Q9" i="167"/>
  <c r="O9" i="167"/>
  <c r="M9" i="167"/>
  <c r="L9" i="167"/>
  <c r="K9" i="167"/>
  <c r="I9" i="167"/>
  <c r="G9" i="167"/>
  <c r="F9" i="167"/>
  <c r="B9" i="167"/>
  <c r="Q8" i="167"/>
  <c r="O8" i="167"/>
  <c r="L8" i="167"/>
  <c r="M8" i="167" s="1"/>
  <c r="K8" i="167"/>
  <c r="I8" i="167"/>
  <c r="G8" i="167"/>
  <c r="F8" i="167"/>
  <c r="B8" i="167"/>
  <c r="Q7" i="167"/>
  <c r="O7" i="167"/>
  <c r="M7" i="167"/>
  <c r="L7" i="167"/>
  <c r="K7" i="167"/>
  <c r="I7" i="167"/>
  <c r="F7" i="167"/>
  <c r="B7" i="167"/>
  <c r="G7" i="167" s="1"/>
  <c r="Q6" i="167"/>
  <c r="O6" i="167"/>
  <c r="L6" i="167"/>
  <c r="M6" i="167" s="1"/>
  <c r="K6" i="167"/>
  <c r="I6" i="167"/>
  <c r="I4" i="167" s="1"/>
  <c r="F6" i="167"/>
  <c r="B6" i="167"/>
  <c r="G6" i="167" s="1"/>
  <c r="O5" i="167"/>
  <c r="K5" i="167"/>
  <c r="G5" i="167"/>
  <c r="F5" i="167"/>
  <c r="R4" i="167"/>
  <c r="P4" i="167"/>
  <c r="N4" i="167"/>
  <c r="J4" i="167"/>
  <c r="K4" i="167" s="1"/>
  <c r="H4" i="167"/>
  <c r="E4" i="167"/>
  <c r="D4" i="167"/>
  <c r="C4" i="167"/>
  <c r="Q19" i="166"/>
  <c r="O19" i="166"/>
  <c r="L19" i="166"/>
  <c r="M19" i="166" s="1"/>
  <c r="K19" i="166"/>
  <c r="I19" i="166"/>
  <c r="G19" i="166"/>
  <c r="F19" i="166"/>
  <c r="B19" i="166"/>
  <c r="Q18" i="166"/>
  <c r="O18" i="166"/>
  <c r="M18" i="166"/>
  <c r="L18" i="166"/>
  <c r="K18" i="166"/>
  <c r="I18" i="166"/>
  <c r="F18" i="166"/>
  <c r="B18" i="166"/>
  <c r="G18" i="166" s="1"/>
  <c r="Q17" i="166"/>
  <c r="O17" i="166"/>
  <c r="L17" i="166"/>
  <c r="M17" i="166" s="1"/>
  <c r="K17" i="166"/>
  <c r="I17" i="166"/>
  <c r="F17" i="166"/>
  <c r="B17" i="166"/>
  <c r="G17" i="166" s="1"/>
  <c r="Q16" i="166"/>
  <c r="O16" i="166"/>
  <c r="M16" i="166"/>
  <c r="L16" i="166"/>
  <c r="K16" i="166"/>
  <c r="I16" i="166"/>
  <c r="F16" i="166"/>
  <c r="B16" i="166"/>
  <c r="G16" i="166" s="1"/>
  <c r="Q15" i="166"/>
  <c r="O15" i="166"/>
  <c r="L15" i="166"/>
  <c r="M15" i="166" s="1"/>
  <c r="K15" i="166"/>
  <c r="I15" i="166"/>
  <c r="G15" i="166"/>
  <c r="F15" i="166"/>
  <c r="B15" i="166"/>
  <c r="Q14" i="166"/>
  <c r="O14" i="166"/>
  <c r="M14" i="166"/>
  <c r="L14" i="166"/>
  <c r="K14" i="166"/>
  <c r="I14" i="166"/>
  <c r="G14" i="166"/>
  <c r="F14" i="166"/>
  <c r="B14" i="166"/>
  <c r="Q13" i="166"/>
  <c r="O13" i="166"/>
  <c r="L13" i="166"/>
  <c r="M13" i="166" s="1"/>
  <c r="K13" i="166"/>
  <c r="I13" i="166"/>
  <c r="F13" i="166"/>
  <c r="B13" i="166"/>
  <c r="G13" i="166" s="1"/>
  <c r="Q12" i="166"/>
  <c r="O12" i="166"/>
  <c r="M12" i="166"/>
  <c r="L12" i="166"/>
  <c r="K12" i="166"/>
  <c r="I12" i="166"/>
  <c r="G12" i="166"/>
  <c r="F12" i="166"/>
  <c r="B12" i="166"/>
  <c r="Q11" i="166"/>
  <c r="O11" i="166"/>
  <c r="L11" i="166"/>
  <c r="M11" i="166" s="1"/>
  <c r="K11" i="166"/>
  <c r="I11" i="166"/>
  <c r="G11" i="166"/>
  <c r="F11" i="166"/>
  <c r="B11" i="166"/>
  <c r="Q10" i="166"/>
  <c r="O10" i="166"/>
  <c r="M10" i="166"/>
  <c r="L10" i="166"/>
  <c r="K10" i="166"/>
  <c r="I10" i="166"/>
  <c r="G10" i="166"/>
  <c r="F10" i="166"/>
  <c r="B10" i="166"/>
  <c r="Q9" i="166"/>
  <c r="O9" i="166"/>
  <c r="L9" i="166"/>
  <c r="M9" i="166" s="1"/>
  <c r="K9" i="166"/>
  <c r="I9" i="166"/>
  <c r="F9" i="166"/>
  <c r="B9" i="166"/>
  <c r="G9" i="166" s="1"/>
  <c r="Q8" i="166"/>
  <c r="O8" i="166"/>
  <c r="M8" i="166"/>
  <c r="L8" i="166"/>
  <c r="K8" i="166"/>
  <c r="I8" i="166"/>
  <c r="G8" i="166"/>
  <c r="F8" i="166"/>
  <c r="B8" i="166"/>
  <c r="Q7" i="166"/>
  <c r="O7" i="166"/>
  <c r="L7" i="166"/>
  <c r="K7" i="166"/>
  <c r="I7" i="166"/>
  <c r="G7" i="166"/>
  <c r="F7" i="166"/>
  <c r="B7" i="166"/>
  <c r="Q6" i="166"/>
  <c r="O6" i="166"/>
  <c r="M6" i="166"/>
  <c r="L6" i="166"/>
  <c r="K6" i="166"/>
  <c r="I6" i="166"/>
  <c r="F6" i="166"/>
  <c r="B6" i="166"/>
  <c r="O5" i="166"/>
  <c r="K5" i="166"/>
  <c r="F5" i="166"/>
  <c r="G5" i="166" s="1"/>
  <c r="R4" i="166"/>
  <c r="Q4" i="166"/>
  <c r="P4" i="166"/>
  <c r="O4" i="166"/>
  <c r="N4" i="166"/>
  <c r="K4" i="166"/>
  <c r="J4" i="166"/>
  <c r="I4" i="166"/>
  <c r="H4" i="166"/>
  <c r="E4" i="166"/>
  <c r="D4" i="166"/>
  <c r="F4" i="166" s="1"/>
  <c r="C4" i="166"/>
  <c r="F2" i="166" s="1"/>
  <c r="Q19" i="165"/>
  <c r="O19" i="165"/>
  <c r="M19" i="165"/>
  <c r="L19" i="165"/>
  <c r="K19" i="165"/>
  <c r="I19" i="165"/>
  <c r="F19" i="165"/>
  <c r="B19" i="165"/>
  <c r="G19" i="165" s="1"/>
  <c r="Q18" i="165"/>
  <c r="O18" i="165"/>
  <c r="L18" i="165"/>
  <c r="M18" i="165" s="1"/>
  <c r="K18" i="165"/>
  <c r="I18" i="165"/>
  <c r="G18" i="165"/>
  <c r="F18" i="165"/>
  <c r="B18" i="165"/>
  <c r="Q17" i="165"/>
  <c r="O17" i="165"/>
  <c r="M17" i="165"/>
  <c r="L17" i="165"/>
  <c r="K17" i="165"/>
  <c r="I17" i="165"/>
  <c r="F17" i="165"/>
  <c r="B17" i="165"/>
  <c r="G17" i="165" s="1"/>
  <c r="Q16" i="165"/>
  <c r="O16" i="165"/>
  <c r="L16" i="165"/>
  <c r="M16" i="165" s="1"/>
  <c r="K16" i="165"/>
  <c r="I16" i="165"/>
  <c r="F16" i="165"/>
  <c r="B16" i="165"/>
  <c r="G16" i="165" s="1"/>
  <c r="Q15" i="165"/>
  <c r="O15" i="165"/>
  <c r="M15" i="165"/>
  <c r="L15" i="165"/>
  <c r="K15" i="165"/>
  <c r="I15" i="165"/>
  <c r="F15" i="165"/>
  <c r="B15" i="165"/>
  <c r="G15" i="165" s="1"/>
  <c r="Q14" i="165"/>
  <c r="O14" i="165"/>
  <c r="L14" i="165"/>
  <c r="M14" i="165" s="1"/>
  <c r="K14" i="165"/>
  <c r="I14" i="165"/>
  <c r="G14" i="165"/>
  <c r="F14" i="165"/>
  <c r="B14" i="165"/>
  <c r="Q13" i="165"/>
  <c r="O13" i="165"/>
  <c r="M13" i="165"/>
  <c r="L13" i="165"/>
  <c r="K13" i="165"/>
  <c r="I13" i="165"/>
  <c r="G13" i="165"/>
  <c r="F13" i="165"/>
  <c r="B13" i="165"/>
  <c r="Q12" i="165"/>
  <c r="O12" i="165"/>
  <c r="L12" i="165"/>
  <c r="M12" i="165" s="1"/>
  <c r="K12" i="165"/>
  <c r="I12" i="165"/>
  <c r="F12" i="165"/>
  <c r="B12" i="165"/>
  <c r="G12" i="165" s="1"/>
  <c r="Q11" i="165"/>
  <c r="O11" i="165"/>
  <c r="M11" i="165"/>
  <c r="L11" i="165"/>
  <c r="K11" i="165"/>
  <c r="I11" i="165"/>
  <c r="G11" i="165"/>
  <c r="F11" i="165"/>
  <c r="B11" i="165"/>
  <c r="Q10" i="165"/>
  <c r="O10" i="165"/>
  <c r="L10" i="165"/>
  <c r="M10" i="165" s="1"/>
  <c r="K10" i="165"/>
  <c r="I10" i="165"/>
  <c r="G10" i="165"/>
  <c r="F10" i="165"/>
  <c r="B10" i="165"/>
  <c r="Q9" i="165"/>
  <c r="O9" i="165"/>
  <c r="M9" i="165"/>
  <c r="L9" i="165"/>
  <c r="K9" i="165"/>
  <c r="I9" i="165"/>
  <c r="G9" i="165"/>
  <c r="F9" i="165"/>
  <c r="B9" i="165"/>
  <c r="Q8" i="165"/>
  <c r="O8" i="165"/>
  <c r="L8" i="165"/>
  <c r="M8" i="165" s="1"/>
  <c r="K8" i="165"/>
  <c r="I8" i="165"/>
  <c r="F8" i="165"/>
  <c r="B8" i="165"/>
  <c r="G8" i="165" s="1"/>
  <c r="Q7" i="165"/>
  <c r="O7" i="165"/>
  <c r="M7" i="165"/>
  <c r="L7" i="165"/>
  <c r="K7" i="165"/>
  <c r="I7" i="165"/>
  <c r="G7" i="165"/>
  <c r="F7" i="165"/>
  <c r="B7" i="165"/>
  <c r="Q6" i="165"/>
  <c r="O6" i="165"/>
  <c r="L6" i="165"/>
  <c r="M6" i="165" s="1"/>
  <c r="K6" i="165"/>
  <c r="I6" i="165"/>
  <c r="G6" i="165"/>
  <c r="F6" i="165"/>
  <c r="B6" i="165"/>
  <c r="O5" i="165"/>
  <c r="K5" i="165"/>
  <c r="G5" i="165"/>
  <c r="F5" i="165"/>
  <c r="R4" i="165"/>
  <c r="P4" i="165"/>
  <c r="N4" i="165"/>
  <c r="J4" i="165"/>
  <c r="K4" i="165" s="1"/>
  <c r="H4" i="165"/>
  <c r="E4" i="165"/>
  <c r="D4" i="165"/>
  <c r="C4" i="165"/>
  <c r="Q19" i="164"/>
  <c r="O19" i="164"/>
  <c r="L19" i="164"/>
  <c r="M19" i="164" s="1"/>
  <c r="K19" i="164"/>
  <c r="I19" i="164"/>
  <c r="F19" i="164"/>
  <c r="B19" i="164"/>
  <c r="G19" i="164" s="1"/>
  <c r="Q18" i="164"/>
  <c r="O18" i="164"/>
  <c r="M18" i="164"/>
  <c r="L18" i="164"/>
  <c r="K18" i="164"/>
  <c r="I18" i="164"/>
  <c r="F18" i="164"/>
  <c r="B18" i="164"/>
  <c r="G18" i="164" s="1"/>
  <c r="Q17" i="164"/>
  <c r="O17" i="164"/>
  <c r="L17" i="164"/>
  <c r="M17" i="164" s="1"/>
  <c r="K17" i="164"/>
  <c r="I17" i="164"/>
  <c r="I4" i="164" s="1"/>
  <c r="G17" i="164"/>
  <c r="F17" i="164"/>
  <c r="B17" i="164"/>
  <c r="Q16" i="164"/>
  <c r="O16" i="164"/>
  <c r="M16" i="164"/>
  <c r="L16" i="164"/>
  <c r="K16" i="164"/>
  <c r="I16" i="164"/>
  <c r="F16" i="164"/>
  <c r="B16" i="164"/>
  <c r="G16" i="164" s="1"/>
  <c r="Q15" i="164"/>
  <c r="O15" i="164"/>
  <c r="L15" i="164"/>
  <c r="M15" i="164" s="1"/>
  <c r="K15" i="164"/>
  <c r="I15" i="164"/>
  <c r="F15" i="164"/>
  <c r="B15" i="164"/>
  <c r="G15" i="164" s="1"/>
  <c r="Q14" i="164"/>
  <c r="O14" i="164"/>
  <c r="M14" i="164"/>
  <c r="L14" i="164"/>
  <c r="K14" i="164"/>
  <c r="I14" i="164"/>
  <c r="F14" i="164"/>
  <c r="B14" i="164"/>
  <c r="G14" i="164" s="1"/>
  <c r="Q13" i="164"/>
  <c r="O13" i="164"/>
  <c r="L13" i="164"/>
  <c r="M13" i="164" s="1"/>
  <c r="K13" i="164"/>
  <c r="I13" i="164"/>
  <c r="G13" i="164"/>
  <c r="F13" i="164"/>
  <c r="B13" i="164"/>
  <c r="Q12" i="164"/>
  <c r="O12" i="164"/>
  <c r="M12" i="164"/>
  <c r="L12" i="164"/>
  <c r="K12" i="164"/>
  <c r="I12" i="164"/>
  <c r="G12" i="164"/>
  <c r="F12" i="164"/>
  <c r="B12" i="164"/>
  <c r="Q11" i="164"/>
  <c r="O11" i="164"/>
  <c r="L11" i="164"/>
  <c r="M11" i="164" s="1"/>
  <c r="K11" i="164"/>
  <c r="I11" i="164"/>
  <c r="F11" i="164"/>
  <c r="B11" i="164"/>
  <c r="G11" i="164" s="1"/>
  <c r="Q10" i="164"/>
  <c r="O10" i="164"/>
  <c r="M10" i="164"/>
  <c r="L10" i="164"/>
  <c r="K10" i="164"/>
  <c r="I10" i="164"/>
  <c r="G10" i="164"/>
  <c r="F10" i="164"/>
  <c r="B10" i="164"/>
  <c r="Q9" i="164"/>
  <c r="O9" i="164"/>
  <c r="L9" i="164"/>
  <c r="M9" i="164" s="1"/>
  <c r="K9" i="164"/>
  <c r="I9" i="164"/>
  <c r="G9" i="164"/>
  <c r="F9" i="164"/>
  <c r="B9" i="164"/>
  <c r="Q8" i="164"/>
  <c r="O8" i="164"/>
  <c r="M8" i="164"/>
  <c r="L8" i="164"/>
  <c r="K8" i="164"/>
  <c r="I8" i="164"/>
  <c r="G8" i="164"/>
  <c r="F8" i="164"/>
  <c r="B8" i="164"/>
  <c r="Q7" i="164"/>
  <c r="O7" i="164"/>
  <c r="L7" i="164"/>
  <c r="M7" i="164" s="1"/>
  <c r="K7" i="164"/>
  <c r="I7" i="164"/>
  <c r="F7" i="164"/>
  <c r="B7" i="164"/>
  <c r="G7" i="164" s="1"/>
  <c r="Q6" i="164"/>
  <c r="O6" i="164"/>
  <c r="M6" i="164"/>
  <c r="L6" i="164"/>
  <c r="K6" i="164"/>
  <c r="I6" i="164"/>
  <c r="G6" i="164"/>
  <c r="F6" i="164"/>
  <c r="B6" i="164"/>
  <c r="O5" i="164"/>
  <c r="K5" i="164"/>
  <c r="F5" i="164"/>
  <c r="G5" i="164" s="1"/>
  <c r="R4" i="164"/>
  <c r="Q4" i="164"/>
  <c r="P4" i="164"/>
  <c r="O4" i="164"/>
  <c r="N4" i="164"/>
  <c r="K4" i="164"/>
  <c r="J4" i="164"/>
  <c r="H4" i="164"/>
  <c r="E4" i="164"/>
  <c r="D4" i="164"/>
  <c r="C4" i="164"/>
  <c r="Q19" i="163"/>
  <c r="O19" i="163"/>
  <c r="M19" i="163"/>
  <c r="L19" i="163"/>
  <c r="K19" i="163"/>
  <c r="I19" i="163"/>
  <c r="G19" i="163"/>
  <c r="F19" i="163"/>
  <c r="B19" i="163"/>
  <c r="Q18" i="163"/>
  <c r="O18" i="163"/>
  <c r="L18" i="163"/>
  <c r="M18" i="163" s="1"/>
  <c r="K18" i="163"/>
  <c r="I18" i="163"/>
  <c r="F18" i="163"/>
  <c r="B18" i="163"/>
  <c r="G18" i="163" s="1"/>
  <c r="Q17" i="163"/>
  <c r="O17" i="163"/>
  <c r="M17" i="163"/>
  <c r="L17" i="163"/>
  <c r="K17" i="163"/>
  <c r="I17" i="163"/>
  <c r="G17" i="163"/>
  <c r="F17" i="163"/>
  <c r="B17" i="163"/>
  <c r="Q16" i="163"/>
  <c r="O16" i="163"/>
  <c r="L16" i="163"/>
  <c r="M16" i="163" s="1"/>
  <c r="K16" i="163"/>
  <c r="I16" i="163"/>
  <c r="G16" i="163"/>
  <c r="F16" i="163"/>
  <c r="B16" i="163"/>
  <c r="Q15" i="163"/>
  <c r="O15" i="163"/>
  <c r="M15" i="163"/>
  <c r="L15" i="163"/>
  <c r="K15" i="163"/>
  <c r="I15" i="163"/>
  <c r="F15" i="163"/>
  <c r="B15" i="163"/>
  <c r="G15" i="163" s="1"/>
  <c r="Q14" i="163"/>
  <c r="O14" i="163"/>
  <c r="L14" i="163"/>
  <c r="M14" i="163" s="1"/>
  <c r="K14" i="163"/>
  <c r="I14" i="163"/>
  <c r="F14" i="163"/>
  <c r="B14" i="163"/>
  <c r="G14" i="163" s="1"/>
  <c r="Q13" i="163"/>
  <c r="O13" i="163"/>
  <c r="M13" i="163"/>
  <c r="L13" i="163"/>
  <c r="K13" i="163"/>
  <c r="I13" i="163"/>
  <c r="F13" i="163"/>
  <c r="B13" i="163"/>
  <c r="G13" i="163" s="1"/>
  <c r="Q12" i="163"/>
  <c r="O12" i="163"/>
  <c r="L12" i="163"/>
  <c r="M12" i="163" s="1"/>
  <c r="K12" i="163"/>
  <c r="I12" i="163"/>
  <c r="G12" i="163"/>
  <c r="F12" i="163"/>
  <c r="B12" i="163"/>
  <c r="Q11" i="163"/>
  <c r="O11" i="163"/>
  <c r="M11" i="163"/>
  <c r="L11" i="163"/>
  <c r="K11" i="163"/>
  <c r="I11" i="163"/>
  <c r="G11" i="163"/>
  <c r="F11" i="163"/>
  <c r="B11" i="163"/>
  <c r="Q10" i="163"/>
  <c r="O10" i="163"/>
  <c r="L10" i="163"/>
  <c r="M10" i="163" s="1"/>
  <c r="K10" i="163"/>
  <c r="I10" i="163"/>
  <c r="F10" i="163"/>
  <c r="B10" i="163"/>
  <c r="G10" i="163" s="1"/>
  <c r="Q9" i="163"/>
  <c r="O9" i="163"/>
  <c r="L9" i="163"/>
  <c r="L4" i="163" s="1"/>
  <c r="M4" i="163" s="1"/>
  <c r="K9" i="163"/>
  <c r="I9" i="163"/>
  <c r="G9" i="163"/>
  <c r="F9" i="163"/>
  <c r="B9" i="163"/>
  <c r="Q8" i="163"/>
  <c r="O8" i="163"/>
  <c r="M8" i="163"/>
  <c r="L8" i="163"/>
  <c r="K8" i="163"/>
  <c r="I8" i="163"/>
  <c r="G8" i="163"/>
  <c r="F8" i="163"/>
  <c r="B8" i="163"/>
  <c r="Q7" i="163"/>
  <c r="O7" i="163"/>
  <c r="M7" i="163"/>
  <c r="L7" i="163"/>
  <c r="K7" i="163"/>
  <c r="I7" i="163"/>
  <c r="F7" i="163"/>
  <c r="B7" i="163"/>
  <c r="G7" i="163" s="1"/>
  <c r="Q6" i="163"/>
  <c r="O6" i="163"/>
  <c r="L6" i="163"/>
  <c r="M6" i="163" s="1"/>
  <c r="K6" i="163"/>
  <c r="I6" i="163"/>
  <c r="I4" i="163" s="1"/>
  <c r="F6" i="163"/>
  <c r="B6" i="163"/>
  <c r="G6" i="163" s="1"/>
  <c r="O5" i="163"/>
  <c r="K5" i="163"/>
  <c r="G5" i="163"/>
  <c r="F5" i="163"/>
  <c r="R4" i="163"/>
  <c r="P4" i="163"/>
  <c r="N4" i="163"/>
  <c r="J4" i="163"/>
  <c r="H4" i="163"/>
  <c r="E4" i="163"/>
  <c r="D4" i="163"/>
  <c r="C4" i="163"/>
  <c r="F2" i="163"/>
  <c r="Q19" i="162"/>
  <c r="O19" i="162"/>
  <c r="L19" i="162"/>
  <c r="M19" i="162" s="1"/>
  <c r="K19" i="162"/>
  <c r="I19" i="162"/>
  <c r="G19" i="162"/>
  <c r="F19" i="162"/>
  <c r="B19" i="162"/>
  <c r="Q18" i="162"/>
  <c r="O18" i="162"/>
  <c r="L18" i="162"/>
  <c r="M18" i="162" s="1"/>
  <c r="K18" i="162"/>
  <c r="I18" i="162"/>
  <c r="G18" i="162"/>
  <c r="F18" i="162"/>
  <c r="B18" i="162"/>
  <c r="Q17" i="162"/>
  <c r="O17" i="162"/>
  <c r="M17" i="162"/>
  <c r="L17" i="162"/>
  <c r="K17" i="162"/>
  <c r="I17" i="162"/>
  <c r="G17" i="162"/>
  <c r="F17" i="162"/>
  <c r="B17" i="162"/>
  <c r="Q16" i="162"/>
  <c r="O16" i="162"/>
  <c r="M16" i="162"/>
  <c r="L16" i="162"/>
  <c r="K16" i="162"/>
  <c r="I16" i="162"/>
  <c r="F16" i="162"/>
  <c r="B16" i="162"/>
  <c r="G16" i="162" s="1"/>
  <c r="Q15" i="162"/>
  <c r="O15" i="162"/>
  <c r="L15" i="162"/>
  <c r="M15" i="162" s="1"/>
  <c r="K15" i="162"/>
  <c r="I15" i="162"/>
  <c r="F15" i="162"/>
  <c r="B15" i="162"/>
  <c r="G15" i="162" s="1"/>
  <c r="Q14" i="162"/>
  <c r="O14" i="162"/>
  <c r="L14" i="162"/>
  <c r="M14" i="162" s="1"/>
  <c r="K14" i="162"/>
  <c r="I14" i="162"/>
  <c r="G14" i="162"/>
  <c r="F14" i="162"/>
  <c r="B14" i="162"/>
  <c r="Q13" i="162"/>
  <c r="O13" i="162"/>
  <c r="M13" i="162"/>
  <c r="L13" i="162"/>
  <c r="K13" i="162"/>
  <c r="I13" i="162"/>
  <c r="G13" i="162"/>
  <c r="F13" i="162"/>
  <c r="B13" i="162"/>
  <c r="Q12" i="162"/>
  <c r="O12" i="162"/>
  <c r="M12" i="162"/>
  <c r="L12" i="162"/>
  <c r="K12" i="162"/>
  <c r="I12" i="162"/>
  <c r="F12" i="162"/>
  <c r="B12" i="162"/>
  <c r="G12" i="162" s="1"/>
  <c r="Q11" i="162"/>
  <c r="O11" i="162"/>
  <c r="L11" i="162"/>
  <c r="M11" i="162" s="1"/>
  <c r="K11" i="162"/>
  <c r="I11" i="162"/>
  <c r="F11" i="162"/>
  <c r="B11" i="162"/>
  <c r="G11" i="162" s="1"/>
  <c r="Q10" i="162"/>
  <c r="O10" i="162"/>
  <c r="L10" i="162"/>
  <c r="M10" i="162" s="1"/>
  <c r="K10" i="162"/>
  <c r="I10" i="162"/>
  <c r="G10" i="162"/>
  <c r="F10" i="162"/>
  <c r="B10" i="162"/>
  <c r="Q9" i="162"/>
  <c r="O9" i="162"/>
  <c r="M9" i="162"/>
  <c r="L9" i="162"/>
  <c r="K9" i="162"/>
  <c r="I9" i="162"/>
  <c r="G9" i="162"/>
  <c r="F9" i="162"/>
  <c r="B9" i="162"/>
  <c r="Q8" i="162"/>
  <c r="O8" i="162"/>
  <c r="M8" i="162"/>
  <c r="L8" i="162"/>
  <c r="K8" i="162"/>
  <c r="I8" i="162"/>
  <c r="I4" i="162" s="1"/>
  <c r="F8" i="162"/>
  <c r="B8" i="162"/>
  <c r="G8" i="162" s="1"/>
  <c r="Q7" i="162"/>
  <c r="O7" i="162"/>
  <c r="L7" i="162"/>
  <c r="M7" i="162" s="1"/>
  <c r="K7" i="162"/>
  <c r="I7" i="162"/>
  <c r="F7" i="162"/>
  <c r="B7" i="162"/>
  <c r="G7" i="162" s="1"/>
  <c r="Q6" i="162"/>
  <c r="O6" i="162"/>
  <c r="L6" i="162"/>
  <c r="L4" i="162" s="1"/>
  <c r="M4" i="162" s="1"/>
  <c r="K6" i="162"/>
  <c r="I6" i="162"/>
  <c r="G6" i="162"/>
  <c r="F6" i="162"/>
  <c r="B6" i="162"/>
  <c r="O5" i="162"/>
  <c r="K5" i="162"/>
  <c r="F5" i="162"/>
  <c r="G5" i="162" s="1"/>
  <c r="R4" i="162"/>
  <c r="Q4" i="162"/>
  <c r="P4" i="162"/>
  <c r="N4" i="162"/>
  <c r="O4" i="162" s="1"/>
  <c r="J4" i="162"/>
  <c r="K4" i="162" s="1"/>
  <c r="H4" i="162"/>
  <c r="F4" i="162"/>
  <c r="E4" i="162"/>
  <c r="D4" i="162"/>
  <c r="C4" i="162"/>
  <c r="F2" i="162" s="1"/>
  <c r="B4" i="162"/>
  <c r="G2" i="162" s="1"/>
  <c r="Q19" i="161"/>
  <c r="O19" i="161"/>
  <c r="M19" i="161"/>
  <c r="L19" i="161"/>
  <c r="K19" i="161"/>
  <c r="I19" i="161"/>
  <c r="F19" i="161"/>
  <c r="B19" i="161"/>
  <c r="G19" i="161" s="1"/>
  <c r="Q18" i="161"/>
  <c r="O18" i="161"/>
  <c r="L18" i="161"/>
  <c r="M18" i="161" s="1"/>
  <c r="K18" i="161"/>
  <c r="I18" i="161"/>
  <c r="F18" i="161"/>
  <c r="B18" i="161"/>
  <c r="G18" i="161" s="1"/>
  <c r="Q17" i="161"/>
  <c r="O17" i="161"/>
  <c r="L17" i="161"/>
  <c r="M17" i="161" s="1"/>
  <c r="K17" i="161"/>
  <c r="I17" i="161"/>
  <c r="G17" i="161"/>
  <c r="F17" i="161"/>
  <c r="B17" i="161"/>
  <c r="Q16" i="161"/>
  <c r="O16" i="161"/>
  <c r="M16" i="161"/>
  <c r="L16" i="161"/>
  <c r="K16" i="161"/>
  <c r="I16" i="161"/>
  <c r="G16" i="161"/>
  <c r="F16" i="161"/>
  <c r="B16" i="161"/>
  <c r="Q15" i="161"/>
  <c r="O15" i="161"/>
  <c r="M15" i="161"/>
  <c r="L15" i="161"/>
  <c r="K15" i="161"/>
  <c r="I15" i="161"/>
  <c r="F15" i="161"/>
  <c r="B15" i="161"/>
  <c r="G15" i="161" s="1"/>
  <c r="Q14" i="161"/>
  <c r="O14" i="161"/>
  <c r="L14" i="161"/>
  <c r="M14" i="161" s="1"/>
  <c r="K14" i="161"/>
  <c r="I14" i="161"/>
  <c r="F14" i="161"/>
  <c r="B14" i="161"/>
  <c r="G14" i="161" s="1"/>
  <c r="Q13" i="161"/>
  <c r="O13" i="161"/>
  <c r="L13" i="161"/>
  <c r="M13" i="161" s="1"/>
  <c r="K13" i="161"/>
  <c r="I13" i="161"/>
  <c r="G13" i="161"/>
  <c r="F13" i="161"/>
  <c r="B13" i="161"/>
  <c r="Q12" i="161"/>
  <c r="O12" i="161"/>
  <c r="M12" i="161"/>
  <c r="L12" i="161"/>
  <c r="K12" i="161"/>
  <c r="I12" i="161"/>
  <c r="G12" i="161"/>
  <c r="F12" i="161"/>
  <c r="B12" i="161"/>
  <c r="Q11" i="161"/>
  <c r="O11" i="161"/>
  <c r="M11" i="161"/>
  <c r="L11" i="161"/>
  <c r="K11" i="161"/>
  <c r="I11" i="161"/>
  <c r="F11" i="161"/>
  <c r="B11" i="161"/>
  <c r="G11" i="161" s="1"/>
  <c r="Q10" i="161"/>
  <c r="O10" i="161"/>
  <c r="L10" i="161"/>
  <c r="M10" i="161" s="1"/>
  <c r="K10" i="161"/>
  <c r="I10" i="161"/>
  <c r="F10" i="161"/>
  <c r="B10" i="161"/>
  <c r="G10" i="161" s="1"/>
  <c r="Q9" i="161"/>
  <c r="O9" i="161"/>
  <c r="L9" i="161"/>
  <c r="M9" i="161" s="1"/>
  <c r="K9" i="161"/>
  <c r="I9" i="161"/>
  <c r="G9" i="161"/>
  <c r="F9" i="161"/>
  <c r="B9" i="161"/>
  <c r="Q8" i="161"/>
  <c r="O8" i="161"/>
  <c r="M8" i="161"/>
  <c r="L8" i="161"/>
  <c r="K8" i="161"/>
  <c r="I8" i="161"/>
  <c r="G8" i="161"/>
  <c r="F8" i="161"/>
  <c r="B8" i="161"/>
  <c r="Q7" i="161"/>
  <c r="O7" i="161"/>
  <c r="M7" i="161"/>
  <c r="L7" i="161"/>
  <c r="K7" i="161"/>
  <c r="I7" i="161"/>
  <c r="F7" i="161"/>
  <c r="B7" i="161"/>
  <c r="G7" i="161" s="1"/>
  <c r="Q6" i="161"/>
  <c r="O6" i="161"/>
  <c r="L6" i="161"/>
  <c r="L4" i="161" s="1"/>
  <c r="M4" i="161" s="1"/>
  <c r="K6" i="161"/>
  <c r="I6" i="161"/>
  <c r="F6" i="161"/>
  <c r="B6" i="161"/>
  <c r="G6" i="161" s="1"/>
  <c r="O5" i="161"/>
  <c r="K5" i="161"/>
  <c r="G5" i="161"/>
  <c r="F5" i="161"/>
  <c r="R4" i="161"/>
  <c r="Q4" i="161"/>
  <c r="P4" i="161"/>
  <c r="N4" i="161"/>
  <c r="O4" i="161" s="1"/>
  <c r="J4" i="161"/>
  <c r="K4" i="161" s="1"/>
  <c r="I4" i="161"/>
  <c r="H4" i="161"/>
  <c r="F4" i="161"/>
  <c r="E4" i="161"/>
  <c r="D4" i="161"/>
  <c r="C4" i="161"/>
  <c r="F2" i="161"/>
  <c r="Q19" i="160"/>
  <c r="O19" i="160"/>
  <c r="M19" i="160"/>
  <c r="L19" i="160"/>
  <c r="K19" i="160"/>
  <c r="I19" i="160"/>
  <c r="G19" i="160"/>
  <c r="F19" i="160"/>
  <c r="B19" i="160"/>
  <c r="Q18" i="160"/>
  <c r="O18" i="160"/>
  <c r="M18" i="160"/>
  <c r="L18" i="160"/>
  <c r="K18" i="160"/>
  <c r="I18" i="160"/>
  <c r="F18" i="160"/>
  <c r="B18" i="160"/>
  <c r="G18" i="160" s="1"/>
  <c r="Q17" i="160"/>
  <c r="O17" i="160"/>
  <c r="L17" i="160"/>
  <c r="M17" i="160" s="1"/>
  <c r="K17" i="160"/>
  <c r="I17" i="160"/>
  <c r="F17" i="160"/>
  <c r="B17" i="160"/>
  <c r="G17" i="160" s="1"/>
  <c r="Q16" i="160"/>
  <c r="O16" i="160"/>
  <c r="L16" i="160"/>
  <c r="M16" i="160" s="1"/>
  <c r="K16" i="160"/>
  <c r="I16" i="160"/>
  <c r="G16" i="160"/>
  <c r="F16" i="160"/>
  <c r="B16" i="160"/>
  <c r="Q15" i="160"/>
  <c r="O15" i="160"/>
  <c r="M15" i="160"/>
  <c r="L15" i="160"/>
  <c r="K15" i="160"/>
  <c r="I15" i="160"/>
  <c r="G15" i="160"/>
  <c r="F15" i="160"/>
  <c r="B15" i="160"/>
  <c r="Q14" i="160"/>
  <c r="O14" i="160"/>
  <c r="M14" i="160"/>
  <c r="L14" i="160"/>
  <c r="K14" i="160"/>
  <c r="I14" i="160"/>
  <c r="F14" i="160"/>
  <c r="B14" i="160"/>
  <c r="G14" i="160" s="1"/>
  <c r="Q13" i="160"/>
  <c r="O13" i="160"/>
  <c r="L13" i="160"/>
  <c r="M13" i="160" s="1"/>
  <c r="K13" i="160"/>
  <c r="I13" i="160"/>
  <c r="F13" i="160"/>
  <c r="B13" i="160"/>
  <c r="G13" i="160" s="1"/>
  <c r="Q12" i="160"/>
  <c r="O12" i="160"/>
  <c r="L12" i="160"/>
  <c r="M12" i="160" s="1"/>
  <c r="K12" i="160"/>
  <c r="I12" i="160"/>
  <c r="G12" i="160"/>
  <c r="F12" i="160"/>
  <c r="B12" i="160"/>
  <c r="Q11" i="160"/>
  <c r="O11" i="160"/>
  <c r="M11" i="160"/>
  <c r="L11" i="160"/>
  <c r="K11" i="160"/>
  <c r="I11" i="160"/>
  <c r="G11" i="160"/>
  <c r="F11" i="160"/>
  <c r="B11" i="160"/>
  <c r="Q10" i="160"/>
  <c r="O10" i="160"/>
  <c r="M10" i="160"/>
  <c r="L10" i="160"/>
  <c r="K10" i="160"/>
  <c r="I10" i="160"/>
  <c r="F10" i="160"/>
  <c r="B10" i="160"/>
  <c r="G10" i="160" s="1"/>
  <c r="Q9" i="160"/>
  <c r="O9" i="160"/>
  <c r="L9" i="160"/>
  <c r="M9" i="160" s="1"/>
  <c r="K9" i="160"/>
  <c r="I9" i="160"/>
  <c r="F9" i="160"/>
  <c r="B9" i="160"/>
  <c r="G9" i="160" s="1"/>
  <c r="Q8" i="160"/>
  <c r="O8" i="160"/>
  <c r="L8" i="160"/>
  <c r="M8" i="160" s="1"/>
  <c r="K8" i="160"/>
  <c r="I8" i="160"/>
  <c r="G8" i="160"/>
  <c r="F8" i="160"/>
  <c r="B8" i="160"/>
  <c r="Q7" i="160"/>
  <c r="O7" i="160"/>
  <c r="M7" i="160"/>
  <c r="L7" i="160"/>
  <c r="K7" i="160"/>
  <c r="I7" i="160"/>
  <c r="G7" i="160"/>
  <c r="F7" i="160"/>
  <c r="B7" i="160"/>
  <c r="Q6" i="160"/>
  <c r="O6" i="160"/>
  <c r="M6" i="160"/>
  <c r="L6" i="160"/>
  <c r="K6" i="160"/>
  <c r="I6" i="160"/>
  <c r="I4" i="160" s="1"/>
  <c r="F6" i="160"/>
  <c r="B6" i="160"/>
  <c r="G6" i="160" s="1"/>
  <c r="O5" i="160"/>
  <c r="K5" i="160"/>
  <c r="G5" i="160"/>
  <c r="F5" i="160"/>
  <c r="R4" i="160"/>
  <c r="P4" i="160"/>
  <c r="Q4" i="160" s="1"/>
  <c r="N4" i="160"/>
  <c r="L4" i="160"/>
  <c r="M4" i="160" s="1"/>
  <c r="J4" i="160"/>
  <c r="H4" i="160"/>
  <c r="K4" i="160" s="1"/>
  <c r="E4" i="160"/>
  <c r="D4" i="160"/>
  <c r="O4" i="160" s="1"/>
  <c r="C4" i="160"/>
  <c r="F2" i="160"/>
  <c r="Q19" i="159"/>
  <c r="O19" i="159"/>
  <c r="L19" i="159"/>
  <c r="M19" i="159" s="1"/>
  <c r="K19" i="159"/>
  <c r="I19" i="159"/>
  <c r="G19" i="159"/>
  <c r="F19" i="159"/>
  <c r="B19" i="159"/>
  <c r="B4" i="159" s="1"/>
  <c r="Q18" i="159"/>
  <c r="O18" i="159"/>
  <c r="M18" i="159"/>
  <c r="L18" i="159"/>
  <c r="K18" i="159"/>
  <c r="I18" i="159"/>
  <c r="G18" i="159"/>
  <c r="F18" i="159"/>
  <c r="B18" i="159"/>
  <c r="Q17" i="159"/>
  <c r="O17" i="159"/>
  <c r="M17" i="159"/>
  <c r="L17" i="159"/>
  <c r="K17" i="159"/>
  <c r="I17" i="159"/>
  <c r="F17" i="159"/>
  <c r="B17" i="159"/>
  <c r="G17" i="159" s="1"/>
  <c r="Q16" i="159"/>
  <c r="O16" i="159"/>
  <c r="L16" i="159"/>
  <c r="M16" i="159" s="1"/>
  <c r="K16" i="159"/>
  <c r="I16" i="159"/>
  <c r="F16" i="159"/>
  <c r="B16" i="159"/>
  <c r="G16" i="159" s="1"/>
  <c r="Q15" i="159"/>
  <c r="O15" i="159"/>
  <c r="L15" i="159"/>
  <c r="M15" i="159" s="1"/>
  <c r="K15" i="159"/>
  <c r="I15" i="159"/>
  <c r="G15" i="159"/>
  <c r="F15" i="159"/>
  <c r="B15" i="159"/>
  <c r="Q14" i="159"/>
  <c r="O14" i="159"/>
  <c r="M14" i="159"/>
  <c r="L14" i="159"/>
  <c r="K14" i="159"/>
  <c r="I14" i="159"/>
  <c r="G14" i="159"/>
  <c r="F14" i="159"/>
  <c r="B14" i="159"/>
  <c r="Q13" i="159"/>
  <c r="O13" i="159"/>
  <c r="M13" i="159"/>
  <c r="L13" i="159"/>
  <c r="K13" i="159"/>
  <c r="I13" i="159"/>
  <c r="F13" i="159"/>
  <c r="B13" i="159"/>
  <c r="G13" i="159" s="1"/>
  <c r="Q12" i="159"/>
  <c r="O12" i="159"/>
  <c r="L12" i="159"/>
  <c r="M12" i="159" s="1"/>
  <c r="K12" i="159"/>
  <c r="I12" i="159"/>
  <c r="F12" i="159"/>
  <c r="B12" i="159"/>
  <c r="G12" i="159" s="1"/>
  <c r="Q11" i="159"/>
  <c r="O11" i="159"/>
  <c r="L11" i="159"/>
  <c r="M11" i="159" s="1"/>
  <c r="K11" i="159"/>
  <c r="I11" i="159"/>
  <c r="G11" i="159"/>
  <c r="F11" i="159"/>
  <c r="B11" i="159"/>
  <c r="Q10" i="159"/>
  <c r="O10" i="159"/>
  <c r="M10" i="159"/>
  <c r="L10" i="159"/>
  <c r="K10" i="159"/>
  <c r="I10" i="159"/>
  <c r="G10" i="159"/>
  <c r="F10" i="159"/>
  <c r="B10" i="159"/>
  <c r="Q9" i="159"/>
  <c r="O9" i="159"/>
  <c r="M9" i="159"/>
  <c r="L9" i="159"/>
  <c r="K9" i="159"/>
  <c r="I9" i="159"/>
  <c r="I4" i="159" s="1"/>
  <c r="F9" i="159"/>
  <c r="B9" i="159"/>
  <c r="G9" i="159" s="1"/>
  <c r="Q8" i="159"/>
  <c r="O8" i="159"/>
  <c r="L8" i="159"/>
  <c r="M8" i="159" s="1"/>
  <c r="K8" i="159"/>
  <c r="I8" i="159"/>
  <c r="F8" i="159"/>
  <c r="B8" i="159"/>
  <c r="G8" i="159" s="1"/>
  <c r="Q7" i="159"/>
  <c r="O7" i="159"/>
  <c r="L7" i="159"/>
  <c r="M7" i="159" s="1"/>
  <c r="K7" i="159"/>
  <c r="I7" i="159"/>
  <c r="G7" i="159"/>
  <c r="F7" i="159"/>
  <c r="B7" i="159"/>
  <c r="Q6" i="159"/>
  <c r="O6" i="159"/>
  <c r="M6" i="159"/>
  <c r="L6" i="159"/>
  <c r="K6" i="159"/>
  <c r="I6" i="159"/>
  <c r="G6" i="159"/>
  <c r="F6" i="159"/>
  <c r="B6" i="159"/>
  <c r="N5" i="159"/>
  <c r="O5" i="159" s="1"/>
  <c r="K5" i="159"/>
  <c r="G5" i="159"/>
  <c r="F5" i="159"/>
  <c r="R4" i="159"/>
  <c r="P4" i="159"/>
  <c r="Q4" i="159" s="1"/>
  <c r="N4" i="159"/>
  <c r="L4" i="159"/>
  <c r="M4" i="159" s="1"/>
  <c r="J4" i="159"/>
  <c r="H4" i="159"/>
  <c r="K4" i="159" s="1"/>
  <c r="E4" i="159"/>
  <c r="D4" i="159"/>
  <c r="O4" i="159" s="1"/>
  <c r="C4" i="159"/>
  <c r="F2" i="159"/>
  <c r="Q19" i="158"/>
  <c r="O19" i="158"/>
  <c r="L19" i="158"/>
  <c r="M19" i="158" s="1"/>
  <c r="K19" i="158"/>
  <c r="I19" i="158"/>
  <c r="G19" i="158"/>
  <c r="F19" i="158"/>
  <c r="B19" i="158"/>
  <c r="B4" i="158" s="1"/>
  <c r="Q18" i="158"/>
  <c r="O18" i="158"/>
  <c r="M18" i="158"/>
  <c r="L18" i="158"/>
  <c r="K18" i="158"/>
  <c r="I18" i="158"/>
  <c r="G18" i="158"/>
  <c r="F18" i="158"/>
  <c r="B18" i="158"/>
  <c r="Q17" i="158"/>
  <c r="O17" i="158"/>
  <c r="M17" i="158"/>
  <c r="L17" i="158"/>
  <c r="K17" i="158"/>
  <c r="I17" i="158"/>
  <c r="F17" i="158"/>
  <c r="B17" i="158"/>
  <c r="G17" i="158" s="1"/>
  <c r="Q16" i="158"/>
  <c r="O16" i="158"/>
  <c r="L16" i="158"/>
  <c r="M16" i="158" s="1"/>
  <c r="K16" i="158"/>
  <c r="I16" i="158"/>
  <c r="F16" i="158"/>
  <c r="B16" i="158"/>
  <c r="G16" i="158" s="1"/>
  <c r="Q15" i="158"/>
  <c r="O15" i="158"/>
  <c r="L15" i="158"/>
  <c r="M15" i="158" s="1"/>
  <c r="K15" i="158"/>
  <c r="I15" i="158"/>
  <c r="G15" i="158"/>
  <c r="F15" i="158"/>
  <c r="B15" i="158"/>
  <c r="Q14" i="158"/>
  <c r="O14" i="158"/>
  <c r="M14" i="158"/>
  <c r="L14" i="158"/>
  <c r="K14" i="158"/>
  <c r="I14" i="158"/>
  <c r="G14" i="158"/>
  <c r="F14" i="158"/>
  <c r="B14" i="158"/>
  <c r="Q13" i="158"/>
  <c r="O13" i="158"/>
  <c r="M13" i="158"/>
  <c r="L13" i="158"/>
  <c r="K13" i="158"/>
  <c r="I13" i="158"/>
  <c r="F13" i="158"/>
  <c r="B13" i="158"/>
  <c r="G13" i="158" s="1"/>
  <c r="Q12" i="158"/>
  <c r="O12" i="158"/>
  <c r="L12" i="158"/>
  <c r="M12" i="158" s="1"/>
  <c r="K12" i="158"/>
  <c r="I12" i="158"/>
  <c r="F12" i="158"/>
  <c r="B12" i="158"/>
  <c r="G12" i="158" s="1"/>
  <c r="Q11" i="158"/>
  <c r="O11" i="158"/>
  <c r="L11" i="158"/>
  <c r="M11" i="158" s="1"/>
  <c r="K11" i="158"/>
  <c r="I11" i="158"/>
  <c r="G11" i="158"/>
  <c r="F11" i="158"/>
  <c r="B11" i="158"/>
  <c r="Q10" i="158"/>
  <c r="O10" i="158"/>
  <c r="M10" i="158"/>
  <c r="L10" i="158"/>
  <c r="K10" i="158"/>
  <c r="I10" i="158"/>
  <c r="G10" i="158"/>
  <c r="F10" i="158"/>
  <c r="B10" i="158"/>
  <c r="Q9" i="158"/>
  <c r="O9" i="158"/>
  <c r="M9" i="158"/>
  <c r="L9" i="158"/>
  <c r="K9" i="158"/>
  <c r="I9" i="158"/>
  <c r="I4" i="158" s="1"/>
  <c r="F9" i="158"/>
  <c r="B9" i="158"/>
  <c r="G9" i="158" s="1"/>
  <c r="Q8" i="158"/>
  <c r="O8" i="158"/>
  <c r="L8" i="158"/>
  <c r="M8" i="158" s="1"/>
  <c r="K8" i="158"/>
  <c r="I8" i="158"/>
  <c r="F8" i="158"/>
  <c r="B8" i="158"/>
  <c r="G8" i="158" s="1"/>
  <c r="Q7" i="158"/>
  <c r="O7" i="158"/>
  <c r="L7" i="158"/>
  <c r="M7" i="158" s="1"/>
  <c r="K7" i="158"/>
  <c r="I7" i="158"/>
  <c r="G7" i="158"/>
  <c r="F7" i="158"/>
  <c r="B7" i="158"/>
  <c r="Q6" i="158"/>
  <c r="O6" i="158"/>
  <c r="M6" i="158"/>
  <c r="L6" i="158"/>
  <c r="K6" i="158"/>
  <c r="I6" i="158"/>
  <c r="G6" i="158"/>
  <c r="F6" i="158"/>
  <c r="B6" i="158"/>
  <c r="N5" i="158"/>
  <c r="O5" i="158" s="1"/>
  <c r="K5" i="158"/>
  <c r="G5" i="158"/>
  <c r="F5" i="158"/>
  <c r="R4" i="158"/>
  <c r="P4" i="158"/>
  <c r="Q4" i="158" s="1"/>
  <c r="N4" i="158"/>
  <c r="J4" i="158"/>
  <c r="H4" i="158"/>
  <c r="K4" i="158" s="1"/>
  <c r="E4" i="158"/>
  <c r="D4" i="158"/>
  <c r="C4" i="158"/>
  <c r="F2" i="158"/>
  <c r="Q19" i="157"/>
  <c r="O19" i="157"/>
  <c r="L19" i="157"/>
  <c r="M19" i="157" s="1"/>
  <c r="K19" i="157"/>
  <c r="I19" i="157"/>
  <c r="G19" i="157"/>
  <c r="F19" i="157"/>
  <c r="B19" i="157"/>
  <c r="Q18" i="157"/>
  <c r="O18" i="157"/>
  <c r="M18" i="157"/>
  <c r="L18" i="157"/>
  <c r="K18" i="157"/>
  <c r="I18" i="157"/>
  <c r="G18" i="157"/>
  <c r="F18" i="157"/>
  <c r="B18" i="157"/>
  <c r="Q17" i="157"/>
  <c r="O17" i="157"/>
  <c r="M17" i="157"/>
  <c r="L17" i="157"/>
  <c r="K17" i="157"/>
  <c r="I17" i="157"/>
  <c r="F17" i="157"/>
  <c r="B17" i="157"/>
  <c r="G17" i="157" s="1"/>
  <c r="Q16" i="157"/>
  <c r="O16" i="157"/>
  <c r="L16" i="157"/>
  <c r="M16" i="157" s="1"/>
  <c r="K16" i="157"/>
  <c r="I16" i="157"/>
  <c r="F16" i="157"/>
  <c r="B16" i="157"/>
  <c r="G16" i="157" s="1"/>
  <c r="Q15" i="157"/>
  <c r="O15" i="157"/>
  <c r="L15" i="157"/>
  <c r="M15" i="157" s="1"/>
  <c r="K15" i="157"/>
  <c r="I15" i="157"/>
  <c r="G15" i="157"/>
  <c r="F15" i="157"/>
  <c r="B15" i="157"/>
  <c r="Q14" i="157"/>
  <c r="O14" i="157"/>
  <c r="M14" i="157"/>
  <c r="L14" i="157"/>
  <c r="K14" i="157"/>
  <c r="I14" i="157"/>
  <c r="G14" i="157"/>
  <c r="F14" i="157"/>
  <c r="B14" i="157"/>
  <c r="Q13" i="157"/>
  <c r="O13" i="157"/>
  <c r="M13" i="157"/>
  <c r="L13" i="157"/>
  <c r="K13" i="157"/>
  <c r="I13" i="157"/>
  <c r="F13" i="157"/>
  <c r="B13" i="157"/>
  <c r="G13" i="157" s="1"/>
  <c r="Q12" i="157"/>
  <c r="O12" i="157"/>
  <c r="L12" i="157"/>
  <c r="M12" i="157" s="1"/>
  <c r="K12" i="157"/>
  <c r="I12" i="157"/>
  <c r="F12" i="157"/>
  <c r="B12" i="157"/>
  <c r="G12" i="157" s="1"/>
  <c r="Q11" i="157"/>
  <c r="O11" i="157"/>
  <c r="L11" i="157"/>
  <c r="M11" i="157" s="1"/>
  <c r="K11" i="157"/>
  <c r="I11" i="157"/>
  <c r="G11" i="157"/>
  <c r="F11" i="157"/>
  <c r="B11" i="157"/>
  <c r="Q10" i="157"/>
  <c r="O10" i="157"/>
  <c r="M10" i="157"/>
  <c r="L10" i="157"/>
  <c r="K10" i="157"/>
  <c r="I10" i="157"/>
  <c r="G10" i="157"/>
  <c r="F10" i="157"/>
  <c r="B10" i="157"/>
  <c r="Q9" i="157"/>
  <c r="O9" i="157"/>
  <c r="M9" i="157"/>
  <c r="L9" i="157"/>
  <c r="K9" i="157"/>
  <c r="I9" i="157"/>
  <c r="I4" i="157" s="1"/>
  <c r="F9" i="157"/>
  <c r="B9" i="157"/>
  <c r="G9" i="157" s="1"/>
  <c r="Q8" i="157"/>
  <c r="O8" i="157"/>
  <c r="L8" i="157"/>
  <c r="M8" i="157" s="1"/>
  <c r="K8" i="157"/>
  <c r="I8" i="157"/>
  <c r="F8" i="157"/>
  <c r="B8" i="157"/>
  <c r="G8" i="157" s="1"/>
  <c r="Q7" i="157"/>
  <c r="O7" i="157"/>
  <c r="L7" i="157"/>
  <c r="M7" i="157" s="1"/>
  <c r="K7" i="157"/>
  <c r="I7" i="157"/>
  <c r="G7" i="157"/>
  <c r="F7" i="157"/>
  <c r="B7" i="157"/>
  <c r="Q6" i="157"/>
  <c r="O6" i="157"/>
  <c r="M6" i="157"/>
  <c r="L6" i="157"/>
  <c r="K6" i="157"/>
  <c r="I6" i="157"/>
  <c r="G6" i="157"/>
  <c r="F6" i="157"/>
  <c r="B6" i="157"/>
  <c r="N5" i="157"/>
  <c r="O5" i="157" s="1"/>
  <c r="K5" i="157"/>
  <c r="G5" i="157"/>
  <c r="F5" i="157"/>
  <c r="R4" i="157"/>
  <c r="P4" i="157"/>
  <c r="Q4" i="157" s="1"/>
  <c r="N4" i="157"/>
  <c r="J4" i="157"/>
  <c r="H4" i="157"/>
  <c r="K4" i="157" s="1"/>
  <c r="E4" i="157"/>
  <c r="D4" i="157"/>
  <c r="C4" i="157"/>
  <c r="F2" i="157"/>
  <c r="Q19" i="156"/>
  <c r="O19" i="156"/>
  <c r="L19" i="156"/>
  <c r="M19" i="156" s="1"/>
  <c r="K19" i="156"/>
  <c r="I19" i="156"/>
  <c r="G19" i="156"/>
  <c r="F19" i="156"/>
  <c r="B19" i="156"/>
  <c r="Q18" i="156"/>
  <c r="O18" i="156"/>
  <c r="M18" i="156"/>
  <c r="L18" i="156"/>
  <c r="K18" i="156"/>
  <c r="I18" i="156"/>
  <c r="G18" i="156"/>
  <c r="F18" i="156"/>
  <c r="B18" i="156"/>
  <c r="Q17" i="156"/>
  <c r="O17" i="156"/>
  <c r="M17" i="156"/>
  <c r="L17" i="156"/>
  <c r="K17" i="156"/>
  <c r="I17" i="156"/>
  <c r="F17" i="156"/>
  <c r="B17" i="156"/>
  <c r="G17" i="156" s="1"/>
  <c r="Q16" i="156"/>
  <c r="O16" i="156"/>
  <c r="L16" i="156"/>
  <c r="M16" i="156" s="1"/>
  <c r="K16" i="156"/>
  <c r="I16" i="156"/>
  <c r="F16" i="156"/>
  <c r="B16" i="156"/>
  <c r="G16" i="156" s="1"/>
  <c r="Q15" i="156"/>
  <c r="O15" i="156"/>
  <c r="L15" i="156"/>
  <c r="M15" i="156" s="1"/>
  <c r="K15" i="156"/>
  <c r="I15" i="156"/>
  <c r="G15" i="156"/>
  <c r="F15" i="156"/>
  <c r="B15" i="156"/>
  <c r="Q14" i="156"/>
  <c r="O14" i="156"/>
  <c r="M14" i="156"/>
  <c r="L14" i="156"/>
  <c r="K14" i="156"/>
  <c r="I14" i="156"/>
  <c r="G14" i="156"/>
  <c r="F14" i="156"/>
  <c r="B14" i="156"/>
  <c r="Q13" i="156"/>
  <c r="O13" i="156"/>
  <c r="M13" i="156"/>
  <c r="L13" i="156"/>
  <c r="K13" i="156"/>
  <c r="I13" i="156"/>
  <c r="F13" i="156"/>
  <c r="B13" i="156"/>
  <c r="G13" i="156" s="1"/>
  <c r="Q12" i="156"/>
  <c r="O12" i="156"/>
  <c r="L12" i="156"/>
  <c r="M12" i="156" s="1"/>
  <c r="K12" i="156"/>
  <c r="I12" i="156"/>
  <c r="F12" i="156"/>
  <c r="B12" i="156"/>
  <c r="G12" i="156" s="1"/>
  <c r="Q11" i="156"/>
  <c r="O11" i="156"/>
  <c r="L11" i="156"/>
  <c r="M11" i="156" s="1"/>
  <c r="K11" i="156"/>
  <c r="I11" i="156"/>
  <c r="G11" i="156"/>
  <c r="F11" i="156"/>
  <c r="B11" i="156"/>
  <c r="Q10" i="156"/>
  <c r="O10" i="156"/>
  <c r="M10" i="156"/>
  <c r="L10" i="156"/>
  <c r="K10" i="156"/>
  <c r="I10" i="156"/>
  <c r="G10" i="156"/>
  <c r="F10" i="156"/>
  <c r="B10" i="156"/>
  <c r="Q9" i="156"/>
  <c r="O9" i="156"/>
  <c r="M9" i="156"/>
  <c r="L9" i="156"/>
  <c r="K9" i="156"/>
  <c r="I9" i="156"/>
  <c r="I4" i="156" s="1"/>
  <c r="F9" i="156"/>
  <c r="B9" i="156"/>
  <c r="G9" i="156" s="1"/>
  <c r="Q8" i="156"/>
  <c r="O8" i="156"/>
  <c r="L8" i="156"/>
  <c r="M8" i="156" s="1"/>
  <c r="K8" i="156"/>
  <c r="I8" i="156"/>
  <c r="F8" i="156"/>
  <c r="B8" i="156"/>
  <c r="G8" i="156" s="1"/>
  <c r="Q7" i="156"/>
  <c r="O7" i="156"/>
  <c r="L7" i="156"/>
  <c r="M7" i="156" s="1"/>
  <c r="K7" i="156"/>
  <c r="I7" i="156"/>
  <c r="G7" i="156"/>
  <c r="F7" i="156"/>
  <c r="B7" i="156"/>
  <c r="Q6" i="156"/>
  <c r="O6" i="156"/>
  <c r="M6" i="156"/>
  <c r="L6" i="156"/>
  <c r="K6" i="156"/>
  <c r="I6" i="156"/>
  <c r="G6" i="156"/>
  <c r="F6" i="156"/>
  <c r="B6" i="156"/>
  <c r="N5" i="156"/>
  <c r="O5" i="156" s="1"/>
  <c r="K5" i="156"/>
  <c r="G5" i="156"/>
  <c r="F5" i="156"/>
  <c r="R4" i="156"/>
  <c r="P4" i="156"/>
  <c r="Q4" i="156" s="1"/>
  <c r="N4" i="156"/>
  <c r="J4" i="156"/>
  <c r="H4" i="156"/>
  <c r="K4" i="156" s="1"/>
  <c r="E4" i="156"/>
  <c r="D4" i="156"/>
  <c r="C4" i="156"/>
  <c r="F2" i="156"/>
  <c r="Q19" i="155"/>
  <c r="O19" i="155"/>
  <c r="L19" i="155"/>
  <c r="M19" i="155" s="1"/>
  <c r="K19" i="155"/>
  <c r="I19" i="155"/>
  <c r="G19" i="155"/>
  <c r="F19" i="155"/>
  <c r="B19" i="155"/>
  <c r="Q18" i="155"/>
  <c r="O18" i="155"/>
  <c r="M18" i="155"/>
  <c r="L18" i="155"/>
  <c r="K18" i="155"/>
  <c r="I18" i="155"/>
  <c r="G18" i="155"/>
  <c r="F18" i="155"/>
  <c r="B18" i="155"/>
  <c r="Q17" i="155"/>
  <c r="O17" i="155"/>
  <c r="M17" i="155"/>
  <c r="L17" i="155"/>
  <c r="K17" i="155"/>
  <c r="I17" i="155"/>
  <c r="F17" i="155"/>
  <c r="B17" i="155"/>
  <c r="G17" i="155" s="1"/>
  <c r="Q16" i="155"/>
  <c r="O16" i="155"/>
  <c r="L16" i="155"/>
  <c r="M16" i="155" s="1"/>
  <c r="K16" i="155"/>
  <c r="I16" i="155"/>
  <c r="F16" i="155"/>
  <c r="B16" i="155"/>
  <c r="G16" i="155" s="1"/>
  <c r="Q15" i="155"/>
  <c r="O15" i="155"/>
  <c r="L15" i="155"/>
  <c r="M15" i="155" s="1"/>
  <c r="K15" i="155"/>
  <c r="I15" i="155"/>
  <c r="G15" i="155"/>
  <c r="F15" i="155"/>
  <c r="B15" i="155"/>
  <c r="Q14" i="155"/>
  <c r="O14" i="155"/>
  <c r="M14" i="155"/>
  <c r="L14" i="155"/>
  <c r="K14" i="155"/>
  <c r="I14" i="155"/>
  <c r="G14" i="155"/>
  <c r="F14" i="155"/>
  <c r="B14" i="155"/>
  <c r="Q13" i="155"/>
  <c r="O13" i="155"/>
  <c r="M13" i="155"/>
  <c r="L13" i="155"/>
  <c r="K13" i="155"/>
  <c r="I13" i="155"/>
  <c r="F13" i="155"/>
  <c r="B13" i="155"/>
  <c r="G13" i="155" s="1"/>
  <c r="Q12" i="155"/>
  <c r="O12" i="155"/>
  <c r="L12" i="155"/>
  <c r="M12" i="155" s="1"/>
  <c r="K12" i="155"/>
  <c r="I12" i="155"/>
  <c r="F12" i="155"/>
  <c r="B12" i="155"/>
  <c r="G12" i="155" s="1"/>
  <c r="Q11" i="155"/>
  <c r="O11" i="155"/>
  <c r="L11" i="155"/>
  <c r="M11" i="155" s="1"/>
  <c r="K11" i="155"/>
  <c r="I11" i="155"/>
  <c r="G11" i="155"/>
  <c r="F11" i="155"/>
  <c r="B11" i="155"/>
  <c r="Q10" i="155"/>
  <c r="O10" i="155"/>
  <c r="M10" i="155"/>
  <c r="L10" i="155"/>
  <c r="K10" i="155"/>
  <c r="I10" i="155"/>
  <c r="G10" i="155"/>
  <c r="F10" i="155"/>
  <c r="B10" i="155"/>
  <c r="Q9" i="155"/>
  <c r="O9" i="155"/>
  <c r="M9" i="155"/>
  <c r="L9" i="155"/>
  <c r="K9" i="155"/>
  <c r="I9" i="155"/>
  <c r="I4" i="155" s="1"/>
  <c r="F9" i="155"/>
  <c r="B9" i="155"/>
  <c r="G9" i="155" s="1"/>
  <c r="Q8" i="155"/>
  <c r="O8" i="155"/>
  <c r="L8" i="155"/>
  <c r="M8" i="155" s="1"/>
  <c r="K8" i="155"/>
  <c r="I8" i="155"/>
  <c r="F8" i="155"/>
  <c r="B8" i="155"/>
  <c r="G8" i="155" s="1"/>
  <c r="Q7" i="155"/>
  <c r="O7" i="155"/>
  <c r="L7" i="155"/>
  <c r="M7" i="155" s="1"/>
  <c r="K7" i="155"/>
  <c r="I7" i="155"/>
  <c r="G7" i="155"/>
  <c r="F7" i="155"/>
  <c r="B7" i="155"/>
  <c r="Q6" i="155"/>
  <c r="O6" i="155"/>
  <c r="M6" i="155"/>
  <c r="L6" i="155"/>
  <c r="K6" i="155"/>
  <c r="I6" i="155"/>
  <c r="G6" i="155"/>
  <c r="F6" i="155"/>
  <c r="B6" i="155"/>
  <c r="N5" i="155"/>
  <c r="O5" i="155" s="1"/>
  <c r="K5" i="155"/>
  <c r="G5" i="155"/>
  <c r="F5" i="155"/>
  <c r="R4" i="155"/>
  <c r="P4" i="155"/>
  <c r="Q4" i="155" s="1"/>
  <c r="N4" i="155"/>
  <c r="J4" i="155"/>
  <c r="H4" i="155"/>
  <c r="K4" i="155" s="1"/>
  <c r="E4" i="155"/>
  <c r="D4" i="155"/>
  <c r="C4" i="155"/>
  <c r="F2" i="155"/>
  <c r="Q19" i="154"/>
  <c r="O19" i="154"/>
  <c r="L19" i="154"/>
  <c r="M19" i="154" s="1"/>
  <c r="K19" i="154"/>
  <c r="I19" i="154"/>
  <c r="G19" i="154"/>
  <c r="F19" i="154"/>
  <c r="B19" i="154"/>
  <c r="Q18" i="154"/>
  <c r="O18" i="154"/>
  <c r="M18" i="154"/>
  <c r="L18" i="154"/>
  <c r="K18" i="154"/>
  <c r="I18" i="154"/>
  <c r="G18" i="154"/>
  <c r="F18" i="154"/>
  <c r="B18" i="154"/>
  <c r="Q17" i="154"/>
  <c r="O17" i="154"/>
  <c r="M17" i="154"/>
  <c r="L17" i="154"/>
  <c r="K17" i="154"/>
  <c r="I17" i="154"/>
  <c r="F17" i="154"/>
  <c r="B17" i="154"/>
  <c r="G17" i="154" s="1"/>
  <c r="Q16" i="154"/>
  <c r="O16" i="154"/>
  <c r="L16" i="154"/>
  <c r="M16" i="154" s="1"/>
  <c r="K16" i="154"/>
  <c r="I16" i="154"/>
  <c r="F16" i="154"/>
  <c r="B16" i="154"/>
  <c r="G16" i="154" s="1"/>
  <c r="Q15" i="154"/>
  <c r="O15" i="154"/>
  <c r="L15" i="154"/>
  <c r="M15" i="154" s="1"/>
  <c r="K15" i="154"/>
  <c r="I15" i="154"/>
  <c r="G15" i="154"/>
  <c r="F15" i="154"/>
  <c r="B15" i="154"/>
  <c r="Q14" i="154"/>
  <c r="O14" i="154"/>
  <c r="M14" i="154"/>
  <c r="L14" i="154"/>
  <c r="K14" i="154"/>
  <c r="I14" i="154"/>
  <c r="G14" i="154"/>
  <c r="F14" i="154"/>
  <c r="B14" i="154"/>
  <c r="Q13" i="154"/>
  <c r="O13" i="154"/>
  <c r="M13" i="154"/>
  <c r="L13" i="154"/>
  <c r="K13" i="154"/>
  <c r="I13" i="154"/>
  <c r="F13" i="154"/>
  <c r="B13" i="154"/>
  <c r="G13" i="154" s="1"/>
  <c r="Q12" i="154"/>
  <c r="O12" i="154"/>
  <c r="L12" i="154"/>
  <c r="M12" i="154" s="1"/>
  <c r="K12" i="154"/>
  <c r="I12" i="154"/>
  <c r="F12" i="154"/>
  <c r="B12" i="154"/>
  <c r="G12" i="154" s="1"/>
  <c r="Q11" i="154"/>
  <c r="O11" i="154"/>
  <c r="L11" i="154"/>
  <c r="M11" i="154" s="1"/>
  <c r="K11" i="154"/>
  <c r="I11" i="154"/>
  <c r="G11" i="154"/>
  <c r="F11" i="154"/>
  <c r="B11" i="154"/>
  <c r="Q10" i="154"/>
  <c r="O10" i="154"/>
  <c r="M10" i="154"/>
  <c r="L10" i="154"/>
  <c r="K10" i="154"/>
  <c r="I10" i="154"/>
  <c r="G10" i="154"/>
  <c r="F10" i="154"/>
  <c r="B10" i="154"/>
  <c r="Q9" i="154"/>
  <c r="O9" i="154"/>
  <c r="M9" i="154"/>
  <c r="L9" i="154"/>
  <c r="K9" i="154"/>
  <c r="I9" i="154"/>
  <c r="I4" i="154" s="1"/>
  <c r="F9" i="154"/>
  <c r="B9" i="154"/>
  <c r="G9" i="154" s="1"/>
  <c r="Q8" i="154"/>
  <c r="O8" i="154"/>
  <c r="L8" i="154"/>
  <c r="M8" i="154" s="1"/>
  <c r="K8" i="154"/>
  <c r="I8" i="154"/>
  <c r="F8" i="154"/>
  <c r="B8" i="154"/>
  <c r="G8" i="154" s="1"/>
  <c r="Q7" i="154"/>
  <c r="O7" i="154"/>
  <c r="L7" i="154"/>
  <c r="M7" i="154" s="1"/>
  <c r="K7" i="154"/>
  <c r="I7" i="154"/>
  <c r="G7" i="154"/>
  <c r="F7" i="154"/>
  <c r="B7" i="154"/>
  <c r="Q6" i="154"/>
  <c r="O6" i="154"/>
  <c r="M6" i="154"/>
  <c r="L6" i="154"/>
  <c r="K6" i="154"/>
  <c r="I6" i="154"/>
  <c r="G6" i="154"/>
  <c r="F6" i="154"/>
  <c r="B6" i="154"/>
  <c r="N5" i="154"/>
  <c r="O5" i="154" s="1"/>
  <c r="K5" i="154"/>
  <c r="G5" i="154"/>
  <c r="F5" i="154"/>
  <c r="R4" i="154"/>
  <c r="P4" i="154"/>
  <c r="Q4" i="154" s="1"/>
  <c r="N4" i="154"/>
  <c r="J4" i="154"/>
  <c r="H4" i="154"/>
  <c r="K4" i="154" s="1"/>
  <c r="E4" i="154"/>
  <c r="D4" i="154"/>
  <c r="C4" i="154"/>
  <c r="F2" i="154"/>
  <c r="Q19" i="153"/>
  <c r="O19" i="153"/>
  <c r="L19" i="153"/>
  <c r="M19" i="153" s="1"/>
  <c r="K19" i="153"/>
  <c r="I19" i="153"/>
  <c r="G19" i="153"/>
  <c r="F19" i="153"/>
  <c r="B19" i="153"/>
  <c r="Q18" i="153"/>
  <c r="O18" i="153"/>
  <c r="M18" i="153"/>
  <c r="L18" i="153"/>
  <c r="K18" i="153"/>
  <c r="I18" i="153"/>
  <c r="G18" i="153"/>
  <c r="F18" i="153"/>
  <c r="B18" i="153"/>
  <c r="Q17" i="153"/>
  <c r="O17" i="153"/>
  <c r="M17" i="153"/>
  <c r="L17" i="153"/>
  <c r="K17" i="153"/>
  <c r="I17" i="153"/>
  <c r="F17" i="153"/>
  <c r="B17" i="153"/>
  <c r="G17" i="153" s="1"/>
  <c r="Q16" i="153"/>
  <c r="O16" i="153"/>
  <c r="L16" i="153"/>
  <c r="M16" i="153" s="1"/>
  <c r="K16" i="153"/>
  <c r="I16" i="153"/>
  <c r="F16" i="153"/>
  <c r="B16" i="153"/>
  <c r="G16" i="153" s="1"/>
  <c r="Q15" i="153"/>
  <c r="O15" i="153"/>
  <c r="L15" i="153"/>
  <c r="M15" i="153" s="1"/>
  <c r="K15" i="153"/>
  <c r="I15" i="153"/>
  <c r="G15" i="153"/>
  <c r="F15" i="153"/>
  <c r="B15" i="153"/>
  <c r="Q14" i="153"/>
  <c r="O14" i="153"/>
  <c r="M14" i="153"/>
  <c r="L14" i="153"/>
  <c r="K14" i="153"/>
  <c r="I14" i="153"/>
  <c r="G14" i="153"/>
  <c r="F14" i="153"/>
  <c r="B14" i="153"/>
  <c r="Q13" i="153"/>
  <c r="O13" i="153"/>
  <c r="M13" i="153"/>
  <c r="L13" i="153"/>
  <c r="K13" i="153"/>
  <c r="I13" i="153"/>
  <c r="F13" i="153"/>
  <c r="B13" i="153"/>
  <c r="G13" i="153" s="1"/>
  <c r="Q12" i="153"/>
  <c r="O12" i="153"/>
  <c r="L12" i="153"/>
  <c r="M12" i="153" s="1"/>
  <c r="K12" i="153"/>
  <c r="I12" i="153"/>
  <c r="F12" i="153"/>
  <c r="B12" i="153"/>
  <c r="G12" i="153" s="1"/>
  <c r="Q11" i="153"/>
  <c r="O11" i="153"/>
  <c r="L11" i="153"/>
  <c r="M11" i="153" s="1"/>
  <c r="K11" i="153"/>
  <c r="I11" i="153"/>
  <c r="G11" i="153"/>
  <c r="F11" i="153"/>
  <c r="B11" i="153"/>
  <c r="Q10" i="153"/>
  <c r="O10" i="153"/>
  <c r="M10" i="153"/>
  <c r="L10" i="153"/>
  <c r="K10" i="153"/>
  <c r="I10" i="153"/>
  <c r="G10" i="153"/>
  <c r="F10" i="153"/>
  <c r="B10" i="153"/>
  <c r="Q9" i="153"/>
  <c r="O9" i="153"/>
  <c r="M9" i="153"/>
  <c r="L9" i="153"/>
  <c r="K9" i="153"/>
  <c r="I9" i="153"/>
  <c r="I4" i="153" s="1"/>
  <c r="F9" i="153"/>
  <c r="B9" i="153"/>
  <c r="G9" i="153" s="1"/>
  <c r="Q8" i="153"/>
  <c r="O8" i="153"/>
  <c r="L8" i="153"/>
  <c r="M8" i="153" s="1"/>
  <c r="K8" i="153"/>
  <c r="I8" i="153"/>
  <c r="F8" i="153"/>
  <c r="B8" i="153"/>
  <c r="G8" i="153" s="1"/>
  <c r="Q7" i="153"/>
  <c r="O7" i="153"/>
  <c r="L7" i="153"/>
  <c r="M7" i="153" s="1"/>
  <c r="K7" i="153"/>
  <c r="I7" i="153"/>
  <c r="G7" i="153"/>
  <c r="F7" i="153"/>
  <c r="B7" i="153"/>
  <c r="Q6" i="153"/>
  <c r="O6" i="153"/>
  <c r="M6" i="153"/>
  <c r="L6" i="153"/>
  <c r="K6" i="153"/>
  <c r="I6" i="153"/>
  <c r="G6" i="153"/>
  <c r="F6" i="153"/>
  <c r="B6" i="153"/>
  <c r="N5" i="153"/>
  <c r="O5" i="153" s="1"/>
  <c r="K5" i="153"/>
  <c r="G5" i="153"/>
  <c r="F5" i="153"/>
  <c r="R4" i="153"/>
  <c r="P4" i="153"/>
  <c r="N4" i="153"/>
  <c r="L4" i="153"/>
  <c r="M4" i="153" s="1"/>
  <c r="J4" i="153"/>
  <c r="H4" i="153"/>
  <c r="K4" i="153" s="1"/>
  <c r="E4" i="153"/>
  <c r="D4" i="153"/>
  <c r="F2" i="153" s="1"/>
  <c r="C4" i="153"/>
  <c r="Q19" i="152"/>
  <c r="O19" i="152"/>
  <c r="L19" i="152"/>
  <c r="M19" i="152" s="1"/>
  <c r="K19" i="152"/>
  <c r="I19" i="152"/>
  <c r="G19" i="152"/>
  <c r="F19" i="152"/>
  <c r="B19" i="152"/>
  <c r="Q18" i="152"/>
  <c r="O18" i="152"/>
  <c r="M18" i="152"/>
  <c r="L18" i="152"/>
  <c r="K18" i="152"/>
  <c r="I18" i="152"/>
  <c r="G18" i="152"/>
  <c r="F18" i="152"/>
  <c r="B18" i="152"/>
  <c r="Q17" i="152"/>
  <c r="O17" i="152"/>
  <c r="M17" i="152"/>
  <c r="L17" i="152"/>
  <c r="K17" i="152"/>
  <c r="I17" i="152"/>
  <c r="F17" i="152"/>
  <c r="B17" i="152"/>
  <c r="G17" i="152" s="1"/>
  <c r="Q16" i="152"/>
  <c r="O16" i="152"/>
  <c r="L16" i="152"/>
  <c r="M16" i="152" s="1"/>
  <c r="K16" i="152"/>
  <c r="I16" i="152"/>
  <c r="F16" i="152"/>
  <c r="B16" i="152"/>
  <c r="G16" i="152" s="1"/>
  <c r="Q15" i="152"/>
  <c r="O15" i="152"/>
  <c r="L15" i="152"/>
  <c r="M15" i="152" s="1"/>
  <c r="K15" i="152"/>
  <c r="I15" i="152"/>
  <c r="G15" i="152"/>
  <c r="F15" i="152"/>
  <c r="B15" i="152"/>
  <c r="Q14" i="152"/>
  <c r="O14" i="152"/>
  <c r="M14" i="152"/>
  <c r="L14" i="152"/>
  <c r="K14" i="152"/>
  <c r="I14" i="152"/>
  <c r="G14" i="152"/>
  <c r="F14" i="152"/>
  <c r="B14" i="152"/>
  <c r="Q13" i="152"/>
  <c r="O13" i="152"/>
  <c r="M13" i="152"/>
  <c r="L13" i="152"/>
  <c r="K13" i="152"/>
  <c r="I13" i="152"/>
  <c r="F13" i="152"/>
  <c r="B13" i="152"/>
  <c r="G13" i="152" s="1"/>
  <c r="Q12" i="152"/>
  <c r="O12" i="152"/>
  <c r="L12" i="152"/>
  <c r="M12" i="152" s="1"/>
  <c r="K12" i="152"/>
  <c r="I12" i="152"/>
  <c r="F12" i="152"/>
  <c r="B12" i="152"/>
  <c r="G12" i="152" s="1"/>
  <c r="Q11" i="152"/>
  <c r="O11" i="152"/>
  <c r="L11" i="152"/>
  <c r="M11" i="152" s="1"/>
  <c r="K11" i="152"/>
  <c r="I11" i="152"/>
  <c r="G11" i="152"/>
  <c r="F11" i="152"/>
  <c r="B11" i="152"/>
  <c r="Q10" i="152"/>
  <c r="O10" i="152"/>
  <c r="M10" i="152"/>
  <c r="L10" i="152"/>
  <c r="K10" i="152"/>
  <c r="I10" i="152"/>
  <c r="G10" i="152"/>
  <c r="F10" i="152"/>
  <c r="B10" i="152"/>
  <c r="Q9" i="152"/>
  <c r="O9" i="152"/>
  <c r="M9" i="152"/>
  <c r="L9" i="152"/>
  <c r="K9" i="152"/>
  <c r="I9" i="152"/>
  <c r="I4" i="152" s="1"/>
  <c r="F9" i="152"/>
  <c r="B9" i="152"/>
  <c r="G9" i="152" s="1"/>
  <c r="Q8" i="152"/>
  <c r="O8" i="152"/>
  <c r="L8" i="152"/>
  <c r="M8" i="152" s="1"/>
  <c r="K8" i="152"/>
  <c r="I8" i="152"/>
  <c r="F8" i="152"/>
  <c r="B8" i="152"/>
  <c r="G8" i="152" s="1"/>
  <c r="Q7" i="152"/>
  <c r="O7" i="152"/>
  <c r="L7" i="152"/>
  <c r="M7" i="152" s="1"/>
  <c r="K7" i="152"/>
  <c r="I7" i="152"/>
  <c r="G7" i="152"/>
  <c r="F7" i="152"/>
  <c r="B7" i="152"/>
  <c r="Q6" i="152"/>
  <c r="O6" i="152"/>
  <c r="M6" i="152"/>
  <c r="L6" i="152"/>
  <c r="K6" i="152"/>
  <c r="I6" i="152"/>
  <c r="G6" i="152"/>
  <c r="F6" i="152"/>
  <c r="B6" i="152"/>
  <c r="N5" i="152"/>
  <c r="O5" i="152" s="1"/>
  <c r="K5" i="152"/>
  <c r="G5" i="152"/>
  <c r="F5" i="152"/>
  <c r="R4" i="152"/>
  <c r="P4" i="152"/>
  <c r="N4" i="152"/>
  <c r="L4" i="152"/>
  <c r="M4" i="152" s="1"/>
  <c r="J4" i="152"/>
  <c r="H4" i="152"/>
  <c r="K4" i="152" s="1"/>
  <c r="E4" i="152"/>
  <c r="D4" i="152"/>
  <c r="C4" i="152"/>
  <c r="F2" i="152"/>
  <c r="Q19" i="151"/>
  <c r="O19" i="151"/>
  <c r="L19" i="151"/>
  <c r="M19" i="151" s="1"/>
  <c r="K19" i="151"/>
  <c r="I19" i="151"/>
  <c r="G19" i="151"/>
  <c r="F19" i="151"/>
  <c r="B19" i="151"/>
  <c r="Q18" i="151"/>
  <c r="O18" i="151"/>
  <c r="M18" i="151"/>
  <c r="L18" i="151"/>
  <c r="K18" i="151"/>
  <c r="I18" i="151"/>
  <c r="G18" i="151"/>
  <c r="F18" i="151"/>
  <c r="B18" i="151"/>
  <c r="Q17" i="151"/>
  <c r="O17" i="151"/>
  <c r="M17" i="151"/>
  <c r="L17" i="151"/>
  <c r="K17" i="151"/>
  <c r="I17" i="151"/>
  <c r="F17" i="151"/>
  <c r="B17" i="151"/>
  <c r="G17" i="151" s="1"/>
  <c r="Q16" i="151"/>
  <c r="O16" i="151"/>
  <c r="L16" i="151"/>
  <c r="M16" i="151" s="1"/>
  <c r="K16" i="151"/>
  <c r="I16" i="151"/>
  <c r="F16" i="151"/>
  <c r="B16" i="151"/>
  <c r="G16" i="151" s="1"/>
  <c r="Q15" i="151"/>
  <c r="O15" i="151"/>
  <c r="L15" i="151"/>
  <c r="M15" i="151" s="1"/>
  <c r="K15" i="151"/>
  <c r="I15" i="151"/>
  <c r="G15" i="151"/>
  <c r="F15" i="151"/>
  <c r="B15" i="151"/>
  <c r="Q14" i="151"/>
  <c r="O14" i="151"/>
  <c r="M14" i="151"/>
  <c r="L14" i="151"/>
  <c r="K14" i="151"/>
  <c r="I14" i="151"/>
  <c r="G14" i="151"/>
  <c r="F14" i="151"/>
  <c r="B14" i="151"/>
  <c r="Q13" i="151"/>
  <c r="O13" i="151"/>
  <c r="M13" i="151"/>
  <c r="L13" i="151"/>
  <c r="K13" i="151"/>
  <c r="I13" i="151"/>
  <c r="F13" i="151"/>
  <c r="B13" i="151"/>
  <c r="G13" i="151" s="1"/>
  <c r="Q12" i="151"/>
  <c r="O12" i="151"/>
  <c r="L12" i="151"/>
  <c r="M12" i="151" s="1"/>
  <c r="K12" i="151"/>
  <c r="I12" i="151"/>
  <c r="F12" i="151"/>
  <c r="B12" i="151"/>
  <c r="G12" i="151" s="1"/>
  <c r="Q11" i="151"/>
  <c r="O11" i="151"/>
  <c r="L11" i="151"/>
  <c r="M11" i="151" s="1"/>
  <c r="K11" i="151"/>
  <c r="I11" i="151"/>
  <c r="G11" i="151"/>
  <c r="F11" i="151"/>
  <c r="B11" i="151"/>
  <c r="Q10" i="151"/>
  <c r="O10" i="151"/>
  <c r="M10" i="151"/>
  <c r="L10" i="151"/>
  <c r="K10" i="151"/>
  <c r="I10" i="151"/>
  <c r="G10" i="151"/>
  <c r="F10" i="151"/>
  <c r="B10" i="151"/>
  <c r="Q9" i="151"/>
  <c r="O9" i="151"/>
  <c r="M9" i="151"/>
  <c r="L9" i="151"/>
  <c r="K9" i="151"/>
  <c r="I9" i="151"/>
  <c r="I4" i="151" s="1"/>
  <c r="F9" i="151"/>
  <c r="B9" i="151"/>
  <c r="G9" i="151" s="1"/>
  <c r="Q8" i="151"/>
  <c r="O8" i="151"/>
  <c r="L8" i="151"/>
  <c r="M8" i="151" s="1"/>
  <c r="K8" i="151"/>
  <c r="I8" i="151"/>
  <c r="F8" i="151"/>
  <c r="B8" i="151"/>
  <c r="G8" i="151" s="1"/>
  <c r="Q7" i="151"/>
  <c r="O7" i="151"/>
  <c r="L7" i="151"/>
  <c r="M7" i="151" s="1"/>
  <c r="K7" i="151"/>
  <c r="I7" i="151"/>
  <c r="G7" i="151"/>
  <c r="F7" i="151"/>
  <c r="B7" i="151"/>
  <c r="Q6" i="151"/>
  <c r="O6" i="151"/>
  <c r="M6" i="151"/>
  <c r="L6" i="151"/>
  <c r="K6" i="151"/>
  <c r="I6" i="151"/>
  <c r="G6" i="151"/>
  <c r="F6" i="151"/>
  <c r="B6" i="151"/>
  <c r="N5" i="151"/>
  <c r="O5" i="151" s="1"/>
  <c r="K5" i="151"/>
  <c r="G5" i="151"/>
  <c r="F5" i="151"/>
  <c r="R4" i="151"/>
  <c r="P4" i="151"/>
  <c r="Q4" i="151" s="1"/>
  <c r="N4" i="151"/>
  <c r="J4" i="151"/>
  <c r="H4" i="151"/>
  <c r="K4" i="151" s="1"/>
  <c r="E4" i="151"/>
  <c r="D4" i="151"/>
  <c r="C4" i="151"/>
  <c r="F2" i="151"/>
  <c r="Q19" i="150"/>
  <c r="O19" i="150"/>
  <c r="L19" i="150"/>
  <c r="M19" i="150" s="1"/>
  <c r="K19" i="150"/>
  <c r="I19" i="150"/>
  <c r="G19" i="150"/>
  <c r="F19" i="150"/>
  <c r="B19" i="150"/>
  <c r="Q18" i="150"/>
  <c r="O18" i="150"/>
  <c r="M18" i="150"/>
  <c r="L18" i="150"/>
  <c r="K18" i="150"/>
  <c r="I18" i="150"/>
  <c r="G18" i="150"/>
  <c r="F18" i="150"/>
  <c r="B18" i="150"/>
  <c r="Q17" i="150"/>
  <c r="O17" i="150"/>
  <c r="M17" i="150"/>
  <c r="L17" i="150"/>
  <c r="K17" i="150"/>
  <c r="I17" i="150"/>
  <c r="F17" i="150"/>
  <c r="B17" i="150"/>
  <c r="G17" i="150" s="1"/>
  <c r="Q16" i="150"/>
  <c r="O16" i="150"/>
  <c r="L16" i="150"/>
  <c r="M16" i="150" s="1"/>
  <c r="K16" i="150"/>
  <c r="I16" i="150"/>
  <c r="F16" i="150"/>
  <c r="B16" i="150"/>
  <c r="G16" i="150" s="1"/>
  <c r="Q15" i="150"/>
  <c r="O15" i="150"/>
  <c r="L15" i="150"/>
  <c r="M15" i="150" s="1"/>
  <c r="K15" i="150"/>
  <c r="I15" i="150"/>
  <c r="G15" i="150"/>
  <c r="F15" i="150"/>
  <c r="B15" i="150"/>
  <c r="Q14" i="150"/>
  <c r="O14" i="150"/>
  <c r="M14" i="150"/>
  <c r="L14" i="150"/>
  <c r="K14" i="150"/>
  <c r="I14" i="150"/>
  <c r="G14" i="150"/>
  <c r="F14" i="150"/>
  <c r="B14" i="150"/>
  <c r="Q13" i="150"/>
  <c r="O13" i="150"/>
  <c r="M13" i="150"/>
  <c r="L13" i="150"/>
  <c r="K13" i="150"/>
  <c r="I13" i="150"/>
  <c r="F13" i="150"/>
  <c r="B13" i="150"/>
  <c r="G13" i="150" s="1"/>
  <c r="Q12" i="150"/>
  <c r="O12" i="150"/>
  <c r="L12" i="150"/>
  <c r="M12" i="150" s="1"/>
  <c r="K12" i="150"/>
  <c r="I12" i="150"/>
  <c r="F12" i="150"/>
  <c r="B12" i="150"/>
  <c r="G12" i="150" s="1"/>
  <c r="Q11" i="150"/>
  <c r="O11" i="150"/>
  <c r="L11" i="150"/>
  <c r="M11" i="150" s="1"/>
  <c r="K11" i="150"/>
  <c r="I11" i="150"/>
  <c r="G11" i="150"/>
  <c r="F11" i="150"/>
  <c r="B11" i="150"/>
  <c r="Q10" i="150"/>
  <c r="O10" i="150"/>
  <c r="M10" i="150"/>
  <c r="L10" i="150"/>
  <c r="K10" i="150"/>
  <c r="I10" i="150"/>
  <c r="G10" i="150"/>
  <c r="F10" i="150"/>
  <c r="B10" i="150"/>
  <c r="Q9" i="150"/>
  <c r="O9" i="150"/>
  <c r="M9" i="150"/>
  <c r="L9" i="150"/>
  <c r="K9" i="150"/>
  <c r="I9" i="150"/>
  <c r="F9" i="150"/>
  <c r="B9" i="150"/>
  <c r="G9" i="150" s="1"/>
  <c r="Q8" i="150"/>
  <c r="O8" i="150"/>
  <c r="L8" i="150"/>
  <c r="M8" i="150" s="1"/>
  <c r="K8" i="150"/>
  <c r="I8" i="150"/>
  <c r="F8" i="150"/>
  <c r="B8" i="150"/>
  <c r="Q7" i="150"/>
  <c r="O7" i="150"/>
  <c r="L7" i="150"/>
  <c r="K7" i="150"/>
  <c r="I7" i="150"/>
  <c r="G7" i="150"/>
  <c r="F7" i="150"/>
  <c r="B7" i="150"/>
  <c r="Q6" i="150"/>
  <c r="O6" i="150"/>
  <c r="M6" i="150"/>
  <c r="L6" i="150"/>
  <c r="K6" i="150"/>
  <c r="I6" i="150"/>
  <c r="G6" i="150"/>
  <c r="F6" i="150"/>
  <c r="B6" i="150"/>
  <c r="N5" i="150"/>
  <c r="O5" i="150" s="1"/>
  <c r="K5" i="150"/>
  <c r="G5" i="150"/>
  <c r="F5" i="150"/>
  <c r="P4" i="150"/>
  <c r="Q4" i="150" s="1"/>
  <c r="O4" i="150"/>
  <c r="N4" i="150"/>
  <c r="K4" i="150"/>
  <c r="J4" i="150"/>
  <c r="H4" i="150"/>
  <c r="E4" i="150"/>
  <c r="D4" i="150"/>
  <c r="C4" i="150"/>
  <c r="F2" i="150" s="1"/>
  <c r="Q19" i="149"/>
  <c r="O19" i="149"/>
  <c r="L19" i="149"/>
  <c r="M19" i="149" s="1"/>
  <c r="K19" i="149"/>
  <c r="I19" i="149"/>
  <c r="F19" i="149"/>
  <c r="B19" i="149"/>
  <c r="Q18" i="149"/>
  <c r="O18" i="149"/>
  <c r="L18" i="149"/>
  <c r="M18" i="149" s="1"/>
  <c r="K18" i="149"/>
  <c r="I18" i="149"/>
  <c r="G18" i="149"/>
  <c r="F18" i="149"/>
  <c r="B18" i="149"/>
  <c r="Q17" i="149"/>
  <c r="O17" i="149"/>
  <c r="M17" i="149"/>
  <c r="L17" i="149"/>
  <c r="K17" i="149"/>
  <c r="I17" i="149"/>
  <c r="G17" i="149"/>
  <c r="F17" i="149"/>
  <c r="B17" i="149"/>
  <c r="Q16" i="149"/>
  <c r="O16" i="149"/>
  <c r="M16" i="149"/>
  <c r="L16" i="149"/>
  <c r="K16" i="149"/>
  <c r="I16" i="149"/>
  <c r="F16" i="149"/>
  <c r="B16" i="149"/>
  <c r="G16" i="149" s="1"/>
  <c r="Q15" i="149"/>
  <c r="O15" i="149"/>
  <c r="L15" i="149"/>
  <c r="M15" i="149" s="1"/>
  <c r="K15" i="149"/>
  <c r="I15" i="149"/>
  <c r="F15" i="149"/>
  <c r="B15" i="149"/>
  <c r="G15" i="149" s="1"/>
  <c r="Q14" i="149"/>
  <c r="O14" i="149"/>
  <c r="L14" i="149"/>
  <c r="M14" i="149" s="1"/>
  <c r="K14" i="149"/>
  <c r="I14" i="149"/>
  <c r="G14" i="149"/>
  <c r="F14" i="149"/>
  <c r="B14" i="149"/>
  <c r="Q13" i="149"/>
  <c r="O13" i="149"/>
  <c r="M13" i="149"/>
  <c r="L13" i="149"/>
  <c r="K13" i="149"/>
  <c r="I13" i="149"/>
  <c r="G13" i="149"/>
  <c r="F13" i="149"/>
  <c r="B13" i="149"/>
  <c r="Q12" i="149"/>
  <c r="O12" i="149"/>
  <c r="M12" i="149"/>
  <c r="L12" i="149"/>
  <c r="K12" i="149"/>
  <c r="I12" i="149"/>
  <c r="F12" i="149"/>
  <c r="B12" i="149"/>
  <c r="G12" i="149" s="1"/>
  <c r="Q11" i="149"/>
  <c r="O11" i="149"/>
  <c r="L11" i="149"/>
  <c r="M11" i="149" s="1"/>
  <c r="K11" i="149"/>
  <c r="I11" i="149"/>
  <c r="F11" i="149"/>
  <c r="B11" i="149"/>
  <c r="G11" i="149" s="1"/>
  <c r="Q10" i="149"/>
  <c r="O10" i="149"/>
  <c r="L10" i="149"/>
  <c r="M10" i="149" s="1"/>
  <c r="K10" i="149"/>
  <c r="I10" i="149"/>
  <c r="G10" i="149"/>
  <c r="F10" i="149"/>
  <c r="B10" i="149"/>
  <c r="Q9" i="149"/>
  <c r="O9" i="149"/>
  <c r="M9" i="149"/>
  <c r="L9" i="149"/>
  <c r="K9" i="149"/>
  <c r="I9" i="149"/>
  <c r="G9" i="149"/>
  <c r="F9" i="149"/>
  <c r="B9" i="149"/>
  <c r="Q8" i="149"/>
  <c r="O8" i="149"/>
  <c r="M8" i="149"/>
  <c r="L8" i="149"/>
  <c r="K8" i="149"/>
  <c r="I8" i="149"/>
  <c r="I4" i="149" s="1"/>
  <c r="F8" i="149"/>
  <c r="B8" i="149"/>
  <c r="G8" i="149" s="1"/>
  <c r="Q7" i="149"/>
  <c r="O7" i="149"/>
  <c r="L7" i="149"/>
  <c r="M7" i="149" s="1"/>
  <c r="K7" i="149"/>
  <c r="I7" i="149"/>
  <c r="F7" i="149"/>
  <c r="B7" i="149"/>
  <c r="G7" i="149" s="1"/>
  <c r="Q6" i="149"/>
  <c r="O6" i="149"/>
  <c r="L6" i="149"/>
  <c r="K6" i="149"/>
  <c r="I6" i="149"/>
  <c r="G6" i="149"/>
  <c r="F6" i="149"/>
  <c r="B6" i="149"/>
  <c r="N5" i="149"/>
  <c r="O5" i="149" s="1"/>
  <c r="K5" i="149"/>
  <c r="F5" i="149"/>
  <c r="G5" i="149" s="1"/>
  <c r="Q4" i="149"/>
  <c r="P4" i="149"/>
  <c r="N4" i="149"/>
  <c r="O4" i="149" s="1"/>
  <c r="J4" i="149"/>
  <c r="K4" i="149" s="1"/>
  <c r="H4" i="149"/>
  <c r="F4" i="149"/>
  <c r="E4" i="149"/>
  <c r="D4" i="149"/>
  <c r="C4" i="149"/>
  <c r="F2" i="149" s="1"/>
  <c r="B4" i="149"/>
  <c r="G4" i="149" s="1"/>
  <c r="Q19" i="148"/>
  <c r="O19" i="148"/>
  <c r="M19" i="148"/>
  <c r="L19" i="148"/>
  <c r="K19" i="148"/>
  <c r="I19" i="148"/>
  <c r="F19" i="148"/>
  <c r="B19" i="148"/>
  <c r="G19" i="148" s="1"/>
  <c r="Q18" i="148"/>
  <c r="O18" i="148"/>
  <c r="L18" i="148"/>
  <c r="M18" i="148" s="1"/>
  <c r="K18" i="148"/>
  <c r="I18" i="148"/>
  <c r="F18" i="148"/>
  <c r="B18" i="148"/>
  <c r="G18" i="148" s="1"/>
  <c r="Q17" i="148"/>
  <c r="O17" i="148"/>
  <c r="L17" i="148"/>
  <c r="M17" i="148" s="1"/>
  <c r="K17" i="148"/>
  <c r="I17" i="148"/>
  <c r="G17" i="148"/>
  <c r="F17" i="148"/>
  <c r="B17" i="148"/>
  <c r="Q16" i="148"/>
  <c r="O16" i="148"/>
  <c r="M16" i="148"/>
  <c r="L16" i="148"/>
  <c r="K16" i="148"/>
  <c r="I16" i="148"/>
  <c r="G16" i="148"/>
  <c r="F16" i="148"/>
  <c r="B16" i="148"/>
  <c r="Q15" i="148"/>
  <c r="O15" i="148"/>
  <c r="M15" i="148"/>
  <c r="L15" i="148"/>
  <c r="K15" i="148"/>
  <c r="I15" i="148"/>
  <c r="F15" i="148"/>
  <c r="B15" i="148"/>
  <c r="G15" i="148" s="1"/>
  <c r="Q14" i="148"/>
  <c r="O14" i="148"/>
  <c r="L14" i="148"/>
  <c r="M14" i="148" s="1"/>
  <c r="K14" i="148"/>
  <c r="I14" i="148"/>
  <c r="F14" i="148"/>
  <c r="B14" i="148"/>
  <c r="G14" i="148" s="1"/>
  <c r="Q13" i="148"/>
  <c r="O13" i="148"/>
  <c r="L13" i="148"/>
  <c r="M13" i="148" s="1"/>
  <c r="K13" i="148"/>
  <c r="I13" i="148"/>
  <c r="G13" i="148"/>
  <c r="F13" i="148"/>
  <c r="B13" i="148"/>
  <c r="Q12" i="148"/>
  <c r="O12" i="148"/>
  <c r="M12" i="148"/>
  <c r="L12" i="148"/>
  <c r="K12" i="148"/>
  <c r="I12" i="148"/>
  <c r="G12" i="148"/>
  <c r="F12" i="148"/>
  <c r="B12" i="148"/>
  <c r="Q11" i="148"/>
  <c r="O11" i="148"/>
  <c r="M11" i="148"/>
  <c r="L11" i="148"/>
  <c r="K11" i="148"/>
  <c r="I11" i="148"/>
  <c r="F11" i="148"/>
  <c r="B11" i="148"/>
  <c r="G11" i="148" s="1"/>
  <c r="Q10" i="148"/>
  <c r="O10" i="148"/>
  <c r="L10" i="148"/>
  <c r="M10" i="148" s="1"/>
  <c r="K10" i="148"/>
  <c r="I10" i="148"/>
  <c r="F10" i="148"/>
  <c r="B10" i="148"/>
  <c r="G10" i="148" s="1"/>
  <c r="Q9" i="148"/>
  <c r="O9" i="148"/>
  <c r="L9" i="148"/>
  <c r="M9" i="148" s="1"/>
  <c r="K9" i="148"/>
  <c r="I9" i="148"/>
  <c r="G9" i="148"/>
  <c r="F9" i="148"/>
  <c r="B9" i="148"/>
  <c r="Q8" i="148"/>
  <c r="O8" i="148"/>
  <c r="M8" i="148"/>
  <c r="L8" i="148"/>
  <c r="K8" i="148"/>
  <c r="I8" i="148"/>
  <c r="G8" i="148"/>
  <c r="F8" i="148"/>
  <c r="B8" i="148"/>
  <c r="Q7" i="148"/>
  <c r="O7" i="148"/>
  <c r="M7" i="148"/>
  <c r="L7" i="148"/>
  <c r="K7" i="148"/>
  <c r="I7" i="148"/>
  <c r="F7" i="148"/>
  <c r="B7" i="148"/>
  <c r="G7" i="148" s="1"/>
  <c r="Q6" i="148"/>
  <c r="O6" i="148"/>
  <c r="L6" i="148"/>
  <c r="K6" i="148"/>
  <c r="I6" i="148"/>
  <c r="F6" i="148"/>
  <c r="B6" i="148"/>
  <c r="O5" i="148"/>
  <c r="N5" i="148"/>
  <c r="K5" i="148"/>
  <c r="F5" i="148"/>
  <c r="G5" i="148" s="1"/>
  <c r="Q4" i="148"/>
  <c r="P4" i="148"/>
  <c r="N4" i="148"/>
  <c r="O4" i="148" s="1"/>
  <c r="J4" i="148"/>
  <c r="K4" i="148" s="1"/>
  <c r="I4" i="148"/>
  <c r="H4" i="148"/>
  <c r="F4" i="148"/>
  <c r="E4" i="148"/>
  <c r="D4" i="148"/>
  <c r="C4" i="148"/>
  <c r="F2" i="148"/>
  <c r="Q19" i="147"/>
  <c r="O19" i="147"/>
  <c r="M19" i="147"/>
  <c r="L19" i="147"/>
  <c r="K19" i="147"/>
  <c r="I19" i="147"/>
  <c r="G19" i="147"/>
  <c r="F19" i="147"/>
  <c r="B19" i="147"/>
  <c r="Q18" i="147"/>
  <c r="O18" i="147"/>
  <c r="M18" i="147"/>
  <c r="L18" i="147"/>
  <c r="K18" i="147"/>
  <c r="I18" i="147"/>
  <c r="F18" i="147"/>
  <c r="B18" i="147"/>
  <c r="G18" i="147" s="1"/>
  <c r="Q17" i="147"/>
  <c r="O17" i="147"/>
  <c r="L17" i="147"/>
  <c r="M17" i="147" s="1"/>
  <c r="K17" i="147"/>
  <c r="I17" i="147"/>
  <c r="F17" i="147"/>
  <c r="B17" i="147"/>
  <c r="G17" i="147" s="1"/>
  <c r="Q16" i="147"/>
  <c r="O16" i="147"/>
  <c r="L16" i="147"/>
  <c r="M16" i="147" s="1"/>
  <c r="K16" i="147"/>
  <c r="I16" i="147"/>
  <c r="G16" i="147"/>
  <c r="F16" i="147"/>
  <c r="B16" i="147"/>
  <c r="Q15" i="147"/>
  <c r="O15" i="147"/>
  <c r="M15" i="147"/>
  <c r="L15" i="147"/>
  <c r="K15" i="147"/>
  <c r="I15" i="147"/>
  <c r="G15" i="147"/>
  <c r="F15" i="147"/>
  <c r="B15" i="147"/>
  <c r="Q14" i="147"/>
  <c r="O14" i="147"/>
  <c r="M14" i="147"/>
  <c r="L14" i="147"/>
  <c r="K14" i="147"/>
  <c r="I14" i="147"/>
  <c r="F14" i="147"/>
  <c r="B14" i="147"/>
  <c r="G14" i="147" s="1"/>
  <c r="Q13" i="147"/>
  <c r="O13" i="147"/>
  <c r="L13" i="147"/>
  <c r="M13" i="147" s="1"/>
  <c r="K13" i="147"/>
  <c r="I13" i="147"/>
  <c r="F13" i="147"/>
  <c r="B13" i="147"/>
  <c r="G13" i="147" s="1"/>
  <c r="Q12" i="147"/>
  <c r="O12" i="147"/>
  <c r="L12" i="147"/>
  <c r="M12" i="147" s="1"/>
  <c r="K12" i="147"/>
  <c r="I12" i="147"/>
  <c r="G12" i="147"/>
  <c r="F12" i="147"/>
  <c r="B12" i="147"/>
  <c r="Q11" i="147"/>
  <c r="O11" i="147"/>
  <c r="M11" i="147"/>
  <c r="L11" i="147"/>
  <c r="K11" i="147"/>
  <c r="I11" i="147"/>
  <c r="G11" i="147"/>
  <c r="F11" i="147"/>
  <c r="B11" i="147"/>
  <c r="Q10" i="147"/>
  <c r="O10" i="147"/>
  <c r="M10" i="147"/>
  <c r="L10" i="147"/>
  <c r="K10" i="147"/>
  <c r="I10" i="147"/>
  <c r="F10" i="147"/>
  <c r="B10" i="147"/>
  <c r="G10" i="147" s="1"/>
  <c r="Q9" i="147"/>
  <c r="O9" i="147"/>
  <c r="L9" i="147"/>
  <c r="M9" i="147" s="1"/>
  <c r="K9" i="147"/>
  <c r="I9" i="147"/>
  <c r="F9" i="147"/>
  <c r="B9" i="147"/>
  <c r="G9" i="147" s="1"/>
  <c r="Q8" i="147"/>
  <c r="O8" i="147"/>
  <c r="L8" i="147"/>
  <c r="M8" i="147" s="1"/>
  <c r="K8" i="147"/>
  <c r="I8" i="147"/>
  <c r="G8" i="147"/>
  <c r="F8" i="147"/>
  <c r="B8" i="147"/>
  <c r="Q7" i="147"/>
  <c r="O7" i="147"/>
  <c r="M7" i="147"/>
  <c r="L7" i="147"/>
  <c r="K7" i="147"/>
  <c r="I7" i="147"/>
  <c r="G7" i="147"/>
  <c r="F7" i="147"/>
  <c r="B7" i="147"/>
  <c r="Q6" i="147"/>
  <c r="O6" i="147"/>
  <c r="M6" i="147"/>
  <c r="L6" i="147"/>
  <c r="K6" i="147"/>
  <c r="I6" i="147"/>
  <c r="I4" i="147" s="1"/>
  <c r="F6" i="147"/>
  <c r="B6" i="147"/>
  <c r="G6" i="147" s="1"/>
  <c r="O5" i="147"/>
  <c r="N5" i="147"/>
  <c r="K5" i="147"/>
  <c r="G5" i="147"/>
  <c r="F5" i="147"/>
  <c r="P4" i="147"/>
  <c r="Q4" i="147" s="1"/>
  <c r="N4" i="147"/>
  <c r="J4" i="147"/>
  <c r="H4" i="147"/>
  <c r="K4" i="147" s="1"/>
  <c r="E4" i="147"/>
  <c r="D4" i="147"/>
  <c r="C4" i="147"/>
  <c r="F2" i="147"/>
  <c r="Q19" i="146"/>
  <c r="O19" i="146"/>
  <c r="L19" i="146"/>
  <c r="M19" i="146" s="1"/>
  <c r="K19" i="146"/>
  <c r="I19" i="146"/>
  <c r="G19" i="146"/>
  <c r="F19" i="146"/>
  <c r="B19" i="146"/>
  <c r="Q18" i="146"/>
  <c r="O18" i="146"/>
  <c r="M18" i="146"/>
  <c r="L18" i="146"/>
  <c r="K18" i="146"/>
  <c r="I18" i="146"/>
  <c r="G18" i="146"/>
  <c r="F18" i="146"/>
  <c r="B18" i="146"/>
  <c r="Q17" i="146"/>
  <c r="O17" i="146"/>
  <c r="M17" i="146"/>
  <c r="L17" i="146"/>
  <c r="K17" i="146"/>
  <c r="I17" i="146"/>
  <c r="F17" i="146"/>
  <c r="B17" i="146"/>
  <c r="G17" i="146" s="1"/>
  <c r="Q16" i="146"/>
  <c r="O16" i="146"/>
  <c r="L16" i="146"/>
  <c r="M16" i="146" s="1"/>
  <c r="K16" i="146"/>
  <c r="I16" i="146"/>
  <c r="F16" i="146"/>
  <c r="B16" i="146"/>
  <c r="G16" i="146" s="1"/>
  <c r="Q15" i="146"/>
  <c r="O15" i="146"/>
  <c r="L15" i="146"/>
  <c r="M15" i="146" s="1"/>
  <c r="K15" i="146"/>
  <c r="I15" i="146"/>
  <c r="G15" i="146"/>
  <c r="F15" i="146"/>
  <c r="B15" i="146"/>
  <c r="Q14" i="146"/>
  <c r="O14" i="146"/>
  <c r="M14" i="146"/>
  <c r="L14" i="146"/>
  <c r="K14" i="146"/>
  <c r="I14" i="146"/>
  <c r="G14" i="146"/>
  <c r="F14" i="146"/>
  <c r="B14" i="146"/>
  <c r="Q13" i="146"/>
  <c r="O13" i="146"/>
  <c r="M13" i="146"/>
  <c r="L13" i="146"/>
  <c r="K13" i="146"/>
  <c r="I13" i="146"/>
  <c r="F13" i="146"/>
  <c r="B13" i="146"/>
  <c r="G13" i="146" s="1"/>
  <c r="Q12" i="146"/>
  <c r="O12" i="146"/>
  <c r="L12" i="146"/>
  <c r="M12" i="146" s="1"/>
  <c r="K12" i="146"/>
  <c r="I12" i="146"/>
  <c r="F12" i="146"/>
  <c r="B12" i="146"/>
  <c r="G12" i="146" s="1"/>
  <c r="Q11" i="146"/>
  <c r="O11" i="146"/>
  <c r="L11" i="146"/>
  <c r="M11" i="146" s="1"/>
  <c r="K11" i="146"/>
  <c r="I11" i="146"/>
  <c r="G11" i="146"/>
  <c r="F11" i="146"/>
  <c r="B11" i="146"/>
  <c r="Q10" i="146"/>
  <c r="O10" i="146"/>
  <c r="M10" i="146"/>
  <c r="L10" i="146"/>
  <c r="K10" i="146"/>
  <c r="I10" i="146"/>
  <c r="G10" i="146"/>
  <c r="F10" i="146"/>
  <c r="B10" i="146"/>
  <c r="Q9" i="146"/>
  <c r="O9" i="146"/>
  <c r="M9" i="146"/>
  <c r="L9" i="146"/>
  <c r="K9" i="146"/>
  <c r="I9" i="146"/>
  <c r="F9" i="146"/>
  <c r="B9" i="146"/>
  <c r="G9" i="146" s="1"/>
  <c r="Q8" i="146"/>
  <c r="O8" i="146"/>
  <c r="L8" i="146"/>
  <c r="M8" i="146" s="1"/>
  <c r="K8" i="146"/>
  <c r="I8" i="146"/>
  <c r="F8" i="146"/>
  <c r="B8" i="146"/>
  <c r="Q7" i="146"/>
  <c r="O7" i="146"/>
  <c r="L7" i="146"/>
  <c r="K7" i="146"/>
  <c r="I7" i="146"/>
  <c r="G7" i="146"/>
  <c r="F7" i="146"/>
  <c r="B7" i="146"/>
  <c r="Q6" i="146"/>
  <c r="O6" i="146"/>
  <c r="M6" i="146"/>
  <c r="L6" i="146"/>
  <c r="K6" i="146"/>
  <c r="I6" i="146"/>
  <c r="G6" i="146"/>
  <c r="F6" i="146"/>
  <c r="B6" i="146"/>
  <c r="N5" i="146"/>
  <c r="O5" i="146" s="1"/>
  <c r="K5" i="146"/>
  <c r="G5" i="146"/>
  <c r="F5" i="146"/>
  <c r="P4" i="146"/>
  <c r="Q4" i="146" s="1"/>
  <c r="O4" i="146"/>
  <c r="N4" i="146"/>
  <c r="K4" i="146"/>
  <c r="J4" i="146"/>
  <c r="H4" i="146"/>
  <c r="E4" i="146"/>
  <c r="D4" i="146"/>
  <c r="C4" i="146"/>
  <c r="F2" i="146" s="1"/>
  <c r="Q19" i="145"/>
  <c r="O19" i="145"/>
  <c r="M19" i="145"/>
  <c r="K19" i="145"/>
  <c r="I19" i="145"/>
  <c r="F19" i="145"/>
  <c r="B19" i="145"/>
  <c r="G19" i="145" s="1"/>
  <c r="Q18" i="145"/>
  <c r="O18" i="145"/>
  <c r="L18" i="145"/>
  <c r="M18" i="145" s="1"/>
  <c r="K18" i="145"/>
  <c r="I18" i="145"/>
  <c r="F18" i="145"/>
  <c r="B18" i="145"/>
  <c r="G18" i="145" s="1"/>
  <c r="Q17" i="145"/>
  <c r="O17" i="145"/>
  <c r="L17" i="145"/>
  <c r="M17" i="145" s="1"/>
  <c r="K17" i="145"/>
  <c r="I17" i="145"/>
  <c r="G17" i="145"/>
  <c r="F17" i="145"/>
  <c r="B17" i="145"/>
  <c r="Q16" i="145"/>
  <c r="O16" i="145"/>
  <c r="M16" i="145"/>
  <c r="L16" i="145"/>
  <c r="K16" i="145"/>
  <c r="I16" i="145"/>
  <c r="G16" i="145"/>
  <c r="F16" i="145"/>
  <c r="B16" i="145"/>
  <c r="Q15" i="145"/>
  <c r="O15" i="145"/>
  <c r="M15" i="145"/>
  <c r="L15" i="145"/>
  <c r="K15" i="145"/>
  <c r="I15" i="145"/>
  <c r="F15" i="145"/>
  <c r="B15" i="145"/>
  <c r="G15" i="145" s="1"/>
  <c r="Q14" i="145"/>
  <c r="O14" i="145"/>
  <c r="L14" i="145"/>
  <c r="M14" i="145" s="1"/>
  <c r="K14" i="145"/>
  <c r="I14" i="145"/>
  <c r="F14" i="145"/>
  <c r="B14" i="145"/>
  <c r="G14" i="145" s="1"/>
  <c r="Q13" i="145"/>
  <c r="O13" i="145"/>
  <c r="L13" i="145"/>
  <c r="M13" i="145" s="1"/>
  <c r="K13" i="145"/>
  <c r="I13" i="145"/>
  <c r="G13" i="145"/>
  <c r="F13" i="145"/>
  <c r="B13" i="145"/>
  <c r="Q12" i="145"/>
  <c r="O12" i="145"/>
  <c r="M12" i="145"/>
  <c r="L12" i="145"/>
  <c r="K12" i="145"/>
  <c r="I12" i="145"/>
  <c r="G12" i="145"/>
  <c r="F12" i="145"/>
  <c r="B12" i="145"/>
  <c r="Q11" i="145"/>
  <c r="O11" i="145"/>
  <c r="M11" i="145"/>
  <c r="L11" i="145"/>
  <c r="K11" i="145"/>
  <c r="I11" i="145"/>
  <c r="F11" i="145"/>
  <c r="B11" i="145"/>
  <c r="G11" i="145" s="1"/>
  <c r="Q10" i="145"/>
  <c r="O10" i="145"/>
  <c r="L10" i="145"/>
  <c r="M10" i="145" s="1"/>
  <c r="K10" i="145"/>
  <c r="I10" i="145"/>
  <c r="F10" i="145"/>
  <c r="B10" i="145"/>
  <c r="G10" i="145" s="1"/>
  <c r="Q9" i="145"/>
  <c r="O9" i="145"/>
  <c r="L9" i="145"/>
  <c r="M9" i="145" s="1"/>
  <c r="K9" i="145"/>
  <c r="I9" i="145"/>
  <c r="G9" i="145"/>
  <c r="F9" i="145"/>
  <c r="B9" i="145"/>
  <c r="Q8" i="145"/>
  <c r="O8" i="145"/>
  <c r="M8" i="145"/>
  <c r="L8" i="145"/>
  <c r="K8" i="145"/>
  <c r="I8" i="145"/>
  <c r="G8" i="145"/>
  <c r="F8" i="145"/>
  <c r="B8" i="145"/>
  <c r="Q7" i="145"/>
  <c r="O7" i="145"/>
  <c r="M7" i="145"/>
  <c r="L7" i="145"/>
  <c r="K7" i="145"/>
  <c r="I7" i="145"/>
  <c r="F7" i="145"/>
  <c r="B7" i="145"/>
  <c r="G7" i="145" s="1"/>
  <c r="Q6" i="145"/>
  <c r="O6" i="145"/>
  <c r="L6" i="145"/>
  <c r="K6" i="145"/>
  <c r="I6" i="145"/>
  <c r="F6" i="145"/>
  <c r="B6" i="145"/>
  <c r="O5" i="145"/>
  <c r="N5" i="145"/>
  <c r="K5" i="145"/>
  <c r="F5" i="145"/>
  <c r="G5" i="145" s="1"/>
  <c r="Q4" i="145"/>
  <c r="P4" i="145"/>
  <c r="N4" i="145"/>
  <c r="O4" i="145" s="1"/>
  <c r="J4" i="145"/>
  <c r="K4" i="145" s="1"/>
  <c r="I4" i="145"/>
  <c r="H4" i="145"/>
  <c r="F4" i="145"/>
  <c r="E4" i="145"/>
  <c r="D4" i="145"/>
  <c r="C4" i="145"/>
  <c r="F2" i="145"/>
  <c r="Q19" i="144"/>
  <c r="O19" i="144"/>
  <c r="M19" i="144"/>
  <c r="K19" i="144"/>
  <c r="I19" i="144"/>
  <c r="G19" i="144"/>
  <c r="F19" i="144"/>
  <c r="B19" i="144"/>
  <c r="Q18" i="144"/>
  <c r="O18" i="144"/>
  <c r="M18" i="144"/>
  <c r="L18" i="144"/>
  <c r="K18" i="144"/>
  <c r="I18" i="144"/>
  <c r="G18" i="144"/>
  <c r="F18" i="144"/>
  <c r="B18" i="144"/>
  <c r="Q17" i="144"/>
  <c r="O17" i="144"/>
  <c r="M17" i="144"/>
  <c r="L17" i="144"/>
  <c r="K17" i="144"/>
  <c r="I17" i="144"/>
  <c r="F17" i="144"/>
  <c r="B17" i="144"/>
  <c r="G17" i="144" s="1"/>
  <c r="Q16" i="144"/>
  <c r="O16" i="144"/>
  <c r="L16" i="144"/>
  <c r="M16" i="144" s="1"/>
  <c r="K16" i="144"/>
  <c r="I16" i="144"/>
  <c r="F16" i="144"/>
  <c r="B16" i="144"/>
  <c r="G16" i="144" s="1"/>
  <c r="Q15" i="144"/>
  <c r="O15" i="144"/>
  <c r="L15" i="144"/>
  <c r="M15" i="144" s="1"/>
  <c r="K15" i="144"/>
  <c r="I15" i="144"/>
  <c r="G15" i="144"/>
  <c r="F15" i="144"/>
  <c r="B15" i="144"/>
  <c r="Q14" i="144"/>
  <c r="O14" i="144"/>
  <c r="M14" i="144"/>
  <c r="L14" i="144"/>
  <c r="K14" i="144"/>
  <c r="I14" i="144"/>
  <c r="G14" i="144"/>
  <c r="F14" i="144"/>
  <c r="B14" i="144"/>
  <c r="Q13" i="144"/>
  <c r="O13" i="144"/>
  <c r="M13" i="144"/>
  <c r="L13" i="144"/>
  <c r="K13" i="144"/>
  <c r="I13" i="144"/>
  <c r="F13" i="144"/>
  <c r="B13" i="144"/>
  <c r="G13" i="144" s="1"/>
  <c r="Q12" i="144"/>
  <c r="O12" i="144"/>
  <c r="L12" i="144"/>
  <c r="M12" i="144" s="1"/>
  <c r="K12" i="144"/>
  <c r="I12" i="144"/>
  <c r="F12" i="144"/>
  <c r="B12" i="144"/>
  <c r="G12" i="144" s="1"/>
  <c r="Q11" i="144"/>
  <c r="O11" i="144"/>
  <c r="L11" i="144"/>
  <c r="M11" i="144" s="1"/>
  <c r="K11" i="144"/>
  <c r="I11" i="144"/>
  <c r="G11" i="144"/>
  <c r="F11" i="144"/>
  <c r="B11" i="144"/>
  <c r="Q10" i="144"/>
  <c r="O10" i="144"/>
  <c r="M10" i="144"/>
  <c r="L10" i="144"/>
  <c r="K10" i="144"/>
  <c r="I10" i="144"/>
  <c r="G10" i="144"/>
  <c r="F10" i="144"/>
  <c r="B10" i="144"/>
  <c r="Q9" i="144"/>
  <c r="O9" i="144"/>
  <c r="M9" i="144"/>
  <c r="L9" i="144"/>
  <c r="K9" i="144"/>
  <c r="I9" i="144"/>
  <c r="F9" i="144"/>
  <c r="B9" i="144"/>
  <c r="G9" i="144" s="1"/>
  <c r="Q8" i="144"/>
  <c r="O8" i="144"/>
  <c r="L8" i="144"/>
  <c r="M8" i="144" s="1"/>
  <c r="K8" i="144"/>
  <c r="I8" i="144"/>
  <c r="F8" i="144"/>
  <c r="B8" i="144"/>
  <c r="Q7" i="144"/>
  <c r="O7" i="144"/>
  <c r="L7" i="144"/>
  <c r="K7" i="144"/>
  <c r="I7" i="144"/>
  <c r="G7" i="144"/>
  <c r="F7" i="144"/>
  <c r="B7" i="144"/>
  <c r="Q6" i="144"/>
  <c r="O6" i="144"/>
  <c r="M6" i="144"/>
  <c r="L6" i="144"/>
  <c r="K6" i="144"/>
  <c r="I6" i="144"/>
  <c r="G6" i="144"/>
  <c r="F6" i="144"/>
  <c r="B6" i="144"/>
  <c r="N5" i="144"/>
  <c r="O5" i="144" s="1"/>
  <c r="K5" i="144"/>
  <c r="G5" i="144"/>
  <c r="F5" i="144"/>
  <c r="P4" i="144"/>
  <c r="Q4" i="144" s="1"/>
  <c r="O4" i="144"/>
  <c r="N4" i="144"/>
  <c r="K4" i="144"/>
  <c r="J4" i="144"/>
  <c r="H4" i="144"/>
  <c r="E4" i="144"/>
  <c r="D4" i="144"/>
  <c r="C4" i="144"/>
  <c r="F2" i="144" s="1"/>
  <c r="Q19" i="143"/>
  <c r="O19" i="143"/>
  <c r="M19" i="143"/>
  <c r="K19" i="143"/>
  <c r="I19" i="143"/>
  <c r="F19" i="143"/>
  <c r="B19" i="143"/>
  <c r="G19" i="143" s="1"/>
  <c r="Q18" i="143"/>
  <c r="O18" i="143"/>
  <c r="L18" i="143"/>
  <c r="M18" i="143" s="1"/>
  <c r="K18" i="143"/>
  <c r="I18" i="143"/>
  <c r="F18" i="143"/>
  <c r="B18" i="143"/>
  <c r="G18" i="143" s="1"/>
  <c r="Q17" i="143"/>
  <c r="O17" i="143"/>
  <c r="L17" i="143"/>
  <c r="M17" i="143" s="1"/>
  <c r="K17" i="143"/>
  <c r="I17" i="143"/>
  <c r="G17" i="143"/>
  <c r="F17" i="143"/>
  <c r="B17" i="143"/>
  <c r="Q16" i="143"/>
  <c r="O16" i="143"/>
  <c r="M16" i="143"/>
  <c r="L16" i="143"/>
  <c r="K16" i="143"/>
  <c r="I16" i="143"/>
  <c r="G16" i="143"/>
  <c r="F16" i="143"/>
  <c r="B16" i="143"/>
  <c r="Q15" i="143"/>
  <c r="O15" i="143"/>
  <c r="M15" i="143"/>
  <c r="L15" i="143"/>
  <c r="K15" i="143"/>
  <c r="I15" i="143"/>
  <c r="F15" i="143"/>
  <c r="B15" i="143"/>
  <c r="G15" i="143" s="1"/>
  <c r="Q14" i="143"/>
  <c r="O14" i="143"/>
  <c r="L14" i="143"/>
  <c r="M14" i="143" s="1"/>
  <c r="K14" i="143"/>
  <c r="I14" i="143"/>
  <c r="F14" i="143"/>
  <c r="B14" i="143"/>
  <c r="G14" i="143" s="1"/>
  <c r="Q13" i="143"/>
  <c r="O13" i="143"/>
  <c r="L13" i="143"/>
  <c r="M13" i="143" s="1"/>
  <c r="K13" i="143"/>
  <c r="I13" i="143"/>
  <c r="G13" i="143"/>
  <c r="F13" i="143"/>
  <c r="B13" i="143"/>
  <c r="Q12" i="143"/>
  <c r="O12" i="143"/>
  <c r="M12" i="143"/>
  <c r="L12" i="143"/>
  <c r="K12" i="143"/>
  <c r="I12" i="143"/>
  <c r="G12" i="143"/>
  <c r="F12" i="143"/>
  <c r="B12" i="143"/>
  <c r="Q11" i="143"/>
  <c r="O11" i="143"/>
  <c r="M11" i="143"/>
  <c r="L11" i="143"/>
  <c r="K11" i="143"/>
  <c r="I11" i="143"/>
  <c r="F11" i="143"/>
  <c r="B11" i="143"/>
  <c r="G11" i="143" s="1"/>
  <c r="Q10" i="143"/>
  <c r="O10" i="143"/>
  <c r="L10" i="143"/>
  <c r="M10" i="143" s="1"/>
  <c r="K10" i="143"/>
  <c r="I10" i="143"/>
  <c r="F10" i="143"/>
  <c r="B10" i="143"/>
  <c r="G10" i="143" s="1"/>
  <c r="Q9" i="143"/>
  <c r="O9" i="143"/>
  <c r="L9" i="143"/>
  <c r="M9" i="143" s="1"/>
  <c r="K9" i="143"/>
  <c r="I9" i="143"/>
  <c r="G9" i="143"/>
  <c r="F9" i="143"/>
  <c r="B9" i="143"/>
  <c r="Q8" i="143"/>
  <c r="O8" i="143"/>
  <c r="M8" i="143"/>
  <c r="L8" i="143"/>
  <c r="K8" i="143"/>
  <c r="I8" i="143"/>
  <c r="G8" i="143"/>
  <c r="F8" i="143"/>
  <c r="B8" i="143"/>
  <c r="Q7" i="143"/>
  <c r="O7" i="143"/>
  <c r="M7" i="143"/>
  <c r="L7" i="143"/>
  <c r="K7" i="143"/>
  <c r="I7" i="143"/>
  <c r="I4" i="143" s="1"/>
  <c r="F7" i="143"/>
  <c r="B7" i="143"/>
  <c r="G7" i="143" s="1"/>
  <c r="Q6" i="143"/>
  <c r="O6" i="143"/>
  <c r="L6" i="143"/>
  <c r="M6" i="143" s="1"/>
  <c r="K6" i="143"/>
  <c r="I6" i="143"/>
  <c r="F6" i="143"/>
  <c r="B6" i="143"/>
  <c r="G6" i="143" s="1"/>
  <c r="O5" i="143"/>
  <c r="N5" i="143"/>
  <c r="K5" i="143"/>
  <c r="F5" i="143"/>
  <c r="G5" i="143" s="1"/>
  <c r="R4" i="143"/>
  <c r="Q4" i="143"/>
  <c r="P4" i="143"/>
  <c r="N4" i="143"/>
  <c r="O4" i="143" s="1"/>
  <c r="J4" i="143"/>
  <c r="K4" i="143" s="1"/>
  <c r="H4" i="143"/>
  <c r="F4" i="143"/>
  <c r="E4" i="143"/>
  <c r="D4" i="143"/>
  <c r="C4" i="143"/>
  <c r="F2" i="143" s="1"/>
  <c r="B4" i="143"/>
  <c r="G4" i="143" s="1"/>
  <c r="Q19" i="142"/>
  <c r="O19" i="142"/>
  <c r="M19" i="142"/>
  <c r="K19" i="142"/>
  <c r="I19" i="142"/>
  <c r="G19" i="142"/>
  <c r="F19" i="142"/>
  <c r="B19" i="142"/>
  <c r="Q18" i="142"/>
  <c r="O18" i="142"/>
  <c r="M18" i="142"/>
  <c r="L18" i="142"/>
  <c r="K18" i="142"/>
  <c r="I18" i="142"/>
  <c r="F18" i="142"/>
  <c r="B18" i="142"/>
  <c r="G18" i="142" s="1"/>
  <c r="Q17" i="142"/>
  <c r="O17" i="142"/>
  <c r="L17" i="142"/>
  <c r="M17" i="142" s="1"/>
  <c r="K17" i="142"/>
  <c r="I17" i="142"/>
  <c r="F17" i="142"/>
  <c r="B17" i="142"/>
  <c r="G17" i="142" s="1"/>
  <c r="Q16" i="142"/>
  <c r="O16" i="142"/>
  <c r="L16" i="142"/>
  <c r="M16" i="142" s="1"/>
  <c r="K16" i="142"/>
  <c r="I16" i="142"/>
  <c r="G16" i="142"/>
  <c r="F16" i="142"/>
  <c r="B16" i="142"/>
  <c r="Q15" i="142"/>
  <c r="O15" i="142"/>
  <c r="M15" i="142"/>
  <c r="L15" i="142"/>
  <c r="K15" i="142"/>
  <c r="I15" i="142"/>
  <c r="G15" i="142"/>
  <c r="F15" i="142"/>
  <c r="B15" i="142"/>
  <c r="Q14" i="142"/>
  <c r="O14" i="142"/>
  <c r="M14" i="142"/>
  <c r="L14" i="142"/>
  <c r="K14" i="142"/>
  <c r="I14" i="142"/>
  <c r="F14" i="142"/>
  <c r="B14" i="142"/>
  <c r="G14" i="142" s="1"/>
  <c r="Q13" i="142"/>
  <c r="O13" i="142"/>
  <c r="L13" i="142"/>
  <c r="M13" i="142" s="1"/>
  <c r="K13" i="142"/>
  <c r="I13" i="142"/>
  <c r="F13" i="142"/>
  <c r="B13" i="142"/>
  <c r="G13" i="142" s="1"/>
  <c r="Q12" i="142"/>
  <c r="O12" i="142"/>
  <c r="L12" i="142"/>
  <c r="M12" i="142" s="1"/>
  <c r="K12" i="142"/>
  <c r="I12" i="142"/>
  <c r="G12" i="142"/>
  <c r="F12" i="142"/>
  <c r="B12" i="142"/>
  <c r="Q11" i="142"/>
  <c r="O11" i="142"/>
  <c r="M11" i="142"/>
  <c r="L11" i="142"/>
  <c r="K11" i="142"/>
  <c r="I11" i="142"/>
  <c r="G11" i="142"/>
  <c r="F11" i="142"/>
  <c r="B11" i="142"/>
  <c r="Q10" i="142"/>
  <c r="O10" i="142"/>
  <c r="M10" i="142"/>
  <c r="L10" i="142"/>
  <c r="K10" i="142"/>
  <c r="I10" i="142"/>
  <c r="F10" i="142"/>
  <c r="B10" i="142"/>
  <c r="G10" i="142" s="1"/>
  <c r="Q9" i="142"/>
  <c r="O9" i="142"/>
  <c r="L9" i="142"/>
  <c r="M9" i="142" s="1"/>
  <c r="K9" i="142"/>
  <c r="I9" i="142"/>
  <c r="F9" i="142"/>
  <c r="B9" i="142"/>
  <c r="Q8" i="142"/>
  <c r="O8" i="142"/>
  <c r="L8" i="142"/>
  <c r="K8" i="142"/>
  <c r="I8" i="142"/>
  <c r="G8" i="142"/>
  <c r="F8" i="142"/>
  <c r="B8" i="142"/>
  <c r="Q7" i="142"/>
  <c r="O7" i="142"/>
  <c r="M7" i="142"/>
  <c r="L7" i="142"/>
  <c r="K7" i="142"/>
  <c r="I7" i="142"/>
  <c r="G7" i="142"/>
  <c r="F7" i="142"/>
  <c r="B7" i="142"/>
  <c r="Q6" i="142"/>
  <c r="O6" i="142"/>
  <c r="M6" i="142"/>
  <c r="L6" i="142"/>
  <c r="K6" i="142"/>
  <c r="I6" i="142"/>
  <c r="I4" i="142" s="1"/>
  <c r="F6" i="142"/>
  <c r="B6" i="142"/>
  <c r="G6" i="142" s="1"/>
  <c r="O5" i="142"/>
  <c r="N5" i="142"/>
  <c r="K5" i="142"/>
  <c r="G5" i="142"/>
  <c r="F5" i="142"/>
  <c r="R4" i="142"/>
  <c r="Q4" i="142"/>
  <c r="P4" i="142"/>
  <c r="N4" i="142"/>
  <c r="O4" i="142" s="1"/>
  <c r="J4" i="142"/>
  <c r="K4" i="142" s="1"/>
  <c r="H4" i="142"/>
  <c r="F4" i="142"/>
  <c r="E4" i="142"/>
  <c r="D4" i="142"/>
  <c r="C4" i="142"/>
  <c r="F2" i="142"/>
  <c r="Q19" i="141"/>
  <c r="O19" i="141"/>
  <c r="M19" i="141"/>
  <c r="K19" i="141"/>
  <c r="I19" i="141"/>
  <c r="G19" i="141"/>
  <c r="F19" i="141"/>
  <c r="B19" i="141"/>
  <c r="Q18" i="141"/>
  <c r="O18" i="141"/>
  <c r="M18" i="141"/>
  <c r="L18" i="141"/>
  <c r="K18" i="141"/>
  <c r="I18" i="141"/>
  <c r="G18" i="141"/>
  <c r="F18" i="141"/>
  <c r="B18" i="141"/>
  <c r="Q17" i="141"/>
  <c r="O17" i="141"/>
  <c r="M17" i="141"/>
  <c r="L17" i="141"/>
  <c r="K17" i="141"/>
  <c r="I17" i="141"/>
  <c r="F17" i="141"/>
  <c r="B17" i="141"/>
  <c r="G17" i="141" s="1"/>
  <c r="Q16" i="141"/>
  <c r="O16" i="141"/>
  <c r="L16" i="141"/>
  <c r="M16" i="141" s="1"/>
  <c r="K16" i="141"/>
  <c r="I16" i="141"/>
  <c r="F16" i="141"/>
  <c r="B16" i="141"/>
  <c r="G16" i="141" s="1"/>
  <c r="Q15" i="141"/>
  <c r="O15" i="141"/>
  <c r="L15" i="141"/>
  <c r="M15" i="141" s="1"/>
  <c r="K15" i="141"/>
  <c r="I15" i="141"/>
  <c r="G15" i="141"/>
  <c r="F15" i="141"/>
  <c r="B15" i="141"/>
  <c r="Q14" i="141"/>
  <c r="O14" i="141"/>
  <c r="M14" i="141"/>
  <c r="L14" i="141"/>
  <c r="K14" i="141"/>
  <c r="I14" i="141"/>
  <c r="G14" i="141"/>
  <c r="F14" i="141"/>
  <c r="B14" i="141"/>
  <c r="Q13" i="141"/>
  <c r="O13" i="141"/>
  <c r="M13" i="141"/>
  <c r="L13" i="141"/>
  <c r="K13" i="141"/>
  <c r="I13" i="141"/>
  <c r="F13" i="141"/>
  <c r="B13" i="141"/>
  <c r="G13" i="141" s="1"/>
  <c r="Q12" i="141"/>
  <c r="O12" i="141"/>
  <c r="L12" i="141"/>
  <c r="M12" i="141" s="1"/>
  <c r="K12" i="141"/>
  <c r="I12" i="141"/>
  <c r="F12" i="141"/>
  <c r="B12" i="141"/>
  <c r="G12" i="141" s="1"/>
  <c r="Q11" i="141"/>
  <c r="O11" i="141"/>
  <c r="L11" i="141"/>
  <c r="M11" i="141" s="1"/>
  <c r="K11" i="141"/>
  <c r="I11" i="141"/>
  <c r="G11" i="141"/>
  <c r="F11" i="141"/>
  <c r="B11" i="141"/>
  <c r="Q10" i="141"/>
  <c r="O10" i="141"/>
  <c r="M10" i="141"/>
  <c r="L10" i="141"/>
  <c r="K10" i="141"/>
  <c r="I10" i="141"/>
  <c r="G10" i="141"/>
  <c r="F10" i="141"/>
  <c r="B10" i="141"/>
  <c r="Q9" i="141"/>
  <c r="O9" i="141"/>
  <c r="M9" i="141"/>
  <c r="L9" i="141"/>
  <c r="K9" i="141"/>
  <c r="I9" i="141"/>
  <c r="I4" i="141" s="1"/>
  <c r="F9" i="141"/>
  <c r="B9" i="141"/>
  <c r="G9" i="141" s="1"/>
  <c r="Q8" i="141"/>
  <c r="O8" i="141"/>
  <c r="L8" i="141"/>
  <c r="M8" i="141" s="1"/>
  <c r="K8" i="141"/>
  <c r="I8" i="141"/>
  <c r="F8" i="141"/>
  <c r="B8" i="141"/>
  <c r="G8" i="141" s="1"/>
  <c r="Q7" i="141"/>
  <c r="O7" i="141"/>
  <c r="L7" i="141"/>
  <c r="M7" i="141" s="1"/>
  <c r="K7" i="141"/>
  <c r="I7" i="141"/>
  <c r="G7" i="141"/>
  <c r="F7" i="141"/>
  <c r="B7" i="141"/>
  <c r="Q6" i="141"/>
  <c r="O6" i="141"/>
  <c r="M6" i="141"/>
  <c r="L6" i="141"/>
  <c r="K6" i="141"/>
  <c r="I6" i="141"/>
  <c r="G6" i="141"/>
  <c r="F6" i="141"/>
  <c r="B6" i="141"/>
  <c r="N5" i="141"/>
  <c r="O5" i="141" s="1"/>
  <c r="K5" i="141"/>
  <c r="G5" i="141"/>
  <c r="F5" i="141"/>
  <c r="R4" i="141"/>
  <c r="P4" i="141"/>
  <c r="Q4" i="141" s="1"/>
  <c r="N4" i="141"/>
  <c r="J4" i="141"/>
  <c r="H4" i="141"/>
  <c r="K4" i="141" s="1"/>
  <c r="E4" i="141"/>
  <c r="D4" i="141"/>
  <c r="C4" i="141"/>
  <c r="F2" i="141"/>
  <c r="P19" i="140"/>
  <c r="N19" i="140"/>
  <c r="L19" i="140"/>
  <c r="J19" i="140"/>
  <c r="H19" i="140"/>
  <c r="E19" i="140"/>
  <c r="B19" i="140"/>
  <c r="P18" i="140"/>
  <c r="N18" i="140"/>
  <c r="K18" i="140"/>
  <c r="L18" i="140" s="1"/>
  <c r="J18" i="140"/>
  <c r="H18" i="140"/>
  <c r="F18" i="140"/>
  <c r="E18" i="140"/>
  <c r="B18" i="140"/>
  <c r="P17" i="140"/>
  <c r="N17" i="140"/>
  <c r="L17" i="140"/>
  <c r="K17" i="140"/>
  <c r="J17" i="140"/>
  <c r="H17" i="140"/>
  <c r="F17" i="140"/>
  <c r="E17" i="140"/>
  <c r="B17" i="140"/>
  <c r="P16" i="140"/>
  <c r="N16" i="140"/>
  <c r="L16" i="140"/>
  <c r="K16" i="140"/>
  <c r="J16" i="140"/>
  <c r="H16" i="140"/>
  <c r="E16" i="140"/>
  <c r="B16" i="140"/>
  <c r="F16" i="140" s="1"/>
  <c r="P15" i="140"/>
  <c r="N15" i="140"/>
  <c r="K15" i="140"/>
  <c r="L15" i="140" s="1"/>
  <c r="J15" i="140"/>
  <c r="H15" i="140"/>
  <c r="E15" i="140"/>
  <c r="B15" i="140"/>
  <c r="F15" i="140" s="1"/>
  <c r="P14" i="140"/>
  <c r="N14" i="140"/>
  <c r="K14" i="140"/>
  <c r="L14" i="140" s="1"/>
  <c r="J14" i="140"/>
  <c r="H14" i="140"/>
  <c r="F14" i="140"/>
  <c r="E14" i="140"/>
  <c r="B14" i="140"/>
  <c r="P13" i="140"/>
  <c r="N13" i="140"/>
  <c r="L13" i="140"/>
  <c r="K13" i="140"/>
  <c r="J13" i="140"/>
  <c r="H13" i="140"/>
  <c r="F13" i="140"/>
  <c r="E13" i="140"/>
  <c r="B13" i="140"/>
  <c r="P12" i="140"/>
  <c r="N12" i="140"/>
  <c r="L12" i="140"/>
  <c r="K12" i="140"/>
  <c r="J12" i="140"/>
  <c r="H12" i="140"/>
  <c r="E12" i="140"/>
  <c r="B12" i="140"/>
  <c r="F12" i="140" s="1"/>
  <c r="P11" i="140"/>
  <c r="N11" i="140"/>
  <c r="K11" i="140"/>
  <c r="L11" i="140" s="1"/>
  <c r="J11" i="140"/>
  <c r="H11" i="140"/>
  <c r="E11" i="140"/>
  <c r="B11" i="140"/>
  <c r="F11" i="140" s="1"/>
  <c r="P10" i="140"/>
  <c r="N10" i="140"/>
  <c r="K10" i="140"/>
  <c r="L10" i="140" s="1"/>
  <c r="J10" i="140"/>
  <c r="H10" i="140"/>
  <c r="F10" i="140"/>
  <c r="E10" i="140"/>
  <c r="B10" i="140"/>
  <c r="P9" i="140"/>
  <c r="N9" i="140"/>
  <c r="L9" i="140"/>
  <c r="K9" i="140"/>
  <c r="J9" i="140"/>
  <c r="H9" i="140"/>
  <c r="F9" i="140"/>
  <c r="E9" i="140"/>
  <c r="B9" i="140"/>
  <c r="P8" i="140"/>
  <c r="N8" i="140"/>
  <c r="L8" i="140"/>
  <c r="K8" i="140"/>
  <c r="J8" i="140"/>
  <c r="H8" i="140"/>
  <c r="E8" i="140"/>
  <c r="B8" i="140"/>
  <c r="F8" i="140" s="1"/>
  <c r="P7" i="140"/>
  <c r="N7" i="140"/>
  <c r="K7" i="140"/>
  <c r="L7" i="140" s="1"/>
  <c r="J7" i="140"/>
  <c r="H7" i="140"/>
  <c r="E7" i="140"/>
  <c r="B7" i="140"/>
  <c r="F7" i="140" s="1"/>
  <c r="P6" i="140"/>
  <c r="N6" i="140"/>
  <c r="K6" i="140"/>
  <c r="J6" i="140"/>
  <c r="H6" i="140"/>
  <c r="F6" i="140"/>
  <c r="E6" i="140"/>
  <c r="B6" i="140"/>
  <c r="M5" i="140"/>
  <c r="N5" i="140" s="1"/>
  <c r="J5" i="140"/>
  <c r="E5" i="140"/>
  <c r="F5" i="140" s="1"/>
  <c r="Q4" i="140"/>
  <c r="O4" i="140"/>
  <c r="P4" i="140" s="1"/>
  <c r="N4" i="140"/>
  <c r="M4" i="140"/>
  <c r="J4" i="140"/>
  <c r="I4" i="140"/>
  <c r="G4" i="140"/>
  <c r="D4" i="140"/>
  <c r="C4" i="140"/>
  <c r="E4" i="140" s="1"/>
  <c r="B4" i="140"/>
  <c r="F4" i="140" s="1"/>
  <c r="P19" i="139"/>
  <c r="N19" i="139"/>
  <c r="L19" i="139"/>
  <c r="J19" i="139"/>
  <c r="H19" i="139"/>
  <c r="F19" i="139"/>
  <c r="E19" i="139"/>
  <c r="B19" i="139"/>
  <c r="P18" i="139"/>
  <c r="N18" i="139"/>
  <c r="L18" i="139"/>
  <c r="K18" i="139"/>
  <c r="J18" i="139"/>
  <c r="H18" i="139"/>
  <c r="E18" i="139"/>
  <c r="B18" i="139"/>
  <c r="F18" i="139" s="1"/>
  <c r="P17" i="139"/>
  <c r="N17" i="139"/>
  <c r="K17" i="139"/>
  <c r="L17" i="139" s="1"/>
  <c r="J17" i="139"/>
  <c r="H17" i="139"/>
  <c r="E17" i="139"/>
  <c r="B17" i="139"/>
  <c r="F17" i="139" s="1"/>
  <c r="P16" i="139"/>
  <c r="N16" i="139"/>
  <c r="K16" i="139"/>
  <c r="L16" i="139" s="1"/>
  <c r="J16" i="139"/>
  <c r="H16" i="139"/>
  <c r="F16" i="139"/>
  <c r="E16" i="139"/>
  <c r="B16" i="139"/>
  <c r="P15" i="139"/>
  <c r="N15" i="139"/>
  <c r="L15" i="139"/>
  <c r="K15" i="139"/>
  <c r="J15" i="139"/>
  <c r="H15" i="139"/>
  <c r="F15" i="139"/>
  <c r="E15" i="139"/>
  <c r="B15" i="139"/>
  <c r="P14" i="139"/>
  <c r="N14" i="139"/>
  <c r="L14" i="139"/>
  <c r="J14" i="139"/>
  <c r="H14" i="139"/>
  <c r="F14" i="139"/>
  <c r="E14" i="139"/>
  <c r="B14" i="139"/>
  <c r="P13" i="139"/>
  <c r="N13" i="139"/>
  <c r="L13" i="139"/>
  <c r="K13" i="139"/>
  <c r="J13" i="139"/>
  <c r="H13" i="139"/>
  <c r="E13" i="139"/>
  <c r="B13" i="139"/>
  <c r="F13" i="139" s="1"/>
  <c r="P12" i="139"/>
  <c r="N12" i="139"/>
  <c r="K12" i="139"/>
  <c r="L12" i="139" s="1"/>
  <c r="J12" i="139"/>
  <c r="H12" i="139"/>
  <c r="E12" i="139"/>
  <c r="B12" i="139"/>
  <c r="F12" i="139" s="1"/>
  <c r="P11" i="139"/>
  <c r="N11" i="139"/>
  <c r="K11" i="139"/>
  <c r="L11" i="139" s="1"/>
  <c r="J11" i="139"/>
  <c r="H11" i="139"/>
  <c r="F11" i="139"/>
  <c r="E11" i="139"/>
  <c r="B11" i="139"/>
  <c r="P10" i="139"/>
  <c r="N10" i="139"/>
  <c r="L10" i="139"/>
  <c r="K10" i="139"/>
  <c r="J10" i="139"/>
  <c r="H10" i="139"/>
  <c r="F10" i="139"/>
  <c r="E10" i="139"/>
  <c r="B10" i="139"/>
  <c r="P9" i="139"/>
  <c r="N9" i="139"/>
  <c r="L9" i="139"/>
  <c r="K9" i="139"/>
  <c r="J9" i="139"/>
  <c r="H9" i="139"/>
  <c r="H4" i="139" s="1"/>
  <c r="E9" i="139"/>
  <c r="B9" i="139"/>
  <c r="F9" i="139" s="1"/>
  <c r="P8" i="139"/>
  <c r="N8" i="139"/>
  <c r="K8" i="139"/>
  <c r="L8" i="139" s="1"/>
  <c r="J8" i="139"/>
  <c r="H8" i="139"/>
  <c r="E8" i="139"/>
  <c r="B8" i="139"/>
  <c r="P7" i="139"/>
  <c r="N7" i="139"/>
  <c r="K7" i="139"/>
  <c r="L7" i="139" s="1"/>
  <c r="J7" i="139"/>
  <c r="H7" i="139"/>
  <c r="F7" i="139"/>
  <c r="E7" i="139"/>
  <c r="B7" i="139"/>
  <c r="P6" i="139"/>
  <c r="N6" i="139"/>
  <c r="L6" i="139"/>
  <c r="K6" i="139"/>
  <c r="J6" i="139"/>
  <c r="H6" i="139"/>
  <c r="F6" i="139"/>
  <c r="E6" i="139"/>
  <c r="B6" i="139"/>
  <c r="M5" i="139"/>
  <c r="N5" i="139" s="1"/>
  <c r="J5" i="139"/>
  <c r="F5" i="139"/>
  <c r="E5" i="139"/>
  <c r="Q4" i="139"/>
  <c r="O4" i="139"/>
  <c r="P4" i="139" s="1"/>
  <c r="M4" i="139"/>
  <c r="I4" i="139"/>
  <c r="G4" i="139"/>
  <c r="J4" i="139" s="1"/>
  <c r="D4" i="139"/>
  <c r="N4" i="139" s="1"/>
  <c r="C4" i="139"/>
  <c r="E2" i="139" s="1"/>
  <c r="P19" i="138"/>
  <c r="N19" i="138"/>
  <c r="L19" i="138"/>
  <c r="J19" i="138"/>
  <c r="H19" i="138"/>
  <c r="E19" i="138"/>
  <c r="B19" i="138"/>
  <c r="F19" i="138" s="1"/>
  <c r="P18" i="138"/>
  <c r="N18" i="138"/>
  <c r="L18" i="138"/>
  <c r="J18" i="138"/>
  <c r="H18" i="138"/>
  <c r="E18" i="138"/>
  <c r="B18" i="138"/>
  <c r="F18" i="138" s="1"/>
  <c r="P17" i="138"/>
  <c r="N17" i="138"/>
  <c r="L17" i="138"/>
  <c r="J17" i="138"/>
  <c r="H17" i="138"/>
  <c r="E17" i="138"/>
  <c r="B17" i="138"/>
  <c r="F17" i="138" s="1"/>
  <c r="P16" i="138"/>
  <c r="N16" i="138"/>
  <c r="L16" i="138"/>
  <c r="J16" i="138"/>
  <c r="H16" i="138"/>
  <c r="E16" i="138"/>
  <c r="B16" i="138"/>
  <c r="F16" i="138" s="1"/>
  <c r="P15" i="138"/>
  <c r="N15" i="138"/>
  <c r="L15" i="138"/>
  <c r="J15" i="138"/>
  <c r="H15" i="138"/>
  <c r="E15" i="138"/>
  <c r="B15" i="138"/>
  <c r="F15" i="138" s="1"/>
  <c r="P14" i="138"/>
  <c r="N14" i="138"/>
  <c r="L14" i="138"/>
  <c r="J14" i="138"/>
  <c r="H14" i="138"/>
  <c r="E14" i="138"/>
  <c r="B14" i="138"/>
  <c r="F14" i="138" s="1"/>
  <c r="P13" i="138"/>
  <c r="N13" i="138"/>
  <c r="L13" i="138"/>
  <c r="J13" i="138"/>
  <c r="H13" i="138"/>
  <c r="E13" i="138"/>
  <c r="B13" i="138"/>
  <c r="F13" i="138" s="1"/>
  <c r="P12" i="138"/>
  <c r="N12" i="138"/>
  <c r="L12" i="138"/>
  <c r="J12" i="138"/>
  <c r="H12" i="138"/>
  <c r="E12" i="138"/>
  <c r="B12" i="138"/>
  <c r="F12" i="138" s="1"/>
  <c r="P11" i="138"/>
  <c r="N11" i="138"/>
  <c r="L11" i="138"/>
  <c r="J11" i="138"/>
  <c r="H11" i="138"/>
  <c r="E11" i="138"/>
  <c r="B11" i="138"/>
  <c r="F11" i="138" s="1"/>
  <c r="P10" i="138"/>
  <c r="N10" i="138"/>
  <c r="L10" i="138"/>
  <c r="J10" i="138"/>
  <c r="H10" i="138"/>
  <c r="E10" i="138"/>
  <c r="B10" i="138"/>
  <c r="F10" i="138" s="1"/>
  <c r="P9" i="138"/>
  <c r="N9" i="138"/>
  <c r="L9" i="138"/>
  <c r="J9" i="138"/>
  <c r="H9" i="138"/>
  <c r="E9" i="138"/>
  <c r="B9" i="138"/>
  <c r="F9" i="138" s="1"/>
  <c r="P8" i="138"/>
  <c r="N8" i="138"/>
  <c r="L8" i="138"/>
  <c r="J8" i="138"/>
  <c r="H8" i="138"/>
  <c r="H4" i="138" s="1"/>
  <c r="E8" i="138"/>
  <c r="B8" i="138"/>
  <c r="F8" i="138" s="1"/>
  <c r="P7" i="138"/>
  <c r="N7" i="138"/>
  <c r="L7" i="138"/>
  <c r="J7" i="138"/>
  <c r="H7" i="138"/>
  <c r="E7" i="138"/>
  <c r="B7" i="138"/>
  <c r="F7" i="138" s="1"/>
  <c r="P6" i="138"/>
  <c r="N6" i="138"/>
  <c r="L6" i="138"/>
  <c r="J6" i="138"/>
  <c r="H6" i="138"/>
  <c r="E6" i="138"/>
  <c r="B6" i="138"/>
  <c r="F6" i="138" s="1"/>
  <c r="N5" i="138"/>
  <c r="M5" i="138"/>
  <c r="J5" i="138"/>
  <c r="F5" i="138"/>
  <c r="E5" i="138"/>
  <c r="Q4" i="138"/>
  <c r="O4" i="138"/>
  <c r="M4" i="138"/>
  <c r="L4" i="138"/>
  <c r="K4" i="138"/>
  <c r="I4" i="138"/>
  <c r="J4" i="138" s="1"/>
  <c r="G4" i="138"/>
  <c r="D4" i="138"/>
  <c r="C4" i="138"/>
  <c r="N19" i="137"/>
  <c r="L19" i="137"/>
  <c r="J19" i="137"/>
  <c r="H19" i="137"/>
  <c r="E19" i="137"/>
  <c r="B19" i="137"/>
  <c r="F19" i="137" s="1"/>
  <c r="N18" i="137"/>
  <c r="L18" i="137"/>
  <c r="J18" i="137"/>
  <c r="H18" i="137"/>
  <c r="F18" i="137"/>
  <c r="E18" i="137"/>
  <c r="B18" i="137"/>
  <c r="N17" i="137"/>
  <c r="L17" i="137"/>
  <c r="J17" i="137"/>
  <c r="H17" i="137"/>
  <c r="F17" i="137"/>
  <c r="E17" i="137"/>
  <c r="B17" i="137"/>
  <c r="N16" i="137"/>
  <c r="L16" i="137"/>
  <c r="J16" i="137"/>
  <c r="H16" i="137"/>
  <c r="E16" i="137"/>
  <c r="B16" i="137"/>
  <c r="F16" i="137" s="1"/>
  <c r="N15" i="137"/>
  <c r="L15" i="137"/>
  <c r="J15" i="137"/>
  <c r="H15" i="137"/>
  <c r="E15" i="137"/>
  <c r="B15" i="137"/>
  <c r="F15" i="137" s="1"/>
  <c r="N14" i="137"/>
  <c r="L14" i="137"/>
  <c r="J14" i="137"/>
  <c r="H14" i="137"/>
  <c r="F14" i="137"/>
  <c r="E14" i="137"/>
  <c r="B14" i="137"/>
  <c r="N13" i="137"/>
  <c r="L13" i="137"/>
  <c r="J13" i="137"/>
  <c r="H13" i="137"/>
  <c r="F13" i="137"/>
  <c r="E13" i="137"/>
  <c r="B13" i="137"/>
  <c r="N12" i="137"/>
  <c r="L12" i="137"/>
  <c r="J12" i="137"/>
  <c r="H12" i="137"/>
  <c r="E12" i="137"/>
  <c r="B12" i="137"/>
  <c r="F12" i="137" s="1"/>
  <c r="N11" i="137"/>
  <c r="L11" i="137"/>
  <c r="J11" i="137"/>
  <c r="H11" i="137"/>
  <c r="E11" i="137"/>
  <c r="B11" i="137"/>
  <c r="F11" i="137" s="1"/>
  <c r="N10" i="137"/>
  <c r="L10" i="137"/>
  <c r="J10" i="137"/>
  <c r="H10" i="137"/>
  <c r="F10" i="137"/>
  <c r="E10" i="137"/>
  <c r="B10" i="137"/>
  <c r="N9" i="137"/>
  <c r="L9" i="137"/>
  <c r="J9" i="137"/>
  <c r="H9" i="137"/>
  <c r="F9" i="137"/>
  <c r="E9" i="137"/>
  <c r="B9" i="137"/>
  <c r="N8" i="137"/>
  <c r="L8" i="137"/>
  <c r="J8" i="137"/>
  <c r="H8" i="137"/>
  <c r="E8" i="137"/>
  <c r="B8" i="137"/>
  <c r="F8" i="137" s="1"/>
  <c r="N7" i="137"/>
  <c r="L7" i="137"/>
  <c r="J7" i="137"/>
  <c r="H7" i="137"/>
  <c r="H4" i="137" s="1"/>
  <c r="E7" i="137"/>
  <c r="B7" i="137"/>
  <c r="F7" i="137" s="1"/>
  <c r="N6" i="137"/>
  <c r="L6" i="137"/>
  <c r="J6" i="137"/>
  <c r="H6" i="137"/>
  <c r="F6" i="137"/>
  <c r="E6" i="137"/>
  <c r="B6" i="137"/>
  <c r="K5" i="137"/>
  <c r="L5" i="137" s="1"/>
  <c r="J5" i="137"/>
  <c r="E5" i="137"/>
  <c r="F5" i="137" s="1"/>
  <c r="O4" i="137"/>
  <c r="M4" i="137"/>
  <c r="K4" i="137"/>
  <c r="L4" i="137" s="1"/>
  <c r="I4" i="137"/>
  <c r="G4" i="137"/>
  <c r="J4" i="137" s="1"/>
  <c r="D4" i="137"/>
  <c r="N4" i="137" s="1"/>
  <c r="C4" i="137"/>
  <c r="E2" i="137" s="1"/>
  <c r="N19" i="136"/>
  <c r="L19" i="136"/>
  <c r="J19" i="136"/>
  <c r="H19" i="136"/>
  <c r="F19" i="136"/>
  <c r="E19" i="136"/>
  <c r="B19" i="136"/>
  <c r="N18" i="136"/>
  <c r="L18" i="136"/>
  <c r="J18" i="136"/>
  <c r="H18" i="136"/>
  <c r="F18" i="136"/>
  <c r="E18" i="136"/>
  <c r="B18" i="136"/>
  <c r="N17" i="136"/>
  <c r="L17" i="136"/>
  <c r="J17" i="136"/>
  <c r="H17" i="136"/>
  <c r="E17" i="136"/>
  <c r="B17" i="136"/>
  <c r="F17" i="136" s="1"/>
  <c r="N16" i="136"/>
  <c r="L16" i="136"/>
  <c r="J16" i="136"/>
  <c r="H16" i="136"/>
  <c r="E16" i="136"/>
  <c r="B16" i="136"/>
  <c r="F16" i="136" s="1"/>
  <c r="N15" i="136"/>
  <c r="L15" i="136"/>
  <c r="J15" i="136"/>
  <c r="H15" i="136"/>
  <c r="F15" i="136"/>
  <c r="E15" i="136"/>
  <c r="B15" i="136"/>
  <c r="N14" i="136"/>
  <c r="L14" i="136"/>
  <c r="J14" i="136"/>
  <c r="H14" i="136"/>
  <c r="F14" i="136"/>
  <c r="E14" i="136"/>
  <c r="B14" i="136"/>
  <c r="N13" i="136"/>
  <c r="L13" i="136"/>
  <c r="J13" i="136"/>
  <c r="H13" i="136"/>
  <c r="E13" i="136"/>
  <c r="B13" i="136"/>
  <c r="F13" i="136" s="1"/>
  <c r="N12" i="136"/>
  <c r="L12" i="136"/>
  <c r="J12" i="136"/>
  <c r="H12" i="136"/>
  <c r="E12" i="136"/>
  <c r="B12" i="136"/>
  <c r="F12" i="136" s="1"/>
  <c r="N11" i="136"/>
  <c r="L11" i="136"/>
  <c r="J11" i="136"/>
  <c r="H11" i="136"/>
  <c r="F11" i="136"/>
  <c r="E11" i="136"/>
  <c r="B11" i="136"/>
  <c r="N10" i="136"/>
  <c r="L10" i="136"/>
  <c r="J10" i="136"/>
  <c r="H10" i="136"/>
  <c r="F10" i="136"/>
  <c r="E10" i="136"/>
  <c r="B10" i="136"/>
  <c r="N9" i="136"/>
  <c r="L9" i="136"/>
  <c r="J9" i="136"/>
  <c r="H9" i="136"/>
  <c r="E9" i="136"/>
  <c r="B9" i="136"/>
  <c r="F9" i="136" s="1"/>
  <c r="N8" i="136"/>
  <c r="L8" i="136"/>
  <c r="J8" i="136"/>
  <c r="H8" i="136"/>
  <c r="E8" i="136"/>
  <c r="B8" i="136"/>
  <c r="F8" i="136" s="1"/>
  <c r="N7" i="136"/>
  <c r="L7" i="136"/>
  <c r="J7" i="136"/>
  <c r="H7" i="136"/>
  <c r="H4" i="136" s="1"/>
  <c r="F7" i="136"/>
  <c r="E7" i="136"/>
  <c r="B7" i="136"/>
  <c r="N6" i="136"/>
  <c r="L6" i="136"/>
  <c r="J6" i="136"/>
  <c r="H6" i="136"/>
  <c r="F6" i="136"/>
  <c r="E6" i="136"/>
  <c r="B6" i="136"/>
  <c r="K5" i="136"/>
  <c r="L5" i="136" s="1"/>
  <c r="J5" i="136"/>
  <c r="F5" i="136"/>
  <c r="E5" i="136"/>
  <c r="O4" i="136"/>
  <c r="N4" i="136"/>
  <c r="M4" i="136"/>
  <c r="K4" i="136"/>
  <c r="L4" i="136" s="1"/>
  <c r="J4" i="136"/>
  <c r="I4" i="136"/>
  <c r="G4" i="136"/>
  <c r="D4" i="136"/>
  <c r="C4" i="136"/>
  <c r="E4" i="136" s="1"/>
  <c r="N19" i="135"/>
  <c r="L19" i="135"/>
  <c r="J19" i="135"/>
  <c r="H19" i="135"/>
  <c r="F19" i="135"/>
  <c r="E19" i="135"/>
  <c r="B19" i="135"/>
  <c r="N18" i="135"/>
  <c r="L18" i="135"/>
  <c r="J18" i="135"/>
  <c r="H18" i="135"/>
  <c r="E18" i="135"/>
  <c r="B18" i="135"/>
  <c r="F18" i="135" s="1"/>
  <c r="N17" i="135"/>
  <c r="L17" i="135"/>
  <c r="J17" i="135"/>
  <c r="H17" i="135"/>
  <c r="E17" i="135"/>
  <c r="B17" i="135"/>
  <c r="F17" i="135" s="1"/>
  <c r="N16" i="135"/>
  <c r="L16" i="135"/>
  <c r="J16" i="135"/>
  <c r="H16" i="135"/>
  <c r="F16" i="135"/>
  <c r="E16" i="135"/>
  <c r="B16" i="135"/>
  <c r="N15" i="135"/>
  <c r="L15" i="135"/>
  <c r="J15" i="135"/>
  <c r="H15" i="135"/>
  <c r="F15" i="135"/>
  <c r="E15" i="135"/>
  <c r="B15" i="135"/>
  <c r="N14" i="135"/>
  <c r="L14" i="135"/>
  <c r="J14" i="135"/>
  <c r="H14" i="135"/>
  <c r="E14" i="135"/>
  <c r="B14" i="135"/>
  <c r="F14" i="135" s="1"/>
  <c r="N13" i="135"/>
  <c r="L13" i="135"/>
  <c r="J13" i="135"/>
  <c r="H13" i="135"/>
  <c r="E13" i="135"/>
  <c r="B13" i="135"/>
  <c r="F13" i="135" s="1"/>
  <c r="N12" i="135"/>
  <c r="L12" i="135"/>
  <c r="J12" i="135"/>
  <c r="H12" i="135"/>
  <c r="F12" i="135"/>
  <c r="E12" i="135"/>
  <c r="B12" i="135"/>
  <c r="N11" i="135"/>
  <c r="L11" i="135"/>
  <c r="J11" i="135"/>
  <c r="H11" i="135"/>
  <c r="F11" i="135"/>
  <c r="E11" i="135"/>
  <c r="B11" i="135"/>
  <c r="N10" i="135"/>
  <c r="L10" i="135"/>
  <c r="J10" i="135"/>
  <c r="H10" i="135"/>
  <c r="E10" i="135"/>
  <c r="B10" i="135"/>
  <c r="F10" i="135" s="1"/>
  <c r="N9" i="135"/>
  <c r="L9" i="135"/>
  <c r="J9" i="135"/>
  <c r="H9" i="135"/>
  <c r="E9" i="135"/>
  <c r="B9" i="135"/>
  <c r="F9" i="135" s="1"/>
  <c r="N8" i="135"/>
  <c r="L8" i="135"/>
  <c r="J8" i="135"/>
  <c r="H8" i="135"/>
  <c r="H4" i="135" s="1"/>
  <c r="F8" i="135"/>
  <c r="E8" i="135"/>
  <c r="B8" i="135"/>
  <c r="N7" i="135"/>
  <c r="L7" i="135"/>
  <c r="J7" i="135"/>
  <c r="H7" i="135"/>
  <c r="F7" i="135"/>
  <c r="E7" i="135"/>
  <c r="B7" i="135"/>
  <c r="N6" i="135"/>
  <c r="L6" i="135"/>
  <c r="J6" i="135"/>
  <c r="H6" i="135"/>
  <c r="E6" i="135"/>
  <c r="B6" i="135"/>
  <c r="L5" i="135"/>
  <c r="K5" i="135"/>
  <c r="J5" i="135"/>
  <c r="F5" i="135"/>
  <c r="E5" i="135"/>
  <c r="O4" i="135"/>
  <c r="M4" i="135"/>
  <c r="N4" i="135" s="1"/>
  <c r="K4" i="135"/>
  <c r="I4" i="135"/>
  <c r="J4" i="135" s="1"/>
  <c r="G4" i="135"/>
  <c r="E4" i="135"/>
  <c r="D4" i="135"/>
  <c r="L4" i="135" s="1"/>
  <c r="C4" i="135"/>
  <c r="E2" i="135"/>
  <c r="N19" i="134"/>
  <c r="L19" i="134"/>
  <c r="J19" i="134"/>
  <c r="H19" i="134"/>
  <c r="E19" i="134"/>
  <c r="B19" i="134"/>
  <c r="F19" i="134" s="1"/>
  <c r="N18" i="134"/>
  <c r="L18" i="134"/>
  <c r="J18" i="134"/>
  <c r="H18" i="134"/>
  <c r="E18" i="134"/>
  <c r="B18" i="134"/>
  <c r="F18" i="134" s="1"/>
  <c r="N17" i="134"/>
  <c r="L17" i="134"/>
  <c r="J17" i="134"/>
  <c r="H17" i="134"/>
  <c r="F17" i="134"/>
  <c r="E17" i="134"/>
  <c r="B17" i="134"/>
  <c r="N16" i="134"/>
  <c r="L16" i="134"/>
  <c r="J16" i="134"/>
  <c r="H16" i="134"/>
  <c r="F16" i="134"/>
  <c r="E16" i="134"/>
  <c r="B16" i="134"/>
  <c r="N15" i="134"/>
  <c r="L15" i="134"/>
  <c r="J15" i="134"/>
  <c r="H15" i="134"/>
  <c r="E15" i="134"/>
  <c r="B15" i="134"/>
  <c r="F15" i="134" s="1"/>
  <c r="N14" i="134"/>
  <c r="L14" i="134"/>
  <c r="J14" i="134"/>
  <c r="H14" i="134"/>
  <c r="E14" i="134"/>
  <c r="B14" i="134"/>
  <c r="F14" i="134" s="1"/>
  <c r="N13" i="134"/>
  <c r="L13" i="134"/>
  <c r="J13" i="134"/>
  <c r="H13" i="134"/>
  <c r="F13" i="134"/>
  <c r="E13" i="134"/>
  <c r="B13" i="134"/>
  <c r="N12" i="134"/>
  <c r="L12" i="134"/>
  <c r="J12" i="134"/>
  <c r="H12" i="134"/>
  <c r="F12" i="134"/>
  <c r="E12" i="134"/>
  <c r="B12" i="134"/>
  <c r="N11" i="134"/>
  <c r="L11" i="134"/>
  <c r="J11" i="134"/>
  <c r="H11" i="134"/>
  <c r="E11" i="134"/>
  <c r="B11" i="134"/>
  <c r="F11" i="134" s="1"/>
  <c r="N10" i="134"/>
  <c r="L10" i="134"/>
  <c r="J10" i="134"/>
  <c r="H10" i="134"/>
  <c r="E10" i="134"/>
  <c r="B10" i="134"/>
  <c r="F10" i="134" s="1"/>
  <c r="N9" i="134"/>
  <c r="L9" i="134"/>
  <c r="J9" i="134"/>
  <c r="H9" i="134"/>
  <c r="F9" i="134"/>
  <c r="E9" i="134"/>
  <c r="B9" i="134"/>
  <c r="N8" i="134"/>
  <c r="L8" i="134"/>
  <c r="J8" i="134"/>
  <c r="H8" i="134"/>
  <c r="F8" i="134"/>
  <c r="E8" i="134"/>
  <c r="B8" i="134"/>
  <c r="N7" i="134"/>
  <c r="L7" i="134"/>
  <c r="J7" i="134"/>
  <c r="H7" i="134"/>
  <c r="E7" i="134"/>
  <c r="B7" i="134"/>
  <c r="F7" i="134" s="1"/>
  <c r="N6" i="134"/>
  <c r="L6" i="134"/>
  <c r="J6" i="134"/>
  <c r="H6" i="134"/>
  <c r="E6" i="134"/>
  <c r="B6" i="134"/>
  <c r="F6" i="134" s="1"/>
  <c r="L5" i="134"/>
  <c r="K5" i="134"/>
  <c r="J5" i="134"/>
  <c r="E5" i="134"/>
  <c r="F5" i="134" s="1"/>
  <c r="O4" i="134"/>
  <c r="M4" i="134"/>
  <c r="L4" i="134"/>
  <c r="K4" i="134"/>
  <c r="I4" i="134"/>
  <c r="J4" i="134" s="1"/>
  <c r="H4" i="134"/>
  <c r="G4" i="134"/>
  <c r="D4" i="134"/>
  <c r="C4" i="134"/>
  <c r="E2" i="134"/>
  <c r="N19" i="133"/>
  <c r="L19" i="133"/>
  <c r="J19" i="133"/>
  <c r="H19" i="133"/>
  <c r="E19" i="133"/>
  <c r="B19" i="133"/>
  <c r="F19" i="133" s="1"/>
  <c r="N18" i="133"/>
  <c r="L18" i="133"/>
  <c r="J18" i="133"/>
  <c r="H18" i="133"/>
  <c r="F18" i="133"/>
  <c r="E18" i="133"/>
  <c r="B18" i="133"/>
  <c r="N17" i="133"/>
  <c r="L17" i="133"/>
  <c r="J17" i="133"/>
  <c r="H17" i="133"/>
  <c r="F17" i="133"/>
  <c r="E17" i="133"/>
  <c r="B17" i="133"/>
  <c r="N16" i="133"/>
  <c r="L16" i="133"/>
  <c r="J16" i="133"/>
  <c r="H16" i="133"/>
  <c r="E16" i="133"/>
  <c r="B16" i="133"/>
  <c r="F16" i="133" s="1"/>
  <c r="N15" i="133"/>
  <c r="L15" i="133"/>
  <c r="J15" i="133"/>
  <c r="H15" i="133"/>
  <c r="E15" i="133"/>
  <c r="B15" i="133"/>
  <c r="F15" i="133" s="1"/>
  <c r="N14" i="133"/>
  <c r="L14" i="133"/>
  <c r="J14" i="133"/>
  <c r="H14" i="133"/>
  <c r="F14" i="133"/>
  <c r="E14" i="133"/>
  <c r="B14" i="133"/>
  <c r="N13" i="133"/>
  <c r="L13" i="133"/>
  <c r="J13" i="133"/>
  <c r="H13" i="133"/>
  <c r="F13" i="133"/>
  <c r="E13" i="133"/>
  <c r="B13" i="133"/>
  <c r="N12" i="133"/>
  <c r="L12" i="133"/>
  <c r="J12" i="133"/>
  <c r="H12" i="133"/>
  <c r="E12" i="133"/>
  <c r="B12" i="133"/>
  <c r="F12" i="133" s="1"/>
  <c r="N11" i="133"/>
  <c r="L11" i="133"/>
  <c r="J11" i="133"/>
  <c r="H11" i="133"/>
  <c r="E11" i="133"/>
  <c r="B11" i="133"/>
  <c r="F11" i="133" s="1"/>
  <c r="N10" i="133"/>
  <c r="L10" i="133"/>
  <c r="J10" i="133"/>
  <c r="H10" i="133"/>
  <c r="F10" i="133"/>
  <c r="E10" i="133"/>
  <c r="B10" i="133"/>
  <c r="N9" i="133"/>
  <c r="L9" i="133"/>
  <c r="J9" i="133"/>
  <c r="H9" i="133"/>
  <c r="F9" i="133"/>
  <c r="E9" i="133"/>
  <c r="B9" i="133"/>
  <c r="N8" i="133"/>
  <c r="L8" i="133"/>
  <c r="J8" i="133"/>
  <c r="H8" i="133"/>
  <c r="E8" i="133"/>
  <c r="B8" i="133"/>
  <c r="F8" i="133" s="1"/>
  <c r="N7" i="133"/>
  <c r="L7" i="133"/>
  <c r="J7" i="133"/>
  <c r="H7" i="133"/>
  <c r="H4" i="133" s="1"/>
  <c r="E7" i="133"/>
  <c r="B7" i="133"/>
  <c r="F7" i="133" s="1"/>
  <c r="N6" i="133"/>
  <c r="L6" i="133"/>
  <c r="J6" i="133"/>
  <c r="H6" i="133"/>
  <c r="F6" i="133"/>
  <c r="E6" i="133"/>
  <c r="B6" i="133"/>
  <c r="K5" i="133"/>
  <c r="L5" i="133" s="1"/>
  <c r="J5" i="133"/>
  <c r="E5" i="133"/>
  <c r="F5" i="133" s="1"/>
  <c r="O4" i="133"/>
  <c r="M4" i="133"/>
  <c r="K4" i="133"/>
  <c r="L4" i="133" s="1"/>
  <c r="I4" i="133"/>
  <c r="G4" i="133"/>
  <c r="J4" i="133" s="1"/>
  <c r="D4" i="133"/>
  <c r="N4" i="133" s="1"/>
  <c r="C4" i="133"/>
  <c r="E2" i="133" s="1"/>
  <c r="N19" i="132"/>
  <c r="L19" i="132"/>
  <c r="J19" i="132"/>
  <c r="H19" i="132"/>
  <c r="F19" i="132"/>
  <c r="E19" i="132"/>
  <c r="B19" i="132"/>
  <c r="N18" i="132"/>
  <c r="L18" i="132"/>
  <c r="J18" i="132"/>
  <c r="H18" i="132"/>
  <c r="F18" i="132"/>
  <c r="E18" i="132"/>
  <c r="B18" i="132"/>
  <c r="N17" i="132"/>
  <c r="L17" i="132"/>
  <c r="J17" i="132"/>
  <c r="H17" i="132"/>
  <c r="E17" i="132"/>
  <c r="B17" i="132"/>
  <c r="F17" i="132" s="1"/>
  <c r="N16" i="132"/>
  <c r="L16" i="132"/>
  <c r="J16" i="132"/>
  <c r="H16" i="132"/>
  <c r="E16" i="132"/>
  <c r="B16" i="132"/>
  <c r="F16" i="132" s="1"/>
  <c r="N15" i="132"/>
  <c r="L15" i="132"/>
  <c r="J15" i="132"/>
  <c r="H15" i="132"/>
  <c r="F15" i="132"/>
  <c r="E15" i="132"/>
  <c r="B15" i="132"/>
  <c r="N14" i="132"/>
  <c r="L14" i="132"/>
  <c r="J14" i="132"/>
  <c r="H14" i="132"/>
  <c r="F14" i="132"/>
  <c r="E14" i="132"/>
  <c r="B14" i="132"/>
  <c r="N13" i="132"/>
  <c r="L13" i="132"/>
  <c r="J13" i="132"/>
  <c r="H13" i="132"/>
  <c r="E13" i="132"/>
  <c r="B13" i="132"/>
  <c r="F13" i="132" s="1"/>
  <c r="N12" i="132"/>
  <c r="L12" i="132"/>
  <c r="J12" i="132"/>
  <c r="H12" i="132"/>
  <c r="E12" i="132"/>
  <c r="B12" i="132"/>
  <c r="F12" i="132" s="1"/>
  <c r="N11" i="132"/>
  <c r="L11" i="132"/>
  <c r="J11" i="132"/>
  <c r="H11" i="132"/>
  <c r="F11" i="132"/>
  <c r="E11" i="132"/>
  <c r="B11" i="132"/>
  <c r="N10" i="132"/>
  <c r="L10" i="132"/>
  <c r="J10" i="132"/>
  <c r="H10" i="132"/>
  <c r="F10" i="132"/>
  <c r="E10" i="132"/>
  <c r="B10" i="132"/>
  <c r="N9" i="132"/>
  <c r="L9" i="132"/>
  <c r="J9" i="132"/>
  <c r="H9" i="132"/>
  <c r="E9" i="132"/>
  <c r="B9" i="132"/>
  <c r="F9" i="132" s="1"/>
  <c r="N8" i="132"/>
  <c r="L8" i="132"/>
  <c r="J8" i="132"/>
  <c r="H8" i="132"/>
  <c r="E8" i="132"/>
  <c r="B8" i="132"/>
  <c r="F8" i="132" s="1"/>
  <c r="N7" i="132"/>
  <c r="L7" i="132"/>
  <c r="J7" i="132"/>
  <c r="H7" i="132"/>
  <c r="F7" i="132"/>
  <c r="E7" i="132"/>
  <c r="B7" i="132"/>
  <c r="N6" i="132"/>
  <c r="L6" i="132"/>
  <c r="J6" i="132"/>
  <c r="H6" i="132"/>
  <c r="F6" i="132"/>
  <c r="E6" i="132"/>
  <c r="B6" i="132"/>
  <c r="K5" i="132"/>
  <c r="L5" i="132" s="1"/>
  <c r="J5" i="132"/>
  <c r="F5" i="132"/>
  <c r="E5" i="132"/>
  <c r="O4" i="132"/>
  <c r="N4" i="132"/>
  <c r="M4" i="132"/>
  <c r="K4" i="132"/>
  <c r="L4" i="132" s="1"/>
  <c r="J4" i="132"/>
  <c r="I4" i="132"/>
  <c r="G4" i="132"/>
  <c r="D4" i="132"/>
  <c r="C4" i="132"/>
  <c r="E4" i="132" s="1"/>
  <c r="B4" i="132"/>
  <c r="F2" i="132" s="1"/>
  <c r="M19" i="131"/>
  <c r="N19" i="131" s="1"/>
  <c r="L19" i="131"/>
  <c r="J19" i="131"/>
  <c r="H19" i="131"/>
  <c r="F19" i="131"/>
  <c r="E19" i="131"/>
  <c r="B19" i="131"/>
  <c r="M18" i="131"/>
  <c r="N18" i="131" s="1"/>
  <c r="L18" i="131"/>
  <c r="J18" i="131"/>
  <c r="H18" i="131"/>
  <c r="F18" i="131"/>
  <c r="E18" i="131"/>
  <c r="B18" i="131"/>
  <c r="M17" i="131"/>
  <c r="N17" i="131" s="1"/>
  <c r="L17" i="131"/>
  <c r="J17" i="131"/>
  <c r="H17" i="131"/>
  <c r="F17" i="131"/>
  <c r="E17" i="131"/>
  <c r="B17" i="131"/>
  <c r="M16" i="131"/>
  <c r="N16" i="131" s="1"/>
  <c r="L16" i="131"/>
  <c r="J16" i="131"/>
  <c r="H16" i="131"/>
  <c r="F16" i="131"/>
  <c r="E16" i="131"/>
  <c r="B16" i="131"/>
  <c r="M15" i="131"/>
  <c r="N15" i="131" s="1"/>
  <c r="L15" i="131"/>
  <c r="J15" i="131"/>
  <c r="H15" i="131"/>
  <c r="F15" i="131"/>
  <c r="E15" i="131"/>
  <c r="B15" i="131"/>
  <c r="M14" i="131"/>
  <c r="N14" i="131" s="1"/>
  <c r="L14" i="131"/>
  <c r="J14" i="131"/>
  <c r="H14" i="131"/>
  <c r="F14" i="131"/>
  <c r="E14" i="131"/>
  <c r="B14" i="131"/>
  <c r="M13" i="131"/>
  <c r="N13" i="131" s="1"/>
  <c r="L13" i="131"/>
  <c r="J13" i="131"/>
  <c r="H13" i="131"/>
  <c r="F13" i="131"/>
  <c r="E13" i="131"/>
  <c r="B13" i="131"/>
  <c r="M12" i="131"/>
  <c r="N12" i="131" s="1"/>
  <c r="L12" i="131"/>
  <c r="J12" i="131"/>
  <c r="H12" i="131"/>
  <c r="F12" i="131"/>
  <c r="E12" i="131"/>
  <c r="B12" i="131"/>
  <c r="M11" i="131"/>
  <c r="N11" i="131" s="1"/>
  <c r="L11" i="131"/>
  <c r="J11" i="131"/>
  <c r="H11" i="131"/>
  <c r="F11" i="131"/>
  <c r="E11" i="131"/>
  <c r="B11" i="131"/>
  <c r="M10" i="131"/>
  <c r="N10" i="131" s="1"/>
  <c r="L10" i="131"/>
  <c r="J10" i="131"/>
  <c r="H10" i="131"/>
  <c r="F10" i="131"/>
  <c r="E10" i="131"/>
  <c r="B10" i="131"/>
  <c r="M9" i="131"/>
  <c r="N9" i="131" s="1"/>
  <c r="L9" i="131"/>
  <c r="J9" i="131"/>
  <c r="H9" i="131"/>
  <c r="F9" i="131"/>
  <c r="E9" i="131"/>
  <c r="B9" i="131"/>
  <c r="M8" i="131"/>
  <c r="N8" i="131" s="1"/>
  <c r="L8" i="131"/>
  <c r="J8" i="131"/>
  <c r="H8" i="131"/>
  <c r="F8" i="131"/>
  <c r="E8" i="131"/>
  <c r="B8" i="131"/>
  <c r="M7" i="131"/>
  <c r="N7" i="131" s="1"/>
  <c r="L7" i="131"/>
  <c r="J7" i="131"/>
  <c r="H7" i="131"/>
  <c r="F7" i="131"/>
  <c r="E7" i="131"/>
  <c r="B7" i="131"/>
  <c r="M6" i="131"/>
  <c r="L6" i="131"/>
  <c r="J6" i="131"/>
  <c r="H6" i="131"/>
  <c r="F6" i="131"/>
  <c r="E6" i="131"/>
  <c r="B6" i="131"/>
  <c r="K5" i="131"/>
  <c r="L5" i="131" s="1"/>
  <c r="J5" i="131"/>
  <c r="E5" i="131"/>
  <c r="F5" i="131" s="1"/>
  <c r="O4" i="131"/>
  <c r="K4" i="131"/>
  <c r="L4" i="131" s="1"/>
  <c r="I4" i="131"/>
  <c r="H4" i="131"/>
  <c r="G4" i="131"/>
  <c r="J4" i="131" s="1"/>
  <c r="D4" i="131"/>
  <c r="F4" i="131" s="1"/>
  <c r="C4" i="131"/>
  <c r="E2" i="131" s="1"/>
  <c r="B4" i="131"/>
  <c r="N19" i="130"/>
  <c r="M19" i="130"/>
  <c r="L19" i="130"/>
  <c r="J19" i="130"/>
  <c r="H19" i="130"/>
  <c r="E19" i="130"/>
  <c r="B19" i="130"/>
  <c r="F19" i="130" s="1"/>
  <c r="N18" i="130"/>
  <c r="M18" i="130"/>
  <c r="L18" i="130"/>
  <c r="J18" i="130"/>
  <c r="H18" i="130"/>
  <c r="E18" i="130"/>
  <c r="B18" i="130"/>
  <c r="F18" i="130" s="1"/>
  <c r="N17" i="130"/>
  <c r="M17" i="130"/>
  <c r="L17" i="130"/>
  <c r="J17" i="130"/>
  <c r="H17" i="130"/>
  <c r="E17" i="130"/>
  <c r="B17" i="130"/>
  <c r="F17" i="130" s="1"/>
  <c r="N16" i="130"/>
  <c r="M16" i="130"/>
  <c r="L16" i="130"/>
  <c r="J16" i="130"/>
  <c r="H16" i="130"/>
  <c r="E16" i="130"/>
  <c r="B16" i="130"/>
  <c r="F16" i="130" s="1"/>
  <c r="N15" i="130"/>
  <c r="M15" i="130"/>
  <c r="L15" i="130"/>
  <c r="J15" i="130"/>
  <c r="H15" i="130"/>
  <c r="E15" i="130"/>
  <c r="B15" i="130"/>
  <c r="F15" i="130" s="1"/>
  <c r="N14" i="130"/>
  <c r="M14" i="130"/>
  <c r="L14" i="130"/>
  <c r="J14" i="130"/>
  <c r="H14" i="130"/>
  <c r="E14" i="130"/>
  <c r="B14" i="130"/>
  <c r="F14" i="130" s="1"/>
  <c r="N13" i="130"/>
  <c r="M13" i="130"/>
  <c r="L13" i="130"/>
  <c r="J13" i="130"/>
  <c r="H13" i="130"/>
  <c r="E13" i="130"/>
  <c r="B13" i="130"/>
  <c r="F13" i="130" s="1"/>
  <c r="N12" i="130"/>
  <c r="M12" i="130"/>
  <c r="L12" i="130"/>
  <c r="J12" i="130"/>
  <c r="H12" i="130"/>
  <c r="E12" i="130"/>
  <c r="B12" i="130"/>
  <c r="F12" i="130" s="1"/>
  <c r="N11" i="130"/>
  <c r="M11" i="130"/>
  <c r="L11" i="130"/>
  <c r="J11" i="130"/>
  <c r="H11" i="130"/>
  <c r="E11" i="130"/>
  <c r="B11" i="130"/>
  <c r="F11" i="130" s="1"/>
  <c r="N10" i="130"/>
  <c r="M10" i="130"/>
  <c r="L10" i="130"/>
  <c r="J10" i="130"/>
  <c r="H10" i="130"/>
  <c r="E10" i="130"/>
  <c r="B10" i="130"/>
  <c r="F10" i="130" s="1"/>
  <c r="N9" i="130"/>
  <c r="M9" i="130"/>
  <c r="L9" i="130"/>
  <c r="J9" i="130"/>
  <c r="H9" i="130"/>
  <c r="E9" i="130"/>
  <c r="B9" i="130"/>
  <c r="F9" i="130" s="1"/>
  <c r="N8" i="130"/>
  <c r="M8" i="130"/>
  <c r="L8" i="130"/>
  <c r="J8" i="130"/>
  <c r="H8" i="130"/>
  <c r="E8" i="130"/>
  <c r="B8" i="130"/>
  <c r="F8" i="130" s="1"/>
  <c r="N7" i="130"/>
  <c r="M7" i="130"/>
  <c r="L7" i="130"/>
  <c r="J7" i="130"/>
  <c r="H7" i="130"/>
  <c r="H4" i="130" s="1"/>
  <c r="E7" i="130"/>
  <c r="B7" i="130"/>
  <c r="F7" i="130" s="1"/>
  <c r="N6" i="130"/>
  <c r="M6" i="130"/>
  <c r="L6" i="130"/>
  <c r="J6" i="130"/>
  <c r="H6" i="130"/>
  <c r="E6" i="130"/>
  <c r="B6" i="130"/>
  <c r="F6" i="130" s="1"/>
  <c r="L5" i="130"/>
  <c r="K5" i="130"/>
  <c r="J5" i="130"/>
  <c r="E5" i="130"/>
  <c r="F5" i="130" s="1"/>
  <c r="O4" i="130"/>
  <c r="M4" i="130"/>
  <c r="L4" i="130"/>
  <c r="K4" i="130"/>
  <c r="I4" i="130"/>
  <c r="J4" i="130" s="1"/>
  <c r="G4" i="130"/>
  <c r="D4" i="130"/>
  <c r="E2" i="130" s="1"/>
  <c r="C4" i="130"/>
  <c r="N19" i="129"/>
  <c r="M19" i="129"/>
  <c r="L19" i="129"/>
  <c r="J19" i="129"/>
  <c r="H19" i="129"/>
  <c r="E19" i="129"/>
  <c r="B19" i="129"/>
  <c r="F19" i="129" s="1"/>
  <c r="N18" i="129"/>
  <c r="M18" i="129"/>
  <c r="L18" i="129"/>
  <c r="J18" i="129"/>
  <c r="H18" i="129"/>
  <c r="E18" i="129"/>
  <c r="B18" i="129"/>
  <c r="F18" i="129" s="1"/>
  <c r="N17" i="129"/>
  <c r="M17" i="129"/>
  <c r="L17" i="129"/>
  <c r="J17" i="129"/>
  <c r="H17" i="129"/>
  <c r="E17" i="129"/>
  <c r="B17" i="129"/>
  <c r="F17" i="129" s="1"/>
  <c r="N16" i="129"/>
  <c r="M16" i="129"/>
  <c r="L16" i="129"/>
  <c r="J16" i="129"/>
  <c r="H16" i="129"/>
  <c r="E16" i="129"/>
  <c r="B16" i="129"/>
  <c r="F16" i="129" s="1"/>
  <c r="N15" i="129"/>
  <c r="M15" i="129"/>
  <c r="L15" i="129"/>
  <c r="J15" i="129"/>
  <c r="H15" i="129"/>
  <c r="E15" i="129"/>
  <c r="B15" i="129"/>
  <c r="F15" i="129" s="1"/>
  <c r="N14" i="129"/>
  <c r="M14" i="129"/>
  <c r="L14" i="129"/>
  <c r="J14" i="129"/>
  <c r="H14" i="129"/>
  <c r="E14" i="129"/>
  <c r="B14" i="129"/>
  <c r="F14" i="129" s="1"/>
  <c r="N13" i="129"/>
  <c r="M13" i="129"/>
  <c r="L13" i="129"/>
  <c r="J13" i="129"/>
  <c r="H13" i="129"/>
  <c r="E13" i="129"/>
  <c r="B13" i="129"/>
  <c r="F13" i="129" s="1"/>
  <c r="N12" i="129"/>
  <c r="M12" i="129"/>
  <c r="L12" i="129"/>
  <c r="J12" i="129"/>
  <c r="H12" i="129"/>
  <c r="E12" i="129"/>
  <c r="B12" i="129"/>
  <c r="F12" i="129" s="1"/>
  <c r="N11" i="129"/>
  <c r="M11" i="129"/>
  <c r="L11" i="129"/>
  <c r="J11" i="129"/>
  <c r="H11" i="129"/>
  <c r="E11" i="129"/>
  <c r="B11" i="129"/>
  <c r="F11" i="129" s="1"/>
  <c r="N10" i="129"/>
  <c r="M10" i="129"/>
  <c r="L10" i="129"/>
  <c r="J10" i="129"/>
  <c r="H10" i="129"/>
  <c r="E10" i="129"/>
  <c r="B10" i="129"/>
  <c r="F10" i="129" s="1"/>
  <c r="N9" i="129"/>
  <c r="M9" i="129"/>
  <c r="L9" i="129"/>
  <c r="J9" i="129"/>
  <c r="H9" i="129"/>
  <c r="E9" i="129"/>
  <c r="B9" i="129"/>
  <c r="F9" i="129" s="1"/>
  <c r="N8" i="129"/>
  <c r="M8" i="129"/>
  <c r="L8" i="129"/>
  <c r="J8" i="129"/>
  <c r="H8" i="129"/>
  <c r="E8" i="129"/>
  <c r="B8" i="129"/>
  <c r="F8" i="129" s="1"/>
  <c r="N7" i="129"/>
  <c r="M7" i="129"/>
  <c r="L7" i="129"/>
  <c r="J7" i="129"/>
  <c r="H7" i="129"/>
  <c r="E7" i="129"/>
  <c r="B7" i="129"/>
  <c r="F7" i="129" s="1"/>
  <c r="N6" i="129"/>
  <c r="M6" i="129"/>
  <c r="L6" i="129"/>
  <c r="J6" i="129"/>
  <c r="H6" i="129"/>
  <c r="E6" i="129"/>
  <c r="B6" i="129"/>
  <c r="L5" i="129"/>
  <c r="K5" i="129"/>
  <c r="J5" i="129"/>
  <c r="F5" i="129"/>
  <c r="E5" i="129"/>
  <c r="O4" i="129"/>
  <c r="M4" i="129"/>
  <c r="N4" i="129" s="1"/>
  <c r="K4" i="129"/>
  <c r="I4" i="129"/>
  <c r="J4" i="129" s="1"/>
  <c r="H4" i="129"/>
  <c r="G4" i="129"/>
  <c r="E4" i="129"/>
  <c r="D4" i="129"/>
  <c r="L4" i="129" s="1"/>
  <c r="C4" i="129"/>
  <c r="E2" i="129"/>
  <c r="M19" i="128"/>
  <c r="N19" i="128" s="1"/>
  <c r="L19" i="128"/>
  <c r="J19" i="128"/>
  <c r="H19" i="128"/>
  <c r="F19" i="128"/>
  <c r="E19" i="128"/>
  <c r="B19" i="128"/>
  <c r="M18" i="128"/>
  <c r="N18" i="128" s="1"/>
  <c r="L18" i="128"/>
  <c r="J18" i="128"/>
  <c r="H18" i="128"/>
  <c r="F18" i="128"/>
  <c r="E18" i="128"/>
  <c r="B18" i="128"/>
  <c r="M17" i="128"/>
  <c r="N17" i="128" s="1"/>
  <c r="L17" i="128"/>
  <c r="J17" i="128"/>
  <c r="H17" i="128"/>
  <c r="F17" i="128"/>
  <c r="E17" i="128"/>
  <c r="B17" i="128"/>
  <c r="M16" i="128"/>
  <c r="N16" i="128" s="1"/>
  <c r="L16" i="128"/>
  <c r="J16" i="128"/>
  <c r="H16" i="128"/>
  <c r="F16" i="128"/>
  <c r="E16" i="128"/>
  <c r="B16" i="128"/>
  <c r="M15" i="128"/>
  <c r="N15" i="128" s="1"/>
  <c r="L15" i="128"/>
  <c r="J15" i="128"/>
  <c r="H15" i="128"/>
  <c r="F15" i="128"/>
  <c r="E15" i="128"/>
  <c r="B15" i="128"/>
  <c r="M14" i="128"/>
  <c r="N14" i="128" s="1"/>
  <c r="L14" i="128"/>
  <c r="J14" i="128"/>
  <c r="H14" i="128"/>
  <c r="F14" i="128"/>
  <c r="E14" i="128"/>
  <c r="B14" i="128"/>
  <c r="M13" i="128"/>
  <c r="N13" i="128" s="1"/>
  <c r="L13" i="128"/>
  <c r="J13" i="128"/>
  <c r="H13" i="128"/>
  <c r="F13" i="128"/>
  <c r="E13" i="128"/>
  <c r="B13" i="128"/>
  <c r="M12" i="128"/>
  <c r="N12" i="128" s="1"/>
  <c r="L12" i="128"/>
  <c r="J12" i="128"/>
  <c r="H12" i="128"/>
  <c r="F12" i="128"/>
  <c r="E12" i="128"/>
  <c r="B12" i="128"/>
  <c r="M11" i="128"/>
  <c r="N11" i="128" s="1"/>
  <c r="L11" i="128"/>
  <c r="J11" i="128"/>
  <c r="H11" i="128"/>
  <c r="F11" i="128"/>
  <c r="E11" i="128"/>
  <c r="B11" i="128"/>
  <c r="M10" i="128"/>
  <c r="N10" i="128" s="1"/>
  <c r="L10" i="128"/>
  <c r="J10" i="128"/>
  <c r="H10" i="128"/>
  <c r="F10" i="128"/>
  <c r="E10" i="128"/>
  <c r="B10" i="128"/>
  <c r="M9" i="128"/>
  <c r="N9" i="128" s="1"/>
  <c r="L9" i="128"/>
  <c r="J9" i="128"/>
  <c r="H9" i="128"/>
  <c r="F9" i="128"/>
  <c r="E9" i="128"/>
  <c r="B9" i="128"/>
  <c r="M8" i="128"/>
  <c r="N8" i="128" s="1"/>
  <c r="L8" i="128"/>
  <c r="J8" i="128"/>
  <c r="H8" i="128"/>
  <c r="F8" i="128"/>
  <c r="E8" i="128"/>
  <c r="B8" i="128"/>
  <c r="M7" i="128"/>
  <c r="N7" i="128" s="1"/>
  <c r="L7" i="128"/>
  <c r="J7" i="128"/>
  <c r="H7" i="128"/>
  <c r="F7" i="128"/>
  <c r="E7" i="128"/>
  <c r="B7" i="128"/>
  <c r="M6" i="128"/>
  <c r="M4" i="128" s="1"/>
  <c r="L6" i="128"/>
  <c r="J6" i="128"/>
  <c r="H6" i="128"/>
  <c r="F6" i="128"/>
  <c r="E6" i="128"/>
  <c r="B6" i="128"/>
  <c r="K5" i="128"/>
  <c r="L5" i="128" s="1"/>
  <c r="J5" i="128"/>
  <c r="F5" i="128"/>
  <c r="E5" i="128"/>
  <c r="O4" i="128"/>
  <c r="N4" i="128"/>
  <c r="K4" i="128"/>
  <c r="L4" i="128" s="1"/>
  <c r="J4" i="128"/>
  <c r="I4" i="128"/>
  <c r="H4" i="128"/>
  <c r="G4" i="128"/>
  <c r="F4" i="128"/>
  <c r="D4" i="128"/>
  <c r="C4" i="128"/>
  <c r="E4" i="128" s="1"/>
  <c r="B4" i="128"/>
  <c r="F2" i="128" s="1"/>
  <c r="L19" i="127"/>
  <c r="M19" i="127" s="1"/>
  <c r="K19" i="127"/>
  <c r="I19" i="127"/>
  <c r="G19" i="127"/>
  <c r="E19" i="127"/>
  <c r="B19" i="127"/>
  <c r="L18" i="127"/>
  <c r="M18" i="127" s="1"/>
  <c r="K18" i="127"/>
  <c r="I18" i="127"/>
  <c r="G18" i="127"/>
  <c r="E18" i="127"/>
  <c r="B18" i="127"/>
  <c r="M17" i="127"/>
  <c r="L17" i="127"/>
  <c r="K17" i="127"/>
  <c r="I17" i="127"/>
  <c r="G17" i="127"/>
  <c r="E17" i="127"/>
  <c r="B17" i="127"/>
  <c r="M16" i="127"/>
  <c r="L16" i="127"/>
  <c r="K16" i="127"/>
  <c r="I16" i="127"/>
  <c r="G16" i="127"/>
  <c r="E16" i="127"/>
  <c r="B16" i="127"/>
  <c r="L15" i="127"/>
  <c r="M15" i="127" s="1"/>
  <c r="K15" i="127"/>
  <c r="I15" i="127"/>
  <c r="G15" i="127"/>
  <c r="E15" i="127"/>
  <c r="B15" i="127"/>
  <c r="L14" i="127"/>
  <c r="M14" i="127" s="1"/>
  <c r="K14" i="127"/>
  <c r="I14" i="127"/>
  <c r="G14" i="127"/>
  <c r="E14" i="127"/>
  <c r="B14" i="127"/>
  <c r="M13" i="127"/>
  <c r="L13" i="127"/>
  <c r="K13" i="127"/>
  <c r="I13" i="127"/>
  <c r="G13" i="127"/>
  <c r="E13" i="127"/>
  <c r="B13" i="127"/>
  <c r="M12" i="127"/>
  <c r="L12" i="127"/>
  <c r="K12" i="127"/>
  <c r="I12" i="127"/>
  <c r="G12" i="127"/>
  <c r="G4" i="127" s="1"/>
  <c r="E12" i="127"/>
  <c r="B12" i="127"/>
  <c r="L11" i="127"/>
  <c r="M11" i="127" s="1"/>
  <c r="K11" i="127"/>
  <c r="I11" i="127"/>
  <c r="G11" i="127"/>
  <c r="E11" i="127"/>
  <c r="B11" i="127"/>
  <c r="L10" i="127"/>
  <c r="M10" i="127" s="1"/>
  <c r="K10" i="127"/>
  <c r="I10" i="127"/>
  <c r="G10" i="127"/>
  <c r="E10" i="127"/>
  <c r="B10" i="127"/>
  <c r="M9" i="127"/>
  <c r="L9" i="127"/>
  <c r="K9" i="127"/>
  <c r="I9" i="127"/>
  <c r="G9" i="127"/>
  <c r="E9" i="127"/>
  <c r="B9" i="127"/>
  <c r="M8" i="127"/>
  <c r="L8" i="127"/>
  <c r="K8" i="127"/>
  <c r="I8" i="127"/>
  <c r="G8" i="127"/>
  <c r="E8" i="127"/>
  <c r="B8" i="127"/>
  <c r="L7" i="127"/>
  <c r="K7" i="127"/>
  <c r="I7" i="127"/>
  <c r="G7" i="127"/>
  <c r="E7" i="127"/>
  <c r="B7" i="127"/>
  <c r="L6" i="127"/>
  <c r="M6" i="127" s="1"/>
  <c r="K6" i="127"/>
  <c r="I6" i="127"/>
  <c r="G6" i="127"/>
  <c r="E6" i="127"/>
  <c r="B6" i="127"/>
  <c r="B4" i="127" s="1"/>
  <c r="K5" i="127"/>
  <c r="J5" i="127"/>
  <c r="I5" i="127"/>
  <c r="E5" i="127"/>
  <c r="N4" i="127"/>
  <c r="K4" i="127"/>
  <c r="J4" i="127"/>
  <c r="H4" i="127"/>
  <c r="I4" i="127" s="1"/>
  <c r="F4" i="127"/>
  <c r="D4" i="127"/>
  <c r="C4" i="127"/>
  <c r="L19" i="126"/>
  <c r="M19" i="126" s="1"/>
  <c r="K19" i="126"/>
  <c r="I19" i="126"/>
  <c r="G19" i="126"/>
  <c r="E19" i="126"/>
  <c r="B19" i="126"/>
  <c r="L18" i="126"/>
  <c r="M18" i="126" s="1"/>
  <c r="K18" i="126"/>
  <c r="I18" i="126"/>
  <c r="G18" i="126"/>
  <c r="E18" i="126"/>
  <c r="B18" i="126"/>
  <c r="M17" i="126"/>
  <c r="L17" i="126"/>
  <c r="K17" i="126"/>
  <c r="I17" i="126"/>
  <c r="G17" i="126"/>
  <c r="E17" i="126"/>
  <c r="B17" i="126"/>
  <c r="M16" i="126"/>
  <c r="L16" i="126"/>
  <c r="K16" i="126"/>
  <c r="I16" i="126"/>
  <c r="G16" i="126"/>
  <c r="E16" i="126"/>
  <c r="B16" i="126"/>
  <c r="L15" i="126"/>
  <c r="M15" i="126" s="1"/>
  <c r="K15" i="126"/>
  <c r="I15" i="126"/>
  <c r="G15" i="126"/>
  <c r="E15" i="126"/>
  <c r="B15" i="126"/>
  <c r="L14" i="126"/>
  <c r="M14" i="126" s="1"/>
  <c r="K14" i="126"/>
  <c r="I14" i="126"/>
  <c r="G14" i="126"/>
  <c r="E14" i="126"/>
  <c r="B14" i="126"/>
  <c r="M13" i="126"/>
  <c r="L13" i="126"/>
  <c r="K13" i="126"/>
  <c r="I13" i="126"/>
  <c r="G13" i="126"/>
  <c r="E13" i="126"/>
  <c r="B13" i="126"/>
  <c r="M12" i="126"/>
  <c r="L12" i="126"/>
  <c r="K12" i="126"/>
  <c r="I12" i="126"/>
  <c r="G12" i="126"/>
  <c r="E12" i="126"/>
  <c r="B12" i="126"/>
  <c r="L11" i="126"/>
  <c r="M11" i="126" s="1"/>
  <c r="K11" i="126"/>
  <c r="I11" i="126"/>
  <c r="G11" i="126"/>
  <c r="E11" i="126"/>
  <c r="B11" i="126"/>
  <c r="L10" i="126"/>
  <c r="M10" i="126" s="1"/>
  <c r="K10" i="126"/>
  <c r="I10" i="126"/>
  <c r="G10" i="126"/>
  <c r="E10" i="126"/>
  <c r="B10" i="126"/>
  <c r="M9" i="126"/>
  <c r="L9" i="126"/>
  <c r="K9" i="126"/>
  <c r="I9" i="126"/>
  <c r="G9" i="126"/>
  <c r="E9" i="126"/>
  <c r="B9" i="126"/>
  <c r="M8" i="126"/>
  <c r="L8" i="126"/>
  <c r="K8" i="126"/>
  <c r="I8" i="126"/>
  <c r="G8" i="126"/>
  <c r="G4" i="126" s="1"/>
  <c r="E8" i="126"/>
  <c r="B8" i="126"/>
  <c r="L7" i="126"/>
  <c r="K7" i="126"/>
  <c r="I7" i="126"/>
  <c r="G7" i="126"/>
  <c r="E7" i="126"/>
  <c r="B7" i="126"/>
  <c r="L6" i="126"/>
  <c r="M6" i="126" s="1"/>
  <c r="K6" i="126"/>
  <c r="I6" i="126"/>
  <c r="G6" i="126"/>
  <c r="E6" i="126"/>
  <c r="B6" i="126"/>
  <c r="K5" i="126"/>
  <c r="J5" i="126"/>
  <c r="I5" i="126"/>
  <c r="E5" i="126"/>
  <c r="N4" i="126"/>
  <c r="K4" i="126"/>
  <c r="J4" i="126"/>
  <c r="H4" i="126"/>
  <c r="I4" i="126" s="1"/>
  <c r="F4" i="126"/>
  <c r="D4" i="126"/>
  <c r="E4" i="126" s="1"/>
  <c r="C4" i="126"/>
  <c r="L19" i="125"/>
  <c r="M19" i="125" s="1"/>
  <c r="K19" i="125"/>
  <c r="I19" i="125"/>
  <c r="G19" i="125"/>
  <c r="E19" i="125"/>
  <c r="B19" i="125"/>
  <c r="L18" i="125"/>
  <c r="M18" i="125" s="1"/>
  <c r="K18" i="125"/>
  <c r="I18" i="125"/>
  <c r="G18" i="125"/>
  <c r="E18" i="125"/>
  <c r="B18" i="125"/>
  <c r="M17" i="125"/>
  <c r="L17" i="125"/>
  <c r="K17" i="125"/>
  <c r="I17" i="125"/>
  <c r="G17" i="125"/>
  <c r="E17" i="125"/>
  <c r="B17" i="125"/>
  <c r="M16" i="125"/>
  <c r="L16" i="125"/>
  <c r="K16" i="125"/>
  <c r="I16" i="125"/>
  <c r="G16" i="125"/>
  <c r="E16" i="125"/>
  <c r="B16" i="125"/>
  <c r="L15" i="125"/>
  <c r="M15" i="125" s="1"/>
  <c r="K15" i="125"/>
  <c r="I15" i="125"/>
  <c r="G15" i="125"/>
  <c r="E15" i="125"/>
  <c r="B15" i="125"/>
  <c r="L14" i="125"/>
  <c r="M14" i="125" s="1"/>
  <c r="K14" i="125"/>
  <c r="I14" i="125"/>
  <c r="G14" i="125"/>
  <c r="E14" i="125"/>
  <c r="B14" i="125"/>
  <c r="M13" i="125"/>
  <c r="L13" i="125"/>
  <c r="K13" i="125"/>
  <c r="I13" i="125"/>
  <c r="G13" i="125"/>
  <c r="E13" i="125"/>
  <c r="B13" i="125"/>
  <c r="M12" i="125"/>
  <c r="L12" i="125"/>
  <c r="K12" i="125"/>
  <c r="I12" i="125"/>
  <c r="G12" i="125"/>
  <c r="G4" i="125" s="1"/>
  <c r="E12" i="125"/>
  <c r="B12" i="125"/>
  <c r="L11" i="125"/>
  <c r="M11" i="125" s="1"/>
  <c r="K11" i="125"/>
  <c r="I11" i="125"/>
  <c r="G11" i="125"/>
  <c r="E11" i="125"/>
  <c r="B11" i="125"/>
  <c r="L10" i="125"/>
  <c r="M10" i="125" s="1"/>
  <c r="K10" i="125"/>
  <c r="I10" i="125"/>
  <c r="G10" i="125"/>
  <c r="E10" i="125"/>
  <c r="B10" i="125"/>
  <c r="M9" i="125"/>
  <c r="L9" i="125"/>
  <c r="K9" i="125"/>
  <c r="I9" i="125"/>
  <c r="G9" i="125"/>
  <c r="E9" i="125"/>
  <c r="B9" i="125"/>
  <c r="M8" i="125"/>
  <c r="L8" i="125"/>
  <c r="K8" i="125"/>
  <c r="I8" i="125"/>
  <c r="G8" i="125"/>
  <c r="E8" i="125"/>
  <c r="B8" i="125"/>
  <c r="L7" i="125"/>
  <c r="K7" i="125"/>
  <c r="I7" i="125"/>
  <c r="G7" i="125"/>
  <c r="E7" i="125"/>
  <c r="B7" i="125"/>
  <c r="L6" i="125"/>
  <c r="M6" i="125" s="1"/>
  <c r="K6" i="125"/>
  <c r="I6" i="125"/>
  <c r="G6" i="125"/>
  <c r="E6" i="125"/>
  <c r="B6" i="125"/>
  <c r="B4" i="125" s="1"/>
  <c r="K5" i="125"/>
  <c r="J5" i="125"/>
  <c r="I5" i="125"/>
  <c r="E5" i="125"/>
  <c r="N4" i="125"/>
  <c r="K4" i="125"/>
  <c r="J4" i="125"/>
  <c r="H4" i="125"/>
  <c r="I4" i="125" s="1"/>
  <c r="F4" i="125"/>
  <c r="D4" i="125"/>
  <c r="C4" i="125"/>
  <c r="L19" i="124"/>
  <c r="M19" i="124" s="1"/>
  <c r="K19" i="124"/>
  <c r="I19" i="124"/>
  <c r="G19" i="124"/>
  <c r="E19" i="124"/>
  <c r="B19" i="124"/>
  <c r="L18" i="124"/>
  <c r="M18" i="124" s="1"/>
  <c r="K18" i="124"/>
  <c r="I18" i="124"/>
  <c r="G18" i="124"/>
  <c r="E18" i="124"/>
  <c r="B18" i="124"/>
  <c r="M17" i="124"/>
  <c r="L17" i="124"/>
  <c r="K17" i="124"/>
  <c r="I17" i="124"/>
  <c r="G17" i="124"/>
  <c r="E17" i="124"/>
  <c r="B17" i="124"/>
  <c r="M16" i="124"/>
  <c r="L16" i="124"/>
  <c r="K16" i="124"/>
  <c r="I16" i="124"/>
  <c r="G16" i="124"/>
  <c r="E16" i="124"/>
  <c r="B16" i="124"/>
  <c r="L15" i="124"/>
  <c r="M15" i="124" s="1"/>
  <c r="K15" i="124"/>
  <c r="I15" i="124"/>
  <c r="G15" i="124"/>
  <c r="E15" i="124"/>
  <c r="B15" i="124"/>
  <c r="L14" i="124"/>
  <c r="M14" i="124" s="1"/>
  <c r="K14" i="124"/>
  <c r="I14" i="124"/>
  <c r="G14" i="124"/>
  <c r="E14" i="124"/>
  <c r="B14" i="124"/>
  <c r="M13" i="124"/>
  <c r="L13" i="124"/>
  <c r="K13" i="124"/>
  <c r="I13" i="124"/>
  <c r="G13" i="124"/>
  <c r="E13" i="124"/>
  <c r="B13" i="124"/>
  <c r="M12" i="124"/>
  <c r="L12" i="124"/>
  <c r="K12" i="124"/>
  <c r="I12" i="124"/>
  <c r="G12" i="124"/>
  <c r="E12" i="124"/>
  <c r="B12" i="124"/>
  <c r="L11" i="124"/>
  <c r="M11" i="124" s="1"/>
  <c r="K11" i="124"/>
  <c r="I11" i="124"/>
  <c r="G11" i="124"/>
  <c r="E11" i="124"/>
  <c r="B11" i="124"/>
  <c r="L10" i="124"/>
  <c r="M10" i="124" s="1"/>
  <c r="K10" i="124"/>
  <c r="I10" i="124"/>
  <c r="G10" i="124"/>
  <c r="E10" i="124"/>
  <c r="B10" i="124"/>
  <c r="M9" i="124"/>
  <c r="L9" i="124"/>
  <c r="K9" i="124"/>
  <c r="I9" i="124"/>
  <c r="G9" i="124"/>
  <c r="E9" i="124"/>
  <c r="B9" i="124"/>
  <c r="M8" i="124"/>
  <c r="L8" i="124"/>
  <c r="K8" i="124"/>
  <c r="I8" i="124"/>
  <c r="G8" i="124"/>
  <c r="G4" i="124" s="1"/>
  <c r="E8" i="124"/>
  <c r="B8" i="124"/>
  <c r="L7" i="124"/>
  <c r="K7" i="124"/>
  <c r="I7" i="124"/>
  <c r="G7" i="124"/>
  <c r="E7" i="124"/>
  <c r="B7" i="124"/>
  <c r="L6" i="124"/>
  <c r="M6" i="124" s="1"/>
  <c r="K6" i="124"/>
  <c r="I6" i="124"/>
  <c r="G6" i="124"/>
  <c r="E6" i="124"/>
  <c r="B6" i="124"/>
  <c r="K5" i="124"/>
  <c r="J5" i="124"/>
  <c r="I5" i="124"/>
  <c r="E5" i="124"/>
  <c r="N4" i="124"/>
  <c r="K4" i="124"/>
  <c r="J4" i="124"/>
  <c r="H4" i="124"/>
  <c r="I4" i="124" s="1"/>
  <c r="F4" i="124"/>
  <c r="D4" i="124"/>
  <c r="E4" i="124" s="1"/>
  <c r="C4" i="124"/>
  <c r="L19" i="123"/>
  <c r="M19" i="123" s="1"/>
  <c r="K19" i="123"/>
  <c r="I19" i="123"/>
  <c r="G19" i="123"/>
  <c r="E19" i="123"/>
  <c r="B19" i="123"/>
  <c r="L18" i="123"/>
  <c r="M18" i="123" s="1"/>
  <c r="K18" i="123"/>
  <c r="I18" i="123"/>
  <c r="G18" i="123"/>
  <c r="E18" i="123"/>
  <c r="B18" i="123"/>
  <c r="M17" i="123"/>
  <c r="L17" i="123"/>
  <c r="K17" i="123"/>
  <c r="I17" i="123"/>
  <c r="G17" i="123"/>
  <c r="E17" i="123"/>
  <c r="B17" i="123"/>
  <c r="M16" i="123"/>
  <c r="L16" i="123"/>
  <c r="K16" i="123"/>
  <c r="I16" i="123"/>
  <c r="G16" i="123"/>
  <c r="E16" i="123"/>
  <c r="B16" i="123"/>
  <c r="L15" i="123"/>
  <c r="M15" i="123" s="1"/>
  <c r="K15" i="123"/>
  <c r="I15" i="123"/>
  <c r="G15" i="123"/>
  <c r="E15" i="123"/>
  <c r="B15" i="123"/>
  <c r="L14" i="123"/>
  <c r="M14" i="123" s="1"/>
  <c r="K14" i="123"/>
  <c r="I14" i="123"/>
  <c r="G14" i="123"/>
  <c r="E14" i="123"/>
  <c r="B14" i="123"/>
  <c r="M13" i="123"/>
  <c r="L13" i="123"/>
  <c r="K13" i="123"/>
  <c r="I13" i="123"/>
  <c r="G13" i="123"/>
  <c r="E13" i="123"/>
  <c r="B13" i="123"/>
  <c r="M12" i="123"/>
  <c r="L12" i="123"/>
  <c r="K12" i="123"/>
  <c r="I12" i="123"/>
  <c r="G12" i="123"/>
  <c r="G4" i="123" s="1"/>
  <c r="E12" i="123"/>
  <c r="B12" i="123"/>
  <c r="L11" i="123"/>
  <c r="M11" i="123" s="1"/>
  <c r="K11" i="123"/>
  <c r="I11" i="123"/>
  <c r="G11" i="123"/>
  <c r="E11" i="123"/>
  <c r="B11" i="123"/>
  <c r="L10" i="123"/>
  <c r="M10" i="123" s="1"/>
  <c r="K10" i="123"/>
  <c r="I10" i="123"/>
  <c r="G10" i="123"/>
  <c r="E10" i="123"/>
  <c r="B10" i="123"/>
  <c r="M9" i="123"/>
  <c r="L9" i="123"/>
  <c r="K9" i="123"/>
  <c r="I9" i="123"/>
  <c r="G9" i="123"/>
  <c r="E9" i="123"/>
  <c r="B9" i="123"/>
  <c r="M8" i="123"/>
  <c r="L8" i="123"/>
  <c r="K8" i="123"/>
  <c r="I8" i="123"/>
  <c r="G8" i="123"/>
  <c r="E8" i="123"/>
  <c r="B8" i="123"/>
  <c r="L7" i="123"/>
  <c r="K7" i="123"/>
  <c r="I7" i="123"/>
  <c r="G7" i="123"/>
  <c r="E7" i="123"/>
  <c r="B7" i="123"/>
  <c r="L6" i="123"/>
  <c r="M6" i="123" s="1"/>
  <c r="K6" i="123"/>
  <c r="I6" i="123"/>
  <c r="G6" i="123"/>
  <c r="E6" i="123"/>
  <c r="B6" i="123"/>
  <c r="B4" i="123" s="1"/>
  <c r="K5" i="123"/>
  <c r="J5" i="123"/>
  <c r="I5" i="123"/>
  <c r="E5" i="123"/>
  <c r="N4" i="123"/>
  <c r="K4" i="123"/>
  <c r="J4" i="123"/>
  <c r="H4" i="123"/>
  <c r="I4" i="123" s="1"/>
  <c r="F4" i="123"/>
  <c r="D4" i="123"/>
  <c r="C4" i="123"/>
  <c r="L19" i="122"/>
  <c r="M19" i="122" s="1"/>
  <c r="K19" i="122"/>
  <c r="I19" i="122"/>
  <c r="G19" i="122"/>
  <c r="E19" i="122"/>
  <c r="B19" i="122"/>
  <c r="L18" i="122"/>
  <c r="M18" i="122" s="1"/>
  <c r="K18" i="122"/>
  <c r="I18" i="122"/>
  <c r="G18" i="122"/>
  <c r="E18" i="122"/>
  <c r="B18" i="122"/>
  <c r="M17" i="122"/>
  <c r="L17" i="122"/>
  <c r="K17" i="122"/>
  <c r="I17" i="122"/>
  <c r="G17" i="122"/>
  <c r="E17" i="122"/>
  <c r="B17" i="122"/>
  <c r="M16" i="122"/>
  <c r="L16" i="122"/>
  <c r="K16" i="122"/>
  <c r="I16" i="122"/>
  <c r="G16" i="122"/>
  <c r="E16" i="122"/>
  <c r="B16" i="122"/>
  <c r="L15" i="122"/>
  <c r="M15" i="122" s="1"/>
  <c r="K15" i="122"/>
  <c r="I15" i="122"/>
  <c r="G15" i="122"/>
  <c r="E15" i="122"/>
  <c r="B15" i="122"/>
  <c r="L14" i="122"/>
  <c r="M14" i="122" s="1"/>
  <c r="K14" i="122"/>
  <c r="I14" i="122"/>
  <c r="G14" i="122"/>
  <c r="E14" i="122"/>
  <c r="B14" i="122"/>
  <c r="M13" i="122"/>
  <c r="L13" i="122"/>
  <c r="K13" i="122"/>
  <c r="I13" i="122"/>
  <c r="G13" i="122"/>
  <c r="E13" i="122"/>
  <c r="B13" i="122"/>
  <c r="M12" i="122"/>
  <c r="L12" i="122"/>
  <c r="K12" i="122"/>
  <c r="I12" i="122"/>
  <c r="G12" i="122"/>
  <c r="E12" i="122"/>
  <c r="B12" i="122"/>
  <c r="L11" i="122"/>
  <c r="M11" i="122" s="1"/>
  <c r="K11" i="122"/>
  <c r="I11" i="122"/>
  <c r="G11" i="122"/>
  <c r="E11" i="122"/>
  <c r="B11" i="122"/>
  <c r="L10" i="122"/>
  <c r="M10" i="122" s="1"/>
  <c r="K10" i="122"/>
  <c r="I10" i="122"/>
  <c r="G10" i="122"/>
  <c r="E10" i="122"/>
  <c r="B10" i="122"/>
  <c r="M9" i="122"/>
  <c r="L9" i="122"/>
  <c r="K9" i="122"/>
  <c r="I9" i="122"/>
  <c r="G9" i="122"/>
  <c r="E9" i="122"/>
  <c r="B9" i="122"/>
  <c r="M8" i="122"/>
  <c r="L8" i="122"/>
  <c r="K8" i="122"/>
  <c r="I8" i="122"/>
  <c r="G8" i="122"/>
  <c r="G4" i="122" s="1"/>
  <c r="E8" i="122"/>
  <c r="B8" i="122"/>
  <c r="L7" i="122"/>
  <c r="K7" i="122"/>
  <c r="I7" i="122"/>
  <c r="G7" i="122"/>
  <c r="E7" i="122"/>
  <c r="B7" i="122"/>
  <c r="L6" i="122"/>
  <c r="M6" i="122" s="1"/>
  <c r="K6" i="122"/>
  <c r="I6" i="122"/>
  <c r="G6" i="122"/>
  <c r="E6" i="122"/>
  <c r="B6" i="122"/>
  <c r="K5" i="122"/>
  <c r="J5" i="122"/>
  <c r="I5" i="122"/>
  <c r="E5" i="122"/>
  <c r="N4" i="122"/>
  <c r="J4" i="122"/>
  <c r="H4" i="122"/>
  <c r="I4" i="122" s="1"/>
  <c r="F4" i="122"/>
  <c r="D4" i="122"/>
  <c r="C4" i="122"/>
  <c r="L19" i="121"/>
  <c r="M19" i="121" s="1"/>
  <c r="K19" i="121"/>
  <c r="I19" i="121"/>
  <c r="G19" i="121"/>
  <c r="E19" i="121"/>
  <c r="B19" i="121"/>
  <c r="L18" i="121"/>
  <c r="M18" i="121" s="1"/>
  <c r="K18" i="121"/>
  <c r="I18" i="121"/>
  <c r="G18" i="121"/>
  <c r="E18" i="121"/>
  <c r="B18" i="121"/>
  <c r="M17" i="121"/>
  <c r="L17" i="121"/>
  <c r="K17" i="121"/>
  <c r="I17" i="121"/>
  <c r="G17" i="121"/>
  <c r="E17" i="121"/>
  <c r="B17" i="121"/>
  <c r="M16" i="121"/>
  <c r="L16" i="121"/>
  <c r="K16" i="121"/>
  <c r="I16" i="121"/>
  <c r="G16" i="121"/>
  <c r="E16" i="121"/>
  <c r="B16" i="121"/>
  <c r="M15" i="121"/>
  <c r="L15" i="121"/>
  <c r="K15" i="121"/>
  <c r="I15" i="121"/>
  <c r="G15" i="121"/>
  <c r="E15" i="121"/>
  <c r="B15" i="121"/>
  <c r="L14" i="121"/>
  <c r="M14" i="121" s="1"/>
  <c r="K14" i="121"/>
  <c r="I14" i="121"/>
  <c r="G14" i="121"/>
  <c r="E14" i="121"/>
  <c r="B14" i="121"/>
  <c r="M13" i="121"/>
  <c r="L13" i="121"/>
  <c r="K13" i="121"/>
  <c r="I13" i="121"/>
  <c r="G13" i="121"/>
  <c r="E13" i="121"/>
  <c r="B13" i="121"/>
  <c r="M12" i="121"/>
  <c r="L12" i="121"/>
  <c r="K12" i="121"/>
  <c r="I12" i="121"/>
  <c r="G12" i="121"/>
  <c r="E12" i="121"/>
  <c r="B12" i="121"/>
  <c r="M11" i="121"/>
  <c r="L11" i="121"/>
  <c r="K11" i="121"/>
  <c r="I11" i="121"/>
  <c r="G11" i="121"/>
  <c r="E11" i="121"/>
  <c r="B11" i="121"/>
  <c r="L10" i="121"/>
  <c r="M10" i="121" s="1"/>
  <c r="K10" i="121"/>
  <c r="I10" i="121"/>
  <c r="G10" i="121"/>
  <c r="E10" i="121"/>
  <c r="B10" i="121"/>
  <c r="M9" i="121"/>
  <c r="L9" i="121"/>
  <c r="K9" i="121"/>
  <c r="I9" i="121"/>
  <c r="G9" i="121"/>
  <c r="E9" i="121"/>
  <c r="B9" i="121"/>
  <c r="M8" i="121"/>
  <c r="L8" i="121"/>
  <c r="K8" i="121"/>
  <c r="I8" i="121"/>
  <c r="G8" i="121"/>
  <c r="E8" i="121"/>
  <c r="B8" i="121"/>
  <c r="L7" i="121"/>
  <c r="K7" i="121"/>
  <c r="I7" i="121"/>
  <c r="G7" i="121"/>
  <c r="G4" i="121" s="1"/>
  <c r="E7" i="121"/>
  <c r="B7" i="121"/>
  <c r="L6" i="121"/>
  <c r="M6" i="121" s="1"/>
  <c r="K6" i="121"/>
  <c r="I6" i="121"/>
  <c r="G6" i="121"/>
  <c r="E6" i="121"/>
  <c r="B6" i="121"/>
  <c r="K5" i="121"/>
  <c r="J5" i="121"/>
  <c r="I5" i="121"/>
  <c r="E5" i="121"/>
  <c r="N4" i="121"/>
  <c r="J4" i="121"/>
  <c r="H4" i="121"/>
  <c r="I4" i="121" s="1"/>
  <c r="F4" i="121"/>
  <c r="D4" i="121"/>
  <c r="K4" i="121" s="1"/>
  <c r="C4" i="121"/>
  <c r="M19" i="120"/>
  <c r="L19" i="120"/>
  <c r="K19" i="120"/>
  <c r="I19" i="120"/>
  <c r="G19" i="120"/>
  <c r="E19" i="120"/>
  <c r="M18" i="120"/>
  <c r="L18" i="120"/>
  <c r="K18" i="120"/>
  <c r="I18" i="120"/>
  <c r="G18" i="120"/>
  <c r="E18" i="120"/>
  <c r="M17" i="120"/>
  <c r="L17" i="120"/>
  <c r="K17" i="120"/>
  <c r="I17" i="120"/>
  <c r="G17" i="120"/>
  <c r="E17" i="120"/>
  <c r="M16" i="120"/>
  <c r="L16" i="120"/>
  <c r="K16" i="120"/>
  <c r="I16" i="120"/>
  <c r="G16" i="120"/>
  <c r="E16" i="120"/>
  <c r="M15" i="120"/>
  <c r="K15" i="120"/>
  <c r="I15" i="120"/>
  <c r="G15" i="120"/>
  <c r="E15" i="120"/>
  <c r="J14" i="120"/>
  <c r="J4" i="120" s="1"/>
  <c r="K4" i="120" s="1"/>
  <c r="I14" i="120"/>
  <c r="G14" i="120"/>
  <c r="E14" i="120"/>
  <c r="B14" i="120"/>
  <c r="M13" i="120"/>
  <c r="L13" i="120"/>
  <c r="K13" i="120"/>
  <c r="I13" i="120"/>
  <c r="G13" i="120"/>
  <c r="G4" i="120" s="1"/>
  <c r="E13" i="120"/>
  <c r="L12" i="120"/>
  <c r="M12" i="120" s="1"/>
  <c r="K12" i="120"/>
  <c r="I12" i="120"/>
  <c r="G12" i="120"/>
  <c r="E12" i="120"/>
  <c r="M11" i="120"/>
  <c r="L11" i="120"/>
  <c r="K11" i="120"/>
  <c r="I11" i="120"/>
  <c r="G11" i="120"/>
  <c r="E11" i="120"/>
  <c r="L10" i="120"/>
  <c r="M10" i="120" s="1"/>
  <c r="K10" i="120"/>
  <c r="I10" i="120"/>
  <c r="G10" i="120"/>
  <c r="E10" i="120"/>
  <c r="M9" i="120"/>
  <c r="L9" i="120"/>
  <c r="K9" i="120"/>
  <c r="I9" i="120"/>
  <c r="G9" i="120"/>
  <c r="E9" i="120"/>
  <c r="L8" i="120"/>
  <c r="M8" i="120" s="1"/>
  <c r="K8" i="120"/>
  <c r="I8" i="120"/>
  <c r="G8" i="120"/>
  <c r="E8" i="120"/>
  <c r="M7" i="120"/>
  <c r="L7" i="120"/>
  <c r="K7" i="120"/>
  <c r="I7" i="120"/>
  <c r="G7" i="120"/>
  <c r="E7" i="120"/>
  <c r="L6" i="120"/>
  <c r="K6" i="120"/>
  <c r="I6" i="120"/>
  <c r="G6" i="120"/>
  <c r="E6" i="120"/>
  <c r="K5" i="120"/>
  <c r="J5" i="120"/>
  <c r="I5" i="120"/>
  <c r="E5" i="120"/>
  <c r="N4" i="120"/>
  <c r="H4" i="120"/>
  <c r="F4" i="120"/>
  <c r="I4" i="120" s="1"/>
  <c r="D4" i="120"/>
  <c r="C4" i="120"/>
  <c r="B4" i="120"/>
  <c r="L19" i="119"/>
  <c r="M19" i="119" s="1"/>
  <c r="K19" i="119"/>
  <c r="I19" i="119"/>
  <c r="G19" i="119"/>
  <c r="E19" i="119"/>
  <c r="M18" i="119"/>
  <c r="L18" i="119"/>
  <c r="K18" i="119"/>
  <c r="I18" i="119"/>
  <c r="G18" i="119"/>
  <c r="E18" i="119"/>
  <c r="L17" i="119"/>
  <c r="M17" i="119" s="1"/>
  <c r="K17" i="119"/>
  <c r="I17" i="119"/>
  <c r="G17" i="119"/>
  <c r="E17" i="119"/>
  <c r="M16" i="119"/>
  <c r="L16" i="119"/>
  <c r="K16" i="119"/>
  <c r="I16" i="119"/>
  <c r="G16" i="119"/>
  <c r="E16" i="119"/>
  <c r="M15" i="119"/>
  <c r="K15" i="119"/>
  <c r="I15" i="119"/>
  <c r="G15" i="119"/>
  <c r="E15" i="119"/>
  <c r="M14" i="119"/>
  <c r="L14" i="119"/>
  <c r="K14" i="119"/>
  <c r="J14" i="119"/>
  <c r="I14" i="119"/>
  <c r="G14" i="119"/>
  <c r="E14" i="119"/>
  <c r="B14" i="119"/>
  <c r="M13" i="119"/>
  <c r="L13" i="119"/>
  <c r="K13" i="119"/>
  <c r="I13" i="119"/>
  <c r="G13" i="119"/>
  <c r="E13" i="119"/>
  <c r="M12" i="119"/>
  <c r="L12" i="119"/>
  <c r="K12" i="119"/>
  <c r="I12" i="119"/>
  <c r="G12" i="119"/>
  <c r="E12" i="119"/>
  <c r="M11" i="119"/>
  <c r="L11" i="119"/>
  <c r="K11" i="119"/>
  <c r="I11" i="119"/>
  <c r="G11" i="119"/>
  <c r="G4" i="119" s="1"/>
  <c r="E11" i="119"/>
  <c r="J10" i="119"/>
  <c r="K10" i="119" s="1"/>
  <c r="I10" i="119"/>
  <c r="G10" i="119"/>
  <c r="E10" i="119"/>
  <c r="M9" i="119"/>
  <c r="L9" i="119"/>
  <c r="K9" i="119"/>
  <c r="I9" i="119"/>
  <c r="G9" i="119"/>
  <c r="E9" i="119"/>
  <c r="L8" i="119"/>
  <c r="M8" i="119" s="1"/>
  <c r="K8" i="119"/>
  <c r="J8" i="119"/>
  <c r="I8" i="119"/>
  <c r="G8" i="119"/>
  <c r="E8" i="119"/>
  <c r="M7" i="119"/>
  <c r="L7" i="119"/>
  <c r="K7" i="119"/>
  <c r="I7" i="119"/>
  <c r="G7" i="119"/>
  <c r="E7" i="119"/>
  <c r="M6" i="119"/>
  <c r="L6" i="119"/>
  <c r="K6" i="119"/>
  <c r="I6" i="119"/>
  <c r="G6" i="119"/>
  <c r="E6" i="119"/>
  <c r="K5" i="119"/>
  <c r="J5" i="119"/>
  <c r="I5" i="119"/>
  <c r="E5" i="119"/>
  <c r="N4" i="119"/>
  <c r="H4" i="119"/>
  <c r="I4" i="119" s="1"/>
  <c r="F4" i="119"/>
  <c r="D4" i="119"/>
  <c r="C4" i="119"/>
  <c r="B4" i="119"/>
  <c r="M19" i="118"/>
  <c r="K19" i="118"/>
  <c r="J19" i="118"/>
  <c r="I19" i="118"/>
  <c r="G19" i="118"/>
  <c r="E19" i="118"/>
  <c r="B19" i="118"/>
  <c r="M18" i="118"/>
  <c r="K18" i="118"/>
  <c r="J18" i="118"/>
  <c r="I18" i="118"/>
  <c r="G18" i="118"/>
  <c r="E18" i="118"/>
  <c r="B18" i="118"/>
  <c r="M17" i="118"/>
  <c r="J17" i="118"/>
  <c r="K17" i="118" s="1"/>
  <c r="I17" i="118"/>
  <c r="G17" i="118"/>
  <c r="E17" i="118"/>
  <c r="B17" i="118"/>
  <c r="M16" i="118"/>
  <c r="K16" i="118"/>
  <c r="J16" i="118"/>
  <c r="I16" i="118"/>
  <c r="G16" i="118"/>
  <c r="G4" i="118" s="1"/>
  <c r="E16" i="118"/>
  <c r="B16" i="118"/>
  <c r="M15" i="118"/>
  <c r="K15" i="118"/>
  <c r="J15" i="118"/>
  <c r="I15" i="118"/>
  <c r="G15" i="118"/>
  <c r="E15" i="118"/>
  <c r="B15" i="118"/>
  <c r="M14" i="118"/>
  <c r="J14" i="118"/>
  <c r="K14" i="118" s="1"/>
  <c r="I14" i="118"/>
  <c r="G14" i="118"/>
  <c r="E14" i="118"/>
  <c r="B14" i="118"/>
  <c r="M13" i="118"/>
  <c r="J13" i="118"/>
  <c r="K13" i="118" s="1"/>
  <c r="I13" i="118"/>
  <c r="G13" i="118"/>
  <c r="E13" i="118"/>
  <c r="B13" i="118"/>
  <c r="M12" i="118"/>
  <c r="K12" i="118"/>
  <c r="J12" i="118"/>
  <c r="I12" i="118"/>
  <c r="G12" i="118"/>
  <c r="E12" i="118"/>
  <c r="B12" i="118"/>
  <c r="M11" i="118"/>
  <c r="K11" i="118"/>
  <c r="J11" i="118"/>
  <c r="I11" i="118"/>
  <c r="G11" i="118"/>
  <c r="E11" i="118"/>
  <c r="B11" i="118"/>
  <c r="M10" i="118"/>
  <c r="J10" i="118"/>
  <c r="K10" i="118" s="1"/>
  <c r="I10" i="118"/>
  <c r="G10" i="118"/>
  <c r="E10" i="118"/>
  <c r="B10" i="118"/>
  <c r="M9" i="118"/>
  <c r="J9" i="118"/>
  <c r="K9" i="118" s="1"/>
  <c r="I9" i="118"/>
  <c r="G9" i="118"/>
  <c r="E9" i="118"/>
  <c r="B9" i="118"/>
  <c r="M8" i="118"/>
  <c r="K8" i="118"/>
  <c r="J8" i="118"/>
  <c r="I8" i="118"/>
  <c r="G8" i="118"/>
  <c r="E8" i="118"/>
  <c r="B8" i="118"/>
  <c r="M7" i="118"/>
  <c r="K7" i="118"/>
  <c r="J7" i="118"/>
  <c r="I7" i="118"/>
  <c r="G7" i="118"/>
  <c r="E7" i="118"/>
  <c r="B7" i="118"/>
  <c r="M6" i="118"/>
  <c r="J6" i="118"/>
  <c r="I6" i="118"/>
  <c r="G6" i="118"/>
  <c r="E6" i="118"/>
  <c r="B6" i="118"/>
  <c r="K5" i="118"/>
  <c r="J5" i="118"/>
  <c r="I5" i="118"/>
  <c r="E5" i="118"/>
  <c r="N4" i="118"/>
  <c r="L4" i="118"/>
  <c r="M4" i="118" s="1"/>
  <c r="H4" i="118"/>
  <c r="I4" i="118" s="1"/>
  <c r="F4" i="118"/>
  <c r="D4" i="118"/>
  <c r="C4" i="118"/>
  <c r="M19" i="117"/>
  <c r="K19" i="117"/>
  <c r="J19" i="117"/>
  <c r="I19" i="117"/>
  <c r="G19" i="117"/>
  <c r="E19" i="117"/>
  <c r="B19" i="117"/>
  <c r="M18" i="117"/>
  <c r="J18" i="117"/>
  <c r="K18" i="117" s="1"/>
  <c r="I18" i="117"/>
  <c r="G18" i="117"/>
  <c r="E18" i="117"/>
  <c r="B18" i="117"/>
  <c r="M17" i="117"/>
  <c r="J17" i="117"/>
  <c r="K17" i="117" s="1"/>
  <c r="I17" i="117"/>
  <c r="G17" i="117"/>
  <c r="E17" i="117"/>
  <c r="B17" i="117"/>
  <c r="M16" i="117"/>
  <c r="K16" i="117"/>
  <c r="J16" i="117"/>
  <c r="I16" i="117"/>
  <c r="G16" i="117"/>
  <c r="E16" i="117"/>
  <c r="B16" i="117"/>
  <c r="M15" i="117"/>
  <c r="K15" i="117"/>
  <c r="J15" i="117"/>
  <c r="I15" i="117"/>
  <c r="G15" i="117"/>
  <c r="E15" i="117"/>
  <c r="B15" i="117"/>
  <c r="M14" i="117"/>
  <c r="J14" i="117"/>
  <c r="K14" i="117" s="1"/>
  <c r="I14" i="117"/>
  <c r="G14" i="117"/>
  <c r="E14" i="117"/>
  <c r="B14" i="117"/>
  <c r="M13" i="117"/>
  <c r="J13" i="117"/>
  <c r="K13" i="117" s="1"/>
  <c r="I13" i="117"/>
  <c r="G13" i="117"/>
  <c r="E13" i="117"/>
  <c r="B13" i="117"/>
  <c r="M12" i="117"/>
  <c r="K12" i="117"/>
  <c r="J12" i="117"/>
  <c r="I12" i="117"/>
  <c r="G12" i="117"/>
  <c r="E12" i="117"/>
  <c r="B12" i="117"/>
  <c r="M11" i="117"/>
  <c r="K11" i="117"/>
  <c r="J11" i="117"/>
  <c r="I11" i="117"/>
  <c r="G11" i="117"/>
  <c r="E11" i="117"/>
  <c r="B11" i="117"/>
  <c r="M10" i="117"/>
  <c r="J10" i="117"/>
  <c r="K10" i="117" s="1"/>
  <c r="I10" i="117"/>
  <c r="G10" i="117"/>
  <c r="E10" i="117"/>
  <c r="B10" i="117"/>
  <c r="M9" i="117"/>
  <c r="J9" i="117"/>
  <c r="K9" i="117" s="1"/>
  <c r="I9" i="117"/>
  <c r="G9" i="117"/>
  <c r="E9" i="117"/>
  <c r="B9" i="117"/>
  <c r="M8" i="117"/>
  <c r="K8" i="117"/>
  <c r="J8" i="117"/>
  <c r="I8" i="117"/>
  <c r="G8" i="117"/>
  <c r="E8" i="117"/>
  <c r="B8" i="117"/>
  <c r="M7" i="117"/>
  <c r="K7" i="117"/>
  <c r="J7" i="117"/>
  <c r="I7" i="117"/>
  <c r="G7" i="117"/>
  <c r="G4" i="117" s="1"/>
  <c r="E7" i="117"/>
  <c r="B7" i="117"/>
  <c r="M6" i="117"/>
  <c r="K6" i="117"/>
  <c r="J6" i="117"/>
  <c r="I6" i="117"/>
  <c r="G6" i="117"/>
  <c r="E6" i="117"/>
  <c r="B6" i="117"/>
  <c r="K5" i="117"/>
  <c r="J5" i="117"/>
  <c r="I5" i="117"/>
  <c r="E5" i="117"/>
  <c r="N4" i="117"/>
  <c r="L4" i="117"/>
  <c r="H4" i="117"/>
  <c r="I4" i="117" s="1"/>
  <c r="F4" i="117"/>
  <c r="D4" i="117"/>
  <c r="C4" i="117"/>
  <c r="M19" i="116"/>
  <c r="K19" i="116"/>
  <c r="J19" i="116"/>
  <c r="I19" i="116"/>
  <c r="G19" i="116"/>
  <c r="E19" i="116"/>
  <c r="B19" i="116"/>
  <c r="M18" i="116"/>
  <c r="J18" i="116"/>
  <c r="K18" i="116" s="1"/>
  <c r="I18" i="116"/>
  <c r="G18" i="116"/>
  <c r="E18" i="116"/>
  <c r="B18" i="116"/>
  <c r="M17" i="116"/>
  <c r="J17" i="116"/>
  <c r="K17" i="116" s="1"/>
  <c r="I17" i="116"/>
  <c r="G17" i="116"/>
  <c r="E17" i="116"/>
  <c r="B17" i="116"/>
  <c r="M16" i="116"/>
  <c r="K16" i="116"/>
  <c r="J16" i="116"/>
  <c r="I16" i="116"/>
  <c r="G16" i="116"/>
  <c r="E16" i="116"/>
  <c r="B16" i="116"/>
  <c r="M15" i="116"/>
  <c r="K15" i="116"/>
  <c r="J15" i="116"/>
  <c r="I15" i="116"/>
  <c r="G15" i="116"/>
  <c r="E15" i="116"/>
  <c r="B15" i="116"/>
  <c r="M14" i="116"/>
  <c r="J14" i="116"/>
  <c r="K14" i="116" s="1"/>
  <c r="I14" i="116"/>
  <c r="G14" i="116"/>
  <c r="E14" i="116"/>
  <c r="B14" i="116"/>
  <c r="M13" i="116"/>
  <c r="J13" i="116"/>
  <c r="K13" i="116" s="1"/>
  <c r="I13" i="116"/>
  <c r="G13" i="116"/>
  <c r="E13" i="116"/>
  <c r="B13" i="116"/>
  <c r="M12" i="116"/>
  <c r="K12" i="116"/>
  <c r="J12" i="116"/>
  <c r="I12" i="116"/>
  <c r="G12" i="116"/>
  <c r="E12" i="116"/>
  <c r="B12" i="116"/>
  <c r="M11" i="116"/>
  <c r="K11" i="116"/>
  <c r="J11" i="116"/>
  <c r="I11" i="116"/>
  <c r="G11" i="116"/>
  <c r="E11" i="116"/>
  <c r="B11" i="116"/>
  <c r="M10" i="116"/>
  <c r="K10" i="116"/>
  <c r="J10" i="116"/>
  <c r="I10" i="116"/>
  <c r="G10" i="116"/>
  <c r="E10" i="116"/>
  <c r="B10" i="116"/>
  <c r="M9" i="116"/>
  <c r="J9" i="116"/>
  <c r="K9" i="116" s="1"/>
  <c r="I9" i="116"/>
  <c r="G9" i="116"/>
  <c r="E9" i="116"/>
  <c r="B9" i="116"/>
  <c r="M8" i="116"/>
  <c r="K8" i="116"/>
  <c r="J8" i="116"/>
  <c r="I8" i="116"/>
  <c r="G8" i="116"/>
  <c r="E8" i="116"/>
  <c r="B8" i="116"/>
  <c r="M7" i="116"/>
  <c r="K7" i="116"/>
  <c r="J7" i="116"/>
  <c r="I7" i="116"/>
  <c r="G7" i="116"/>
  <c r="G4" i="116" s="1"/>
  <c r="E7" i="116"/>
  <c r="B7" i="116"/>
  <c r="M6" i="116"/>
  <c r="J6" i="116"/>
  <c r="I6" i="116"/>
  <c r="G6" i="116"/>
  <c r="E6" i="116"/>
  <c r="B6" i="116"/>
  <c r="B4" i="116" s="1"/>
  <c r="K5" i="116"/>
  <c r="J5" i="116"/>
  <c r="I5" i="116"/>
  <c r="E5" i="116"/>
  <c r="N4" i="116"/>
  <c r="L4" i="116"/>
  <c r="H4" i="116"/>
  <c r="I4" i="116" s="1"/>
  <c r="F4" i="116"/>
  <c r="D4" i="116"/>
  <c r="C4" i="116"/>
  <c r="M19" i="115"/>
  <c r="K19" i="115"/>
  <c r="J19" i="115"/>
  <c r="I19" i="115"/>
  <c r="G19" i="115"/>
  <c r="E19" i="115"/>
  <c r="B19" i="115"/>
  <c r="M18" i="115"/>
  <c r="J18" i="115"/>
  <c r="K18" i="115" s="1"/>
  <c r="I18" i="115"/>
  <c r="G18" i="115"/>
  <c r="E18" i="115"/>
  <c r="B18" i="115"/>
  <c r="M17" i="115"/>
  <c r="J17" i="115"/>
  <c r="K17" i="115" s="1"/>
  <c r="I17" i="115"/>
  <c r="G17" i="115"/>
  <c r="E17" i="115"/>
  <c r="B17" i="115"/>
  <c r="M16" i="115"/>
  <c r="K16" i="115"/>
  <c r="J16" i="115"/>
  <c r="I16" i="115"/>
  <c r="G16" i="115"/>
  <c r="E16" i="115"/>
  <c r="B16" i="115"/>
  <c r="M15" i="115"/>
  <c r="K15" i="115"/>
  <c r="J15" i="115"/>
  <c r="I15" i="115"/>
  <c r="G15" i="115"/>
  <c r="E15" i="115"/>
  <c r="B15" i="115"/>
  <c r="M14" i="115"/>
  <c r="K14" i="115"/>
  <c r="J14" i="115"/>
  <c r="I14" i="115"/>
  <c r="G14" i="115"/>
  <c r="E14" i="115"/>
  <c r="B14" i="115"/>
  <c r="M13" i="115"/>
  <c r="J13" i="115"/>
  <c r="K13" i="115" s="1"/>
  <c r="I13" i="115"/>
  <c r="G13" i="115"/>
  <c r="E13" i="115"/>
  <c r="B13" i="115"/>
  <c r="M12" i="115"/>
  <c r="K12" i="115"/>
  <c r="J12" i="115"/>
  <c r="I12" i="115"/>
  <c r="G12" i="115"/>
  <c r="G4" i="115" s="1"/>
  <c r="E12" i="115"/>
  <c r="B12" i="115"/>
  <c r="M11" i="115"/>
  <c r="K11" i="115"/>
  <c r="J11" i="115"/>
  <c r="I11" i="115"/>
  <c r="G11" i="115"/>
  <c r="E11" i="115"/>
  <c r="B11" i="115"/>
  <c r="M10" i="115"/>
  <c r="J10" i="115"/>
  <c r="K10" i="115" s="1"/>
  <c r="I10" i="115"/>
  <c r="G10" i="115"/>
  <c r="E10" i="115"/>
  <c r="B10" i="115"/>
  <c r="M9" i="115"/>
  <c r="J9" i="115"/>
  <c r="K9" i="115" s="1"/>
  <c r="I9" i="115"/>
  <c r="G9" i="115"/>
  <c r="E9" i="115"/>
  <c r="B9" i="115"/>
  <c r="M8" i="115"/>
  <c r="K8" i="115"/>
  <c r="J8" i="115"/>
  <c r="I8" i="115"/>
  <c r="G8" i="115"/>
  <c r="E8" i="115"/>
  <c r="B8" i="115"/>
  <c r="M7" i="115"/>
  <c r="K7" i="115"/>
  <c r="J7" i="115"/>
  <c r="I7" i="115"/>
  <c r="G7" i="115"/>
  <c r="E7" i="115"/>
  <c r="B7" i="115"/>
  <c r="M6" i="115"/>
  <c r="J6" i="115"/>
  <c r="K6" i="115" s="1"/>
  <c r="I6" i="115"/>
  <c r="G6" i="115"/>
  <c r="E6" i="115"/>
  <c r="B6" i="115"/>
  <c r="K5" i="115"/>
  <c r="J5" i="115"/>
  <c r="I5" i="115"/>
  <c r="E5" i="115"/>
  <c r="N4" i="115"/>
  <c r="L4" i="115"/>
  <c r="H4" i="115"/>
  <c r="I4" i="115" s="1"/>
  <c r="F4" i="115"/>
  <c r="D4" i="115"/>
  <c r="C4" i="115"/>
  <c r="M19" i="114"/>
  <c r="K19" i="114"/>
  <c r="J19" i="114"/>
  <c r="I19" i="114"/>
  <c r="G19" i="114"/>
  <c r="E19" i="114"/>
  <c r="B19" i="114"/>
  <c r="M18" i="114"/>
  <c r="K18" i="114"/>
  <c r="J18" i="114"/>
  <c r="I18" i="114"/>
  <c r="G18" i="114"/>
  <c r="E18" i="114"/>
  <c r="B18" i="114"/>
  <c r="M17" i="114"/>
  <c r="J17" i="114"/>
  <c r="K17" i="114" s="1"/>
  <c r="I17" i="114"/>
  <c r="G17" i="114"/>
  <c r="E17" i="114"/>
  <c r="B17" i="114"/>
  <c r="M16" i="114"/>
  <c r="K16" i="114"/>
  <c r="J16" i="114"/>
  <c r="I16" i="114"/>
  <c r="G16" i="114"/>
  <c r="G4" i="114" s="1"/>
  <c r="E16" i="114"/>
  <c r="B16" i="114"/>
  <c r="M15" i="114"/>
  <c r="K15" i="114"/>
  <c r="J15" i="114"/>
  <c r="I15" i="114"/>
  <c r="G15" i="114"/>
  <c r="E15" i="114"/>
  <c r="B15" i="114"/>
  <c r="M14" i="114"/>
  <c r="J14" i="114"/>
  <c r="K14" i="114" s="1"/>
  <c r="I14" i="114"/>
  <c r="G14" i="114"/>
  <c r="E14" i="114"/>
  <c r="B14" i="114"/>
  <c r="M13" i="114"/>
  <c r="J13" i="114"/>
  <c r="K13" i="114" s="1"/>
  <c r="I13" i="114"/>
  <c r="G13" i="114"/>
  <c r="E13" i="114"/>
  <c r="B13" i="114"/>
  <c r="M12" i="114"/>
  <c r="K12" i="114"/>
  <c r="J12" i="114"/>
  <c r="I12" i="114"/>
  <c r="G12" i="114"/>
  <c r="E12" i="114"/>
  <c r="B12" i="114"/>
  <c r="M11" i="114"/>
  <c r="K11" i="114"/>
  <c r="J11" i="114"/>
  <c r="I11" i="114"/>
  <c r="G11" i="114"/>
  <c r="E11" i="114"/>
  <c r="B11" i="114"/>
  <c r="M10" i="114"/>
  <c r="J10" i="114"/>
  <c r="K10" i="114" s="1"/>
  <c r="I10" i="114"/>
  <c r="G10" i="114"/>
  <c r="E10" i="114"/>
  <c r="B10" i="114"/>
  <c r="M9" i="114"/>
  <c r="J9" i="114"/>
  <c r="K9" i="114" s="1"/>
  <c r="I9" i="114"/>
  <c r="G9" i="114"/>
  <c r="E9" i="114"/>
  <c r="B9" i="114"/>
  <c r="M8" i="114"/>
  <c r="K8" i="114"/>
  <c r="J8" i="114"/>
  <c r="I8" i="114"/>
  <c r="G8" i="114"/>
  <c r="E8" i="114"/>
  <c r="B8" i="114"/>
  <c r="M7" i="114"/>
  <c r="K7" i="114"/>
  <c r="J7" i="114"/>
  <c r="I7" i="114"/>
  <c r="G7" i="114"/>
  <c r="E7" i="114"/>
  <c r="B7" i="114"/>
  <c r="M6" i="114"/>
  <c r="J6" i="114"/>
  <c r="I6" i="114"/>
  <c r="G6" i="114"/>
  <c r="E6" i="114"/>
  <c r="B6" i="114"/>
  <c r="K5" i="114"/>
  <c r="J5" i="114"/>
  <c r="I5" i="114"/>
  <c r="E5" i="114"/>
  <c r="N4" i="114"/>
  <c r="L4" i="114"/>
  <c r="M4" i="114" s="1"/>
  <c r="H4" i="114"/>
  <c r="I4" i="114" s="1"/>
  <c r="F4" i="114"/>
  <c r="D4" i="114"/>
  <c r="C4" i="114"/>
  <c r="M19" i="113"/>
  <c r="K19" i="113"/>
  <c r="J19" i="113"/>
  <c r="I19" i="113"/>
  <c r="G19" i="113"/>
  <c r="E19" i="113"/>
  <c r="B19" i="113"/>
  <c r="M18" i="113"/>
  <c r="J18" i="113"/>
  <c r="K18" i="113" s="1"/>
  <c r="I18" i="113"/>
  <c r="G18" i="113"/>
  <c r="E18" i="113"/>
  <c r="B18" i="113"/>
  <c r="M17" i="113"/>
  <c r="J17" i="113"/>
  <c r="K17" i="113" s="1"/>
  <c r="I17" i="113"/>
  <c r="G17" i="113"/>
  <c r="E17" i="113"/>
  <c r="B17" i="113"/>
  <c r="M16" i="113"/>
  <c r="K16" i="113"/>
  <c r="J16" i="113"/>
  <c r="I16" i="113"/>
  <c r="G16" i="113"/>
  <c r="E16" i="113"/>
  <c r="B16" i="113"/>
  <c r="M15" i="113"/>
  <c r="K15" i="113"/>
  <c r="J15" i="113"/>
  <c r="I15" i="113"/>
  <c r="G15" i="113"/>
  <c r="E15" i="113"/>
  <c r="B15" i="113"/>
  <c r="M14" i="113"/>
  <c r="J14" i="113"/>
  <c r="K14" i="113" s="1"/>
  <c r="I14" i="113"/>
  <c r="G14" i="113"/>
  <c r="E14" i="113"/>
  <c r="B14" i="113"/>
  <c r="M13" i="113"/>
  <c r="J13" i="113"/>
  <c r="K13" i="113" s="1"/>
  <c r="I13" i="113"/>
  <c r="G13" i="113"/>
  <c r="E13" i="113"/>
  <c r="B13" i="113"/>
  <c r="M12" i="113"/>
  <c r="K12" i="113"/>
  <c r="J12" i="113"/>
  <c r="I12" i="113"/>
  <c r="G12" i="113"/>
  <c r="E12" i="113"/>
  <c r="B12" i="113"/>
  <c r="M11" i="113"/>
  <c r="K11" i="113"/>
  <c r="J11" i="113"/>
  <c r="I11" i="113"/>
  <c r="G11" i="113"/>
  <c r="E11" i="113"/>
  <c r="B11" i="113"/>
  <c r="M10" i="113"/>
  <c r="J10" i="113"/>
  <c r="K10" i="113" s="1"/>
  <c r="I10" i="113"/>
  <c r="G10" i="113"/>
  <c r="E10" i="113"/>
  <c r="B10" i="113"/>
  <c r="M9" i="113"/>
  <c r="J9" i="113"/>
  <c r="K9" i="113" s="1"/>
  <c r="I9" i="113"/>
  <c r="G9" i="113"/>
  <c r="E9" i="113"/>
  <c r="B9" i="113"/>
  <c r="M8" i="113"/>
  <c r="K8" i="113"/>
  <c r="J8" i="113"/>
  <c r="I8" i="113"/>
  <c r="G8" i="113"/>
  <c r="E8" i="113"/>
  <c r="B8" i="113"/>
  <c r="M7" i="113"/>
  <c r="K7" i="113"/>
  <c r="J7" i="113"/>
  <c r="I7" i="113"/>
  <c r="G7" i="113"/>
  <c r="G4" i="113" s="1"/>
  <c r="E7" i="113"/>
  <c r="B7" i="113"/>
  <c r="M6" i="113"/>
  <c r="K6" i="113"/>
  <c r="J6" i="113"/>
  <c r="I6" i="113"/>
  <c r="G6" i="113"/>
  <c r="E6" i="113"/>
  <c r="B6" i="113"/>
  <c r="K5" i="113"/>
  <c r="J5" i="113"/>
  <c r="I5" i="113"/>
  <c r="E5" i="113"/>
  <c r="N4" i="113"/>
  <c r="L4" i="113"/>
  <c r="H4" i="113"/>
  <c r="I4" i="113" s="1"/>
  <c r="F4" i="113"/>
  <c r="D4" i="113"/>
  <c r="C4" i="113"/>
  <c r="M19" i="112"/>
  <c r="K19" i="112"/>
  <c r="J19" i="112"/>
  <c r="I19" i="112"/>
  <c r="G19" i="112"/>
  <c r="E19" i="112"/>
  <c r="B19" i="112"/>
  <c r="M18" i="112"/>
  <c r="J18" i="112"/>
  <c r="K18" i="112" s="1"/>
  <c r="I18" i="112"/>
  <c r="G18" i="112"/>
  <c r="E18" i="112"/>
  <c r="B18" i="112"/>
  <c r="M17" i="112"/>
  <c r="J17" i="112"/>
  <c r="K17" i="112" s="1"/>
  <c r="I17" i="112"/>
  <c r="G17" i="112"/>
  <c r="E17" i="112"/>
  <c r="B17" i="112"/>
  <c r="M16" i="112"/>
  <c r="K16" i="112"/>
  <c r="J16" i="112"/>
  <c r="I16" i="112"/>
  <c r="G16" i="112"/>
  <c r="E16" i="112"/>
  <c r="B16" i="112"/>
  <c r="M15" i="112"/>
  <c r="K15" i="112"/>
  <c r="J15" i="112"/>
  <c r="I15" i="112"/>
  <c r="G15" i="112"/>
  <c r="E15" i="112"/>
  <c r="B15" i="112"/>
  <c r="M14" i="112"/>
  <c r="J14" i="112"/>
  <c r="K14" i="112" s="1"/>
  <c r="I14" i="112"/>
  <c r="G14" i="112"/>
  <c r="E14" i="112"/>
  <c r="B14" i="112"/>
  <c r="M13" i="112"/>
  <c r="J13" i="112"/>
  <c r="K13" i="112" s="1"/>
  <c r="I13" i="112"/>
  <c r="G13" i="112"/>
  <c r="E13" i="112"/>
  <c r="B13" i="112"/>
  <c r="M12" i="112"/>
  <c r="K12" i="112"/>
  <c r="J12" i="112"/>
  <c r="I12" i="112"/>
  <c r="G12" i="112"/>
  <c r="E12" i="112"/>
  <c r="B12" i="112"/>
  <c r="M11" i="112"/>
  <c r="K11" i="112"/>
  <c r="J11" i="112"/>
  <c r="I11" i="112"/>
  <c r="G11" i="112"/>
  <c r="E11" i="112"/>
  <c r="B11" i="112"/>
  <c r="M10" i="112"/>
  <c r="K10" i="112"/>
  <c r="J10" i="112"/>
  <c r="I10" i="112"/>
  <c r="G10" i="112"/>
  <c r="E10" i="112"/>
  <c r="B10" i="112"/>
  <c r="M9" i="112"/>
  <c r="J9" i="112"/>
  <c r="K9" i="112" s="1"/>
  <c r="I9" i="112"/>
  <c r="G9" i="112"/>
  <c r="E9" i="112"/>
  <c r="B9" i="112"/>
  <c r="M8" i="112"/>
  <c r="K8" i="112"/>
  <c r="J8" i="112"/>
  <c r="I8" i="112"/>
  <c r="G8" i="112"/>
  <c r="E8" i="112"/>
  <c r="B8" i="112"/>
  <c r="M7" i="112"/>
  <c r="K7" i="112"/>
  <c r="J7" i="112"/>
  <c r="I7" i="112"/>
  <c r="G7" i="112"/>
  <c r="G4" i="112" s="1"/>
  <c r="E7" i="112"/>
  <c r="B7" i="112"/>
  <c r="M6" i="112"/>
  <c r="J6" i="112"/>
  <c r="I6" i="112"/>
  <c r="G6" i="112"/>
  <c r="E6" i="112"/>
  <c r="B6" i="112"/>
  <c r="B4" i="112" s="1"/>
  <c r="K5" i="112"/>
  <c r="J5" i="112"/>
  <c r="I5" i="112"/>
  <c r="E5" i="112"/>
  <c r="N4" i="112"/>
  <c r="L4" i="112"/>
  <c r="H4" i="112"/>
  <c r="I4" i="112" s="1"/>
  <c r="F4" i="112"/>
  <c r="D4" i="112"/>
  <c r="C4" i="112"/>
  <c r="M19" i="111"/>
  <c r="K19" i="111"/>
  <c r="J19" i="111"/>
  <c r="I19" i="111"/>
  <c r="G19" i="111"/>
  <c r="E19" i="111"/>
  <c r="B19" i="111"/>
  <c r="M18" i="111"/>
  <c r="J18" i="111"/>
  <c r="K18" i="111" s="1"/>
  <c r="I18" i="111"/>
  <c r="G18" i="111"/>
  <c r="E18" i="111"/>
  <c r="B18" i="111"/>
  <c r="M17" i="111"/>
  <c r="J17" i="111"/>
  <c r="K17" i="111" s="1"/>
  <c r="I17" i="111"/>
  <c r="G17" i="111"/>
  <c r="E17" i="111"/>
  <c r="B17" i="111"/>
  <c r="M16" i="111"/>
  <c r="K16" i="111"/>
  <c r="J16" i="111"/>
  <c r="I16" i="111"/>
  <c r="G16" i="111"/>
  <c r="E16" i="111"/>
  <c r="B16" i="111"/>
  <c r="M15" i="111"/>
  <c r="K15" i="111"/>
  <c r="J15" i="111"/>
  <c r="I15" i="111"/>
  <c r="G15" i="111"/>
  <c r="E15" i="111"/>
  <c r="B15" i="111"/>
  <c r="M14" i="111"/>
  <c r="K14" i="111"/>
  <c r="J14" i="111"/>
  <c r="I14" i="111"/>
  <c r="G14" i="111"/>
  <c r="E14" i="111"/>
  <c r="B14" i="111"/>
  <c r="M13" i="111"/>
  <c r="J13" i="111"/>
  <c r="K13" i="111" s="1"/>
  <c r="I13" i="111"/>
  <c r="G13" i="111"/>
  <c r="E13" i="111"/>
  <c r="B13" i="111"/>
  <c r="M12" i="111"/>
  <c r="K12" i="111"/>
  <c r="J12" i="111"/>
  <c r="I12" i="111"/>
  <c r="G12" i="111"/>
  <c r="E12" i="111"/>
  <c r="B12" i="111"/>
  <c r="M11" i="111"/>
  <c r="K11" i="111"/>
  <c r="J11" i="111"/>
  <c r="I11" i="111"/>
  <c r="G11" i="111"/>
  <c r="E11" i="111"/>
  <c r="B11" i="111"/>
  <c r="M10" i="111"/>
  <c r="J10" i="111"/>
  <c r="K10" i="111" s="1"/>
  <c r="I10" i="111"/>
  <c r="G10" i="111"/>
  <c r="E10" i="111"/>
  <c r="B10" i="111"/>
  <c r="B4" i="111" s="1"/>
  <c r="M9" i="111"/>
  <c r="J9" i="111"/>
  <c r="K9" i="111" s="1"/>
  <c r="I9" i="111"/>
  <c r="G9" i="111"/>
  <c r="E9" i="111"/>
  <c r="B9" i="111"/>
  <c r="M8" i="111"/>
  <c r="K8" i="111"/>
  <c r="J8" i="111"/>
  <c r="I8" i="111"/>
  <c r="G8" i="111"/>
  <c r="E8" i="111"/>
  <c r="B8" i="111"/>
  <c r="M7" i="111"/>
  <c r="K7" i="111"/>
  <c r="J7" i="111"/>
  <c r="I7" i="111"/>
  <c r="G7" i="111"/>
  <c r="E7" i="111"/>
  <c r="B7" i="111"/>
  <c r="M6" i="111"/>
  <c r="J6" i="111"/>
  <c r="K6" i="111" s="1"/>
  <c r="I6" i="111"/>
  <c r="G6" i="111"/>
  <c r="E6" i="111"/>
  <c r="B6" i="111"/>
  <c r="K5" i="111"/>
  <c r="J5" i="111"/>
  <c r="I5" i="111"/>
  <c r="E5" i="111"/>
  <c r="N4" i="111"/>
  <c r="H4" i="111"/>
  <c r="G4" i="111"/>
  <c r="F4" i="111"/>
  <c r="I4" i="111" s="1"/>
  <c r="D4" i="111"/>
  <c r="M4" i="111" s="1"/>
  <c r="C4" i="111"/>
  <c r="M19" i="110"/>
  <c r="J19" i="110"/>
  <c r="K19" i="110" s="1"/>
  <c r="I19" i="110"/>
  <c r="G19" i="110"/>
  <c r="E19" i="110"/>
  <c r="B19" i="110"/>
  <c r="M18" i="110"/>
  <c r="J18" i="110"/>
  <c r="K18" i="110" s="1"/>
  <c r="I18" i="110"/>
  <c r="G18" i="110"/>
  <c r="E18" i="110"/>
  <c r="B18" i="110"/>
  <c r="M17" i="110"/>
  <c r="K17" i="110"/>
  <c r="J17" i="110"/>
  <c r="I17" i="110"/>
  <c r="G17" i="110"/>
  <c r="E17" i="110"/>
  <c r="B17" i="110"/>
  <c r="M16" i="110"/>
  <c r="K16" i="110"/>
  <c r="J16" i="110"/>
  <c r="I16" i="110"/>
  <c r="G16" i="110"/>
  <c r="E16" i="110"/>
  <c r="B16" i="110"/>
  <c r="M15" i="110"/>
  <c r="J15" i="110"/>
  <c r="K15" i="110" s="1"/>
  <c r="I15" i="110"/>
  <c r="G15" i="110"/>
  <c r="E15" i="110"/>
  <c r="B15" i="110"/>
  <c r="M14" i="110"/>
  <c r="J14" i="110"/>
  <c r="K14" i="110" s="1"/>
  <c r="I14" i="110"/>
  <c r="G14" i="110"/>
  <c r="E14" i="110"/>
  <c r="B14" i="110"/>
  <c r="M13" i="110"/>
  <c r="K13" i="110"/>
  <c r="J13" i="110"/>
  <c r="I13" i="110"/>
  <c r="G13" i="110"/>
  <c r="E13" i="110"/>
  <c r="B13" i="110"/>
  <c r="M12" i="110"/>
  <c r="K12" i="110"/>
  <c r="J12" i="110"/>
  <c r="I12" i="110"/>
  <c r="G12" i="110"/>
  <c r="E12" i="110"/>
  <c r="B12" i="110"/>
  <c r="M11" i="110"/>
  <c r="K11" i="110"/>
  <c r="J11" i="110"/>
  <c r="I11" i="110"/>
  <c r="G11" i="110"/>
  <c r="E11" i="110"/>
  <c r="B11" i="110"/>
  <c r="M10" i="110"/>
  <c r="J10" i="110"/>
  <c r="K10" i="110" s="1"/>
  <c r="I10" i="110"/>
  <c r="G10" i="110"/>
  <c r="E10" i="110"/>
  <c r="B10" i="110"/>
  <c r="M9" i="110"/>
  <c r="K9" i="110"/>
  <c r="J9" i="110"/>
  <c r="I9" i="110"/>
  <c r="G9" i="110"/>
  <c r="E9" i="110"/>
  <c r="B9" i="110"/>
  <c r="M8" i="110"/>
  <c r="K8" i="110"/>
  <c r="J8" i="110"/>
  <c r="I8" i="110"/>
  <c r="G8" i="110"/>
  <c r="G4" i="110" s="1"/>
  <c r="E8" i="110"/>
  <c r="B8" i="110"/>
  <c r="M7" i="110"/>
  <c r="J7" i="110"/>
  <c r="I7" i="110"/>
  <c r="G7" i="110"/>
  <c r="E7" i="110"/>
  <c r="B7" i="110"/>
  <c r="B4" i="110" s="1"/>
  <c r="M6" i="110"/>
  <c r="J6" i="110"/>
  <c r="K6" i="110" s="1"/>
  <c r="I6" i="110"/>
  <c r="G6" i="110"/>
  <c r="E6" i="110"/>
  <c r="B6" i="110"/>
  <c r="K5" i="110"/>
  <c r="J5" i="110"/>
  <c r="I5" i="110"/>
  <c r="E5" i="110"/>
  <c r="N4" i="110"/>
  <c r="M4" i="110"/>
  <c r="L4" i="110"/>
  <c r="H4" i="110"/>
  <c r="F4" i="110"/>
  <c r="I4" i="110" s="1"/>
  <c r="D4" i="110"/>
  <c r="C4" i="110"/>
  <c r="M19" i="109"/>
  <c r="J19" i="109"/>
  <c r="K19" i="109" s="1"/>
  <c r="I19" i="109"/>
  <c r="G19" i="109"/>
  <c r="E19" i="109"/>
  <c r="B19" i="109"/>
  <c r="M18" i="109"/>
  <c r="J18" i="109"/>
  <c r="K18" i="109" s="1"/>
  <c r="I18" i="109"/>
  <c r="G18" i="109"/>
  <c r="E18" i="109"/>
  <c r="B18" i="109"/>
  <c r="M17" i="109"/>
  <c r="K17" i="109"/>
  <c r="J17" i="109"/>
  <c r="I17" i="109"/>
  <c r="G17" i="109"/>
  <c r="E17" i="109"/>
  <c r="B17" i="109"/>
  <c r="M16" i="109"/>
  <c r="K16" i="109"/>
  <c r="J16" i="109"/>
  <c r="I16" i="109"/>
  <c r="G16" i="109"/>
  <c r="E16" i="109"/>
  <c r="B16" i="109"/>
  <c r="M15" i="109"/>
  <c r="J15" i="109"/>
  <c r="K15" i="109" s="1"/>
  <c r="I15" i="109"/>
  <c r="G15" i="109"/>
  <c r="E15" i="109"/>
  <c r="B15" i="109"/>
  <c r="M14" i="109"/>
  <c r="J14" i="109"/>
  <c r="K14" i="109" s="1"/>
  <c r="I14" i="109"/>
  <c r="G14" i="109"/>
  <c r="E14" i="109"/>
  <c r="B14" i="109"/>
  <c r="M13" i="109"/>
  <c r="K13" i="109"/>
  <c r="J13" i="109"/>
  <c r="I13" i="109"/>
  <c r="G13" i="109"/>
  <c r="E13" i="109"/>
  <c r="B13" i="109"/>
  <c r="M12" i="109"/>
  <c r="K12" i="109"/>
  <c r="J12" i="109"/>
  <c r="I12" i="109"/>
  <c r="G12" i="109"/>
  <c r="E12" i="109"/>
  <c r="B12" i="109"/>
  <c r="M11" i="109"/>
  <c r="J11" i="109"/>
  <c r="K11" i="109" s="1"/>
  <c r="I11" i="109"/>
  <c r="G11" i="109"/>
  <c r="E11" i="109"/>
  <c r="B11" i="109"/>
  <c r="M10" i="109"/>
  <c r="J10" i="109"/>
  <c r="K10" i="109" s="1"/>
  <c r="I10" i="109"/>
  <c r="G10" i="109"/>
  <c r="E10" i="109"/>
  <c r="B10" i="109"/>
  <c r="M9" i="109"/>
  <c r="K9" i="109"/>
  <c r="J9" i="109"/>
  <c r="I9" i="109"/>
  <c r="G9" i="109"/>
  <c r="E9" i="109"/>
  <c r="B9" i="109"/>
  <c r="M8" i="109"/>
  <c r="K8" i="109"/>
  <c r="J8" i="109"/>
  <c r="I8" i="109"/>
  <c r="G8" i="109"/>
  <c r="G4" i="109" s="1"/>
  <c r="E8" i="109"/>
  <c r="B8" i="109"/>
  <c r="M7" i="109"/>
  <c r="K7" i="109"/>
  <c r="J7" i="109"/>
  <c r="I7" i="109"/>
  <c r="G7" i="109"/>
  <c r="E7" i="109"/>
  <c r="B7" i="109"/>
  <c r="M6" i="109"/>
  <c r="J6" i="109"/>
  <c r="K6" i="109" s="1"/>
  <c r="I6" i="109"/>
  <c r="G6" i="109"/>
  <c r="E6" i="109"/>
  <c r="B6" i="109"/>
  <c r="B4" i="109" s="1"/>
  <c r="K5" i="109"/>
  <c r="J5" i="109"/>
  <c r="I5" i="109"/>
  <c r="E5" i="109"/>
  <c r="N4" i="109"/>
  <c r="M4" i="109"/>
  <c r="L4" i="109"/>
  <c r="J4" i="109"/>
  <c r="K4" i="109" s="1"/>
  <c r="H4" i="109"/>
  <c r="F4" i="109"/>
  <c r="I4" i="109" s="1"/>
  <c r="D4" i="109"/>
  <c r="C4" i="109"/>
  <c r="M19" i="108"/>
  <c r="K19" i="108"/>
  <c r="J19" i="108"/>
  <c r="I19" i="108"/>
  <c r="G19" i="108"/>
  <c r="E19" i="108"/>
  <c r="B19" i="108"/>
  <c r="M18" i="108"/>
  <c r="J18" i="108"/>
  <c r="K18" i="108" s="1"/>
  <c r="I18" i="108"/>
  <c r="G18" i="108"/>
  <c r="E18" i="108"/>
  <c r="B18" i="108"/>
  <c r="M17" i="108"/>
  <c r="K17" i="108"/>
  <c r="J17" i="108"/>
  <c r="I17" i="108"/>
  <c r="G17" i="108"/>
  <c r="G4" i="108" s="1"/>
  <c r="E17" i="108"/>
  <c r="B17" i="108"/>
  <c r="M16" i="108"/>
  <c r="K16" i="108"/>
  <c r="J16" i="108"/>
  <c r="I16" i="108"/>
  <c r="G16" i="108"/>
  <c r="E16" i="108"/>
  <c r="B16" i="108"/>
  <c r="M15" i="108"/>
  <c r="J15" i="108"/>
  <c r="K15" i="108" s="1"/>
  <c r="I15" i="108"/>
  <c r="G15" i="108"/>
  <c r="E15" i="108"/>
  <c r="B15" i="108"/>
  <c r="M14" i="108"/>
  <c r="J14" i="108"/>
  <c r="K14" i="108" s="1"/>
  <c r="I14" i="108"/>
  <c r="G14" i="108"/>
  <c r="E14" i="108"/>
  <c r="B14" i="108"/>
  <c r="M13" i="108"/>
  <c r="K13" i="108"/>
  <c r="J13" i="108"/>
  <c r="I13" i="108"/>
  <c r="G13" i="108"/>
  <c r="E13" i="108"/>
  <c r="B13" i="108"/>
  <c r="M12" i="108"/>
  <c r="K12" i="108"/>
  <c r="J12" i="108"/>
  <c r="I12" i="108"/>
  <c r="G12" i="108"/>
  <c r="E12" i="108"/>
  <c r="B12" i="108"/>
  <c r="M11" i="108"/>
  <c r="J11" i="108"/>
  <c r="K11" i="108" s="1"/>
  <c r="I11" i="108"/>
  <c r="G11" i="108"/>
  <c r="E11" i="108"/>
  <c r="B11" i="108"/>
  <c r="M10" i="108"/>
  <c r="J10" i="108"/>
  <c r="K10" i="108" s="1"/>
  <c r="I10" i="108"/>
  <c r="G10" i="108"/>
  <c r="E10" i="108"/>
  <c r="B10" i="108"/>
  <c r="M9" i="108"/>
  <c r="K9" i="108"/>
  <c r="J9" i="108"/>
  <c r="I9" i="108"/>
  <c r="G9" i="108"/>
  <c r="E9" i="108"/>
  <c r="B9" i="108"/>
  <c r="M8" i="108"/>
  <c r="K8" i="108"/>
  <c r="J8" i="108"/>
  <c r="I8" i="108"/>
  <c r="G8" i="108"/>
  <c r="E8" i="108"/>
  <c r="B8" i="108"/>
  <c r="M7" i="108"/>
  <c r="J7" i="108"/>
  <c r="K7" i="108" s="1"/>
  <c r="I7" i="108"/>
  <c r="G7" i="108"/>
  <c r="E7" i="108"/>
  <c r="B7" i="108"/>
  <c r="M6" i="108"/>
  <c r="J6" i="108"/>
  <c r="I6" i="108"/>
  <c r="G6" i="108"/>
  <c r="E6" i="108"/>
  <c r="B6" i="108"/>
  <c r="K5" i="108"/>
  <c r="J5" i="108"/>
  <c r="I5" i="108"/>
  <c r="E5" i="108"/>
  <c r="N4" i="108"/>
  <c r="M4" i="108"/>
  <c r="L4" i="108"/>
  <c r="H4" i="108"/>
  <c r="F4" i="108"/>
  <c r="I4" i="108" s="1"/>
  <c r="D4" i="108"/>
  <c r="C4" i="108"/>
  <c r="M19" i="107"/>
  <c r="J19" i="107"/>
  <c r="K19" i="107" s="1"/>
  <c r="I19" i="107"/>
  <c r="G19" i="107"/>
  <c r="E19" i="107"/>
  <c r="B19" i="107"/>
  <c r="M18" i="107"/>
  <c r="J18" i="107"/>
  <c r="K18" i="107" s="1"/>
  <c r="I18" i="107"/>
  <c r="G18" i="107"/>
  <c r="E18" i="107"/>
  <c r="B18" i="107"/>
  <c r="M17" i="107"/>
  <c r="K17" i="107"/>
  <c r="J17" i="107"/>
  <c r="I17" i="107"/>
  <c r="G17" i="107"/>
  <c r="E17" i="107"/>
  <c r="B17" i="107"/>
  <c r="M16" i="107"/>
  <c r="K16" i="107"/>
  <c r="J16" i="107"/>
  <c r="I16" i="107"/>
  <c r="G16" i="107"/>
  <c r="E16" i="107"/>
  <c r="B16" i="107"/>
  <c r="M15" i="107"/>
  <c r="K15" i="107"/>
  <c r="J15" i="107"/>
  <c r="I15" i="107"/>
  <c r="G15" i="107"/>
  <c r="E15" i="107"/>
  <c r="B15" i="107"/>
  <c r="M14" i="107"/>
  <c r="J14" i="107"/>
  <c r="K14" i="107" s="1"/>
  <c r="I14" i="107"/>
  <c r="G14" i="107"/>
  <c r="E14" i="107"/>
  <c r="B14" i="107"/>
  <c r="M13" i="107"/>
  <c r="K13" i="107"/>
  <c r="J13" i="107"/>
  <c r="I13" i="107"/>
  <c r="G13" i="107"/>
  <c r="E13" i="107"/>
  <c r="B13" i="107"/>
  <c r="M12" i="107"/>
  <c r="K12" i="107"/>
  <c r="J12" i="107"/>
  <c r="I12" i="107"/>
  <c r="G12" i="107"/>
  <c r="E12" i="107"/>
  <c r="B12" i="107"/>
  <c r="M11" i="107"/>
  <c r="J11" i="107"/>
  <c r="I11" i="107"/>
  <c r="G11" i="107"/>
  <c r="E11" i="107"/>
  <c r="B11" i="107"/>
  <c r="M10" i="107"/>
  <c r="J10" i="107"/>
  <c r="K10" i="107" s="1"/>
  <c r="I10" i="107"/>
  <c r="G10" i="107"/>
  <c r="E10" i="107"/>
  <c r="B10" i="107"/>
  <c r="M9" i="107"/>
  <c r="K9" i="107"/>
  <c r="J9" i="107"/>
  <c r="I9" i="107"/>
  <c r="G9" i="107"/>
  <c r="E9" i="107"/>
  <c r="B9" i="107"/>
  <c r="M8" i="107"/>
  <c r="K8" i="107"/>
  <c r="J8" i="107"/>
  <c r="I8" i="107"/>
  <c r="G8" i="107"/>
  <c r="E8" i="107"/>
  <c r="B8" i="107"/>
  <c r="M7" i="107"/>
  <c r="J7" i="107"/>
  <c r="K7" i="107" s="1"/>
  <c r="I7" i="107"/>
  <c r="G7" i="107"/>
  <c r="E7" i="107"/>
  <c r="B7" i="107"/>
  <c r="B4" i="107" s="1"/>
  <c r="M6" i="107"/>
  <c r="J6" i="107"/>
  <c r="K6" i="107" s="1"/>
  <c r="I6" i="107"/>
  <c r="G6" i="107"/>
  <c r="E6" i="107"/>
  <c r="B6" i="107"/>
  <c r="K5" i="107"/>
  <c r="J5" i="107"/>
  <c r="I5" i="107"/>
  <c r="E5" i="107"/>
  <c r="N4" i="107"/>
  <c r="I4" i="107"/>
  <c r="H4" i="107"/>
  <c r="F4" i="107"/>
  <c r="E4" i="107"/>
  <c r="D4" i="107"/>
  <c r="M4" i="107" s="1"/>
  <c r="C4" i="107"/>
  <c r="E2" i="107"/>
  <c r="M19" i="106"/>
  <c r="J19" i="106"/>
  <c r="K19" i="106" s="1"/>
  <c r="I19" i="106"/>
  <c r="G19" i="106"/>
  <c r="E19" i="106"/>
  <c r="B19" i="106"/>
  <c r="M18" i="106"/>
  <c r="K18" i="106"/>
  <c r="J18" i="106"/>
  <c r="I18" i="106"/>
  <c r="G18" i="106"/>
  <c r="E18" i="106"/>
  <c r="B18" i="106"/>
  <c r="M17" i="106"/>
  <c r="K17" i="106"/>
  <c r="J17" i="106"/>
  <c r="I17" i="106"/>
  <c r="G17" i="106"/>
  <c r="E17" i="106"/>
  <c r="B17" i="106"/>
  <c r="M16" i="106"/>
  <c r="K16" i="106"/>
  <c r="J16" i="106"/>
  <c r="I16" i="106"/>
  <c r="G16" i="106"/>
  <c r="E16" i="106"/>
  <c r="B16" i="106"/>
  <c r="M15" i="106"/>
  <c r="J15" i="106"/>
  <c r="K15" i="106" s="1"/>
  <c r="I15" i="106"/>
  <c r="G15" i="106"/>
  <c r="E15" i="106"/>
  <c r="B15" i="106"/>
  <c r="M14" i="106"/>
  <c r="K14" i="106"/>
  <c r="J14" i="106"/>
  <c r="I14" i="106"/>
  <c r="G14" i="106"/>
  <c r="E14" i="106"/>
  <c r="B14" i="106"/>
  <c r="M13" i="106"/>
  <c r="K13" i="106"/>
  <c r="J13" i="106"/>
  <c r="I13" i="106"/>
  <c r="G13" i="106"/>
  <c r="E13" i="106"/>
  <c r="B13" i="106"/>
  <c r="M12" i="106"/>
  <c r="K12" i="106"/>
  <c r="J12" i="106"/>
  <c r="I12" i="106"/>
  <c r="G12" i="106"/>
  <c r="E12" i="106"/>
  <c r="B12" i="106"/>
  <c r="M11" i="106"/>
  <c r="J11" i="106"/>
  <c r="K11" i="106" s="1"/>
  <c r="I11" i="106"/>
  <c r="G11" i="106"/>
  <c r="E11" i="106"/>
  <c r="B11" i="106"/>
  <c r="M10" i="106"/>
  <c r="K10" i="106"/>
  <c r="J10" i="106"/>
  <c r="I10" i="106"/>
  <c r="G10" i="106"/>
  <c r="E10" i="106"/>
  <c r="B10" i="106"/>
  <c r="M9" i="106"/>
  <c r="K9" i="106"/>
  <c r="J9" i="106"/>
  <c r="I9" i="106"/>
  <c r="G9" i="106"/>
  <c r="E9" i="106"/>
  <c r="B9" i="106"/>
  <c r="M8" i="106"/>
  <c r="K8" i="106"/>
  <c r="J8" i="106"/>
  <c r="I8" i="106"/>
  <c r="G8" i="106"/>
  <c r="E8" i="106"/>
  <c r="B8" i="106"/>
  <c r="M7" i="106"/>
  <c r="J7" i="106"/>
  <c r="I7" i="106"/>
  <c r="G7" i="106"/>
  <c r="E7" i="106"/>
  <c r="B7" i="106"/>
  <c r="M6" i="106"/>
  <c r="K6" i="106"/>
  <c r="J6" i="106"/>
  <c r="I6" i="106"/>
  <c r="G6" i="106"/>
  <c r="G4" i="106" s="1"/>
  <c r="E6" i="106"/>
  <c r="B6" i="106"/>
  <c r="J5" i="106"/>
  <c r="K5" i="106" s="1"/>
  <c r="I5" i="106"/>
  <c r="E5" i="106"/>
  <c r="N4" i="106"/>
  <c r="M4" i="106"/>
  <c r="I4" i="106"/>
  <c r="H4" i="106"/>
  <c r="F4" i="106"/>
  <c r="E4" i="106"/>
  <c r="D4" i="106"/>
  <c r="E2" i="106" s="1"/>
  <c r="C4" i="106"/>
  <c r="M18" i="105"/>
  <c r="K18" i="105"/>
  <c r="J18" i="105"/>
  <c r="I18" i="105"/>
  <c r="G18" i="105"/>
  <c r="E18" i="105"/>
  <c r="B18" i="105"/>
  <c r="M17" i="105"/>
  <c r="K17" i="105"/>
  <c r="J17" i="105"/>
  <c r="I17" i="105"/>
  <c r="G17" i="105"/>
  <c r="E17" i="105"/>
  <c r="B17" i="105"/>
  <c r="M16" i="105"/>
  <c r="J16" i="105"/>
  <c r="K16" i="105" s="1"/>
  <c r="I16" i="105"/>
  <c r="G16" i="105"/>
  <c r="E16" i="105"/>
  <c r="B16" i="105"/>
  <c r="M15" i="105"/>
  <c r="J15" i="105"/>
  <c r="K15" i="105" s="1"/>
  <c r="I15" i="105"/>
  <c r="G15" i="105"/>
  <c r="E15" i="105"/>
  <c r="B15" i="105"/>
  <c r="M14" i="105"/>
  <c r="K14" i="105"/>
  <c r="J14" i="105"/>
  <c r="I14" i="105"/>
  <c r="G14" i="105"/>
  <c r="E14" i="105"/>
  <c r="B14" i="105"/>
  <c r="M13" i="105"/>
  <c r="K13" i="105"/>
  <c r="J13" i="105"/>
  <c r="I13" i="105"/>
  <c r="G13" i="105"/>
  <c r="E13" i="105"/>
  <c r="B13" i="105"/>
  <c r="M12" i="105"/>
  <c r="K12" i="105"/>
  <c r="J12" i="105"/>
  <c r="I12" i="105"/>
  <c r="G12" i="105"/>
  <c r="E12" i="105"/>
  <c r="B12" i="105"/>
  <c r="M11" i="105"/>
  <c r="J11" i="105"/>
  <c r="K11" i="105" s="1"/>
  <c r="I11" i="105"/>
  <c r="G11" i="105"/>
  <c r="E11" i="105"/>
  <c r="B11" i="105"/>
  <c r="M10" i="105"/>
  <c r="K10" i="105"/>
  <c r="J10" i="105"/>
  <c r="I10" i="105"/>
  <c r="G10" i="105"/>
  <c r="E10" i="105"/>
  <c r="B10" i="105"/>
  <c r="M9" i="105"/>
  <c r="K9" i="105"/>
  <c r="J9" i="105"/>
  <c r="I9" i="105"/>
  <c r="G9" i="105"/>
  <c r="E9" i="105"/>
  <c r="B9" i="105"/>
  <c r="M8" i="105"/>
  <c r="K8" i="105"/>
  <c r="J8" i="105"/>
  <c r="I8" i="105"/>
  <c r="G8" i="105"/>
  <c r="E8" i="105"/>
  <c r="B8" i="105"/>
  <c r="M7" i="105"/>
  <c r="J7" i="105"/>
  <c r="I7" i="105"/>
  <c r="G7" i="105"/>
  <c r="E7" i="105"/>
  <c r="B7" i="105"/>
  <c r="M6" i="105"/>
  <c r="K6" i="105"/>
  <c r="J6" i="105"/>
  <c r="I6" i="105"/>
  <c r="G6" i="105"/>
  <c r="G4" i="105" s="1"/>
  <c r="E6" i="105"/>
  <c r="B6" i="105"/>
  <c r="J5" i="105"/>
  <c r="K5" i="105" s="1"/>
  <c r="I5" i="105"/>
  <c r="E5" i="105"/>
  <c r="N4" i="105"/>
  <c r="M4" i="105"/>
  <c r="I4" i="105"/>
  <c r="H4" i="105"/>
  <c r="F4" i="105"/>
  <c r="E4" i="105"/>
  <c r="D4" i="105"/>
  <c r="C4" i="105"/>
  <c r="E2" i="105"/>
  <c r="M18" i="104"/>
  <c r="K18" i="104"/>
  <c r="J18" i="104"/>
  <c r="I18" i="104"/>
  <c r="G18" i="104"/>
  <c r="E18" i="104"/>
  <c r="B18" i="104"/>
  <c r="M17" i="104"/>
  <c r="K17" i="104"/>
  <c r="J17" i="104"/>
  <c r="I17" i="104"/>
  <c r="G17" i="104"/>
  <c r="E17" i="104"/>
  <c r="B17" i="104"/>
  <c r="M16" i="104"/>
  <c r="J16" i="104"/>
  <c r="K16" i="104" s="1"/>
  <c r="I16" i="104"/>
  <c r="G16" i="104"/>
  <c r="E16" i="104"/>
  <c r="B16" i="104"/>
  <c r="M15" i="104"/>
  <c r="J15" i="104"/>
  <c r="K15" i="104" s="1"/>
  <c r="I15" i="104"/>
  <c r="G15" i="104"/>
  <c r="E15" i="104"/>
  <c r="B15" i="104"/>
  <c r="M14" i="104"/>
  <c r="K14" i="104"/>
  <c r="J14" i="104"/>
  <c r="I14" i="104"/>
  <c r="G14" i="104"/>
  <c r="E14" i="104"/>
  <c r="B14" i="104"/>
  <c r="M13" i="104"/>
  <c r="K13" i="104"/>
  <c r="J13" i="104"/>
  <c r="I13" i="104"/>
  <c r="G13" i="104"/>
  <c r="E13" i="104"/>
  <c r="B13" i="104"/>
  <c r="M12" i="104"/>
  <c r="J12" i="104"/>
  <c r="K12" i="104" s="1"/>
  <c r="I12" i="104"/>
  <c r="G12" i="104"/>
  <c r="E12" i="104"/>
  <c r="B12" i="104"/>
  <c r="M11" i="104"/>
  <c r="J11" i="104"/>
  <c r="K11" i="104" s="1"/>
  <c r="I11" i="104"/>
  <c r="G11" i="104"/>
  <c r="E11" i="104"/>
  <c r="B11" i="104"/>
  <c r="M10" i="104"/>
  <c r="K10" i="104"/>
  <c r="J10" i="104"/>
  <c r="I10" i="104"/>
  <c r="G10" i="104"/>
  <c r="E10" i="104"/>
  <c r="B10" i="104"/>
  <c r="M9" i="104"/>
  <c r="K9" i="104"/>
  <c r="J9" i="104"/>
  <c r="I9" i="104"/>
  <c r="G9" i="104"/>
  <c r="E9" i="104"/>
  <c r="B9" i="104"/>
  <c r="M8" i="104"/>
  <c r="K8" i="104"/>
  <c r="J8" i="104"/>
  <c r="I8" i="104"/>
  <c r="G8" i="104"/>
  <c r="E8" i="104"/>
  <c r="B8" i="104"/>
  <c r="M7" i="104"/>
  <c r="J7" i="104"/>
  <c r="I7" i="104"/>
  <c r="G7" i="104"/>
  <c r="E7" i="104"/>
  <c r="B7" i="104"/>
  <c r="M6" i="104"/>
  <c r="K6" i="104"/>
  <c r="J6" i="104"/>
  <c r="I6" i="104"/>
  <c r="G6" i="104"/>
  <c r="E6" i="104"/>
  <c r="B6" i="104"/>
  <c r="K5" i="104"/>
  <c r="J5" i="104"/>
  <c r="I5" i="104"/>
  <c r="E5" i="104"/>
  <c r="N4" i="104"/>
  <c r="M4" i="104"/>
  <c r="H4" i="104"/>
  <c r="I4" i="104" s="1"/>
  <c r="F4" i="104"/>
  <c r="E4" i="104"/>
  <c r="D4" i="104"/>
  <c r="C4" i="104"/>
  <c r="E2" i="104"/>
  <c r="M18" i="103"/>
  <c r="K18" i="103"/>
  <c r="J18" i="103"/>
  <c r="I18" i="103"/>
  <c r="G18" i="103"/>
  <c r="E18" i="103"/>
  <c r="B18" i="103"/>
  <c r="M17" i="103"/>
  <c r="K17" i="103"/>
  <c r="J17" i="103"/>
  <c r="I17" i="103"/>
  <c r="G17" i="103"/>
  <c r="E17" i="103"/>
  <c r="B17" i="103"/>
  <c r="M16" i="103"/>
  <c r="K16" i="103"/>
  <c r="J16" i="103"/>
  <c r="I16" i="103"/>
  <c r="G16" i="103"/>
  <c r="E16" i="103"/>
  <c r="B16" i="103"/>
  <c r="M15" i="103"/>
  <c r="J15" i="103"/>
  <c r="K15" i="103" s="1"/>
  <c r="I15" i="103"/>
  <c r="G15" i="103"/>
  <c r="E15" i="103"/>
  <c r="B15" i="103"/>
  <c r="M14" i="103"/>
  <c r="K14" i="103"/>
  <c r="J14" i="103"/>
  <c r="I14" i="103"/>
  <c r="G14" i="103"/>
  <c r="E14" i="103"/>
  <c r="B14" i="103"/>
  <c r="M13" i="103"/>
  <c r="K13" i="103"/>
  <c r="J13" i="103"/>
  <c r="I13" i="103"/>
  <c r="G13" i="103"/>
  <c r="E13" i="103"/>
  <c r="B13" i="103"/>
  <c r="M12" i="103"/>
  <c r="K12" i="103"/>
  <c r="J12" i="103"/>
  <c r="I12" i="103"/>
  <c r="G12" i="103"/>
  <c r="E12" i="103"/>
  <c r="B12" i="103"/>
  <c r="M11" i="103"/>
  <c r="J11" i="103"/>
  <c r="K11" i="103" s="1"/>
  <c r="I11" i="103"/>
  <c r="G11" i="103"/>
  <c r="E11" i="103"/>
  <c r="B11" i="103"/>
  <c r="M10" i="103"/>
  <c r="K10" i="103"/>
  <c r="J10" i="103"/>
  <c r="I10" i="103"/>
  <c r="G10" i="103"/>
  <c r="E10" i="103"/>
  <c r="B10" i="103"/>
  <c r="M9" i="103"/>
  <c r="K9" i="103"/>
  <c r="J9" i="103"/>
  <c r="I9" i="103"/>
  <c r="G9" i="103"/>
  <c r="E9" i="103"/>
  <c r="B9" i="103"/>
  <c r="M8" i="103"/>
  <c r="J8" i="103"/>
  <c r="K8" i="103" s="1"/>
  <c r="I8" i="103"/>
  <c r="G8" i="103"/>
  <c r="E8" i="103"/>
  <c r="B8" i="103"/>
  <c r="M7" i="103"/>
  <c r="J7" i="103"/>
  <c r="I7" i="103"/>
  <c r="G7" i="103"/>
  <c r="E7" i="103"/>
  <c r="B7" i="103"/>
  <c r="M6" i="103"/>
  <c r="K6" i="103"/>
  <c r="J6" i="103"/>
  <c r="I6" i="103"/>
  <c r="G6" i="103"/>
  <c r="E6" i="103"/>
  <c r="B6" i="103"/>
  <c r="K5" i="103"/>
  <c r="J5" i="103"/>
  <c r="I5" i="103"/>
  <c r="E5" i="103"/>
  <c r="N4" i="103"/>
  <c r="H4" i="103"/>
  <c r="I4" i="103" s="1"/>
  <c r="F4" i="103"/>
  <c r="D4" i="103"/>
  <c r="C4" i="103"/>
  <c r="M18" i="102"/>
  <c r="K18" i="102"/>
  <c r="J18" i="102"/>
  <c r="I18" i="102"/>
  <c r="G18" i="102"/>
  <c r="E18" i="102"/>
  <c r="B18" i="102"/>
  <c r="M17" i="102"/>
  <c r="K17" i="102"/>
  <c r="J17" i="102"/>
  <c r="I17" i="102"/>
  <c r="G17" i="102"/>
  <c r="E17" i="102"/>
  <c r="B17" i="102"/>
  <c r="M16" i="102"/>
  <c r="K16" i="102"/>
  <c r="J16" i="102"/>
  <c r="I16" i="102"/>
  <c r="G16" i="102"/>
  <c r="E16" i="102"/>
  <c r="B16" i="102"/>
  <c r="M15" i="102"/>
  <c r="J15" i="102"/>
  <c r="K15" i="102" s="1"/>
  <c r="I15" i="102"/>
  <c r="G15" i="102"/>
  <c r="E15" i="102"/>
  <c r="B15" i="102"/>
  <c r="M14" i="102"/>
  <c r="K14" i="102"/>
  <c r="J14" i="102"/>
  <c r="I14" i="102"/>
  <c r="G14" i="102"/>
  <c r="E14" i="102"/>
  <c r="B14" i="102"/>
  <c r="M13" i="102"/>
  <c r="K13" i="102"/>
  <c r="J13" i="102"/>
  <c r="I13" i="102"/>
  <c r="G13" i="102"/>
  <c r="E13" i="102"/>
  <c r="B13" i="102"/>
  <c r="M12" i="102"/>
  <c r="K12" i="102"/>
  <c r="J12" i="102"/>
  <c r="I12" i="102"/>
  <c r="G12" i="102"/>
  <c r="E12" i="102"/>
  <c r="B12" i="102"/>
  <c r="M11" i="102"/>
  <c r="J11" i="102"/>
  <c r="K11" i="102" s="1"/>
  <c r="I11" i="102"/>
  <c r="G11" i="102"/>
  <c r="E11" i="102"/>
  <c r="B11" i="102"/>
  <c r="M10" i="102"/>
  <c r="K10" i="102"/>
  <c r="J10" i="102"/>
  <c r="I10" i="102"/>
  <c r="G10" i="102"/>
  <c r="E10" i="102"/>
  <c r="B10" i="102"/>
  <c r="M9" i="102"/>
  <c r="K9" i="102"/>
  <c r="J9" i="102"/>
  <c r="I9" i="102"/>
  <c r="G9" i="102"/>
  <c r="E9" i="102"/>
  <c r="B9" i="102"/>
  <c r="M8" i="102"/>
  <c r="K8" i="102"/>
  <c r="J8" i="102"/>
  <c r="I8" i="102"/>
  <c r="G8" i="102"/>
  <c r="E8" i="102"/>
  <c r="B8" i="102"/>
  <c r="M7" i="102"/>
  <c r="J7" i="102"/>
  <c r="I7" i="102"/>
  <c r="G7" i="102"/>
  <c r="E7" i="102"/>
  <c r="B7" i="102"/>
  <c r="M6" i="102"/>
  <c r="K6" i="102"/>
  <c r="J6" i="102"/>
  <c r="I6" i="102"/>
  <c r="G6" i="102"/>
  <c r="G4" i="102" s="1"/>
  <c r="E6" i="102"/>
  <c r="B6" i="102"/>
  <c r="J5" i="102"/>
  <c r="K5" i="102" s="1"/>
  <c r="I5" i="102"/>
  <c r="E5" i="102"/>
  <c r="N4" i="102"/>
  <c r="M4" i="102"/>
  <c r="I4" i="102"/>
  <c r="H4" i="102"/>
  <c r="F4" i="102"/>
  <c r="E4" i="102"/>
  <c r="D4" i="102"/>
  <c r="E2" i="102" s="1"/>
  <c r="C4" i="102"/>
  <c r="M18" i="101"/>
  <c r="K18" i="101"/>
  <c r="J18" i="101"/>
  <c r="I18" i="101"/>
  <c r="G18" i="101"/>
  <c r="E18" i="101"/>
  <c r="B18" i="101"/>
  <c r="M17" i="101"/>
  <c r="K17" i="101"/>
  <c r="J17" i="101"/>
  <c r="I17" i="101"/>
  <c r="G17" i="101"/>
  <c r="E17" i="101"/>
  <c r="B17" i="101"/>
  <c r="M16" i="101"/>
  <c r="J16" i="101"/>
  <c r="K16" i="101" s="1"/>
  <c r="I16" i="101"/>
  <c r="G16" i="101"/>
  <c r="E16" i="101"/>
  <c r="B16" i="101"/>
  <c r="M15" i="101"/>
  <c r="J15" i="101"/>
  <c r="K15" i="101" s="1"/>
  <c r="I15" i="101"/>
  <c r="G15" i="101"/>
  <c r="E15" i="101"/>
  <c r="B15" i="101"/>
  <c r="M14" i="101"/>
  <c r="K14" i="101"/>
  <c r="J14" i="101"/>
  <c r="I14" i="101"/>
  <c r="G14" i="101"/>
  <c r="E14" i="101"/>
  <c r="B14" i="101"/>
  <c r="M13" i="101"/>
  <c r="K13" i="101"/>
  <c r="J13" i="101"/>
  <c r="I13" i="101"/>
  <c r="G13" i="101"/>
  <c r="E13" i="101"/>
  <c r="B13" i="101"/>
  <c r="M12" i="101"/>
  <c r="K12" i="101"/>
  <c r="J12" i="101"/>
  <c r="I12" i="101"/>
  <c r="G12" i="101"/>
  <c r="E12" i="101"/>
  <c r="B12" i="101"/>
  <c r="M11" i="101"/>
  <c r="J11" i="101"/>
  <c r="K11" i="101" s="1"/>
  <c r="I11" i="101"/>
  <c r="G11" i="101"/>
  <c r="E11" i="101"/>
  <c r="B11" i="101"/>
  <c r="M10" i="101"/>
  <c r="K10" i="101"/>
  <c r="J10" i="101"/>
  <c r="I10" i="101"/>
  <c r="G10" i="101"/>
  <c r="E10" i="101"/>
  <c r="B10" i="101"/>
  <c r="M9" i="101"/>
  <c r="K9" i="101"/>
  <c r="J9" i="101"/>
  <c r="I9" i="101"/>
  <c r="G9" i="101"/>
  <c r="E9" i="101"/>
  <c r="B9" i="101"/>
  <c r="M8" i="101"/>
  <c r="K8" i="101"/>
  <c r="J8" i="101"/>
  <c r="I8" i="101"/>
  <c r="G8" i="101"/>
  <c r="E8" i="101"/>
  <c r="B8" i="101"/>
  <c r="M7" i="101"/>
  <c r="J7" i="101"/>
  <c r="I7" i="101"/>
  <c r="G7" i="101"/>
  <c r="E7" i="101"/>
  <c r="B7" i="101"/>
  <c r="B4" i="101" s="1"/>
  <c r="M6" i="101"/>
  <c r="K6" i="101"/>
  <c r="J6" i="101"/>
  <c r="I6" i="101"/>
  <c r="G6" i="101"/>
  <c r="G4" i="101" s="1"/>
  <c r="E6" i="101"/>
  <c r="B6" i="101"/>
  <c r="K5" i="101"/>
  <c r="J5" i="101"/>
  <c r="I5" i="101"/>
  <c r="E5" i="101"/>
  <c r="N4" i="101"/>
  <c r="M4" i="101"/>
  <c r="I4" i="101"/>
  <c r="H4" i="101"/>
  <c r="F4" i="101"/>
  <c r="E4" i="101"/>
  <c r="D4" i="101"/>
  <c r="C4" i="101"/>
  <c r="E2" i="101"/>
  <c r="M18" i="100"/>
  <c r="K18" i="100"/>
  <c r="J18" i="100"/>
  <c r="I18" i="100"/>
  <c r="G18" i="100"/>
  <c r="E18" i="100"/>
  <c r="B18" i="100"/>
  <c r="M17" i="100"/>
  <c r="K17" i="100"/>
  <c r="J17" i="100"/>
  <c r="I17" i="100"/>
  <c r="G17" i="100"/>
  <c r="E17" i="100"/>
  <c r="B17" i="100"/>
  <c r="M16" i="100"/>
  <c r="K16" i="100"/>
  <c r="J16" i="100"/>
  <c r="I16" i="100"/>
  <c r="G16" i="100"/>
  <c r="E16" i="100"/>
  <c r="B16" i="100"/>
  <c r="M15" i="100"/>
  <c r="J15" i="100"/>
  <c r="K15" i="100" s="1"/>
  <c r="I15" i="100"/>
  <c r="G15" i="100"/>
  <c r="E15" i="100"/>
  <c r="B15" i="100"/>
  <c r="M14" i="100"/>
  <c r="K14" i="100"/>
  <c r="J14" i="100"/>
  <c r="I14" i="100"/>
  <c r="G14" i="100"/>
  <c r="E14" i="100"/>
  <c r="B14" i="100"/>
  <c r="M13" i="100"/>
  <c r="K13" i="100"/>
  <c r="J13" i="100"/>
  <c r="I13" i="100"/>
  <c r="G13" i="100"/>
  <c r="E13" i="100"/>
  <c r="B13" i="100"/>
  <c r="M12" i="100"/>
  <c r="J12" i="100"/>
  <c r="K12" i="100" s="1"/>
  <c r="I12" i="100"/>
  <c r="G12" i="100"/>
  <c r="E12" i="100"/>
  <c r="B12" i="100"/>
  <c r="M11" i="100"/>
  <c r="J11" i="100"/>
  <c r="K11" i="100" s="1"/>
  <c r="I11" i="100"/>
  <c r="G11" i="100"/>
  <c r="E11" i="100"/>
  <c r="B11" i="100"/>
  <c r="M10" i="100"/>
  <c r="K10" i="100"/>
  <c r="J10" i="100"/>
  <c r="I10" i="100"/>
  <c r="G10" i="100"/>
  <c r="E10" i="100"/>
  <c r="B10" i="100"/>
  <c r="M9" i="100"/>
  <c r="K9" i="100"/>
  <c r="J9" i="100"/>
  <c r="I9" i="100"/>
  <c r="G9" i="100"/>
  <c r="E9" i="100"/>
  <c r="B9" i="100"/>
  <c r="M8" i="100"/>
  <c r="K8" i="100"/>
  <c r="J8" i="100"/>
  <c r="I8" i="100"/>
  <c r="G8" i="100"/>
  <c r="E8" i="100"/>
  <c r="B8" i="100"/>
  <c r="M7" i="100"/>
  <c r="J7" i="100"/>
  <c r="I7" i="100"/>
  <c r="G7" i="100"/>
  <c r="E7" i="100"/>
  <c r="B7" i="100"/>
  <c r="M6" i="100"/>
  <c r="K6" i="100"/>
  <c r="J6" i="100"/>
  <c r="I6" i="100"/>
  <c r="G6" i="100"/>
  <c r="E6" i="100"/>
  <c r="B6" i="100"/>
  <c r="K5" i="100"/>
  <c r="J5" i="100"/>
  <c r="I5" i="100"/>
  <c r="E5" i="100"/>
  <c r="N4" i="100"/>
  <c r="M4" i="100"/>
  <c r="H4" i="100"/>
  <c r="I4" i="100" s="1"/>
  <c r="F4" i="100"/>
  <c r="E4" i="100"/>
  <c r="D4" i="100"/>
  <c r="C4" i="100"/>
  <c r="E2" i="100"/>
  <c r="M18" i="99"/>
  <c r="K18" i="99"/>
  <c r="J18" i="99"/>
  <c r="I18" i="99"/>
  <c r="G18" i="99"/>
  <c r="E18" i="99"/>
  <c r="B18" i="99"/>
  <c r="M17" i="99"/>
  <c r="K17" i="99"/>
  <c r="J17" i="99"/>
  <c r="I17" i="99"/>
  <c r="G17" i="99"/>
  <c r="E17" i="99"/>
  <c r="B17" i="99"/>
  <c r="M16" i="99"/>
  <c r="K16" i="99"/>
  <c r="J16" i="99"/>
  <c r="I16" i="99"/>
  <c r="G16" i="99"/>
  <c r="E16" i="99"/>
  <c r="B16" i="99"/>
  <c r="M15" i="99"/>
  <c r="J15" i="99"/>
  <c r="K15" i="99" s="1"/>
  <c r="I15" i="99"/>
  <c r="G15" i="99"/>
  <c r="E15" i="99"/>
  <c r="B15" i="99"/>
  <c r="M14" i="99"/>
  <c r="K14" i="99"/>
  <c r="J14" i="99"/>
  <c r="I14" i="99"/>
  <c r="G14" i="99"/>
  <c r="E14" i="99"/>
  <c r="B14" i="99"/>
  <c r="M13" i="99"/>
  <c r="K13" i="99"/>
  <c r="J13" i="99"/>
  <c r="I13" i="99"/>
  <c r="G13" i="99"/>
  <c r="E13" i="99"/>
  <c r="B13" i="99"/>
  <c r="M12" i="99"/>
  <c r="K12" i="99"/>
  <c r="J12" i="99"/>
  <c r="I12" i="99"/>
  <c r="G12" i="99"/>
  <c r="E12" i="99"/>
  <c r="B12" i="99"/>
  <c r="B4" i="99" s="1"/>
  <c r="M11" i="99"/>
  <c r="J11" i="99"/>
  <c r="K11" i="99" s="1"/>
  <c r="I11" i="99"/>
  <c r="G11" i="99"/>
  <c r="E11" i="99"/>
  <c r="B11" i="99"/>
  <c r="M10" i="99"/>
  <c r="K10" i="99"/>
  <c r="J10" i="99"/>
  <c r="I10" i="99"/>
  <c r="G10" i="99"/>
  <c r="E10" i="99"/>
  <c r="B10" i="99"/>
  <c r="M9" i="99"/>
  <c r="K9" i="99"/>
  <c r="J9" i="99"/>
  <c r="I9" i="99"/>
  <c r="G9" i="99"/>
  <c r="E9" i="99"/>
  <c r="B9" i="99"/>
  <c r="M8" i="99"/>
  <c r="J8" i="99"/>
  <c r="K8" i="99" s="1"/>
  <c r="I8" i="99"/>
  <c r="G8" i="99"/>
  <c r="E8" i="99"/>
  <c r="B8" i="99"/>
  <c r="M7" i="99"/>
  <c r="J7" i="99"/>
  <c r="K7" i="99" s="1"/>
  <c r="I7" i="99"/>
  <c r="G7" i="99"/>
  <c r="E7" i="99"/>
  <c r="B7" i="99"/>
  <c r="M6" i="99"/>
  <c r="K6" i="99"/>
  <c r="J6" i="99"/>
  <c r="I6" i="99"/>
  <c r="G6" i="99"/>
  <c r="E6" i="99"/>
  <c r="B6" i="99"/>
  <c r="K5" i="99"/>
  <c r="J5" i="99"/>
  <c r="I5" i="99"/>
  <c r="E5" i="99"/>
  <c r="N4" i="99"/>
  <c r="M4" i="99"/>
  <c r="L4" i="99"/>
  <c r="J4" i="99"/>
  <c r="K4" i="99" s="1"/>
  <c r="H4" i="99"/>
  <c r="F4" i="99"/>
  <c r="I4" i="99" s="1"/>
  <c r="E4" i="99"/>
  <c r="D4" i="99"/>
  <c r="C4" i="99"/>
  <c r="E2" i="99"/>
  <c r="M18" i="98"/>
  <c r="J18" i="98"/>
  <c r="K18" i="98" s="1"/>
  <c r="I18" i="98"/>
  <c r="G18" i="98"/>
  <c r="E18" i="98"/>
  <c r="B18" i="98"/>
  <c r="M17" i="98"/>
  <c r="K17" i="98"/>
  <c r="J17" i="98"/>
  <c r="I17" i="98"/>
  <c r="G17" i="98"/>
  <c r="E17" i="98"/>
  <c r="B17" i="98"/>
  <c r="M16" i="98"/>
  <c r="K16" i="98"/>
  <c r="J16" i="98"/>
  <c r="I16" i="98"/>
  <c r="G16" i="98"/>
  <c r="E16" i="98"/>
  <c r="B16" i="98"/>
  <c r="M15" i="98"/>
  <c r="J15" i="98"/>
  <c r="K15" i="98" s="1"/>
  <c r="I15" i="98"/>
  <c r="G15" i="98"/>
  <c r="E15" i="98"/>
  <c r="B15" i="98"/>
  <c r="M14" i="98"/>
  <c r="J14" i="98"/>
  <c r="K14" i="98" s="1"/>
  <c r="I14" i="98"/>
  <c r="G14" i="98"/>
  <c r="E14" i="98"/>
  <c r="B14" i="98"/>
  <c r="M13" i="98"/>
  <c r="K13" i="98"/>
  <c r="J13" i="98"/>
  <c r="I13" i="98"/>
  <c r="G13" i="98"/>
  <c r="E13" i="98"/>
  <c r="B13" i="98"/>
  <c r="M12" i="98"/>
  <c r="K12" i="98"/>
  <c r="J12" i="98"/>
  <c r="I12" i="98"/>
  <c r="G12" i="98"/>
  <c r="E12" i="98"/>
  <c r="B12" i="98"/>
  <c r="M11" i="98"/>
  <c r="K11" i="98"/>
  <c r="J11" i="98"/>
  <c r="I11" i="98"/>
  <c r="G11" i="98"/>
  <c r="E11" i="98"/>
  <c r="B11" i="98"/>
  <c r="M10" i="98"/>
  <c r="J10" i="98"/>
  <c r="K10" i="98" s="1"/>
  <c r="I10" i="98"/>
  <c r="G10" i="98"/>
  <c r="E10" i="98"/>
  <c r="B10" i="98"/>
  <c r="M9" i="98"/>
  <c r="K9" i="98"/>
  <c r="J9" i="98"/>
  <c r="I9" i="98"/>
  <c r="G9" i="98"/>
  <c r="E9" i="98"/>
  <c r="B9" i="98"/>
  <c r="M8" i="98"/>
  <c r="K8" i="98"/>
  <c r="J8" i="98"/>
  <c r="I8" i="98"/>
  <c r="G8" i="98"/>
  <c r="G4" i="98" s="1"/>
  <c r="E8" i="98"/>
  <c r="B8" i="98"/>
  <c r="M7" i="98"/>
  <c r="K7" i="98"/>
  <c r="J7" i="98"/>
  <c r="I7" i="98"/>
  <c r="G7" i="98"/>
  <c r="E7" i="98"/>
  <c r="B7" i="98"/>
  <c r="M6" i="98"/>
  <c r="J6" i="98"/>
  <c r="K6" i="98" s="1"/>
  <c r="I6" i="98"/>
  <c r="G6" i="98"/>
  <c r="E6" i="98"/>
  <c r="B6" i="98"/>
  <c r="B4" i="98" s="1"/>
  <c r="K5" i="98"/>
  <c r="J5" i="98"/>
  <c r="I5" i="98"/>
  <c r="E5" i="98"/>
  <c r="N4" i="98"/>
  <c r="M4" i="98"/>
  <c r="L4" i="98"/>
  <c r="J4" i="98"/>
  <c r="H4" i="98"/>
  <c r="F4" i="98"/>
  <c r="I4" i="98" s="1"/>
  <c r="D4" i="98"/>
  <c r="C4" i="98"/>
  <c r="M18" i="97"/>
  <c r="K18" i="97"/>
  <c r="J18" i="97"/>
  <c r="I18" i="97"/>
  <c r="G18" i="97"/>
  <c r="E18" i="97"/>
  <c r="B18" i="97"/>
  <c r="M17" i="97"/>
  <c r="J17" i="97"/>
  <c r="K17" i="97" s="1"/>
  <c r="I17" i="97"/>
  <c r="G17" i="97"/>
  <c r="E17" i="97"/>
  <c r="B17" i="97"/>
  <c r="M16" i="97"/>
  <c r="K16" i="97"/>
  <c r="J16" i="97"/>
  <c r="I16" i="97"/>
  <c r="G16" i="97"/>
  <c r="E16" i="97"/>
  <c r="B16" i="97"/>
  <c r="M15" i="97"/>
  <c r="K15" i="97"/>
  <c r="J15" i="97"/>
  <c r="I15" i="97"/>
  <c r="G15" i="97"/>
  <c r="E15" i="97"/>
  <c r="B15" i="97"/>
  <c r="M14" i="97"/>
  <c r="J14" i="97"/>
  <c r="K14" i="97" s="1"/>
  <c r="I14" i="97"/>
  <c r="G14" i="97"/>
  <c r="E14" i="97"/>
  <c r="B14" i="97"/>
  <c r="M13" i="97"/>
  <c r="J13" i="97"/>
  <c r="K13" i="97" s="1"/>
  <c r="I13" i="97"/>
  <c r="G13" i="97"/>
  <c r="E13" i="97"/>
  <c r="B13" i="97"/>
  <c r="M12" i="97"/>
  <c r="K12" i="97"/>
  <c r="J12" i="97"/>
  <c r="I12" i="97"/>
  <c r="G12" i="97"/>
  <c r="E12" i="97"/>
  <c r="B12" i="97"/>
  <c r="M11" i="97"/>
  <c r="K11" i="97"/>
  <c r="J11" i="97"/>
  <c r="I11" i="97"/>
  <c r="G11" i="97"/>
  <c r="E11" i="97"/>
  <c r="B11" i="97"/>
  <c r="M10" i="97"/>
  <c r="J10" i="97"/>
  <c r="K10" i="97" s="1"/>
  <c r="I10" i="97"/>
  <c r="G10" i="97"/>
  <c r="E10" i="97"/>
  <c r="B10" i="97"/>
  <c r="M9" i="97"/>
  <c r="J9" i="97"/>
  <c r="K9" i="97" s="1"/>
  <c r="I9" i="97"/>
  <c r="G9" i="97"/>
  <c r="E9" i="97"/>
  <c r="B9" i="97"/>
  <c r="M8" i="97"/>
  <c r="K8" i="97"/>
  <c r="J8" i="97"/>
  <c r="I8" i="97"/>
  <c r="G8" i="97"/>
  <c r="E8" i="97"/>
  <c r="B8" i="97"/>
  <c r="M7" i="97"/>
  <c r="K7" i="97"/>
  <c r="J7" i="97"/>
  <c r="I7" i="97"/>
  <c r="G7" i="97"/>
  <c r="G4" i="97" s="1"/>
  <c r="E7" i="97"/>
  <c r="B7" i="97"/>
  <c r="M6" i="97"/>
  <c r="K6" i="97"/>
  <c r="J6" i="97"/>
  <c r="I6" i="97"/>
  <c r="G6" i="97"/>
  <c r="E6" i="97"/>
  <c r="B6" i="97"/>
  <c r="K5" i="97"/>
  <c r="J5" i="97"/>
  <c r="I5" i="97"/>
  <c r="E5" i="97"/>
  <c r="N4" i="97"/>
  <c r="L4" i="97"/>
  <c r="H4" i="97"/>
  <c r="I4" i="97" s="1"/>
  <c r="F4" i="97"/>
  <c r="D4" i="97"/>
  <c r="C4" i="97"/>
  <c r="M18" i="96"/>
  <c r="K18" i="96"/>
  <c r="J18" i="96"/>
  <c r="I18" i="96"/>
  <c r="G18" i="96"/>
  <c r="E18" i="96"/>
  <c r="B18" i="96"/>
  <c r="M17" i="96"/>
  <c r="K17" i="96"/>
  <c r="J17" i="96"/>
  <c r="I17" i="96"/>
  <c r="G17" i="96"/>
  <c r="E17" i="96"/>
  <c r="B17" i="96"/>
  <c r="M16" i="96"/>
  <c r="J16" i="96"/>
  <c r="K16" i="96" s="1"/>
  <c r="I16" i="96"/>
  <c r="G16" i="96"/>
  <c r="E16" i="96"/>
  <c r="B16" i="96"/>
  <c r="M15" i="96"/>
  <c r="K15" i="96"/>
  <c r="J15" i="96"/>
  <c r="I15" i="96"/>
  <c r="G15" i="96"/>
  <c r="E15" i="96"/>
  <c r="B15" i="96"/>
  <c r="M14" i="96"/>
  <c r="K14" i="96"/>
  <c r="J14" i="96"/>
  <c r="I14" i="96"/>
  <c r="G14" i="96"/>
  <c r="E14" i="96"/>
  <c r="B14" i="96"/>
  <c r="M13" i="96"/>
  <c r="K13" i="96"/>
  <c r="J13" i="96"/>
  <c r="I13" i="96"/>
  <c r="G13" i="96"/>
  <c r="E13" i="96"/>
  <c r="B13" i="96"/>
  <c r="M12" i="96"/>
  <c r="J12" i="96"/>
  <c r="K12" i="96" s="1"/>
  <c r="I12" i="96"/>
  <c r="G12" i="96"/>
  <c r="E12" i="96"/>
  <c r="B12" i="96"/>
  <c r="M11" i="96"/>
  <c r="K11" i="96"/>
  <c r="J11" i="96"/>
  <c r="I11" i="96"/>
  <c r="G11" i="96"/>
  <c r="E11" i="96"/>
  <c r="B11" i="96"/>
  <c r="M10" i="96"/>
  <c r="K10" i="96"/>
  <c r="J10" i="96"/>
  <c r="I10" i="96"/>
  <c r="G10" i="96"/>
  <c r="E10" i="96"/>
  <c r="B10" i="96"/>
  <c r="M9" i="96"/>
  <c r="K9" i="96"/>
  <c r="J9" i="96"/>
  <c r="I9" i="96"/>
  <c r="G9" i="96"/>
  <c r="E9" i="96"/>
  <c r="B9" i="96"/>
  <c r="M8" i="96"/>
  <c r="J8" i="96"/>
  <c r="K8" i="96" s="1"/>
  <c r="I8" i="96"/>
  <c r="G8" i="96"/>
  <c r="E8" i="96"/>
  <c r="B8" i="96"/>
  <c r="M7" i="96"/>
  <c r="K7" i="96"/>
  <c r="J7" i="96"/>
  <c r="I7" i="96"/>
  <c r="G7" i="96"/>
  <c r="E7" i="96"/>
  <c r="B7" i="96"/>
  <c r="M6" i="96"/>
  <c r="K6" i="96"/>
  <c r="J6" i="96"/>
  <c r="I6" i="96"/>
  <c r="G6" i="96"/>
  <c r="E6" i="96"/>
  <c r="B6" i="96"/>
  <c r="J5" i="96"/>
  <c r="K5" i="96" s="1"/>
  <c r="I5" i="96"/>
  <c r="E5" i="96"/>
  <c r="N4" i="96"/>
  <c r="L4" i="96"/>
  <c r="I4" i="96"/>
  <c r="H4" i="96"/>
  <c r="F4" i="96"/>
  <c r="D4" i="96"/>
  <c r="M4" i="96" s="1"/>
  <c r="C4" i="96"/>
  <c r="M18" i="95"/>
  <c r="K18" i="95"/>
  <c r="J18" i="95"/>
  <c r="I18" i="95"/>
  <c r="G18" i="95"/>
  <c r="E18" i="95"/>
  <c r="B18" i="95"/>
  <c r="M17" i="95"/>
  <c r="K17" i="95"/>
  <c r="J17" i="95"/>
  <c r="I17" i="95"/>
  <c r="G17" i="95"/>
  <c r="E17" i="95"/>
  <c r="B17" i="95"/>
  <c r="M16" i="95"/>
  <c r="K16" i="95"/>
  <c r="J16" i="95"/>
  <c r="I16" i="95"/>
  <c r="G16" i="95"/>
  <c r="E16" i="95"/>
  <c r="B16" i="95"/>
  <c r="M15" i="95"/>
  <c r="J15" i="95"/>
  <c r="K15" i="95" s="1"/>
  <c r="I15" i="95"/>
  <c r="G15" i="95"/>
  <c r="E15" i="95"/>
  <c r="B15" i="95"/>
  <c r="M14" i="95"/>
  <c r="K14" i="95"/>
  <c r="J14" i="95"/>
  <c r="I14" i="95"/>
  <c r="G14" i="95"/>
  <c r="E14" i="95"/>
  <c r="B14" i="95"/>
  <c r="M13" i="95"/>
  <c r="K13" i="95"/>
  <c r="J13" i="95"/>
  <c r="I13" i="95"/>
  <c r="G13" i="95"/>
  <c r="E13" i="95"/>
  <c r="B13" i="95"/>
  <c r="M12" i="95"/>
  <c r="K12" i="95"/>
  <c r="J12" i="95"/>
  <c r="I12" i="95"/>
  <c r="G12" i="95"/>
  <c r="E12" i="95"/>
  <c r="B12" i="95"/>
  <c r="M11" i="95"/>
  <c r="J11" i="95"/>
  <c r="K11" i="95" s="1"/>
  <c r="I11" i="95"/>
  <c r="G11" i="95"/>
  <c r="E11" i="95"/>
  <c r="B11" i="95"/>
  <c r="B4" i="95" s="1"/>
  <c r="M10" i="95"/>
  <c r="K10" i="95"/>
  <c r="J10" i="95"/>
  <c r="I10" i="95"/>
  <c r="G10" i="95"/>
  <c r="E10" i="95"/>
  <c r="B10" i="95"/>
  <c r="M9" i="95"/>
  <c r="K9" i="95"/>
  <c r="J9" i="95"/>
  <c r="I9" i="95"/>
  <c r="G9" i="95"/>
  <c r="E9" i="95"/>
  <c r="B9" i="95"/>
  <c r="M8" i="95"/>
  <c r="K8" i="95"/>
  <c r="J8" i="95"/>
  <c r="J4" i="95" s="1"/>
  <c r="K4" i="95" s="1"/>
  <c r="I8" i="95"/>
  <c r="G8" i="95"/>
  <c r="E8" i="95"/>
  <c r="B8" i="95"/>
  <c r="M7" i="95"/>
  <c r="J7" i="95"/>
  <c r="K7" i="95" s="1"/>
  <c r="I7" i="95"/>
  <c r="G7" i="95"/>
  <c r="E7" i="95"/>
  <c r="B7" i="95"/>
  <c r="M6" i="95"/>
  <c r="K6" i="95"/>
  <c r="J6" i="95"/>
  <c r="I6" i="95"/>
  <c r="G6" i="95"/>
  <c r="G4" i="95" s="1"/>
  <c r="E6" i="95"/>
  <c r="B6" i="95"/>
  <c r="J5" i="95"/>
  <c r="K5" i="95" s="1"/>
  <c r="I5" i="95"/>
  <c r="E5" i="95"/>
  <c r="N4" i="95"/>
  <c r="M4" i="95"/>
  <c r="L4" i="95"/>
  <c r="H4" i="95"/>
  <c r="I4" i="95" s="1"/>
  <c r="F4" i="95"/>
  <c r="E4" i="95"/>
  <c r="D4" i="95"/>
  <c r="C4" i="95"/>
  <c r="E2" i="95"/>
  <c r="M18" i="94"/>
  <c r="J18" i="94"/>
  <c r="K18" i="94" s="1"/>
  <c r="I18" i="94"/>
  <c r="G18" i="94"/>
  <c r="E18" i="94"/>
  <c r="B18" i="94"/>
  <c r="M17" i="94"/>
  <c r="K17" i="94"/>
  <c r="J17" i="94"/>
  <c r="I17" i="94"/>
  <c r="G17" i="94"/>
  <c r="E17" i="94"/>
  <c r="B17" i="94"/>
  <c r="M16" i="94"/>
  <c r="K16" i="94"/>
  <c r="J16" i="94"/>
  <c r="I16" i="94"/>
  <c r="G16" i="94"/>
  <c r="E16" i="94"/>
  <c r="B16" i="94"/>
  <c r="M15" i="94"/>
  <c r="K15" i="94"/>
  <c r="J15" i="94"/>
  <c r="I15" i="94"/>
  <c r="G15" i="94"/>
  <c r="E15" i="94"/>
  <c r="B15" i="94"/>
  <c r="M14" i="94"/>
  <c r="J14" i="94"/>
  <c r="K14" i="94" s="1"/>
  <c r="I14" i="94"/>
  <c r="G14" i="94"/>
  <c r="E14" i="94"/>
  <c r="B14" i="94"/>
  <c r="M13" i="94"/>
  <c r="K13" i="94"/>
  <c r="J13" i="94"/>
  <c r="I13" i="94"/>
  <c r="G13" i="94"/>
  <c r="E13" i="94"/>
  <c r="B13" i="94"/>
  <c r="M12" i="94"/>
  <c r="K12" i="94"/>
  <c r="J12" i="94"/>
  <c r="I12" i="94"/>
  <c r="G12" i="94"/>
  <c r="E12" i="94"/>
  <c r="B12" i="94"/>
  <c r="M11" i="94"/>
  <c r="J11" i="94"/>
  <c r="K11" i="94" s="1"/>
  <c r="I11" i="94"/>
  <c r="G11" i="94"/>
  <c r="E11" i="94"/>
  <c r="B11" i="94"/>
  <c r="M10" i="94"/>
  <c r="J10" i="94"/>
  <c r="K10" i="94" s="1"/>
  <c r="I10" i="94"/>
  <c r="G10" i="94"/>
  <c r="G4" i="94" s="1"/>
  <c r="E10" i="94"/>
  <c r="B10" i="94"/>
  <c r="M9" i="94"/>
  <c r="K9" i="94"/>
  <c r="J9" i="94"/>
  <c r="I9" i="94"/>
  <c r="G9" i="94"/>
  <c r="E9" i="94"/>
  <c r="B9" i="94"/>
  <c r="M8" i="94"/>
  <c r="J8" i="94"/>
  <c r="K8" i="94" s="1"/>
  <c r="I8" i="94"/>
  <c r="G8" i="94"/>
  <c r="E8" i="94"/>
  <c r="B8" i="94"/>
  <c r="M7" i="94"/>
  <c r="K7" i="94"/>
  <c r="J7" i="94"/>
  <c r="I7" i="94"/>
  <c r="G7" i="94"/>
  <c r="E7" i="94"/>
  <c r="B7" i="94"/>
  <c r="M6" i="94"/>
  <c r="J6" i="94"/>
  <c r="K6" i="94" s="1"/>
  <c r="I6" i="94"/>
  <c r="G6" i="94"/>
  <c r="E6" i="94"/>
  <c r="B6" i="94"/>
  <c r="B4" i="94" s="1"/>
  <c r="K5" i="94"/>
  <c r="J5" i="94"/>
  <c r="I5" i="94"/>
  <c r="E5" i="94"/>
  <c r="N4" i="94"/>
  <c r="M4" i="94"/>
  <c r="L4" i="94"/>
  <c r="H4" i="94"/>
  <c r="F4" i="94"/>
  <c r="I4" i="94" s="1"/>
  <c r="D4" i="94"/>
  <c r="C4" i="94"/>
  <c r="E4" i="94" s="1"/>
  <c r="M18" i="93"/>
  <c r="K18" i="93"/>
  <c r="J18" i="93"/>
  <c r="I18" i="93"/>
  <c r="G18" i="93"/>
  <c r="E18" i="93"/>
  <c r="B18" i="93"/>
  <c r="M17" i="93"/>
  <c r="J17" i="93"/>
  <c r="K17" i="93" s="1"/>
  <c r="I17" i="93"/>
  <c r="G17" i="93"/>
  <c r="E17" i="93"/>
  <c r="B17" i="93"/>
  <c r="M16" i="93"/>
  <c r="K16" i="93"/>
  <c r="J16" i="93"/>
  <c r="I16" i="93"/>
  <c r="G16" i="93"/>
  <c r="E16" i="93"/>
  <c r="B16" i="93"/>
  <c r="M15" i="93"/>
  <c r="K15" i="93"/>
  <c r="J15" i="93"/>
  <c r="I15" i="93"/>
  <c r="G15" i="93"/>
  <c r="E15" i="93"/>
  <c r="B15" i="93"/>
  <c r="M14" i="93"/>
  <c r="K14" i="93"/>
  <c r="J14" i="93"/>
  <c r="I14" i="93"/>
  <c r="G14" i="93"/>
  <c r="E14" i="93"/>
  <c r="B14" i="93"/>
  <c r="M13" i="93"/>
  <c r="J13" i="93"/>
  <c r="K13" i="93" s="1"/>
  <c r="I13" i="93"/>
  <c r="G13" i="93"/>
  <c r="E13" i="93"/>
  <c r="B13" i="93"/>
  <c r="M12" i="93"/>
  <c r="K12" i="93"/>
  <c r="J12" i="93"/>
  <c r="I12" i="93"/>
  <c r="G12" i="93"/>
  <c r="E12" i="93"/>
  <c r="B12" i="93"/>
  <c r="M11" i="93"/>
  <c r="K11" i="93"/>
  <c r="J11" i="93"/>
  <c r="I11" i="93"/>
  <c r="G11" i="93"/>
  <c r="E11" i="93"/>
  <c r="B11" i="93"/>
  <c r="M10" i="93"/>
  <c r="J10" i="93"/>
  <c r="K10" i="93" s="1"/>
  <c r="I10" i="93"/>
  <c r="G10" i="93"/>
  <c r="E10" i="93"/>
  <c r="B10" i="93"/>
  <c r="M9" i="93"/>
  <c r="J9" i="93"/>
  <c r="K9" i="93" s="1"/>
  <c r="I9" i="93"/>
  <c r="G9" i="93"/>
  <c r="G4" i="93" s="1"/>
  <c r="E9" i="93"/>
  <c r="B9" i="93"/>
  <c r="M8" i="93"/>
  <c r="K8" i="93"/>
  <c r="J8" i="93"/>
  <c r="I8" i="93"/>
  <c r="G8" i="93"/>
  <c r="E8" i="93"/>
  <c r="B8" i="93"/>
  <c r="M7" i="93"/>
  <c r="J7" i="93"/>
  <c r="K7" i="93" s="1"/>
  <c r="I7" i="93"/>
  <c r="G7" i="93"/>
  <c r="E7" i="93"/>
  <c r="B7" i="93"/>
  <c r="B4" i="93" s="1"/>
  <c r="M6" i="93"/>
  <c r="K6" i="93"/>
  <c r="J6" i="93"/>
  <c r="I6" i="93"/>
  <c r="G6" i="93"/>
  <c r="E6" i="93"/>
  <c r="B6" i="93"/>
  <c r="K5" i="93"/>
  <c r="J5" i="93"/>
  <c r="I5" i="93"/>
  <c r="E5" i="93"/>
  <c r="N4" i="93"/>
  <c r="L4" i="93"/>
  <c r="M4" i="93" s="1"/>
  <c r="H4" i="93"/>
  <c r="I4" i="93" s="1"/>
  <c r="F4" i="93"/>
  <c r="D4" i="93"/>
  <c r="C4" i="93"/>
  <c r="M18" i="92"/>
  <c r="J18" i="92"/>
  <c r="K18" i="92" s="1"/>
  <c r="I18" i="92"/>
  <c r="G18" i="92"/>
  <c r="E18" i="92"/>
  <c r="B18" i="92"/>
  <c r="M17" i="92"/>
  <c r="K17" i="92"/>
  <c r="J17" i="92"/>
  <c r="I17" i="92"/>
  <c r="G17" i="92"/>
  <c r="E17" i="92"/>
  <c r="M16" i="92"/>
  <c r="J16" i="92"/>
  <c r="K16" i="92" s="1"/>
  <c r="I16" i="92"/>
  <c r="G16" i="92"/>
  <c r="E16" i="92"/>
  <c r="M15" i="92"/>
  <c r="K15" i="92"/>
  <c r="J15" i="92"/>
  <c r="I15" i="92"/>
  <c r="G15" i="92"/>
  <c r="E15" i="92"/>
  <c r="M14" i="92"/>
  <c r="K14" i="92"/>
  <c r="J14" i="92"/>
  <c r="I14" i="92"/>
  <c r="G14" i="92"/>
  <c r="E14" i="92"/>
  <c r="B14" i="92"/>
  <c r="M13" i="92"/>
  <c r="K13" i="92"/>
  <c r="J13" i="92"/>
  <c r="I13" i="92"/>
  <c r="G13" i="92"/>
  <c r="E13" i="92"/>
  <c r="M12" i="92"/>
  <c r="J12" i="92"/>
  <c r="K12" i="92" s="1"/>
  <c r="I12" i="92"/>
  <c r="G12" i="92"/>
  <c r="E12" i="92"/>
  <c r="M11" i="92"/>
  <c r="K11" i="92"/>
  <c r="J11" i="92"/>
  <c r="I11" i="92"/>
  <c r="G11" i="92"/>
  <c r="E11" i="92"/>
  <c r="M10" i="92"/>
  <c r="J10" i="92"/>
  <c r="K10" i="92" s="1"/>
  <c r="I10" i="92"/>
  <c r="G10" i="92"/>
  <c r="E10" i="92"/>
  <c r="B10" i="92"/>
  <c r="M9" i="92"/>
  <c r="K9" i="92"/>
  <c r="J9" i="92"/>
  <c r="I9" i="92"/>
  <c r="G9" i="92"/>
  <c r="E9" i="92"/>
  <c r="M8" i="92"/>
  <c r="J8" i="92"/>
  <c r="K8" i="92" s="1"/>
  <c r="I8" i="92"/>
  <c r="G8" i="92"/>
  <c r="E8" i="92"/>
  <c r="M7" i="92"/>
  <c r="K7" i="92"/>
  <c r="J7" i="92"/>
  <c r="I7" i="92"/>
  <c r="G7" i="92"/>
  <c r="E7" i="92"/>
  <c r="M6" i="92"/>
  <c r="K6" i="92"/>
  <c r="J6" i="92"/>
  <c r="I6" i="92"/>
  <c r="G6" i="92"/>
  <c r="E6" i="92"/>
  <c r="B6" i="92"/>
  <c r="J5" i="92"/>
  <c r="K5" i="92" s="1"/>
  <c r="I5" i="92"/>
  <c r="E5" i="92"/>
  <c r="N4" i="92"/>
  <c r="L4" i="92"/>
  <c r="M4" i="92" s="1"/>
  <c r="I4" i="92"/>
  <c r="H4" i="92"/>
  <c r="G4" i="92"/>
  <c r="F4" i="92"/>
  <c r="D4" i="92"/>
  <c r="C4" i="92"/>
  <c r="E2" i="92" s="1"/>
  <c r="M18" i="91"/>
  <c r="K18" i="91"/>
  <c r="J18" i="91"/>
  <c r="I18" i="91"/>
  <c r="G18" i="91"/>
  <c r="E18" i="91"/>
  <c r="B18" i="91"/>
  <c r="M17" i="91"/>
  <c r="K17" i="91"/>
  <c r="J17" i="91"/>
  <c r="I17" i="91"/>
  <c r="G17" i="91"/>
  <c r="E17" i="91"/>
  <c r="B17" i="91"/>
  <c r="B17" i="92" s="1"/>
  <c r="M16" i="91"/>
  <c r="J16" i="91"/>
  <c r="K16" i="91" s="1"/>
  <c r="I16" i="91"/>
  <c r="G16" i="91"/>
  <c r="E16" i="91"/>
  <c r="B16" i="91"/>
  <c r="B16" i="92" s="1"/>
  <c r="M15" i="91"/>
  <c r="J15" i="91"/>
  <c r="K15" i="91" s="1"/>
  <c r="I15" i="91"/>
  <c r="G15" i="91"/>
  <c r="E15" i="91"/>
  <c r="B15" i="91"/>
  <c r="B15" i="92" s="1"/>
  <c r="M14" i="91"/>
  <c r="K14" i="91"/>
  <c r="J14" i="91"/>
  <c r="I14" i="91"/>
  <c r="G14" i="91"/>
  <c r="E14" i="91"/>
  <c r="B14" i="91"/>
  <c r="M13" i="91"/>
  <c r="J13" i="91"/>
  <c r="K13" i="91" s="1"/>
  <c r="I13" i="91"/>
  <c r="G13" i="91"/>
  <c r="E13" i="91"/>
  <c r="B13" i="91"/>
  <c r="B13" i="92" s="1"/>
  <c r="M12" i="91"/>
  <c r="K12" i="91"/>
  <c r="J12" i="91"/>
  <c r="I12" i="91"/>
  <c r="G12" i="91"/>
  <c r="E12" i="91"/>
  <c r="B12" i="91"/>
  <c r="B12" i="92" s="1"/>
  <c r="M11" i="91"/>
  <c r="J11" i="91"/>
  <c r="K11" i="91" s="1"/>
  <c r="I11" i="91"/>
  <c r="G11" i="91"/>
  <c r="E11" i="91"/>
  <c r="B11" i="91"/>
  <c r="B11" i="92" s="1"/>
  <c r="M10" i="91"/>
  <c r="K10" i="91"/>
  <c r="J10" i="91"/>
  <c r="I10" i="91"/>
  <c r="G10" i="91"/>
  <c r="E10" i="91"/>
  <c r="B10" i="91"/>
  <c r="M9" i="91"/>
  <c r="K9" i="91"/>
  <c r="J9" i="91"/>
  <c r="I9" i="91"/>
  <c r="G9" i="91"/>
  <c r="E9" i="91"/>
  <c r="B9" i="91"/>
  <c r="B9" i="92" s="1"/>
  <c r="M8" i="91"/>
  <c r="J8" i="91"/>
  <c r="J4" i="91" s="1"/>
  <c r="K4" i="91" s="1"/>
  <c r="I8" i="91"/>
  <c r="G8" i="91"/>
  <c r="E8" i="91"/>
  <c r="B8" i="91"/>
  <c r="B8" i="92" s="1"/>
  <c r="M7" i="91"/>
  <c r="J7" i="91"/>
  <c r="K7" i="91" s="1"/>
  <c r="I7" i="91"/>
  <c r="G7" i="91"/>
  <c r="E7" i="91"/>
  <c r="B7" i="91"/>
  <c r="B7" i="92" s="1"/>
  <c r="M6" i="91"/>
  <c r="K6" i="91"/>
  <c r="J6" i="91"/>
  <c r="I6" i="91"/>
  <c r="G6" i="91"/>
  <c r="E6" i="91"/>
  <c r="B6" i="91"/>
  <c r="K5" i="91"/>
  <c r="J5" i="91"/>
  <c r="I5" i="91"/>
  <c r="E5" i="91"/>
  <c r="N4" i="91"/>
  <c r="L4" i="91"/>
  <c r="M4" i="91" s="1"/>
  <c r="H4" i="91"/>
  <c r="F4" i="91"/>
  <c r="I4" i="91" s="1"/>
  <c r="D4" i="91"/>
  <c r="E4" i="91" s="1"/>
  <c r="C4" i="91"/>
  <c r="B4" i="91"/>
  <c r="M18" i="90"/>
  <c r="J18" i="90"/>
  <c r="K18" i="90" s="1"/>
  <c r="I18" i="90"/>
  <c r="G18" i="90"/>
  <c r="E18" i="90"/>
  <c r="B18" i="90"/>
  <c r="M17" i="90"/>
  <c r="K17" i="90"/>
  <c r="J17" i="90"/>
  <c r="I17" i="90"/>
  <c r="G17" i="90"/>
  <c r="E17" i="90"/>
  <c r="B17" i="90"/>
  <c r="M16" i="90"/>
  <c r="K16" i="90"/>
  <c r="J16" i="90"/>
  <c r="I16" i="90"/>
  <c r="G16" i="90"/>
  <c r="E16" i="90"/>
  <c r="B16" i="90"/>
  <c r="M15" i="90"/>
  <c r="J15" i="90"/>
  <c r="K15" i="90" s="1"/>
  <c r="I15" i="90"/>
  <c r="G15" i="90"/>
  <c r="E15" i="90"/>
  <c r="B15" i="90"/>
  <c r="M14" i="90"/>
  <c r="J14" i="90"/>
  <c r="K14" i="90" s="1"/>
  <c r="I14" i="90"/>
  <c r="G14" i="90"/>
  <c r="E14" i="90"/>
  <c r="B14" i="90"/>
  <c r="M13" i="90"/>
  <c r="K13" i="90"/>
  <c r="J13" i="90"/>
  <c r="I13" i="90"/>
  <c r="G13" i="90"/>
  <c r="E13" i="90"/>
  <c r="B13" i="90"/>
  <c r="M12" i="90"/>
  <c r="J12" i="90"/>
  <c r="K12" i="90" s="1"/>
  <c r="I12" i="90"/>
  <c r="G12" i="90"/>
  <c r="E12" i="90"/>
  <c r="B12" i="90"/>
  <c r="M11" i="90"/>
  <c r="K11" i="90"/>
  <c r="J11" i="90"/>
  <c r="I11" i="90"/>
  <c r="G11" i="90"/>
  <c r="E11" i="90"/>
  <c r="B11" i="90"/>
  <c r="M10" i="90"/>
  <c r="J10" i="90"/>
  <c r="K10" i="90" s="1"/>
  <c r="I10" i="90"/>
  <c r="G10" i="90"/>
  <c r="E10" i="90"/>
  <c r="B10" i="90"/>
  <c r="M9" i="90"/>
  <c r="K9" i="90"/>
  <c r="J9" i="90"/>
  <c r="I9" i="90"/>
  <c r="G9" i="90"/>
  <c r="E9" i="90"/>
  <c r="B9" i="90"/>
  <c r="M8" i="90"/>
  <c r="K8" i="90"/>
  <c r="J8" i="90"/>
  <c r="I8" i="90"/>
  <c r="G8" i="90"/>
  <c r="E8" i="90"/>
  <c r="B8" i="90"/>
  <c r="M7" i="90"/>
  <c r="J7" i="90"/>
  <c r="K7" i="90" s="1"/>
  <c r="I7" i="90"/>
  <c r="G7" i="90"/>
  <c r="E7" i="90"/>
  <c r="B7" i="90"/>
  <c r="M6" i="90"/>
  <c r="J6" i="90"/>
  <c r="K6" i="90" s="1"/>
  <c r="I6" i="90"/>
  <c r="G6" i="90"/>
  <c r="E6" i="90"/>
  <c r="B6" i="90"/>
  <c r="B4" i="90" s="1"/>
  <c r="J5" i="90"/>
  <c r="K5" i="90" s="1"/>
  <c r="I5" i="90"/>
  <c r="E5" i="90"/>
  <c r="N4" i="90"/>
  <c r="M4" i="90"/>
  <c r="L4" i="90"/>
  <c r="I4" i="90"/>
  <c r="H4" i="90"/>
  <c r="G4" i="90"/>
  <c r="F4" i="90"/>
  <c r="D4" i="90"/>
  <c r="C4" i="90"/>
  <c r="E4" i="90" s="1"/>
  <c r="M18" i="89"/>
  <c r="K18" i="89"/>
  <c r="J18" i="89"/>
  <c r="I18" i="89"/>
  <c r="G18" i="89"/>
  <c r="E18" i="89"/>
  <c r="M17" i="89"/>
  <c r="K17" i="89"/>
  <c r="J17" i="89"/>
  <c r="I17" i="89"/>
  <c r="G17" i="89"/>
  <c r="E17" i="89"/>
  <c r="M16" i="89"/>
  <c r="K16" i="89"/>
  <c r="J16" i="89"/>
  <c r="I16" i="89"/>
  <c r="G16" i="89"/>
  <c r="E16" i="89"/>
  <c r="M15" i="89"/>
  <c r="K15" i="89"/>
  <c r="J15" i="89"/>
  <c r="I15" i="89"/>
  <c r="G15" i="89"/>
  <c r="E15" i="89"/>
  <c r="M14" i="89"/>
  <c r="K14" i="89"/>
  <c r="J14" i="89"/>
  <c r="I14" i="89"/>
  <c r="G14" i="89"/>
  <c r="E14" i="89"/>
  <c r="M13" i="89"/>
  <c r="K13" i="89"/>
  <c r="J13" i="89"/>
  <c r="I13" i="89"/>
  <c r="G13" i="89"/>
  <c r="E13" i="89"/>
  <c r="M12" i="89"/>
  <c r="K12" i="89"/>
  <c r="J12" i="89"/>
  <c r="I12" i="89"/>
  <c r="G12" i="89"/>
  <c r="E12" i="89"/>
  <c r="M11" i="89"/>
  <c r="K11" i="89"/>
  <c r="J11" i="89"/>
  <c r="I11" i="89"/>
  <c r="G11" i="89"/>
  <c r="E11" i="89"/>
  <c r="M10" i="89"/>
  <c r="K10" i="89"/>
  <c r="J10" i="89"/>
  <c r="I10" i="89"/>
  <c r="G10" i="89"/>
  <c r="E10" i="89"/>
  <c r="M9" i="89"/>
  <c r="K9" i="89"/>
  <c r="J9" i="89"/>
  <c r="I9" i="89"/>
  <c r="G9" i="89"/>
  <c r="E9" i="89"/>
  <c r="M8" i="89"/>
  <c r="K8" i="89"/>
  <c r="J8" i="89"/>
  <c r="I8" i="89"/>
  <c r="G8" i="89"/>
  <c r="E8" i="89"/>
  <c r="M7" i="89"/>
  <c r="K7" i="89"/>
  <c r="J7" i="89"/>
  <c r="I7" i="89"/>
  <c r="G7" i="89"/>
  <c r="E7" i="89"/>
  <c r="M6" i="89"/>
  <c r="K6" i="89"/>
  <c r="J6" i="89"/>
  <c r="I6" i="89"/>
  <c r="G6" i="89"/>
  <c r="E6" i="89"/>
  <c r="K5" i="89"/>
  <c r="J5" i="89"/>
  <c r="I5" i="89"/>
  <c r="E5" i="89"/>
  <c r="N4" i="89"/>
  <c r="M4" i="89"/>
  <c r="L4" i="89"/>
  <c r="K4" i="89"/>
  <c r="J4" i="89"/>
  <c r="H4" i="89"/>
  <c r="G4" i="89"/>
  <c r="F4" i="89"/>
  <c r="I4" i="89" s="1"/>
  <c r="D4" i="89"/>
  <c r="C4" i="89"/>
  <c r="E4" i="89" s="1"/>
  <c r="B4" i="89"/>
  <c r="M18" i="88"/>
  <c r="K18" i="88"/>
  <c r="J18" i="88"/>
  <c r="I18" i="88"/>
  <c r="G18" i="88"/>
  <c r="E18" i="88"/>
  <c r="M17" i="88"/>
  <c r="K17" i="88"/>
  <c r="J17" i="88"/>
  <c r="I17" i="88"/>
  <c r="G17" i="88"/>
  <c r="E17" i="88"/>
  <c r="M16" i="88"/>
  <c r="K16" i="88"/>
  <c r="J16" i="88"/>
  <c r="I16" i="88"/>
  <c r="G16" i="88"/>
  <c r="E16" i="88"/>
  <c r="M15" i="88"/>
  <c r="K15" i="88"/>
  <c r="J15" i="88"/>
  <c r="I15" i="88"/>
  <c r="G15" i="88"/>
  <c r="E15" i="88"/>
  <c r="M14" i="88"/>
  <c r="K14" i="88"/>
  <c r="J14" i="88"/>
  <c r="I14" i="88"/>
  <c r="G14" i="88"/>
  <c r="E14" i="88"/>
  <c r="M13" i="88"/>
  <c r="K13" i="88"/>
  <c r="J13" i="88"/>
  <c r="I13" i="88"/>
  <c r="G13" i="88"/>
  <c r="E13" i="88"/>
  <c r="M12" i="88"/>
  <c r="K12" i="88"/>
  <c r="J12" i="88"/>
  <c r="I12" i="88"/>
  <c r="G12" i="88"/>
  <c r="E12" i="88"/>
  <c r="M11" i="88"/>
  <c r="K11" i="88"/>
  <c r="J11" i="88"/>
  <c r="I11" i="88"/>
  <c r="G11" i="88"/>
  <c r="E11" i="88"/>
  <c r="M10" i="88"/>
  <c r="K10" i="88"/>
  <c r="J10" i="88"/>
  <c r="I10" i="88"/>
  <c r="G10" i="88"/>
  <c r="E10" i="88"/>
  <c r="M9" i="88"/>
  <c r="K9" i="88"/>
  <c r="J9" i="88"/>
  <c r="I9" i="88"/>
  <c r="G9" i="88"/>
  <c r="E9" i="88"/>
  <c r="M8" i="88"/>
  <c r="K8" i="88"/>
  <c r="J8" i="88"/>
  <c r="I8" i="88"/>
  <c r="G8" i="88"/>
  <c r="E8" i="88"/>
  <c r="M7" i="88"/>
  <c r="K7" i="88"/>
  <c r="J7" i="88"/>
  <c r="I7" i="88"/>
  <c r="G7" i="88"/>
  <c r="E7" i="88"/>
  <c r="M6" i="88"/>
  <c r="K6" i="88"/>
  <c r="J6" i="88"/>
  <c r="I6" i="88"/>
  <c r="G6" i="88"/>
  <c r="E6" i="88"/>
  <c r="K5" i="88"/>
  <c r="J5" i="88"/>
  <c r="I5" i="88"/>
  <c r="E5" i="88"/>
  <c r="N4" i="88"/>
  <c r="M4" i="88"/>
  <c r="L4" i="88"/>
  <c r="K4" i="88"/>
  <c r="J4" i="88"/>
  <c r="H4" i="88"/>
  <c r="G4" i="88"/>
  <c r="F4" i="88"/>
  <c r="I4" i="88" s="1"/>
  <c r="D4" i="88"/>
  <c r="C4" i="88"/>
  <c r="E4" i="88" s="1"/>
  <c r="B4" i="88"/>
  <c r="M18" i="87"/>
  <c r="K18" i="87"/>
  <c r="J18" i="87"/>
  <c r="I18" i="87"/>
  <c r="G18" i="87"/>
  <c r="E18" i="87"/>
  <c r="M17" i="87"/>
  <c r="K17" i="87"/>
  <c r="J17" i="87"/>
  <c r="I17" i="87"/>
  <c r="G17" i="87"/>
  <c r="E17" i="87"/>
  <c r="M16" i="87"/>
  <c r="K16" i="87"/>
  <c r="J16" i="87"/>
  <c r="I16" i="87"/>
  <c r="G16" i="87"/>
  <c r="E16" i="87"/>
  <c r="M15" i="87"/>
  <c r="K15" i="87"/>
  <c r="J15" i="87"/>
  <c r="I15" i="87"/>
  <c r="G15" i="87"/>
  <c r="E15" i="87"/>
  <c r="M14" i="87"/>
  <c r="K14" i="87"/>
  <c r="J14" i="87"/>
  <c r="I14" i="87"/>
  <c r="G14" i="87"/>
  <c r="E14" i="87"/>
  <c r="M13" i="87"/>
  <c r="K13" i="87"/>
  <c r="J13" i="87"/>
  <c r="I13" i="87"/>
  <c r="G13" i="87"/>
  <c r="E13" i="87"/>
  <c r="M12" i="87"/>
  <c r="K12" i="87"/>
  <c r="J12" i="87"/>
  <c r="I12" i="87"/>
  <c r="G12" i="87"/>
  <c r="E12" i="87"/>
  <c r="M11" i="87"/>
  <c r="K11" i="87"/>
  <c r="J11" i="87"/>
  <c r="I11" i="87"/>
  <c r="G11" i="87"/>
  <c r="E11" i="87"/>
  <c r="M10" i="87"/>
  <c r="K10" i="87"/>
  <c r="J10" i="87"/>
  <c r="I10" i="87"/>
  <c r="G10" i="87"/>
  <c r="E10" i="87"/>
  <c r="M9" i="87"/>
  <c r="K9" i="87"/>
  <c r="J9" i="87"/>
  <c r="I9" i="87"/>
  <c r="G9" i="87"/>
  <c r="E9" i="87"/>
  <c r="M8" i="87"/>
  <c r="K8" i="87"/>
  <c r="J8" i="87"/>
  <c r="I8" i="87"/>
  <c r="G8" i="87"/>
  <c r="E8" i="87"/>
  <c r="M7" i="87"/>
  <c r="K7" i="87"/>
  <c r="J7" i="87"/>
  <c r="I7" i="87"/>
  <c r="G7" i="87"/>
  <c r="E7" i="87"/>
  <c r="M6" i="87"/>
  <c r="K6" i="87"/>
  <c r="J6" i="87"/>
  <c r="I6" i="87"/>
  <c r="G6" i="87"/>
  <c r="E6" i="87"/>
  <c r="K5" i="87"/>
  <c r="J5" i="87"/>
  <c r="I5" i="87"/>
  <c r="E5" i="87"/>
  <c r="N4" i="87"/>
  <c r="M4" i="87"/>
  <c r="L4" i="87"/>
  <c r="K4" i="87"/>
  <c r="J4" i="87"/>
  <c r="H4" i="87"/>
  <c r="G4" i="87"/>
  <c r="F4" i="87"/>
  <c r="I4" i="87" s="1"/>
  <c r="D4" i="87"/>
  <c r="C4" i="87"/>
  <c r="E4" i="87" s="1"/>
  <c r="B4" i="87"/>
  <c r="M18" i="86"/>
  <c r="K18" i="86"/>
  <c r="J18" i="86"/>
  <c r="I18" i="86"/>
  <c r="G18" i="86"/>
  <c r="E18" i="86"/>
  <c r="M17" i="86"/>
  <c r="K17" i="86"/>
  <c r="J17" i="86"/>
  <c r="I17" i="86"/>
  <c r="G17" i="86"/>
  <c r="E17" i="86"/>
  <c r="M16" i="86"/>
  <c r="K16" i="86"/>
  <c r="J16" i="86"/>
  <c r="I16" i="86"/>
  <c r="G16" i="86"/>
  <c r="E16" i="86"/>
  <c r="M15" i="86"/>
  <c r="K15" i="86"/>
  <c r="J15" i="86"/>
  <c r="I15" i="86"/>
  <c r="G15" i="86"/>
  <c r="E15" i="86"/>
  <c r="M14" i="86"/>
  <c r="K14" i="86"/>
  <c r="J14" i="86"/>
  <c r="I14" i="86"/>
  <c r="G14" i="86"/>
  <c r="E14" i="86"/>
  <c r="M13" i="86"/>
  <c r="K13" i="86"/>
  <c r="J13" i="86"/>
  <c r="I13" i="86"/>
  <c r="G13" i="86"/>
  <c r="E13" i="86"/>
  <c r="M12" i="86"/>
  <c r="K12" i="86"/>
  <c r="J12" i="86"/>
  <c r="I12" i="86"/>
  <c r="G12" i="86"/>
  <c r="E12" i="86"/>
  <c r="M11" i="86"/>
  <c r="K11" i="86"/>
  <c r="J11" i="86"/>
  <c r="I11" i="86"/>
  <c r="G11" i="86"/>
  <c r="E11" i="86"/>
  <c r="M10" i="86"/>
  <c r="K10" i="86"/>
  <c r="J10" i="86"/>
  <c r="I10" i="86"/>
  <c r="G10" i="86"/>
  <c r="E10" i="86"/>
  <c r="M9" i="86"/>
  <c r="K9" i="86"/>
  <c r="J9" i="86"/>
  <c r="I9" i="86"/>
  <c r="G9" i="86"/>
  <c r="E9" i="86"/>
  <c r="M8" i="86"/>
  <c r="K8" i="86"/>
  <c r="J8" i="86"/>
  <c r="I8" i="86"/>
  <c r="G8" i="86"/>
  <c r="E8" i="86"/>
  <c r="M7" i="86"/>
  <c r="K7" i="86"/>
  <c r="J7" i="86"/>
  <c r="I7" i="86"/>
  <c r="G7" i="86"/>
  <c r="E7" i="86"/>
  <c r="M6" i="86"/>
  <c r="K6" i="86"/>
  <c r="J6" i="86"/>
  <c r="I6" i="86"/>
  <c r="G6" i="86"/>
  <c r="E6" i="86"/>
  <c r="K5" i="86"/>
  <c r="J5" i="86"/>
  <c r="I5" i="86"/>
  <c r="E5" i="86"/>
  <c r="N4" i="86"/>
  <c r="M4" i="86"/>
  <c r="L4" i="86"/>
  <c r="K4" i="86"/>
  <c r="J4" i="86"/>
  <c r="H4" i="86"/>
  <c r="G4" i="86"/>
  <c r="F4" i="86"/>
  <c r="I4" i="86" s="1"/>
  <c r="D4" i="86"/>
  <c r="C4" i="86"/>
  <c r="E4" i="86" s="1"/>
  <c r="B4" i="86"/>
  <c r="M18" i="85"/>
  <c r="K18" i="85"/>
  <c r="J18" i="85"/>
  <c r="I18" i="85"/>
  <c r="G18" i="85"/>
  <c r="E18" i="85"/>
  <c r="M17" i="85"/>
  <c r="K17" i="85"/>
  <c r="J17" i="85"/>
  <c r="I17" i="85"/>
  <c r="G17" i="85"/>
  <c r="E17" i="85"/>
  <c r="M16" i="85"/>
  <c r="K16" i="85"/>
  <c r="J16" i="85"/>
  <c r="I16" i="85"/>
  <c r="G16" i="85"/>
  <c r="E16" i="85"/>
  <c r="M15" i="85"/>
  <c r="K15" i="85"/>
  <c r="J15" i="85"/>
  <c r="I15" i="85"/>
  <c r="G15" i="85"/>
  <c r="E15" i="85"/>
  <c r="M14" i="85"/>
  <c r="K14" i="85"/>
  <c r="J14" i="85"/>
  <c r="I14" i="85"/>
  <c r="G14" i="85"/>
  <c r="E14" i="85"/>
  <c r="M13" i="85"/>
  <c r="K13" i="85"/>
  <c r="J13" i="85"/>
  <c r="I13" i="85"/>
  <c r="G13" i="85"/>
  <c r="E13" i="85"/>
  <c r="M12" i="85"/>
  <c r="K12" i="85"/>
  <c r="J12" i="85"/>
  <c r="I12" i="85"/>
  <c r="G12" i="85"/>
  <c r="E12" i="85"/>
  <c r="M11" i="85"/>
  <c r="K11" i="85"/>
  <c r="J11" i="85"/>
  <c r="I11" i="85"/>
  <c r="G11" i="85"/>
  <c r="E11" i="85"/>
  <c r="M10" i="85"/>
  <c r="K10" i="85"/>
  <c r="J10" i="85"/>
  <c r="I10" i="85"/>
  <c r="G10" i="85"/>
  <c r="E10" i="85"/>
  <c r="M9" i="85"/>
  <c r="K9" i="85"/>
  <c r="J9" i="85"/>
  <c r="I9" i="85"/>
  <c r="G9" i="85"/>
  <c r="E9" i="85"/>
  <c r="M8" i="85"/>
  <c r="K8" i="85"/>
  <c r="J8" i="85"/>
  <c r="I8" i="85"/>
  <c r="G8" i="85"/>
  <c r="E8" i="85"/>
  <c r="M7" i="85"/>
  <c r="K7" i="85"/>
  <c r="J7" i="85"/>
  <c r="I7" i="85"/>
  <c r="G7" i="85"/>
  <c r="E7" i="85"/>
  <c r="M6" i="85"/>
  <c r="K6" i="85"/>
  <c r="J6" i="85"/>
  <c r="I6" i="85"/>
  <c r="G6" i="85"/>
  <c r="E6" i="85"/>
  <c r="K5" i="85"/>
  <c r="J5" i="85"/>
  <c r="I5" i="85"/>
  <c r="E5" i="85"/>
  <c r="N4" i="85"/>
  <c r="M4" i="85"/>
  <c r="L4" i="85"/>
  <c r="K4" i="85"/>
  <c r="J4" i="85"/>
  <c r="H4" i="85"/>
  <c r="G4" i="85"/>
  <c r="F4" i="85"/>
  <c r="I4" i="85" s="1"/>
  <c r="D4" i="85"/>
  <c r="C4" i="85"/>
  <c r="E4" i="85" s="1"/>
  <c r="B4" i="85"/>
  <c r="M18" i="84"/>
  <c r="K18" i="84"/>
  <c r="J18" i="84"/>
  <c r="I18" i="84"/>
  <c r="G18" i="84"/>
  <c r="E18" i="84"/>
  <c r="M17" i="84"/>
  <c r="K17" i="84"/>
  <c r="J17" i="84"/>
  <c r="I17" i="84"/>
  <c r="G17" i="84"/>
  <c r="E17" i="84"/>
  <c r="M16" i="84"/>
  <c r="K16" i="84"/>
  <c r="J16" i="84"/>
  <c r="I16" i="84"/>
  <c r="G16" i="84"/>
  <c r="E16" i="84"/>
  <c r="M15" i="84"/>
  <c r="K15" i="84"/>
  <c r="J15" i="84"/>
  <c r="I15" i="84"/>
  <c r="G15" i="84"/>
  <c r="E15" i="84"/>
  <c r="M14" i="84"/>
  <c r="K14" i="84"/>
  <c r="J14" i="84"/>
  <c r="I14" i="84"/>
  <c r="G14" i="84"/>
  <c r="E14" i="84"/>
  <c r="M13" i="84"/>
  <c r="K13" i="84"/>
  <c r="J13" i="84"/>
  <c r="I13" i="84"/>
  <c r="G13" i="84"/>
  <c r="E13" i="84"/>
  <c r="M12" i="84"/>
  <c r="K12" i="84"/>
  <c r="J12" i="84"/>
  <c r="I12" i="84"/>
  <c r="G12" i="84"/>
  <c r="E12" i="84"/>
  <c r="M11" i="84"/>
  <c r="K11" i="84"/>
  <c r="J11" i="84"/>
  <c r="I11" i="84"/>
  <c r="G11" i="84"/>
  <c r="E11" i="84"/>
  <c r="M10" i="84"/>
  <c r="K10" i="84"/>
  <c r="J10" i="84"/>
  <c r="I10" i="84"/>
  <c r="G10" i="84"/>
  <c r="E10" i="84"/>
  <c r="M9" i="84"/>
  <c r="K9" i="84"/>
  <c r="J9" i="84"/>
  <c r="I9" i="84"/>
  <c r="G9" i="84"/>
  <c r="E9" i="84"/>
  <c r="M8" i="84"/>
  <c r="K8" i="84"/>
  <c r="J8" i="84"/>
  <c r="I8" i="84"/>
  <c r="G8" i="84"/>
  <c r="E8" i="84"/>
  <c r="M7" i="84"/>
  <c r="K7" i="84"/>
  <c r="J7" i="84"/>
  <c r="I7" i="84"/>
  <c r="G7" i="84"/>
  <c r="E7" i="84"/>
  <c r="M6" i="84"/>
  <c r="K6" i="84"/>
  <c r="J6" i="84"/>
  <c r="I6" i="84"/>
  <c r="G6" i="84"/>
  <c r="E6" i="84"/>
  <c r="K5" i="84"/>
  <c r="J5" i="84"/>
  <c r="I5" i="84"/>
  <c r="E5" i="84"/>
  <c r="N4" i="84"/>
  <c r="M4" i="84"/>
  <c r="L4" i="84"/>
  <c r="K4" i="84"/>
  <c r="J4" i="84"/>
  <c r="H4" i="84"/>
  <c r="G4" i="84"/>
  <c r="F4" i="84"/>
  <c r="I4" i="84" s="1"/>
  <c r="D4" i="84"/>
  <c r="C4" i="84"/>
  <c r="E4" i="84" s="1"/>
  <c r="B4" i="84"/>
  <c r="M18" i="83"/>
  <c r="K18" i="83"/>
  <c r="J18" i="83"/>
  <c r="I18" i="83"/>
  <c r="G18" i="83"/>
  <c r="E18" i="83"/>
  <c r="M17" i="83"/>
  <c r="K17" i="83"/>
  <c r="J17" i="83"/>
  <c r="I17" i="83"/>
  <c r="G17" i="83"/>
  <c r="E17" i="83"/>
  <c r="M16" i="83"/>
  <c r="K16" i="83"/>
  <c r="J16" i="83"/>
  <c r="I16" i="83"/>
  <c r="G16" i="83"/>
  <c r="E16" i="83"/>
  <c r="M15" i="83"/>
  <c r="K15" i="83"/>
  <c r="J15" i="83"/>
  <c r="I15" i="83"/>
  <c r="G15" i="83"/>
  <c r="E15" i="83"/>
  <c r="M14" i="83"/>
  <c r="K14" i="83"/>
  <c r="J14" i="83"/>
  <c r="I14" i="83"/>
  <c r="G14" i="83"/>
  <c r="E14" i="83"/>
  <c r="M13" i="83"/>
  <c r="K13" i="83"/>
  <c r="J13" i="83"/>
  <c r="I13" i="83"/>
  <c r="G13" i="83"/>
  <c r="E13" i="83"/>
  <c r="M12" i="83"/>
  <c r="K12" i="83"/>
  <c r="J12" i="83"/>
  <c r="I12" i="83"/>
  <c r="G12" i="83"/>
  <c r="E12" i="83"/>
  <c r="M11" i="83"/>
  <c r="K11" i="83"/>
  <c r="J11" i="83"/>
  <c r="I11" i="83"/>
  <c r="G11" i="83"/>
  <c r="E11" i="83"/>
  <c r="M10" i="83"/>
  <c r="K10" i="83"/>
  <c r="J10" i="83"/>
  <c r="I10" i="83"/>
  <c r="G10" i="83"/>
  <c r="E10" i="83"/>
  <c r="M9" i="83"/>
  <c r="K9" i="83"/>
  <c r="J9" i="83"/>
  <c r="I9" i="83"/>
  <c r="G9" i="83"/>
  <c r="E9" i="83"/>
  <c r="M8" i="83"/>
  <c r="K8" i="83"/>
  <c r="J8" i="83"/>
  <c r="I8" i="83"/>
  <c r="G8" i="83"/>
  <c r="E8" i="83"/>
  <c r="M7" i="83"/>
  <c r="K7" i="83"/>
  <c r="J7" i="83"/>
  <c r="I7" i="83"/>
  <c r="G7" i="83"/>
  <c r="E7" i="83"/>
  <c r="M6" i="83"/>
  <c r="K6" i="83"/>
  <c r="J6" i="83"/>
  <c r="I6" i="83"/>
  <c r="G6" i="83"/>
  <c r="E6" i="83"/>
  <c r="K5" i="83"/>
  <c r="J5" i="83"/>
  <c r="I5" i="83"/>
  <c r="E5" i="83"/>
  <c r="N4" i="83"/>
  <c r="M4" i="83"/>
  <c r="L4" i="83"/>
  <c r="K4" i="83"/>
  <c r="J4" i="83"/>
  <c r="H4" i="83"/>
  <c r="G4" i="83"/>
  <c r="F4" i="83"/>
  <c r="I4" i="83" s="1"/>
  <c r="D4" i="83"/>
  <c r="C4" i="83"/>
  <c r="E4" i="83" s="1"/>
  <c r="B4" i="83"/>
  <c r="J18" i="82"/>
  <c r="K18" i="82" s="1"/>
  <c r="I18" i="82"/>
  <c r="G18" i="82"/>
  <c r="E18" i="82"/>
  <c r="J17" i="82"/>
  <c r="K17" i="82" s="1"/>
  <c r="I17" i="82"/>
  <c r="G17" i="82"/>
  <c r="E17" i="82"/>
  <c r="K16" i="82"/>
  <c r="J16" i="82"/>
  <c r="I16" i="82"/>
  <c r="G16" i="82"/>
  <c r="E16" i="82"/>
  <c r="K15" i="82"/>
  <c r="J15" i="82"/>
  <c r="I15" i="82"/>
  <c r="G15" i="82"/>
  <c r="E15" i="82"/>
  <c r="J14" i="82"/>
  <c r="K14" i="82" s="1"/>
  <c r="I14" i="82"/>
  <c r="G14" i="82"/>
  <c r="E14" i="82"/>
  <c r="K13" i="82"/>
  <c r="J13" i="82"/>
  <c r="I13" i="82"/>
  <c r="G13" i="82"/>
  <c r="E13" i="82"/>
  <c r="J12" i="82"/>
  <c r="K12" i="82" s="1"/>
  <c r="I12" i="82"/>
  <c r="G12" i="82"/>
  <c r="E12" i="82"/>
  <c r="K11" i="82"/>
  <c r="J11" i="82"/>
  <c r="I11" i="82"/>
  <c r="G11" i="82"/>
  <c r="E11" i="82"/>
  <c r="J10" i="82"/>
  <c r="K10" i="82" s="1"/>
  <c r="I10" i="82"/>
  <c r="G10" i="82"/>
  <c r="E10" i="82"/>
  <c r="K9" i="82"/>
  <c r="J9" i="82"/>
  <c r="I9" i="82"/>
  <c r="G9" i="82"/>
  <c r="E9" i="82"/>
  <c r="K8" i="82"/>
  <c r="J8" i="82"/>
  <c r="I8" i="82"/>
  <c r="G8" i="82"/>
  <c r="E8" i="82"/>
  <c r="K7" i="82"/>
  <c r="J7" i="82"/>
  <c r="I7" i="82"/>
  <c r="G7" i="82"/>
  <c r="E7" i="82"/>
  <c r="J6" i="82"/>
  <c r="K6" i="82" s="1"/>
  <c r="I6" i="82"/>
  <c r="G6" i="82"/>
  <c r="E6" i="82"/>
  <c r="K5" i="82"/>
  <c r="J5" i="82"/>
  <c r="I5" i="82"/>
  <c r="E5" i="82"/>
  <c r="L4" i="82"/>
  <c r="H4" i="82"/>
  <c r="G4" i="82"/>
  <c r="F4" i="82"/>
  <c r="D4" i="82"/>
  <c r="C4" i="82"/>
  <c r="B4" i="82"/>
  <c r="K18" i="81"/>
  <c r="J18" i="81"/>
  <c r="I18" i="81"/>
  <c r="G18" i="81"/>
  <c r="E18" i="81"/>
  <c r="K17" i="81"/>
  <c r="J17" i="81"/>
  <c r="I17" i="81"/>
  <c r="G17" i="81"/>
  <c r="E17" i="81"/>
  <c r="K16" i="81"/>
  <c r="J16" i="81"/>
  <c r="I16" i="81"/>
  <c r="G16" i="81"/>
  <c r="E16" i="81"/>
  <c r="J15" i="81"/>
  <c r="K15" i="81" s="1"/>
  <c r="I15" i="81"/>
  <c r="G15" i="81"/>
  <c r="E15" i="81"/>
  <c r="K14" i="81"/>
  <c r="J14" i="81"/>
  <c r="I14" i="81"/>
  <c r="G14" i="81"/>
  <c r="E14" i="81"/>
  <c r="K13" i="81"/>
  <c r="J13" i="81"/>
  <c r="I13" i="81"/>
  <c r="G13" i="81"/>
  <c r="E13" i="81"/>
  <c r="K12" i="81"/>
  <c r="J12" i="81"/>
  <c r="I12" i="81"/>
  <c r="G12" i="81"/>
  <c r="E12" i="81"/>
  <c r="J11" i="81"/>
  <c r="K11" i="81" s="1"/>
  <c r="I11" i="81"/>
  <c r="G11" i="81"/>
  <c r="E11" i="81"/>
  <c r="K10" i="81"/>
  <c r="J10" i="81"/>
  <c r="I10" i="81"/>
  <c r="G10" i="81"/>
  <c r="E10" i="81"/>
  <c r="K9" i="81"/>
  <c r="J9" i="81"/>
  <c r="I9" i="81"/>
  <c r="G9" i="81"/>
  <c r="E9" i="81"/>
  <c r="K8" i="81"/>
  <c r="J8" i="81"/>
  <c r="I8" i="81"/>
  <c r="G8" i="81"/>
  <c r="G4" i="81" s="1"/>
  <c r="E8" i="81"/>
  <c r="J7" i="81"/>
  <c r="K7" i="81" s="1"/>
  <c r="I7" i="81"/>
  <c r="G7" i="81"/>
  <c r="E7" i="81"/>
  <c r="K6" i="81"/>
  <c r="J6" i="81"/>
  <c r="J4" i="81" s="1"/>
  <c r="K4" i="81" s="1"/>
  <c r="I6" i="81"/>
  <c r="G6" i="81"/>
  <c r="E6" i="81"/>
  <c r="K5" i="81"/>
  <c r="J5" i="81"/>
  <c r="I5" i="81"/>
  <c r="E5" i="81"/>
  <c r="L4" i="81"/>
  <c r="I4" i="81"/>
  <c r="H4" i="81"/>
  <c r="F4" i="81"/>
  <c r="E4" i="81"/>
  <c r="D4" i="81"/>
  <c r="C4" i="81"/>
  <c r="B4" i="81"/>
  <c r="E2" i="81"/>
  <c r="K18" i="80"/>
  <c r="J18" i="80"/>
  <c r="I18" i="80"/>
  <c r="G18" i="80"/>
  <c r="E18" i="80"/>
  <c r="K17" i="80"/>
  <c r="J17" i="80"/>
  <c r="I17" i="80"/>
  <c r="G17" i="80"/>
  <c r="E17" i="80"/>
  <c r="J16" i="80"/>
  <c r="K16" i="80" s="1"/>
  <c r="I16" i="80"/>
  <c r="G16" i="80"/>
  <c r="E16" i="80"/>
  <c r="K15" i="80"/>
  <c r="J15" i="80"/>
  <c r="I15" i="80"/>
  <c r="G15" i="80"/>
  <c r="E15" i="80"/>
  <c r="K14" i="80"/>
  <c r="J14" i="80"/>
  <c r="I14" i="80"/>
  <c r="G14" i="80"/>
  <c r="E14" i="80"/>
  <c r="K13" i="80"/>
  <c r="J13" i="80"/>
  <c r="I13" i="80"/>
  <c r="G13" i="80"/>
  <c r="E13" i="80"/>
  <c r="J12" i="80"/>
  <c r="K12" i="80" s="1"/>
  <c r="I12" i="80"/>
  <c r="G12" i="80"/>
  <c r="E12" i="80"/>
  <c r="K11" i="80"/>
  <c r="J11" i="80"/>
  <c r="I11" i="80"/>
  <c r="G11" i="80"/>
  <c r="E11" i="80"/>
  <c r="K10" i="80"/>
  <c r="J10" i="80"/>
  <c r="I10" i="80"/>
  <c r="G10" i="80"/>
  <c r="E10" i="80"/>
  <c r="K9" i="80"/>
  <c r="J9" i="80"/>
  <c r="I9" i="80"/>
  <c r="G9" i="80"/>
  <c r="E9" i="80"/>
  <c r="J8" i="80"/>
  <c r="K8" i="80" s="1"/>
  <c r="I8" i="80"/>
  <c r="G8" i="80"/>
  <c r="E8" i="80"/>
  <c r="K7" i="80"/>
  <c r="J7" i="80"/>
  <c r="I7" i="80"/>
  <c r="G7" i="80"/>
  <c r="E7" i="80"/>
  <c r="K6" i="80"/>
  <c r="J6" i="80"/>
  <c r="I6" i="80"/>
  <c r="G6" i="80"/>
  <c r="G4" i="80" s="1"/>
  <c r="E6" i="80"/>
  <c r="K5" i="80"/>
  <c r="J5" i="80"/>
  <c r="I5" i="80"/>
  <c r="E5" i="80"/>
  <c r="L4" i="80"/>
  <c r="J4" i="80"/>
  <c r="K4" i="80" s="1"/>
  <c r="H4" i="80"/>
  <c r="F4" i="80"/>
  <c r="I4" i="80" s="1"/>
  <c r="E4" i="80"/>
  <c r="D4" i="80"/>
  <c r="C4" i="80"/>
  <c r="B4" i="80"/>
  <c r="E2" i="80"/>
  <c r="I18" i="79"/>
  <c r="G18" i="79"/>
  <c r="E18" i="79"/>
  <c r="J17" i="79"/>
  <c r="K17" i="79" s="1"/>
  <c r="I17" i="79"/>
  <c r="G17" i="79"/>
  <c r="E17" i="79"/>
  <c r="K16" i="79"/>
  <c r="J16" i="79"/>
  <c r="I16" i="79"/>
  <c r="G16" i="79"/>
  <c r="E16" i="79"/>
  <c r="I15" i="79"/>
  <c r="G15" i="79"/>
  <c r="E15" i="79"/>
  <c r="I14" i="79"/>
  <c r="G14" i="79"/>
  <c r="E14" i="79"/>
  <c r="J13" i="79"/>
  <c r="K13" i="79" s="1"/>
  <c r="I13" i="79"/>
  <c r="G13" i="79"/>
  <c r="E13" i="79"/>
  <c r="K12" i="79"/>
  <c r="J12" i="79"/>
  <c r="I12" i="79"/>
  <c r="G12" i="79"/>
  <c r="E12" i="79"/>
  <c r="I11" i="79"/>
  <c r="G11" i="79"/>
  <c r="E11" i="79"/>
  <c r="I10" i="79"/>
  <c r="G10" i="79"/>
  <c r="E10" i="79"/>
  <c r="J9" i="79"/>
  <c r="K9" i="79" s="1"/>
  <c r="I9" i="79"/>
  <c r="G9" i="79"/>
  <c r="E9" i="79"/>
  <c r="K8" i="79"/>
  <c r="J8" i="79"/>
  <c r="I8" i="79"/>
  <c r="G8" i="79"/>
  <c r="E8" i="79"/>
  <c r="I7" i="79"/>
  <c r="G7" i="79"/>
  <c r="E7" i="79"/>
  <c r="I6" i="79"/>
  <c r="G6" i="79"/>
  <c r="E6" i="79"/>
  <c r="J5" i="79"/>
  <c r="K5" i="79" s="1"/>
  <c r="I5" i="79"/>
  <c r="E5" i="79"/>
  <c r="L4" i="79"/>
  <c r="H4" i="79"/>
  <c r="G4" i="79"/>
  <c r="F4" i="79"/>
  <c r="I4" i="79" s="1"/>
  <c r="D4" i="79"/>
  <c r="C4" i="79"/>
  <c r="E4" i="79" s="1"/>
  <c r="B4" i="79"/>
  <c r="J18" i="78"/>
  <c r="K18" i="78" s="1"/>
  <c r="I18" i="78"/>
  <c r="G18" i="78"/>
  <c r="E18" i="78"/>
  <c r="K17" i="78"/>
  <c r="J17" i="78"/>
  <c r="I17" i="78"/>
  <c r="G17" i="78"/>
  <c r="E17" i="78"/>
  <c r="K16" i="78"/>
  <c r="J16" i="78"/>
  <c r="I16" i="78"/>
  <c r="G16" i="78"/>
  <c r="E16" i="78"/>
  <c r="I15" i="78"/>
  <c r="G15" i="78"/>
  <c r="E15" i="78"/>
  <c r="J14" i="78"/>
  <c r="K14" i="78" s="1"/>
  <c r="I14" i="78"/>
  <c r="G14" i="78"/>
  <c r="E14" i="78"/>
  <c r="K13" i="78"/>
  <c r="J13" i="78"/>
  <c r="I13" i="78"/>
  <c r="G13" i="78"/>
  <c r="E13" i="78"/>
  <c r="K12" i="78"/>
  <c r="J12" i="78"/>
  <c r="I12" i="78"/>
  <c r="G12" i="78"/>
  <c r="E12" i="78"/>
  <c r="I11" i="78"/>
  <c r="G11" i="78"/>
  <c r="E11" i="78"/>
  <c r="J10" i="78"/>
  <c r="K10" i="78" s="1"/>
  <c r="I10" i="78"/>
  <c r="G10" i="78"/>
  <c r="E10" i="78"/>
  <c r="K9" i="78"/>
  <c r="J9" i="78"/>
  <c r="I9" i="78"/>
  <c r="G9" i="78"/>
  <c r="E9" i="78"/>
  <c r="K8" i="78"/>
  <c r="J8" i="78"/>
  <c r="I8" i="78"/>
  <c r="G8" i="78"/>
  <c r="G4" i="78" s="1"/>
  <c r="E8" i="78"/>
  <c r="I7" i="78"/>
  <c r="G7" i="78"/>
  <c r="E7" i="78"/>
  <c r="J6" i="78"/>
  <c r="I6" i="78"/>
  <c r="G6" i="78"/>
  <c r="E6" i="78"/>
  <c r="K5" i="78"/>
  <c r="J5" i="78"/>
  <c r="I5" i="78"/>
  <c r="E5" i="78"/>
  <c r="L4" i="78"/>
  <c r="H4" i="78"/>
  <c r="I4" i="78" s="1"/>
  <c r="F4" i="78"/>
  <c r="D4" i="78"/>
  <c r="E4" i="78" s="1"/>
  <c r="C4" i="78"/>
  <c r="B4" i="78"/>
  <c r="K18" i="77"/>
  <c r="J18" i="77"/>
  <c r="J18" i="79" s="1"/>
  <c r="K18" i="79" s="1"/>
  <c r="I18" i="77"/>
  <c r="G18" i="77"/>
  <c r="E18" i="77"/>
  <c r="K17" i="77"/>
  <c r="J17" i="77"/>
  <c r="I17" i="77"/>
  <c r="G17" i="77"/>
  <c r="E17" i="77"/>
  <c r="K16" i="77"/>
  <c r="J16" i="77"/>
  <c r="I16" i="77"/>
  <c r="G16" i="77"/>
  <c r="E16" i="77"/>
  <c r="J15" i="77"/>
  <c r="J15" i="79" s="1"/>
  <c r="K15" i="79" s="1"/>
  <c r="I15" i="77"/>
  <c r="G15" i="77"/>
  <c r="E15" i="77"/>
  <c r="K14" i="77"/>
  <c r="J14" i="77"/>
  <c r="J14" i="79" s="1"/>
  <c r="K14" i="79" s="1"/>
  <c r="I14" i="77"/>
  <c r="G14" i="77"/>
  <c r="E14" i="77"/>
  <c r="K13" i="77"/>
  <c r="J13" i="77"/>
  <c r="I13" i="77"/>
  <c r="G13" i="77"/>
  <c r="E13" i="77"/>
  <c r="K12" i="77"/>
  <c r="J12" i="77"/>
  <c r="I12" i="77"/>
  <c r="G12" i="77"/>
  <c r="E12" i="77"/>
  <c r="J11" i="77"/>
  <c r="J11" i="79" s="1"/>
  <c r="K11" i="79" s="1"/>
  <c r="I11" i="77"/>
  <c r="G11" i="77"/>
  <c r="E11" i="77"/>
  <c r="K10" i="77"/>
  <c r="J10" i="77"/>
  <c r="J10" i="79" s="1"/>
  <c r="K10" i="79" s="1"/>
  <c r="I10" i="77"/>
  <c r="G10" i="77"/>
  <c r="E10" i="77"/>
  <c r="K9" i="77"/>
  <c r="J9" i="77"/>
  <c r="I9" i="77"/>
  <c r="G9" i="77"/>
  <c r="E9" i="77"/>
  <c r="K8" i="77"/>
  <c r="J8" i="77"/>
  <c r="I8" i="77"/>
  <c r="G8" i="77"/>
  <c r="G4" i="77" s="1"/>
  <c r="E8" i="77"/>
  <c r="J7" i="77"/>
  <c r="J7" i="79" s="1"/>
  <c r="K7" i="79" s="1"/>
  <c r="I7" i="77"/>
  <c r="G7" i="77"/>
  <c r="E7" i="77"/>
  <c r="K6" i="77"/>
  <c r="J6" i="77"/>
  <c r="J6" i="79" s="1"/>
  <c r="I6" i="77"/>
  <c r="G6" i="77"/>
  <c r="E6" i="77"/>
  <c r="K5" i="77"/>
  <c r="J5" i="77"/>
  <c r="I5" i="77"/>
  <c r="E5" i="77"/>
  <c r="L4" i="77"/>
  <c r="I4" i="77"/>
  <c r="H4" i="77"/>
  <c r="F4" i="77"/>
  <c r="E4" i="77"/>
  <c r="D4" i="77"/>
  <c r="C4" i="77"/>
  <c r="B4" i="77"/>
  <c r="E2" i="77"/>
  <c r="I18" i="76"/>
  <c r="G18" i="76"/>
  <c r="E18" i="76"/>
  <c r="I17" i="76"/>
  <c r="G17" i="76"/>
  <c r="E17" i="76"/>
  <c r="I16" i="76"/>
  <c r="G16" i="76"/>
  <c r="E16" i="76"/>
  <c r="I15" i="76"/>
  <c r="G15" i="76"/>
  <c r="E15" i="76"/>
  <c r="L14" i="76"/>
  <c r="I14" i="76"/>
  <c r="H14" i="76"/>
  <c r="J14" i="76" s="1"/>
  <c r="K14" i="76" s="1"/>
  <c r="G14" i="76"/>
  <c r="F14" i="76"/>
  <c r="E14" i="76"/>
  <c r="I13" i="76"/>
  <c r="G13" i="76"/>
  <c r="E13" i="76"/>
  <c r="I12" i="76"/>
  <c r="G12" i="76"/>
  <c r="E12" i="76"/>
  <c r="I11" i="76"/>
  <c r="G11" i="76"/>
  <c r="E11" i="76"/>
  <c r="I10" i="76"/>
  <c r="G10" i="76"/>
  <c r="E10" i="76"/>
  <c r="I9" i="76"/>
  <c r="G9" i="76"/>
  <c r="E9" i="76"/>
  <c r="I8" i="76"/>
  <c r="G8" i="76"/>
  <c r="G4" i="76" s="1"/>
  <c r="E8" i="76"/>
  <c r="I7" i="76"/>
  <c r="G7" i="76"/>
  <c r="E7" i="76"/>
  <c r="I6" i="76"/>
  <c r="G6" i="76"/>
  <c r="E6" i="76"/>
  <c r="K5" i="76"/>
  <c r="J5" i="76"/>
  <c r="I5" i="76"/>
  <c r="E5" i="76"/>
  <c r="L4" i="76"/>
  <c r="I4" i="76"/>
  <c r="H4" i="76"/>
  <c r="F4" i="76"/>
  <c r="E4" i="76"/>
  <c r="D4" i="76"/>
  <c r="C4" i="76"/>
  <c r="B4" i="76"/>
  <c r="E2" i="76"/>
  <c r="I18" i="75"/>
  <c r="G18" i="75"/>
  <c r="E18" i="75"/>
  <c r="C18" i="75"/>
  <c r="I17" i="75"/>
  <c r="G17" i="75"/>
  <c r="E17" i="75"/>
  <c r="I16" i="75"/>
  <c r="G16" i="75"/>
  <c r="E16" i="75"/>
  <c r="I15" i="75"/>
  <c r="G15" i="75"/>
  <c r="E15" i="75"/>
  <c r="L14" i="75"/>
  <c r="L4" i="75" s="1"/>
  <c r="H14" i="75"/>
  <c r="H4" i="75" s="1"/>
  <c r="F14" i="75"/>
  <c r="I14" i="75" s="1"/>
  <c r="E14" i="75"/>
  <c r="D14" i="75"/>
  <c r="G14" i="75" s="1"/>
  <c r="G4" i="75" s="1"/>
  <c r="I13" i="75"/>
  <c r="G13" i="75"/>
  <c r="E13" i="75"/>
  <c r="I12" i="75"/>
  <c r="G12" i="75"/>
  <c r="E12" i="75"/>
  <c r="I11" i="75"/>
  <c r="G11" i="75"/>
  <c r="E11" i="75"/>
  <c r="I10" i="75"/>
  <c r="G10" i="75"/>
  <c r="E10" i="75"/>
  <c r="I9" i="75"/>
  <c r="G9" i="75"/>
  <c r="E9" i="75"/>
  <c r="I8" i="75"/>
  <c r="G8" i="75"/>
  <c r="E8" i="75"/>
  <c r="I7" i="75"/>
  <c r="G7" i="75"/>
  <c r="E7" i="75"/>
  <c r="I6" i="75"/>
  <c r="G6" i="75"/>
  <c r="E6" i="75"/>
  <c r="J5" i="75"/>
  <c r="K5" i="75" s="1"/>
  <c r="I5" i="75"/>
  <c r="E5" i="75"/>
  <c r="C4" i="75"/>
  <c r="B4" i="75"/>
  <c r="J18" i="74"/>
  <c r="K18" i="74" s="1"/>
  <c r="I18" i="74"/>
  <c r="G18" i="74"/>
  <c r="C18" i="74"/>
  <c r="E18" i="74" s="1"/>
  <c r="B18" i="74"/>
  <c r="I17" i="74"/>
  <c r="G17" i="74"/>
  <c r="E17" i="74"/>
  <c r="I16" i="74"/>
  <c r="G16" i="74"/>
  <c r="E16" i="74"/>
  <c r="I15" i="74"/>
  <c r="G15" i="74"/>
  <c r="E15" i="74"/>
  <c r="L14" i="74"/>
  <c r="L4" i="74" s="1"/>
  <c r="H14" i="74"/>
  <c r="J14" i="74" s="1"/>
  <c r="K14" i="74" s="1"/>
  <c r="F14" i="74"/>
  <c r="D14" i="74"/>
  <c r="G14" i="74" s="1"/>
  <c r="I13" i="74"/>
  <c r="G13" i="74"/>
  <c r="E13" i="74"/>
  <c r="I12" i="74"/>
  <c r="G12" i="74"/>
  <c r="E12" i="74"/>
  <c r="I11" i="74"/>
  <c r="G11" i="74"/>
  <c r="E11" i="74"/>
  <c r="I10" i="74"/>
  <c r="G10" i="74"/>
  <c r="E10" i="74"/>
  <c r="I9" i="74"/>
  <c r="G9" i="74"/>
  <c r="E9" i="74"/>
  <c r="I8" i="74"/>
  <c r="G8" i="74"/>
  <c r="E8" i="74"/>
  <c r="I7" i="74"/>
  <c r="G7" i="74"/>
  <c r="G4" i="74" s="1"/>
  <c r="E7" i="74"/>
  <c r="I6" i="74"/>
  <c r="G6" i="74"/>
  <c r="E6" i="74"/>
  <c r="K5" i="74"/>
  <c r="J5" i="74"/>
  <c r="I5" i="74"/>
  <c r="E5" i="74"/>
  <c r="F4" i="74"/>
  <c r="L18" i="73"/>
  <c r="J18" i="73"/>
  <c r="K18" i="73" s="1"/>
  <c r="H18" i="73"/>
  <c r="F18" i="73"/>
  <c r="I18" i="73" s="1"/>
  <c r="E18" i="73"/>
  <c r="D18" i="73"/>
  <c r="G18" i="73" s="1"/>
  <c r="C18" i="73"/>
  <c r="L17" i="73"/>
  <c r="H17" i="73"/>
  <c r="J17" i="73" s="1"/>
  <c r="K17" i="73" s="1"/>
  <c r="F17" i="73"/>
  <c r="D17" i="73"/>
  <c r="G17" i="73" s="1"/>
  <c r="C17" i="73"/>
  <c r="L16" i="73"/>
  <c r="J16" i="73"/>
  <c r="K16" i="73" s="1"/>
  <c r="H16" i="73"/>
  <c r="F16" i="73"/>
  <c r="I16" i="73" s="1"/>
  <c r="E16" i="73"/>
  <c r="D16" i="73"/>
  <c r="B16" i="74" s="1"/>
  <c r="C16" i="73"/>
  <c r="L15" i="73"/>
  <c r="H15" i="73"/>
  <c r="J15" i="73" s="1"/>
  <c r="K15" i="73" s="1"/>
  <c r="F15" i="73"/>
  <c r="D15" i="73"/>
  <c r="G15" i="73" s="1"/>
  <c r="C15" i="73"/>
  <c r="L14" i="73"/>
  <c r="J14" i="73"/>
  <c r="K14" i="73" s="1"/>
  <c r="H14" i="73"/>
  <c r="F14" i="73"/>
  <c r="I14" i="73" s="1"/>
  <c r="E14" i="73"/>
  <c r="D14" i="73"/>
  <c r="B14" i="74" s="1"/>
  <c r="C14" i="73"/>
  <c r="L13" i="73"/>
  <c r="H13" i="73"/>
  <c r="J13" i="73" s="1"/>
  <c r="K13" i="73" s="1"/>
  <c r="F13" i="73"/>
  <c r="D13" i="73"/>
  <c r="G13" i="73" s="1"/>
  <c r="C13" i="73"/>
  <c r="L12" i="73"/>
  <c r="H12" i="73"/>
  <c r="F12" i="73"/>
  <c r="I12" i="73" s="1"/>
  <c r="E12" i="73"/>
  <c r="D12" i="73"/>
  <c r="B12" i="74" s="1"/>
  <c r="C12" i="73"/>
  <c r="L11" i="73"/>
  <c r="H11" i="73"/>
  <c r="J11" i="73" s="1"/>
  <c r="K11" i="73" s="1"/>
  <c r="F11" i="73"/>
  <c r="D11" i="73"/>
  <c r="G11" i="73" s="1"/>
  <c r="C11" i="73"/>
  <c r="L10" i="73"/>
  <c r="H10" i="73"/>
  <c r="I10" i="73" s="1"/>
  <c r="F10" i="73"/>
  <c r="D10" i="73"/>
  <c r="B10" i="74" s="1"/>
  <c r="C10" i="73"/>
  <c r="L9" i="73"/>
  <c r="H9" i="73"/>
  <c r="J9" i="73" s="1"/>
  <c r="K9" i="73" s="1"/>
  <c r="F9" i="73"/>
  <c r="D9" i="73"/>
  <c r="G9" i="73" s="1"/>
  <c r="C9" i="73"/>
  <c r="L8" i="73"/>
  <c r="H8" i="73"/>
  <c r="I8" i="73" s="1"/>
  <c r="F8" i="73"/>
  <c r="D8" i="73"/>
  <c r="B8" i="74" s="1"/>
  <c r="C8" i="73"/>
  <c r="L7" i="73"/>
  <c r="H7" i="73"/>
  <c r="J7" i="73" s="1"/>
  <c r="K7" i="73" s="1"/>
  <c r="F7" i="73"/>
  <c r="D7" i="73"/>
  <c r="G7" i="73" s="1"/>
  <c r="C7" i="73"/>
  <c r="L6" i="73"/>
  <c r="H6" i="73"/>
  <c r="I6" i="73" s="1"/>
  <c r="F6" i="73"/>
  <c r="F4" i="73" s="1"/>
  <c r="D6" i="73"/>
  <c r="B6" i="74" s="1"/>
  <c r="C6" i="73"/>
  <c r="K5" i="73"/>
  <c r="J5" i="73"/>
  <c r="I5" i="73"/>
  <c r="E5" i="73"/>
  <c r="L4" i="73"/>
  <c r="H4" i="73"/>
  <c r="I4" i="73" s="1"/>
  <c r="D4" i="73"/>
  <c r="E4" i="73" s="1"/>
  <c r="C4" i="73"/>
  <c r="B4" i="73"/>
  <c r="K5" i="72"/>
  <c r="J5" i="72"/>
  <c r="I5" i="72"/>
  <c r="E5" i="72"/>
  <c r="L4" i="72"/>
  <c r="J4" i="72"/>
  <c r="K4" i="72" s="1"/>
  <c r="H4" i="72"/>
  <c r="I4" i="72" s="1"/>
  <c r="G4" i="72"/>
  <c r="F4" i="72"/>
  <c r="D4" i="72"/>
  <c r="E4" i="72" s="1"/>
  <c r="C4" i="72"/>
  <c r="B4" i="72"/>
  <c r="K5" i="71"/>
  <c r="J5" i="71"/>
  <c r="I5" i="71"/>
  <c r="E5" i="71"/>
  <c r="L4" i="71"/>
  <c r="J4" i="71"/>
  <c r="K4" i="71" s="1"/>
  <c r="H4" i="71"/>
  <c r="I4" i="71" s="1"/>
  <c r="G4" i="71"/>
  <c r="F4" i="71"/>
  <c r="D4" i="71"/>
  <c r="E4" i="71" s="1"/>
  <c r="C4" i="71"/>
  <c r="B4" i="71"/>
  <c r="K5" i="70"/>
  <c r="J5" i="70"/>
  <c r="I5" i="70"/>
  <c r="E5" i="70"/>
  <c r="L4" i="70"/>
  <c r="J4" i="70"/>
  <c r="K4" i="70" s="1"/>
  <c r="H4" i="70"/>
  <c r="I4" i="70" s="1"/>
  <c r="G4" i="70"/>
  <c r="F4" i="70"/>
  <c r="D4" i="70"/>
  <c r="E4" i="70" s="1"/>
  <c r="C4" i="70"/>
  <c r="B4" i="70"/>
  <c r="K5" i="69"/>
  <c r="J5" i="69"/>
  <c r="I5" i="69"/>
  <c r="E5" i="69"/>
  <c r="L4" i="69"/>
  <c r="J4" i="69"/>
  <c r="K4" i="69" s="1"/>
  <c r="H4" i="69"/>
  <c r="I4" i="69" s="1"/>
  <c r="G4" i="69"/>
  <c r="F4" i="69"/>
  <c r="D4" i="69"/>
  <c r="E4" i="69" s="1"/>
  <c r="C4" i="69"/>
  <c r="B4" i="69"/>
  <c r="K5" i="68"/>
  <c r="J5" i="68"/>
  <c r="I5" i="68"/>
  <c r="E5" i="68"/>
  <c r="L4" i="68"/>
  <c r="J4" i="68"/>
  <c r="K4" i="68" s="1"/>
  <c r="H4" i="68"/>
  <c r="I4" i="68" s="1"/>
  <c r="G4" i="68"/>
  <c r="F4" i="68"/>
  <c r="D4" i="68"/>
  <c r="E4" i="68" s="1"/>
  <c r="C4" i="68"/>
  <c r="B4" i="68"/>
  <c r="J18" i="67"/>
  <c r="H18" i="67"/>
  <c r="J17" i="67"/>
  <c r="H17" i="67"/>
  <c r="J16" i="67"/>
  <c r="H16" i="67"/>
  <c r="J15" i="67"/>
  <c r="H15" i="67"/>
  <c r="J14" i="67"/>
  <c r="H14" i="67"/>
  <c r="J13" i="67"/>
  <c r="H13" i="67"/>
  <c r="J12" i="67"/>
  <c r="H12" i="67"/>
  <c r="J11" i="67"/>
  <c r="H11" i="67"/>
  <c r="J10" i="67"/>
  <c r="H10" i="67"/>
  <c r="J9" i="67"/>
  <c r="H9" i="67"/>
  <c r="J8" i="67"/>
  <c r="H8" i="67"/>
  <c r="J7" i="67"/>
  <c r="H7" i="67"/>
  <c r="J6" i="67"/>
  <c r="H6" i="67"/>
  <c r="H4" i="67" s="1"/>
  <c r="I4" i="67" s="1"/>
  <c r="K5" i="67"/>
  <c r="J5" i="67"/>
  <c r="I5" i="67"/>
  <c r="E5" i="67"/>
  <c r="L4" i="67"/>
  <c r="J4" i="67"/>
  <c r="K4" i="67" s="1"/>
  <c r="G4" i="67"/>
  <c r="F4" i="67"/>
  <c r="E4" i="67"/>
  <c r="D4" i="67"/>
  <c r="C4" i="67"/>
  <c r="B4" i="67"/>
  <c r="E2" i="67"/>
  <c r="K5" i="66"/>
  <c r="J5" i="66"/>
  <c r="I5" i="66"/>
  <c r="E5" i="66"/>
  <c r="L4" i="66"/>
  <c r="J4" i="66"/>
  <c r="K4" i="66" s="1"/>
  <c r="H4" i="66"/>
  <c r="G4" i="66"/>
  <c r="F4" i="66"/>
  <c r="I4" i="66" s="1"/>
  <c r="E4" i="66"/>
  <c r="D4" i="66"/>
  <c r="C4" i="66"/>
  <c r="B4" i="66"/>
  <c r="E2" i="66"/>
  <c r="I18" i="65"/>
  <c r="H18" i="65"/>
  <c r="J18" i="65" s="1"/>
  <c r="K18" i="65" s="1"/>
  <c r="G18" i="65"/>
  <c r="F18" i="65"/>
  <c r="E18" i="65"/>
  <c r="H17" i="65"/>
  <c r="J17" i="65" s="1"/>
  <c r="K17" i="65" s="1"/>
  <c r="G17" i="65"/>
  <c r="F17" i="65"/>
  <c r="E17" i="65"/>
  <c r="H16" i="65"/>
  <c r="G16" i="65"/>
  <c r="F16" i="65"/>
  <c r="I16" i="65" s="1"/>
  <c r="E16" i="65"/>
  <c r="H15" i="65"/>
  <c r="F15" i="65"/>
  <c r="I15" i="65" s="1"/>
  <c r="E15" i="65"/>
  <c r="I14" i="65"/>
  <c r="H14" i="65"/>
  <c r="J14" i="65" s="1"/>
  <c r="K14" i="65" s="1"/>
  <c r="G14" i="65"/>
  <c r="F14" i="65"/>
  <c r="E14" i="65"/>
  <c r="H13" i="65"/>
  <c r="J13" i="65" s="1"/>
  <c r="K13" i="65" s="1"/>
  <c r="G13" i="65"/>
  <c r="F13" i="65"/>
  <c r="E13" i="65"/>
  <c r="H12" i="65"/>
  <c r="G12" i="65"/>
  <c r="F12" i="65"/>
  <c r="I12" i="65" s="1"/>
  <c r="E12" i="65"/>
  <c r="J11" i="65"/>
  <c r="K11" i="65" s="1"/>
  <c r="H11" i="65"/>
  <c r="F11" i="65"/>
  <c r="I11" i="65" s="1"/>
  <c r="E11" i="65"/>
  <c r="I10" i="65"/>
  <c r="H10" i="65"/>
  <c r="J10" i="65" s="1"/>
  <c r="K10" i="65" s="1"/>
  <c r="G10" i="65"/>
  <c r="F10" i="65"/>
  <c r="E10" i="65"/>
  <c r="H9" i="65"/>
  <c r="H4" i="65" s="1"/>
  <c r="G9" i="65"/>
  <c r="F9" i="65"/>
  <c r="E9" i="65"/>
  <c r="H8" i="65"/>
  <c r="G8" i="65"/>
  <c r="F8" i="65"/>
  <c r="I8" i="65" s="1"/>
  <c r="E8" i="65"/>
  <c r="J7" i="65"/>
  <c r="K7" i="65" s="1"/>
  <c r="H7" i="65"/>
  <c r="F7" i="65"/>
  <c r="I7" i="65" s="1"/>
  <c r="E7" i="65"/>
  <c r="I6" i="65"/>
  <c r="H6" i="65"/>
  <c r="J6" i="65" s="1"/>
  <c r="G6" i="65"/>
  <c r="F6" i="65"/>
  <c r="E6" i="65"/>
  <c r="K5" i="65"/>
  <c r="J5" i="65"/>
  <c r="I5" i="65"/>
  <c r="E5" i="65"/>
  <c r="L4" i="65"/>
  <c r="E4" i="65"/>
  <c r="D4" i="65"/>
  <c r="C4" i="65"/>
  <c r="B4" i="65"/>
  <c r="E2" i="65"/>
  <c r="I18" i="64"/>
  <c r="G18" i="64"/>
  <c r="E18" i="64"/>
  <c r="I17" i="64"/>
  <c r="G17" i="64"/>
  <c r="E17" i="64"/>
  <c r="I16" i="64"/>
  <c r="G16" i="64"/>
  <c r="E16" i="64"/>
  <c r="I15" i="64"/>
  <c r="G15" i="64"/>
  <c r="E15" i="64"/>
  <c r="I14" i="64"/>
  <c r="G14" i="64"/>
  <c r="E14" i="64"/>
  <c r="I13" i="64"/>
  <c r="G13" i="64"/>
  <c r="E13" i="64"/>
  <c r="I12" i="64"/>
  <c r="G12" i="64"/>
  <c r="E12" i="64"/>
  <c r="I11" i="64"/>
  <c r="G11" i="64"/>
  <c r="E11" i="64"/>
  <c r="I10" i="64"/>
  <c r="G10" i="64"/>
  <c r="E10" i="64"/>
  <c r="I9" i="64"/>
  <c r="G9" i="64"/>
  <c r="E9" i="64"/>
  <c r="I8" i="64"/>
  <c r="G8" i="64"/>
  <c r="G4" i="64" s="1"/>
  <c r="E8" i="64"/>
  <c r="I7" i="64"/>
  <c r="G7" i="64"/>
  <c r="E7" i="64"/>
  <c r="I6" i="64"/>
  <c r="G6" i="64"/>
  <c r="E6" i="64"/>
  <c r="K5" i="64"/>
  <c r="J5" i="64"/>
  <c r="I5" i="64"/>
  <c r="E5" i="64"/>
  <c r="L4" i="64"/>
  <c r="K4" i="64"/>
  <c r="J4" i="64"/>
  <c r="H4" i="64"/>
  <c r="I4" i="64" s="1"/>
  <c r="F4" i="64"/>
  <c r="D4" i="64"/>
  <c r="E4" i="64" s="1"/>
  <c r="C4" i="64"/>
  <c r="B4" i="64"/>
  <c r="K5" i="63"/>
  <c r="J5" i="63"/>
  <c r="I5" i="63"/>
  <c r="E5" i="63"/>
  <c r="L4" i="63"/>
  <c r="K4" i="63"/>
  <c r="J4" i="63"/>
  <c r="H4" i="63"/>
  <c r="I4" i="63" s="1"/>
  <c r="G4" i="63"/>
  <c r="F4" i="63"/>
  <c r="D4" i="63"/>
  <c r="E4" i="63" s="1"/>
  <c r="C4" i="63"/>
  <c r="B4" i="63"/>
  <c r="J18" i="62"/>
  <c r="I18" i="62"/>
  <c r="H18" i="62"/>
  <c r="G18" i="62"/>
  <c r="J18" i="76" s="1"/>
  <c r="K18" i="76" s="1"/>
  <c r="F18" i="62"/>
  <c r="D18" i="62"/>
  <c r="H17" i="62"/>
  <c r="G17" i="62"/>
  <c r="I17" i="62" s="1"/>
  <c r="J17" i="62" s="1"/>
  <c r="F17" i="62"/>
  <c r="D17" i="62"/>
  <c r="H16" i="62"/>
  <c r="G16" i="62"/>
  <c r="F16" i="62"/>
  <c r="D16" i="62"/>
  <c r="H15" i="62"/>
  <c r="G15" i="62"/>
  <c r="I15" i="62" s="1"/>
  <c r="J15" i="62" s="1"/>
  <c r="F15" i="62"/>
  <c r="D15" i="62"/>
  <c r="J14" i="62"/>
  <c r="I14" i="62"/>
  <c r="H14" i="62"/>
  <c r="G14" i="62"/>
  <c r="F14" i="62"/>
  <c r="D14" i="62"/>
  <c r="H13" i="62"/>
  <c r="G13" i="62"/>
  <c r="I13" i="62" s="1"/>
  <c r="J13" i="62" s="1"/>
  <c r="F13" i="62"/>
  <c r="D13" i="62"/>
  <c r="H12" i="62"/>
  <c r="G12" i="62"/>
  <c r="F12" i="62"/>
  <c r="D12" i="62"/>
  <c r="H11" i="62"/>
  <c r="G11" i="62"/>
  <c r="I11" i="62" s="1"/>
  <c r="J11" i="62" s="1"/>
  <c r="F11" i="62"/>
  <c r="D11" i="62"/>
  <c r="H10" i="62"/>
  <c r="G10" i="62"/>
  <c r="F10" i="62"/>
  <c r="D10" i="62"/>
  <c r="H9" i="62"/>
  <c r="G9" i="62"/>
  <c r="I9" i="62" s="1"/>
  <c r="J9" i="62" s="1"/>
  <c r="F9" i="62"/>
  <c r="D9" i="62"/>
  <c r="H8" i="62"/>
  <c r="G8" i="62"/>
  <c r="F8" i="62"/>
  <c r="D8" i="62"/>
  <c r="H7" i="62"/>
  <c r="G7" i="62"/>
  <c r="G4" i="62" s="1"/>
  <c r="H4" i="62" s="1"/>
  <c r="F7" i="62"/>
  <c r="D7" i="62"/>
  <c r="H6" i="62"/>
  <c r="G6" i="62"/>
  <c r="F6" i="62"/>
  <c r="F4" i="62" s="1"/>
  <c r="D6" i="62"/>
  <c r="J5" i="62"/>
  <c r="I5" i="62"/>
  <c r="H5" i="62"/>
  <c r="D5" i="62"/>
  <c r="K4" i="62"/>
  <c r="E4" i="62"/>
  <c r="D4" i="62"/>
  <c r="C4" i="62"/>
  <c r="B4" i="62"/>
  <c r="D2" i="62"/>
  <c r="J18" i="61"/>
  <c r="I18" i="61"/>
  <c r="H18" i="61"/>
  <c r="F18" i="61"/>
  <c r="D18" i="61"/>
  <c r="H17" i="61"/>
  <c r="F17" i="61"/>
  <c r="D17" i="61"/>
  <c r="I16" i="61"/>
  <c r="J16" i="61" s="1"/>
  <c r="H16" i="61"/>
  <c r="F16" i="61"/>
  <c r="D16" i="61"/>
  <c r="H15" i="61"/>
  <c r="F15" i="61"/>
  <c r="D15" i="61"/>
  <c r="J14" i="61"/>
  <c r="I14" i="61"/>
  <c r="H14" i="61"/>
  <c r="F14" i="61"/>
  <c r="D14" i="61"/>
  <c r="H13" i="61"/>
  <c r="F13" i="61"/>
  <c r="D13" i="61"/>
  <c r="H12" i="61"/>
  <c r="F12" i="61"/>
  <c r="D12" i="61"/>
  <c r="J11" i="61"/>
  <c r="I11" i="61"/>
  <c r="H11" i="61"/>
  <c r="F11" i="61"/>
  <c r="D11" i="61"/>
  <c r="H10" i="61"/>
  <c r="F10" i="61"/>
  <c r="D10" i="61"/>
  <c r="H9" i="61"/>
  <c r="F9" i="61"/>
  <c r="D9" i="61"/>
  <c r="H8" i="61"/>
  <c r="F8" i="61"/>
  <c r="D8" i="61"/>
  <c r="J7" i="61"/>
  <c r="I7" i="61"/>
  <c r="H7" i="61"/>
  <c r="F7" i="61"/>
  <c r="D7" i="61"/>
  <c r="H6" i="61"/>
  <c r="F6" i="61"/>
  <c r="F4" i="61" s="1"/>
  <c r="D6" i="61"/>
  <c r="J5" i="61"/>
  <c r="I5" i="61"/>
  <c r="H5" i="61"/>
  <c r="D5" i="61"/>
  <c r="K4" i="61"/>
  <c r="G4" i="61"/>
  <c r="E4" i="61"/>
  <c r="H4" i="61" s="1"/>
  <c r="D4" i="61"/>
  <c r="C4" i="61"/>
  <c r="B4" i="61"/>
  <c r="D2" i="61"/>
  <c r="L18" i="60"/>
  <c r="K18" i="60"/>
  <c r="J18" i="60"/>
  <c r="H18" i="60"/>
  <c r="F18" i="60"/>
  <c r="B18" i="60"/>
  <c r="K17" i="60"/>
  <c r="L17" i="60" s="1"/>
  <c r="J17" i="60"/>
  <c r="F17" i="60"/>
  <c r="B17" i="60"/>
  <c r="H17" i="60" s="1"/>
  <c r="J16" i="60"/>
  <c r="H16" i="60"/>
  <c r="F16" i="60"/>
  <c r="B16" i="60"/>
  <c r="J15" i="60"/>
  <c r="F15" i="60"/>
  <c r="B15" i="60"/>
  <c r="H15" i="60" s="1"/>
  <c r="L14" i="60"/>
  <c r="K14" i="60"/>
  <c r="J14" i="60"/>
  <c r="H14" i="60"/>
  <c r="F14" i="60"/>
  <c r="B14" i="60"/>
  <c r="K13" i="60"/>
  <c r="L13" i="60" s="1"/>
  <c r="J13" i="60"/>
  <c r="F13" i="60"/>
  <c r="B13" i="60"/>
  <c r="H13" i="60" s="1"/>
  <c r="J12" i="60"/>
  <c r="H12" i="60"/>
  <c r="F12" i="60"/>
  <c r="B12" i="60"/>
  <c r="K11" i="60"/>
  <c r="L11" i="60" s="1"/>
  <c r="J11" i="60"/>
  <c r="F11" i="60"/>
  <c r="B11" i="60"/>
  <c r="H11" i="60" s="1"/>
  <c r="J10" i="60"/>
  <c r="H10" i="60"/>
  <c r="F10" i="60"/>
  <c r="B10" i="60"/>
  <c r="K9" i="60"/>
  <c r="L9" i="60" s="1"/>
  <c r="J9" i="60"/>
  <c r="F9" i="60"/>
  <c r="B9" i="60"/>
  <c r="H9" i="60" s="1"/>
  <c r="J8" i="60"/>
  <c r="H8" i="60"/>
  <c r="F8" i="60"/>
  <c r="B8" i="60"/>
  <c r="K7" i="60"/>
  <c r="L7" i="60" s="1"/>
  <c r="J7" i="60"/>
  <c r="F7" i="60"/>
  <c r="B7" i="60"/>
  <c r="H7" i="60" s="1"/>
  <c r="J6" i="60"/>
  <c r="H6" i="60"/>
  <c r="F6" i="60"/>
  <c r="B6" i="60"/>
  <c r="K5" i="60"/>
  <c r="L5" i="60" s="1"/>
  <c r="J5" i="60"/>
  <c r="F5" i="60"/>
  <c r="M4" i="60"/>
  <c r="I4" i="60"/>
  <c r="G4" i="60"/>
  <c r="J4" i="60" s="1"/>
  <c r="E4" i="60"/>
  <c r="D4" i="60"/>
  <c r="F4" i="60" s="1"/>
  <c r="C4" i="60"/>
  <c r="L18" i="59"/>
  <c r="J18" i="59"/>
  <c r="F18" i="59"/>
  <c r="B18" i="59"/>
  <c r="H18" i="59" s="1"/>
  <c r="J17" i="59"/>
  <c r="H17" i="59"/>
  <c r="F17" i="59"/>
  <c r="B17" i="59"/>
  <c r="K16" i="59"/>
  <c r="L16" i="59" s="1"/>
  <c r="J16" i="59"/>
  <c r="F16" i="59"/>
  <c r="B16" i="59"/>
  <c r="H16" i="59" s="1"/>
  <c r="J15" i="59"/>
  <c r="H15" i="59"/>
  <c r="F15" i="59"/>
  <c r="B15" i="59"/>
  <c r="K14" i="59"/>
  <c r="L14" i="59" s="1"/>
  <c r="J14" i="59"/>
  <c r="F14" i="59"/>
  <c r="B14" i="59"/>
  <c r="H14" i="59" s="1"/>
  <c r="J13" i="59"/>
  <c r="H13" i="59"/>
  <c r="F13" i="59"/>
  <c r="B13" i="59"/>
  <c r="J12" i="59"/>
  <c r="F12" i="59"/>
  <c r="B12" i="59"/>
  <c r="H12" i="59" s="1"/>
  <c r="L11" i="59"/>
  <c r="K11" i="59"/>
  <c r="J11" i="59"/>
  <c r="H11" i="59"/>
  <c r="F11" i="59"/>
  <c r="B11" i="59"/>
  <c r="J10" i="59"/>
  <c r="F10" i="59"/>
  <c r="B10" i="59"/>
  <c r="H10" i="59" s="1"/>
  <c r="J9" i="59"/>
  <c r="H9" i="59"/>
  <c r="F9" i="59"/>
  <c r="B9" i="59"/>
  <c r="J8" i="59"/>
  <c r="F8" i="59"/>
  <c r="B8" i="59"/>
  <c r="H8" i="59" s="1"/>
  <c r="L7" i="59"/>
  <c r="K7" i="59"/>
  <c r="J7" i="59"/>
  <c r="H7" i="59"/>
  <c r="F7" i="59"/>
  <c r="B7" i="59"/>
  <c r="J6" i="59"/>
  <c r="F6" i="59"/>
  <c r="B6" i="59"/>
  <c r="H6" i="59" s="1"/>
  <c r="H4" i="59" s="1"/>
  <c r="L5" i="59"/>
  <c r="K5" i="59"/>
  <c r="J5" i="59"/>
  <c r="F5" i="59"/>
  <c r="M4" i="59"/>
  <c r="J4" i="59"/>
  <c r="I4" i="59"/>
  <c r="G4" i="59"/>
  <c r="F4" i="59"/>
  <c r="E4" i="59"/>
  <c r="D4" i="59"/>
  <c r="C4" i="59"/>
  <c r="B4" i="59"/>
  <c r="F2" i="59"/>
  <c r="J17" i="58"/>
  <c r="H17" i="58"/>
  <c r="E17" i="58"/>
  <c r="B17" i="58"/>
  <c r="J16" i="58"/>
  <c r="E16" i="58"/>
  <c r="B16" i="58"/>
  <c r="H16" i="58" s="1"/>
  <c r="J15" i="58"/>
  <c r="H15" i="58"/>
  <c r="E15" i="58"/>
  <c r="B15" i="58"/>
  <c r="L14" i="58"/>
  <c r="K14" i="58"/>
  <c r="J14" i="58"/>
  <c r="E14" i="58"/>
  <c r="B14" i="58"/>
  <c r="H14" i="58" s="1"/>
  <c r="J13" i="58"/>
  <c r="H13" i="58"/>
  <c r="E13" i="58"/>
  <c r="B13" i="58"/>
  <c r="J12" i="58"/>
  <c r="E12" i="58"/>
  <c r="B12" i="58"/>
  <c r="H12" i="58" s="1"/>
  <c r="J11" i="58"/>
  <c r="H11" i="58"/>
  <c r="E11" i="58"/>
  <c r="B11" i="58"/>
  <c r="J10" i="58"/>
  <c r="E10" i="58"/>
  <c r="B10" i="58"/>
  <c r="H10" i="58" s="1"/>
  <c r="J9" i="58"/>
  <c r="H9" i="58"/>
  <c r="E9" i="58"/>
  <c r="B9" i="58"/>
  <c r="J8" i="58"/>
  <c r="E8" i="58"/>
  <c r="B8" i="58"/>
  <c r="H8" i="58" s="1"/>
  <c r="J7" i="58"/>
  <c r="H7" i="58"/>
  <c r="E7" i="58"/>
  <c r="B7" i="58"/>
  <c r="J6" i="58"/>
  <c r="E6" i="58"/>
  <c r="B6" i="58"/>
  <c r="H6" i="58" s="1"/>
  <c r="L5" i="58"/>
  <c r="K5" i="58"/>
  <c r="J5" i="58"/>
  <c r="E5" i="58"/>
  <c r="M4" i="58"/>
  <c r="I4" i="58"/>
  <c r="G4" i="58"/>
  <c r="J4" i="58" s="1"/>
  <c r="F4" i="58"/>
  <c r="E4" i="58" s="1"/>
  <c r="D4" i="58"/>
  <c r="C4" i="58"/>
  <c r="B4" i="58"/>
  <c r="K17" i="57"/>
  <c r="L17" i="57" s="1"/>
  <c r="J17" i="57"/>
  <c r="I17" i="57"/>
  <c r="E17" i="57"/>
  <c r="D17" i="57"/>
  <c r="B17" i="57"/>
  <c r="H17" i="57" s="1"/>
  <c r="J16" i="57"/>
  <c r="I16" i="57"/>
  <c r="E16" i="57"/>
  <c r="D16" i="57"/>
  <c r="B16" i="57"/>
  <c r="H16" i="57" s="1"/>
  <c r="I15" i="57"/>
  <c r="K15" i="57" s="1"/>
  <c r="L15" i="57" s="1"/>
  <c r="E15" i="57"/>
  <c r="D15" i="57"/>
  <c r="C15" i="57"/>
  <c r="B15" i="57"/>
  <c r="H15" i="57" s="1"/>
  <c r="L14" i="57"/>
  <c r="K14" i="57"/>
  <c r="J14" i="57"/>
  <c r="E14" i="57"/>
  <c r="D14" i="57"/>
  <c r="C14" i="57"/>
  <c r="B14" i="57"/>
  <c r="H14" i="57" s="1"/>
  <c r="J13" i="57"/>
  <c r="I13" i="57"/>
  <c r="K13" i="57" s="1"/>
  <c r="L13" i="57" s="1"/>
  <c r="D13" i="57"/>
  <c r="E13" i="57" s="1"/>
  <c r="B13" i="57"/>
  <c r="H13" i="57" s="1"/>
  <c r="J12" i="57"/>
  <c r="I12" i="57"/>
  <c r="E12" i="57"/>
  <c r="D12" i="57"/>
  <c r="C12" i="57"/>
  <c r="B12" i="57"/>
  <c r="H12" i="57" s="1"/>
  <c r="L11" i="57"/>
  <c r="K11" i="57"/>
  <c r="J11" i="57"/>
  <c r="I11" i="57"/>
  <c r="E11" i="57"/>
  <c r="D11" i="57"/>
  <c r="B11" i="57"/>
  <c r="H11" i="57" s="1"/>
  <c r="I10" i="57"/>
  <c r="K10" i="57" s="1"/>
  <c r="L10" i="57" s="1"/>
  <c r="E10" i="57"/>
  <c r="D10" i="57"/>
  <c r="C10" i="57"/>
  <c r="B10" i="57"/>
  <c r="H10" i="57" s="1"/>
  <c r="J9" i="57"/>
  <c r="I9" i="57"/>
  <c r="K9" i="57" s="1"/>
  <c r="L9" i="57" s="1"/>
  <c r="D9" i="57"/>
  <c r="E9" i="57" s="1"/>
  <c r="B9" i="57"/>
  <c r="H9" i="57" s="1"/>
  <c r="J8" i="57"/>
  <c r="I8" i="57"/>
  <c r="E8" i="57"/>
  <c r="D8" i="57"/>
  <c r="C8" i="57"/>
  <c r="B8" i="57"/>
  <c r="H8" i="57" s="1"/>
  <c r="L7" i="57"/>
  <c r="K7" i="57"/>
  <c r="J7" i="57"/>
  <c r="I7" i="57"/>
  <c r="E7" i="57"/>
  <c r="D7" i="57"/>
  <c r="D4" i="57" s="1"/>
  <c r="B7" i="57"/>
  <c r="B4" i="57" s="1"/>
  <c r="I6" i="57"/>
  <c r="K6" i="57" s="1"/>
  <c r="E6" i="57"/>
  <c r="D6" i="57"/>
  <c r="C6" i="57"/>
  <c r="B6" i="57"/>
  <c r="H6" i="57" s="1"/>
  <c r="L5" i="57"/>
  <c r="K5" i="57"/>
  <c r="J5" i="57"/>
  <c r="E5" i="57"/>
  <c r="M4" i="57"/>
  <c r="G4" i="57"/>
  <c r="F4" i="57"/>
  <c r="E4" i="57" s="1"/>
  <c r="K17" i="56"/>
  <c r="L17" i="56" s="1"/>
  <c r="J17" i="56"/>
  <c r="I17" i="56"/>
  <c r="K17" i="59" s="1"/>
  <c r="L17" i="59" s="1"/>
  <c r="E17" i="56"/>
  <c r="B17" i="56"/>
  <c r="C17" i="57" s="1"/>
  <c r="J16" i="56"/>
  <c r="I16" i="56"/>
  <c r="J16" i="75" s="1"/>
  <c r="K16" i="75" s="1"/>
  <c r="E16" i="56"/>
  <c r="B16" i="56"/>
  <c r="H16" i="56" s="1"/>
  <c r="I15" i="56"/>
  <c r="J15" i="76" s="1"/>
  <c r="K15" i="76" s="1"/>
  <c r="H15" i="56"/>
  <c r="E15" i="56"/>
  <c r="B15" i="56"/>
  <c r="L14" i="56"/>
  <c r="K14" i="56"/>
  <c r="J14" i="56"/>
  <c r="E14" i="56"/>
  <c r="B14" i="56"/>
  <c r="H14" i="56" s="1"/>
  <c r="J13" i="56"/>
  <c r="I13" i="56"/>
  <c r="J13" i="76" s="1"/>
  <c r="K13" i="76" s="1"/>
  <c r="E13" i="56"/>
  <c r="B13" i="56"/>
  <c r="C13" i="57" s="1"/>
  <c r="I12" i="56"/>
  <c r="J12" i="75" s="1"/>
  <c r="K12" i="75" s="1"/>
  <c r="H12" i="56"/>
  <c r="E12" i="56"/>
  <c r="B12" i="56"/>
  <c r="L11" i="56"/>
  <c r="K11" i="56"/>
  <c r="J11" i="56"/>
  <c r="I11" i="56"/>
  <c r="J11" i="75" s="1"/>
  <c r="K11" i="75" s="1"/>
  <c r="H11" i="56"/>
  <c r="E11" i="56"/>
  <c r="B11" i="56"/>
  <c r="C11" i="57" s="1"/>
  <c r="K10" i="56"/>
  <c r="L10" i="56" s="1"/>
  <c r="J10" i="56"/>
  <c r="I10" i="56"/>
  <c r="J10" i="76" s="1"/>
  <c r="K10" i="76" s="1"/>
  <c r="E10" i="56"/>
  <c r="B10" i="56"/>
  <c r="H10" i="56" s="1"/>
  <c r="J9" i="56"/>
  <c r="I9" i="56"/>
  <c r="J9" i="76" s="1"/>
  <c r="K9" i="76" s="1"/>
  <c r="E9" i="56"/>
  <c r="B9" i="56"/>
  <c r="C9" i="57" s="1"/>
  <c r="I8" i="56"/>
  <c r="J8" i="75" s="1"/>
  <c r="K8" i="75" s="1"/>
  <c r="H8" i="56"/>
  <c r="E8" i="56"/>
  <c r="B8" i="56"/>
  <c r="L7" i="56"/>
  <c r="K7" i="56"/>
  <c r="J7" i="56"/>
  <c r="I7" i="56"/>
  <c r="J7" i="75" s="1"/>
  <c r="K7" i="75" s="1"/>
  <c r="H7" i="56"/>
  <c r="E7" i="56"/>
  <c r="B7" i="56"/>
  <c r="C7" i="57" s="1"/>
  <c r="K6" i="56"/>
  <c r="L6" i="56" s="1"/>
  <c r="J6" i="56"/>
  <c r="I6" i="56"/>
  <c r="J6" i="76" s="1"/>
  <c r="E6" i="56"/>
  <c r="B6" i="56"/>
  <c r="H6" i="56" s="1"/>
  <c r="L5" i="56"/>
  <c r="K5" i="56"/>
  <c r="J5" i="56"/>
  <c r="E5" i="56"/>
  <c r="M4" i="56"/>
  <c r="G4" i="56"/>
  <c r="F4" i="56"/>
  <c r="E4" i="56" s="1"/>
  <c r="D4" i="56"/>
  <c r="C4" i="56"/>
  <c r="K17" i="55"/>
  <c r="L17" i="55" s="1"/>
  <c r="J17" i="55"/>
  <c r="B17" i="55"/>
  <c r="H17" i="55" s="1"/>
  <c r="L16" i="55"/>
  <c r="K16" i="55"/>
  <c r="J16" i="55"/>
  <c r="B16" i="55"/>
  <c r="H16" i="55" s="1"/>
  <c r="L15" i="55"/>
  <c r="K15" i="55"/>
  <c r="J15" i="55"/>
  <c r="H15" i="55"/>
  <c r="B15" i="55"/>
  <c r="L14" i="55"/>
  <c r="K14" i="55"/>
  <c r="J14" i="55"/>
  <c r="B14" i="55"/>
  <c r="H14" i="55" s="1"/>
  <c r="K13" i="55"/>
  <c r="L13" i="55" s="1"/>
  <c r="J13" i="55"/>
  <c r="B13" i="55"/>
  <c r="H13" i="55" s="1"/>
  <c r="L12" i="55"/>
  <c r="K12" i="55"/>
  <c r="J12" i="55"/>
  <c r="B12" i="55"/>
  <c r="H12" i="55" s="1"/>
  <c r="L11" i="55"/>
  <c r="K11" i="55"/>
  <c r="J11" i="55"/>
  <c r="H11" i="55"/>
  <c r="B11" i="55"/>
  <c r="L10" i="55"/>
  <c r="K10" i="55"/>
  <c r="J10" i="55"/>
  <c r="B10" i="55"/>
  <c r="H10" i="55" s="1"/>
  <c r="K9" i="55"/>
  <c r="L9" i="55" s="1"/>
  <c r="J9" i="55"/>
  <c r="B9" i="55"/>
  <c r="H9" i="55" s="1"/>
  <c r="L8" i="55"/>
  <c r="K8" i="55"/>
  <c r="J8" i="55"/>
  <c r="B8" i="55"/>
  <c r="H8" i="55" s="1"/>
  <c r="L7" i="55"/>
  <c r="K7" i="55"/>
  <c r="J7" i="55"/>
  <c r="H7" i="55"/>
  <c r="B7" i="55"/>
  <c r="L6" i="55"/>
  <c r="K6" i="55"/>
  <c r="J6" i="55"/>
  <c r="B6" i="55"/>
  <c r="H6" i="55" s="1"/>
  <c r="K5" i="55"/>
  <c r="L5" i="55" s="1"/>
  <c r="J5" i="55"/>
  <c r="I5" i="55"/>
  <c r="E5" i="55"/>
  <c r="M4" i="55"/>
  <c r="I4" i="55"/>
  <c r="K4" i="55" s="1"/>
  <c r="L4" i="55" s="1"/>
  <c r="G4" i="55"/>
  <c r="F4" i="55"/>
  <c r="C4" i="55"/>
  <c r="L20" i="54"/>
  <c r="K20" i="54"/>
  <c r="J20" i="54"/>
  <c r="H20" i="54"/>
  <c r="E20" i="54"/>
  <c r="B20" i="54"/>
  <c r="K19" i="54"/>
  <c r="L19" i="54" s="1"/>
  <c r="J19" i="54"/>
  <c r="E19" i="54"/>
  <c r="B19" i="54"/>
  <c r="H19" i="54" s="1"/>
  <c r="L18" i="54"/>
  <c r="K18" i="54"/>
  <c r="J18" i="54"/>
  <c r="H18" i="54"/>
  <c r="E18" i="54"/>
  <c r="B18" i="54"/>
  <c r="K17" i="54"/>
  <c r="L17" i="54" s="1"/>
  <c r="J17" i="54"/>
  <c r="H17" i="54"/>
  <c r="E17" i="54"/>
  <c r="B17" i="54"/>
  <c r="L16" i="54"/>
  <c r="K16" i="54"/>
  <c r="J16" i="54"/>
  <c r="E16" i="54"/>
  <c r="B16" i="54"/>
  <c r="L15" i="54"/>
  <c r="K15" i="54"/>
  <c r="J15" i="54"/>
  <c r="H15" i="54"/>
  <c r="E15" i="54"/>
  <c r="B15" i="54"/>
  <c r="L14" i="54"/>
  <c r="K14" i="54"/>
  <c r="J14" i="54"/>
  <c r="E14" i="54"/>
  <c r="B14" i="54"/>
  <c r="H14" i="54" s="1"/>
  <c r="L13" i="54"/>
  <c r="K13" i="54"/>
  <c r="J13" i="54"/>
  <c r="H13" i="54"/>
  <c r="E13" i="54"/>
  <c r="B13" i="54"/>
  <c r="L12" i="54"/>
  <c r="K12" i="54"/>
  <c r="J12" i="54"/>
  <c r="E12" i="54"/>
  <c r="B12" i="54"/>
  <c r="H12" i="54" s="1"/>
  <c r="L11" i="54"/>
  <c r="K11" i="54"/>
  <c r="J11" i="54"/>
  <c r="H11" i="54"/>
  <c r="E11" i="54"/>
  <c r="B11" i="54"/>
  <c r="L10" i="54"/>
  <c r="K10" i="54"/>
  <c r="J10" i="54"/>
  <c r="E10" i="54"/>
  <c r="B10" i="54"/>
  <c r="H10" i="54" s="1"/>
  <c r="L9" i="54"/>
  <c r="K9" i="54"/>
  <c r="J9" i="54"/>
  <c r="H9" i="54"/>
  <c r="E9" i="54"/>
  <c r="B9" i="54"/>
  <c r="L8" i="54"/>
  <c r="K8" i="54"/>
  <c r="J8" i="54"/>
  <c r="E8" i="54"/>
  <c r="B8" i="54"/>
  <c r="H8" i="54" s="1"/>
  <c r="L7" i="54"/>
  <c r="K7" i="54"/>
  <c r="J7" i="54"/>
  <c r="H7" i="54"/>
  <c r="E7" i="54"/>
  <c r="B7" i="54"/>
  <c r="L6" i="54"/>
  <c r="K6" i="54"/>
  <c r="J6" i="54"/>
  <c r="E6" i="54"/>
  <c r="B6" i="54"/>
  <c r="H6" i="54" s="1"/>
  <c r="L5" i="54"/>
  <c r="K5" i="54"/>
  <c r="J5" i="54"/>
  <c r="E5" i="54"/>
  <c r="M4" i="54"/>
  <c r="K4" i="54"/>
  <c r="L4" i="54" s="1"/>
  <c r="I4" i="54"/>
  <c r="G4" i="54"/>
  <c r="J4" i="54" s="1"/>
  <c r="F4" i="54"/>
  <c r="E4" i="54" s="1"/>
  <c r="D4" i="54"/>
  <c r="B4" i="54"/>
  <c r="E2" i="54"/>
  <c r="L20" i="53"/>
  <c r="K20" i="53"/>
  <c r="J20" i="53"/>
  <c r="H20" i="53"/>
  <c r="E20" i="53"/>
  <c r="B20" i="53"/>
  <c r="L19" i="53"/>
  <c r="K19" i="53"/>
  <c r="J19" i="53"/>
  <c r="E19" i="53"/>
  <c r="B19" i="53"/>
  <c r="H19" i="53" s="1"/>
  <c r="L18" i="53"/>
  <c r="K18" i="53"/>
  <c r="J18" i="53"/>
  <c r="H18" i="53"/>
  <c r="E18" i="53"/>
  <c r="B18" i="53"/>
  <c r="L17" i="53"/>
  <c r="K17" i="53"/>
  <c r="J17" i="53"/>
  <c r="H17" i="53"/>
  <c r="E17" i="53"/>
  <c r="B17" i="53"/>
  <c r="L16" i="53"/>
  <c r="K16" i="53"/>
  <c r="J16" i="53"/>
  <c r="E16" i="53"/>
  <c r="B16" i="53"/>
  <c r="K15" i="53"/>
  <c r="L15" i="53" s="1"/>
  <c r="J15" i="53"/>
  <c r="E15" i="53"/>
  <c r="B15" i="53"/>
  <c r="H15" i="53" s="1"/>
  <c r="L14" i="53"/>
  <c r="K14" i="53"/>
  <c r="J14" i="53"/>
  <c r="H14" i="53"/>
  <c r="E14" i="53"/>
  <c r="B14" i="53"/>
  <c r="K13" i="53"/>
  <c r="L13" i="53" s="1"/>
  <c r="J13" i="53"/>
  <c r="E13" i="53"/>
  <c r="B13" i="53"/>
  <c r="H13" i="53" s="1"/>
  <c r="L12" i="53"/>
  <c r="K12" i="53"/>
  <c r="J12" i="53"/>
  <c r="H12" i="53"/>
  <c r="E12" i="53"/>
  <c r="B12" i="53"/>
  <c r="K11" i="53"/>
  <c r="L11" i="53" s="1"/>
  <c r="J11" i="53"/>
  <c r="E11" i="53"/>
  <c r="B11" i="53"/>
  <c r="H11" i="53" s="1"/>
  <c r="L10" i="53"/>
  <c r="K10" i="53"/>
  <c r="J10" i="53"/>
  <c r="H10" i="53"/>
  <c r="E10" i="53"/>
  <c r="B10" i="53"/>
  <c r="K9" i="53"/>
  <c r="L9" i="53" s="1"/>
  <c r="J9" i="53"/>
  <c r="E9" i="53"/>
  <c r="B9" i="53"/>
  <c r="H9" i="53" s="1"/>
  <c r="L8" i="53"/>
  <c r="K8" i="53"/>
  <c r="J8" i="53"/>
  <c r="H8" i="53"/>
  <c r="E8" i="53"/>
  <c r="B8" i="53"/>
  <c r="K7" i="53"/>
  <c r="L7" i="53" s="1"/>
  <c r="J7" i="53"/>
  <c r="E7" i="53"/>
  <c r="B7" i="53"/>
  <c r="H7" i="53" s="1"/>
  <c r="H4" i="53" s="1"/>
  <c r="L6" i="53"/>
  <c r="K6" i="53"/>
  <c r="J6" i="53"/>
  <c r="H6" i="53"/>
  <c r="E6" i="53"/>
  <c r="B6" i="53"/>
  <c r="K5" i="53"/>
  <c r="L5" i="53" s="1"/>
  <c r="J5" i="53"/>
  <c r="E5" i="53"/>
  <c r="M4" i="53"/>
  <c r="L4" i="53"/>
  <c r="K4" i="53"/>
  <c r="I4" i="53"/>
  <c r="G4" i="53"/>
  <c r="J4" i="53" s="1"/>
  <c r="F4" i="53"/>
  <c r="E4" i="53" s="1"/>
  <c r="B4" i="53"/>
  <c r="E2" i="53"/>
  <c r="L20" i="52"/>
  <c r="K20" i="52"/>
  <c r="J20" i="52"/>
  <c r="H20" i="52"/>
  <c r="E20" i="52"/>
  <c r="B20" i="52"/>
  <c r="L19" i="52"/>
  <c r="K19" i="52"/>
  <c r="J19" i="52"/>
  <c r="E19" i="52"/>
  <c r="B19" i="52"/>
  <c r="H19" i="52" s="1"/>
  <c r="L18" i="52"/>
  <c r="K18" i="52"/>
  <c r="J18" i="52"/>
  <c r="H18" i="52"/>
  <c r="E18" i="52"/>
  <c r="B18" i="52"/>
  <c r="L17" i="52"/>
  <c r="K17" i="52"/>
  <c r="J17" i="52"/>
  <c r="H17" i="52"/>
  <c r="E17" i="52"/>
  <c r="B17" i="52"/>
  <c r="L16" i="52"/>
  <c r="K16" i="52"/>
  <c r="J16" i="52"/>
  <c r="E16" i="52"/>
  <c r="B16" i="52"/>
  <c r="K15" i="52"/>
  <c r="L15" i="52" s="1"/>
  <c r="J15" i="52"/>
  <c r="E15" i="52"/>
  <c r="B15" i="52"/>
  <c r="H15" i="52" s="1"/>
  <c r="L14" i="52"/>
  <c r="K14" i="52"/>
  <c r="J14" i="52"/>
  <c r="H14" i="52"/>
  <c r="E14" i="52"/>
  <c r="B14" i="52"/>
  <c r="K13" i="52"/>
  <c r="L13" i="52" s="1"/>
  <c r="J13" i="52"/>
  <c r="E13" i="52"/>
  <c r="B13" i="52"/>
  <c r="H13" i="52" s="1"/>
  <c r="L12" i="52"/>
  <c r="K12" i="52"/>
  <c r="J12" i="52"/>
  <c r="H12" i="52"/>
  <c r="E12" i="52"/>
  <c r="B12" i="52"/>
  <c r="K11" i="52"/>
  <c r="L11" i="52" s="1"/>
  <c r="J11" i="52"/>
  <c r="E11" i="52"/>
  <c r="B11" i="52"/>
  <c r="H11" i="52" s="1"/>
  <c r="L10" i="52"/>
  <c r="K10" i="52"/>
  <c r="J10" i="52"/>
  <c r="H10" i="52"/>
  <c r="E10" i="52"/>
  <c r="B10" i="52"/>
  <c r="K9" i="52"/>
  <c r="L9" i="52" s="1"/>
  <c r="J9" i="52"/>
  <c r="E9" i="52"/>
  <c r="B9" i="52"/>
  <c r="H9" i="52" s="1"/>
  <c r="L8" i="52"/>
  <c r="K8" i="52"/>
  <c r="J8" i="52"/>
  <c r="H8" i="52"/>
  <c r="E8" i="52"/>
  <c r="B8" i="52"/>
  <c r="K7" i="52"/>
  <c r="L7" i="52" s="1"/>
  <c r="J7" i="52"/>
  <c r="E7" i="52"/>
  <c r="B7" i="52"/>
  <c r="H7" i="52" s="1"/>
  <c r="H4" i="52" s="1"/>
  <c r="L6" i="52"/>
  <c r="K6" i="52"/>
  <c r="J6" i="52"/>
  <c r="H6" i="52"/>
  <c r="E6" i="52"/>
  <c r="B6" i="52"/>
  <c r="K5" i="52"/>
  <c r="L5" i="52" s="1"/>
  <c r="J5" i="52"/>
  <c r="E5" i="52"/>
  <c r="M4" i="52"/>
  <c r="L4" i="52"/>
  <c r="K4" i="52"/>
  <c r="I4" i="52"/>
  <c r="G4" i="52"/>
  <c r="J4" i="52" s="1"/>
  <c r="F4" i="52"/>
  <c r="E4" i="52" s="1"/>
  <c r="B4" i="52"/>
  <c r="E2" i="52"/>
  <c r="L20" i="51"/>
  <c r="K20" i="51"/>
  <c r="J20" i="51"/>
  <c r="H20" i="51"/>
  <c r="E20" i="51"/>
  <c r="B20" i="51"/>
  <c r="L19" i="51"/>
  <c r="K19" i="51"/>
  <c r="J19" i="51"/>
  <c r="E19" i="51"/>
  <c r="B19" i="51"/>
  <c r="H19" i="51" s="1"/>
  <c r="L18" i="51"/>
  <c r="K18" i="51"/>
  <c r="J18" i="51"/>
  <c r="H18" i="51"/>
  <c r="E18" i="51"/>
  <c r="B18" i="51"/>
  <c r="L17" i="51"/>
  <c r="K17" i="51"/>
  <c r="J17" i="51"/>
  <c r="H17" i="51"/>
  <c r="E17" i="51"/>
  <c r="B17" i="51"/>
  <c r="L16" i="51"/>
  <c r="K16" i="51"/>
  <c r="J16" i="51"/>
  <c r="E16" i="51"/>
  <c r="B16" i="51"/>
  <c r="K15" i="51"/>
  <c r="L15" i="51" s="1"/>
  <c r="J15" i="51"/>
  <c r="E15" i="51"/>
  <c r="B15" i="51"/>
  <c r="H15" i="51" s="1"/>
  <c r="L14" i="51"/>
  <c r="K14" i="51"/>
  <c r="J14" i="51"/>
  <c r="H14" i="51"/>
  <c r="E14" i="51"/>
  <c r="B14" i="51"/>
  <c r="K13" i="51"/>
  <c r="L13" i="51" s="1"/>
  <c r="J13" i="51"/>
  <c r="E13" i="51"/>
  <c r="B13" i="51"/>
  <c r="H13" i="51" s="1"/>
  <c r="L12" i="51"/>
  <c r="K12" i="51"/>
  <c r="J12" i="51"/>
  <c r="H12" i="51"/>
  <c r="E12" i="51"/>
  <c r="B12" i="51"/>
  <c r="K11" i="51"/>
  <c r="L11" i="51" s="1"/>
  <c r="J11" i="51"/>
  <c r="E11" i="51"/>
  <c r="B11" i="51"/>
  <c r="H11" i="51" s="1"/>
  <c r="L10" i="51"/>
  <c r="K10" i="51"/>
  <c r="J10" i="51"/>
  <c r="H10" i="51"/>
  <c r="E10" i="51"/>
  <c r="B10" i="51"/>
  <c r="K9" i="51"/>
  <c r="L9" i="51" s="1"/>
  <c r="J9" i="51"/>
  <c r="E9" i="51"/>
  <c r="B9" i="51"/>
  <c r="H9" i="51" s="1"/>
  <c r="L8" i="51"/>
  <c r="K8" i="51"/>
  <c r="J8" i="51"/>
  <c r="H8" i="51"/>
  <c r="E8" i="51"/>
  <c r="B8" i="51"/>
  <c r="K7" i="51"/>
  <c r="L7" i="51" s="1"/>
  <c r="J7" i="51"/>
  <c r="E7" i="51"/>
  <c r="B7" i="51"/>
  <c r="H7" i="51" s="1"/>
  <c r="L6" i="51"/>
  <c r="K6" i="51"/>
  <c r="J6" i="51"/>
  <c r="H6" i="51"/>
  <c r="E6" i="51"/>
  <c r="B6" i="51"/>
  <c r="K5" i="51"/>
  <c r="L5" i="51" s="1"/>
  <c r="J5" i="51"/>
  <c r="E5" i="51"/>
  <c r="M4" i="51"/>
  <c r="L4" i="51"/>
  <c r="K4" i="51"/>
  <c r="I4" i="51"/>
  <c r="G4" i="51"/>
  <c r="J4" i="51" s="1"/>
  <c r="F4" i="51"/>
  <c r="E4" i="51" s="1"/>
  <c r="B4" i="51"/>
  <c r="E2" i="51"/>
  <c r="L20" i="50"/>
  <c r="K20" i="50"/>
  <c r="J20" i="50"/>
  <c r="H20" i="50"/>
  <c r="E20" i="50"/>
  <c r="B20" i="50"/>
  <c r="L19" i="50"/>
  <c r="K19" i="50"/>
  <c r="J19" i="50"/>
  <c r="E19" i="50"/>
  <c r="B19" i="50"/>
  <c r="H19" i="50" s="1"/>
  <c r="L18" i="50"/>
  <c r="K18" i="50"/>
  <c r="J18" i="50"/>
  <c r="H18" i="50"/>
  <c r="E18" i="50"/>
  <c r="B18" i="50"/>
  <c r="L17" i="50"/>
  <c r="K17" i="50"/>
  <c r="J17" i="50"/>
  <c r="H17" i="50"/>
  <c r="E17" i="50"/>
  <c r="B17" i="50"/>
  <c r="L16" i="50"/>
  <c r="K16" i="50"/>
  <c r="J16" i="50"/>
  <c r="E16" i="50"/>
  <c r="B16" i="50"/>
  <c r="K15" i="50"/>
  <c r="L15" i="50" s="1"/>
  <c r="J15" i="50"/>
  <c r="E15" i="50"/>
  <c r="B15" i="50"/>
  <c r="H15" i="50" s="1"/>
  <c r="L14" i="50"/>
  <c r="K14" i="50"/>
  <c r="J14" i="50"/>
  <c r="H14" i="50"/>
  <c r="E14" i="50"/>
  <c r="B14" i="50"/>
  <c r="K13" i="50"/>
  <c r="L13" i="50" s="1"/>
  <c r="J13" i="50"/>
  <c r="E13" i="50"/>
  <c r="B13" i="50"/>
  <c r="H13" i="50" s="1"/>
  <c r="L12" i="50"/>
  <c r="K12" i="50"/>
  <c r="J12" i="50"/>
  <c r="H12" i="50"/>
  <c r="E12" i="50"/>
  <c r="B12" i="50"/>
  <c r="K11" i="50"/>
  <c r="L11" i="50" s="1"/>
  <c r="J11" i="50"/>
  <c r="E11" i="50"/>
  <c r="B11" i="50"/>
  <c r="H11" i="50" s="1"/>
  <c r="L10" i="50"/>
  <c r="K10" i="50"/>
  <c r="J10" i="50"/>
  <c r="H10" i="50"/>
  <c r="E10" i="50"/>
  <c r="B10" i="50"/>
  <c r="K9" i="50"/>
  <c r="L9" i="50" s="1"/>
  <c r="J9" i="50"/>
  <c r="E9" i="50"/>
  <c r="B9" i="50"/>
  <c r="H9" i="50" s="1"/>
  <c r="L8" i="50"/>
  <c r="K8" i="50"/>
  <c r="J8" i="50"/>
  <c r="H8" i="50"/>
  <c r="E8" i="50"/>
  <c r="B8" i="50"/>
  <c r="K7" i="50"/>
  <c r="L7" i="50" s="1"/>
  <c r="J7" i="50"/>
  <c r="E7" i="50"/>
  <c r="B7" i="50"/>
  <c r="H7" i="50" s="1"/>
  <c r="L6" i="50"/>
  <c r="K6" i="50"/>
  <c r="J6" i="50"/>
  <c r="H6" i="50"/>
  <c r="E6" i="50"/>
  <c r="B6" i="50"/>
  <c r="K5" i="50"/>
  <c r="L5" i="50" s="1"/>
  <c r="J5" i="50"/>
  <c r="E5" i="50"/>
  <c r="M4" i="50"/>
  <c r="L4" i="50"/>
  <c r="K4" i="50"/>
  <c r="I4" i="50"/>
  <c r="G4" i="50"/>
  <c r="J4" i="50" s="1"/>
  <c r="F4" i="50"/>
  <c r="E4" i="50" s="1"/>
  <c r="B4" i="50"/>
  <c r="E2" i="50"/>
  <c r="L20" i="49"/>
  <c r="K20" i="49"/>
  <c r="J20" i="49"/>
  <c r="H20" i="49"/>
  <c r="E20" i="49"/>
  <c r="B20" i="49"/>
  <c r="L19" i="49"/>
  <c r="K19" i="49"/>
  <c r="J19" i="49"/>
  <c r="E19" i="49"/>
  <c r="B19" i="49"/>
  <c r="H19" i="49" s="1"/>
  <c r="L18" i="49"/>
  <c r="K18" i="49"/>
  <c r="J18" i="49"/>
  <c r="H18" i="49"/>
  <c r="E18" i="49"/>
  <c r="B18" i="49"/>
  <c r="L17" i="49"/>
  <c r="K17" i="49"/>
  <c r="J17" i="49"/>
  <c r="H17" i="49"/>
  <c r="E17" i="49"/>
  <c r="B17" i="49"/>
  <c r="L16" i="49"/>
  <c r="K16" i="49"/>
  <c r="J16" i="49"/>
  <c r="E16" i="49"/>
  <c r="B16" i="49"/>
  <c r="K15" i="49"/>
  <c r="L15" i="49" s="1"/>
  <c r="J15" i="49"/>
  <c r="E15" i="49"/>
  <c r="B15" i="49"/>
  <c r="H15" i="49" s="1"/>
  <c r="L14" i="49"/>
  <c r="K14" i="49"/>
  <c r="J14" i="49"/>
  <c r="H14" i="49"/>
  <c r="E14" i="49"/>
  <c r="B14" i="49"/>
  <c r="K13" i="49"/>
  <c r="L13" i="49" s="1"/>
  <c r="J13" i="49"/>
  <c r="E13" i="49"/>
  <c r="B13" i="49"/>
  <c r="H13" i="49" s="1"/>
  <c r="L12" i="49"/>
  <c r="K12" i="49"/>
  <c r="J12" i="49"/>
  <c r="H12" i="49"/>
  <c r="E12" i="49"/>
  <c r="B12" i="49"/>
  <c r="K11" i="49"/>
  <c r="L11" i="49" s="1"/>
  <c r="J11" i="49"/>
  <c r="E11" i="49"/>
  <c r="B11" i="49"/>
  <c r="H11" i="49" s="1"/>
  <c r="L10" i="49"/>
  <c r="K10" i="49"/>
  <c r="J10" i="49"/>
  <c r="H10" i="49"/>
  <c r="E10" i="49"/>
  <c r="B10" i="49"/>
  <c r="K9" i="49"/>
  <c r="L9" i="49" s="1"/>
  <c r="J9" i="49"/>
  <c r="E9" i="49"/>
  <c r="B9" i="49"/>
  <c r="H9" i="49" s="1"/>
  <c r="L8" i="49"/>
  <c r="K8" i="49"/>
  <c r="J8" i="49"/>
  <c r="H8" i="49"/>
  <c r="E8" i="49"/>
  <c r="B8" i="49"/>
  <c r="K7" i="49"/>
  <c r="L7" i="49" s="1"/>
  <c r="J7" i="49"/>
  <c r="E7" i="49"/>
  <c r="B7" i="49"/>
  <c r="H7" i="49" s="1"/>
  <c r="H4" i="49" s="1"/>
  <c r="L6" i="49"/>
  <c r="K6" i="49"/>
  <c r="J6" i="49"/>
  <c r="H6" i="49"/>
  <c r="E6" i="49"/>
  <c r="B6" i="49"/>
  <c r="K5" i="49"/>
  <c r="L5" i="49" s="1"/>
  <c r="J5" i="49"/>
  <c r="E5" i="49"/>
  <c r="M4" i="49"/>
  <c r="I4" i="49"/>
  <c r="G4" i="49"/>
  <c r="J4" i="49" s="1"/>
  <c r="F4" i="49"/>
  <c r="E4" i="49" s="1"/>
  <c r="B4" i="49"/>
  <c r="E2" i="49"/>
  <c r="L20" i="48"/>
  <c r="K20" i="48"/>
  <c r="J20" i="48"/>
  <c r="H20" i="48"/>
  <c r="E20" i="48"/>
  <c r="B20" i="48"/>
  <c r="L19" i="48"/>
  <c r="K19" i="48"/>
  <c r="J19" i="48"/>
  <c r="E19" i="48"/>
  <c r="B19" i="48"/>
  <c r="H19" i="48" s="1"/>
  <c r="L18" i="48"/>
  <c r="K18" i="48"/>
  <c r="J18" i="48"/>
  <c r="H18" i="48"/>
  <c r="E18" i="48"/>
  <c r="B18" i="48"/>
  <c r="L17" i="48"/>
  <c r="K17" i="48"/>
  <c r="J17" i="48"/>
  <c r="H17" i="48"/>
  <c r="E17" i="48"/>
  <c r="B17" i="48"/>
  <c r="L16" i="48"/>
  <c r="K16" i="48"/>
  <c r="J16" i="48"/>
  <c r="E16" i="48"/>
  <c r="B16" i="48"/>
  <c r="K15" i="48"/>
  <c r="L15" i="48" s="1"/>
  <c r="J15" i="48"/>
  <c r="E15" i="48"/>
  <c r="B15" i="48"/>
  <c r="H15" i="48" s="1"/>
  <c r="L14" i="48"/>
  <c r="K14" i="48"/>
  <c r="J14" i="48"/>
  <c r="H14" i="48"/>
  <c r="E14" i="48"/>
  <c r="B14" i="48"/>
  <c r="K13" i="48"/>
  <c r="L13" i="48" s="1"/>
  <c r="J13" i="48"/>
  <c r="E13" i="48"/>
  <c r="B13" i="48"/>
  <c r="H13" i="48" s="1"/>
  <c r="L12" i="48"/>
  <c r="K12" i="48"/>
  <c r="J12" i="48"/>
  <c r="H12" i="48"/>
  <c r="E12" i="48"/>
  <c r="B12" i="48"/>
  <c r="K11" i="48"/>
  <c r="L11" i="48" s="1"/>
  <c r="J11" i="48"/>
  <c r="E11" i="48"/>
  <c r="B11" i="48"/>
  <c r="H11" i="48" s="1"/>
  <c r="L10" i="48"/>
  <c r="K10" i="48"/>
  <c r="J10" i="48"/>
  <c r="H10" i="48"/>
  <c r="E10" i="48"/>
  <c r="B10" i="48"/>
  <c r="K9" i="48"/>
  <c r="L9" i="48" s="1"/>
  <c r="J9" i="48"/>
  <c r="E9" i="48"/>
  <c r="B9" i="48"/>
  <c r="H9" i="48" s="1"/>
  <c r="L8" i="48"/>
  <c r="K8" i="48"/>
  <c r="J8" i="48"/>
  <c r="H8" i="48"/>
  <c r="E8" i="48"/>
  <c r="B8" i="48"/>
  <c r="K7" i="48"/>
  <c r="L7" i="48" s="1"/>
  <c r="J7" i="48"/>
  <c r="E7" i="48"/>
  <c r="B7" i="48"/>
  <c r="H7" i="48" s="1"/>
  <c r="L6" i="48"/>
  <c r="K6" i="48"/>
  <c r="J6" i="48"/>
  <c r="H6" i="48"/>
  <c r="E6" i="48"/>
  <c r="B6" i="48"/>
  <c r="K5" i="48"/>
  <c r="L5" i="48" s="1"/>
  <c r="J5" i="48"/>
  <c r="E5" i="48"/>
  <c r="M4" i="48"/>
  <c r="I4" i="48"/>
  <c r="G4" i="48"/>
  <c r="J4" i="48" s="1"/>
  <c r="F4" i="48"/>
  <c r="E4" i="48" s="1"/>
  <c r="B4" i="48"/>
  <c r="E2" i="48"/>
  <c r="L20" i="47"/>
  <c r="K20" i="47"/>
  <c r="J20" i="47"/>
  <c r="H20" i="47"/>
  <c r="E20" i="47"/>
  <c r="B20" i="47"/>
  <c r="L19" i="47"/>
  <c r="K19" i="47"/>
  <c r="J19" i="47"/>
  <c r="E19" i="47"/>
  <c r="B19" i="47"/>
  <c r="H19" i="47" s="1"/>
  <c r="L18" i="47"/>
  <c r="K18" i="47"/>
  <c r="J18" i="47"/>
  <c r="H18" i="47"/>
  <c r="E18" i="47"/>
  <c r="B18" i="47"/>
  <c r="L17" i="47"/>
  <c r="K17" i="47"/>
  <c r="J17" i="47"/>
  <c r="H17" i="47"/>
  <c r="E17" i="47"/>
  <c r="B17" i="47"/>
  <c r="L16" i="47"/>
  <c r="K16" i="47"/>
  <c r="J16" i="47"/>
  <c r="E16" i="47"/>
  <c r="B16" i="47"/>
  <c r="K15" i="47"/>
  <c r="L15" i="47" s="1"/>
  <c r="J15" i="47"/>
  <c r="E15" i="47"/>
  <c r="B15" i="47"/>
  <c r="H15" i="47" s="1"/>
  <c r="L14" i="47"/>
  <c r="K14" i="47"/>
  <c r="J14" i="47"/>
  <c r="H14" i="47"/>
  <c r="E14" i="47"/>
  <c r="B14" i="47"/>
  <c r="K13" i="47"/>
  <c r="L13" i="47" s="1"/>
  <c r="J13" i="47"/>
  <c r="E13" i="47"/>
  <c r="B13" i="47"/>
  <c r="H13" i="47" s="1"/>
  <c r="L12" i="47"/>
  <c r="K12" i="47"/>
  <c r="J12" i="47"/>
  <c r="H12" i="47"/>
  <c r="E12" i="47"/>
  <c r="B12" i="47"/>
  <c r="K11" i="47"/>
  <c r="L11" i="47" s="1"/>
  <c r="J11" i="47"/>
  <c r="E11" i="47"/>
  <c r="B11" i="47"/>
  <c r="H11" i="47" s="1"/>
  <c r="L10" i="47"/>
  <c r="K10" i="47"/>
  <c r="J10" i="47"/>
  <c r="H10" i="47"/>
  <c r="E10" i="47"/>
  <c r="B10" i="47"/>
  <c r="K9" i="47"/>
  <c r="L9" i="47" s="1"/>
  <c r="J9" i="47"/>
  <c r="E9" i="47"/>
  <c r="B9" i="47"/>
  <c r="H9" i="47" s="1"/>
  <c r="L8" i="47"/>
  <c r="K8" i="47"/>
  <c r="J8" i="47"/>
  <c r="H8" i="47"/>
  <c r="E8" i="47"/>
  <c r="B8" i="47"/>
  <c r="K7" i="47"/>
  <c r="L7" i="47" s="1"/>
  <c r="J7" i="47"/>
  <c r="E7" i="47"/>
  <c r="B7" i="47"/>
  <c r="H7" i="47" s="1"/>
  <c r="L6" i="47"/>
  <c r="K6" i="47"/>
  <c r="J6" i="47"/>
  <c r="H6" i="47"/>
  <c r="E6" i="47"/>
  <c r="B6" i="47"/>
  <c r="K5" i="47"/>
  <c r="L5" i="47" s="1"/>
  <c r="J5" i="47"/>
  <c r="E5" i="47"/>
  <c r="M4" i="47"/>
  <c r="I4" i="47"/>
  <c r="G4" i="47"/>
  <c r="J4" i="47" s="1"/>
  <c r="F4" i="47"/>
  <c r="E4" i="47" s="1"/>
  <c r="B4" i="47"/>
  <c r="E2" i="47"/>
  <c r="L20" i="46"/>
  <c r="K20" i="46"/>
  <c r="J20" i="46"/>
  <c r="H20" i="46"/>
  <c r="E20" i="46"/>
  <c r="B20" i="46"/>
  <c r="L19" i="46"/>
  <c r="K19" i="46"/>
  <c r="J19" i="46"/>
  <c r="E19" i="46"/>
  <c r="B19" i="46"/>
  <c r="H19" i="46" s="1"/>
  <c r="L18" i="46"/>
  <c r="K18" i="46"/>
  <c r="J18" i="46"/>
  <c r="H18" i="46"/>
  <c r="E18" i="46"/>
  <c r="B18" i="46"/>
  <c r="L17" i="46"/>
  <c r="K17" i="46"/>
  <c r="J17" i="46"/>
  <c r="H17" i="46"/>
  <c r="E17" i="46"/>
  <c r="B17" i="46"/>
  <c r="L16" i="46"/>
  <c r="K16" i="46"/>
  <c r="J16" i="46"/>
  <c r="E16" i="46"/>
  <c r="B16" i="46"/>
  <c r="K15" i="46"/>
  <c r="L15" i="46" s="1"/>
  <c r="J15" i="46"/>
  <c r="E15" i="46"/>
  <c r="B15" i="46"/>
  <c r="H15" i="46" s="1"/>
  <c r="L14" i="46"/>
  <c r="K14" i="46"/>
  <c r="J14" i="46"/>
  <c r="H14" i="46"/>
  <c r="E14" i="46"/>
  <c r="B14" i="46"/>
  <c r="K13" i="46"/>
  <c r="L13" i="46" s="1"/>
  <c r="J13" i="46"/>
  <c r="E13" i="46"/>
  <c r="B13" i="46"/>
  <c r="H13" i="46" s="1"/>
  <c r="L12" i="46"/>
  <c r="K12" i="46"/>
  <c r="J12" i="46"/>
  <c r="H12" i="46"/>
  <c r="E12" i="46"/>
  <c r="B12" i="46"/>
  <c r="K11" i="46"/>
  <c r="L11" i="46" s="1"/>
  <c r="J11" i="46"/>
  <c r="E11" i="46"/>
  <c r="B11" i="46"/>
  <c r="H11" i="46" s="1"/>
  <c r="L10" i="46"/>
  <c r="K10" i="46"/>
  <c r="J10" i="46"/>
  <c r="H10" i="46"/>
  <c r="E10" i="46"/>
  <c r="B10" i="46"/>
  <c r="K9" i="46"/>
  <c r="L9" i="46" s="1"/>
  <c r="J9" i="46"/>
  <c r="E9" i="46"/>
  <c r="B9" i="46"/>
  <c r="H9" i="46" s="1"/>
  <c r="L8" i="46"/>
  <c r="K8" i="46"/>
  <c r="J8" i="46"/>
  <c r="H8" i="46"/>
  <c r="E8" i="46"/>
  <c r="B8" i="46"/>
  <c r="K7" i="46"/>
  <c r="L7" i="46" s="1"/>
  <c r="J7" i="46"/>
  <c r="E7" i="46"/>
  <c r="B7" i="46"/>
  <c r="H7" i="46" s="1"/>
  <c r="H4" i="46" s="1"/>
  <c r="L6" i="46"/>
  <c r="K6" i="46"/>
  <c r="J6" i="46"/>
  <c r="H6" i="46"/>
  <c r="E6" i="46"/>
  <c r="B6" i="46"/>
  <c r="K5" i="46"/>
  <c r="L5" i="46" s="1"/>
  <c r="J5" i="46"/>
  <c r="E5" i="46"/>
  <c r="M4" i="46"/>
  <c r="I4" i="46"/>
  <c r="G4" i="46"/>
  <c r="J4" i="46" s="1"/>
  <c r="F4" i="46"/>
  <c r="E4" i="46" s="1"/>
  <c r="B4" i="46"/>
  <c r="E2" i="46"/>
  <c r="L20" i="45"/>
  <c r="K20" i="45"/>
  <c r="J20" i="45"/>
  <c r="H20" i="45"/>
  <c r="E20" i="45"/>
  <c r="B20" i="45"/>
  <c r="L19" i="45"/>
  <c r="K19" i="45"/>
  <c r="J19" i="45"/>
  <c r="E19" i="45"/>
  <c r="B19" i="45"/>
  <c r="H19" i="45" s="1"/>
  <c r="L18" i="45"/>
  <c r="K18" i="45"/>
  <c r="J18" i="45"/>
  <c r="H18" i="45"/>
  <c r="E18" i="45"/>
  <c r="B18" i="45"/>
  <c r="L17" i="45"/>
  <c r="K17" i="45"/>
  <c r="J17" i="45"/>
  <c r="H17" i="45"/>
  <c r="E17" i="45"/>
  <c r="B17" i="45"/>
  <c r="L16" i="45"/>
  <c r="K16" i="45"/>
  <c r="J16" i="45"/>
  <c r="E16" i="45"/>
  <c r="B16" i="45"/>
  <c r="K15" i="45"/>
  <c r="L15" i="45" s="1"/>
  <c r="J15" i="45"/>
  <c r="E15" i="45"/>
  <c r="B15" i="45"/>
  <c r="H15" i="45" s="1"/>
  <c r="L14" i="45"/>
  <c r="K14" i="45"/>
  <c r="J14" i="45"/>
  <c r="H14" i="45"/>
  <c r="E14" i="45"/>
  <c r="B14" i="45"/>
  <c r="K13" i="45"/>
  <c r="L13" i="45" s="1"/>
  <c r="J13" i="45"/>
  <c r="E13" i="45"/>
  <c r="B13" i="45"/>
  <c r="H13" i="45" s="1"/>
  <c r="L12" i="45"/>
  <c r="K12" i="45"/>
  <c r="J12" i="45"/>
  <c r="H12" i="45"/>
  <c r="E12" i="45"/>
  <c r="B12" i="45"/>
  <c r="K11" i="45"/>
  <c r="L11" i="45" s="1"/>
  <c r="J11" i="45"/>
  <c r="E11" i="45"/>
  <c r="B11" i="45"/>
  <c r="H11" i="45" s="1"/>
  <c r="L10" i="45"/>
  <c r="K10" i="45"/>
  <c r="J10" i="45"/>
  <c r="H10" i="45"/>
  <c r="E10" i="45"/>
  <c r="B10" i="45"/>
  <c r="K9" i="45"/>
  <c r="L9" i="45" s="1"/>
  <c r="J9" i="45"/>
  <c r="E9" i="45"/>
  <c r="B9" i="45"/>
  <c r="H9" i="45" s="1"/>
  <c r="L8" i="45"/>
  <c r="K8" i="45"/>
  <c r="J8" i="45"/>
  <c r="H8" i="45"/>
  <c r="E8" i="45"/>
  <c r="B8" i="45"/>
  <c r="K7" i="45"/>
  <c r="L7" i="45" s="1"/>
  <c r="J7" i="45"/>
  <c r="E7" i="45"/>
  <c r="B7" i="45"/>
  <c r="B4" i="45" s="1"/>
  <c r="L6" i="45"/>
  <c r="K6" i="45"/>
  <c r="J6" i="45"/>
  <c r="H6" i="45"/>
  <c r="E6" i="45"/>
  <c r="B6" i="45"/>
  <c r="K5" i="45"/>
  <c r="L5" i="45" s="1"/>
  <c r="J5" i="45"/>
  <c r="E5" i="45"/>
  <c r="M4" i="45"/>
  <c r="I4" i="45"/>
  <c r="G4" i="45"/>
  <c r="J4" i="45" s="1"/>
  <c r="F4" i="45"/>
  <c r="E4" i="45" s="1"/>
  <c r="D4" i="45"/>
  <c r="E2" i="45" s="1"/>
  <c r="K20" i="44"/>
  <c r="L20" i="44" s="1"/>
  <c r="J20" i="44"/>
  <c r="E20" i="44"/>
  <c r="B20" i="44"/>
  <c r="H20" i="44" s="1"/>
  <c r="L19" i="44"/>
  <c r="K19" i="44"/>
  <c r="J19" i="44"/>
  <c r="H19" i="44"/>
  <c r="E19" i="44"/>
  <c r="B19" i="44"/>
  <c r="K18" i="44"/>
  <c r="L18" i="44" s="1"/>
  <c r="J18" i="44"/>
  <c r="E18" i="44"/>
  <c r="B18" i="44"/>
  <c r="B4" i="44" s="1"/>
  <c r="L17" i="44"/>
  <c r="K17" i="44"/>
  <c r="J17" i="44"/>
  <c r="H17" i="44"/>
  <c r="E17" i="44"/>
  <c r="B17" i="44"/>
  <c r="K16" i="44"/>
  <c r="L16" i="44" s="1"/>
  <c r="J16" i="44"/>
  <c r="E16" i="44"/>
  <c r="B16" i="44"/>
  <c r="L15" i="44"/>
  <c r="K15" i="44"/>
  <c r="J15" i="44"/>
  <c r="E15" i="44"/>
  <c r="B15" i="44"/>
  <c r="H15" i="44" s="1"/>
  <c r="L14" i="44"/>
  <c r="K14" i="44"/>
  <c r="J14" i="44"/>
  <c r="H14" i="44"/>
  <c r="E14" i="44"/>
  <c r="B14" i="44"/>
  <c r="L13" i="44"/>
  <c r="K13" i="44"/>
  <c r="J13" i="44"/>
  <c r="E13" i="44"/>
  <c r="B13" i="44"/>
  <c r="H13" i="44" s="1"/>
  <c r="L12" i="44"/>
  <c r="K12" i="44"/>
  <c r="J12" i="44"/>
  <c r="H12" i="44"/>
  <c r="E12" i="44"/>
  <c r="B12" i="44"/>
  <c r="L11" i="44"/>
  <c r="K11" i="44"/>
  <c r="J11" i="44"/>
  <c r="E11" i="44"/>
  <c r="B11" i="44"/>
  <c r="H11" i="44" s="1"/>
  <c r="L10" i="44"/>
  <c r="K10" i="44"/>
  <c r="J10" i="44"/>
  <c r="H10" i="44"/>
  <c r="E10" i="44"/>
  <c r="B10" i="44"/>
  <c r="L9" i="44"/>
  <c r="K9" i="44"/>
  <c r="J9" i="44"/>
  <c r="E9" i="44"/>
  <c r="B9" i="44"/>
  <c r="H9" i="44" s="1"/>
  <c r="L8" i="44"/>
  <c r="K8" i="44"/>
  <c r="J8" i="44"/>
  <c r="H8" i="44"/>
  <c r="E8" i="44"/>
  <c r="B8" i="44"/>
  <c r="L7" i="44"/>
  <c r="K7" i="44"/>
  <c r="J7" i="44"/>
  <c r="E7" i="44"/>
  <c r="B7" i="44"/>
  <c r="H7" i="44" s="1"/>
  <c r="L6" i="44"/>
  <c r="K6" i="44"/>
  <c r="J6" i="44"/>
  <c r="H6" i="44"/>
  <c r="E6" i="44"/>
  <c r="B6" i="44"/>
  <c r="L5" i="44"/>
  <c r="K5" i="44"/>
  <c r="J5" i="44"/>
  <c r="E5" i="44"/>
  <c r="M4" i="44"/>
  <c r="I4" i="44"/>
  <c r="G4" i="44"/>
  <c r="F4" i="44"/>
  <c r="E4" i="44"/>
  <c r="E2" i="44"/>
  <c r="K20" i="43"/>
  <c r="L20" i="43" s="1"/>
  <c r="J20" i="43"/>
  <c r="E20" i="43"/>
  <c r="B20" i="43"/>
  <c r="H20" i="43" s="1"/>
  <c r="L19" i="43"/>
  <c r="K19" i="43"/>
  <c r="J19" i="43"/>
  <c r="H19" i="43"/>
  <c r="E19" i="43"/>
  <c r="B19" i="43"/>
  <c r="K18" i="43"/>
  <c r="L18" i="43" s="1"/>
  <c r="J18" i="43"/>
  <c r="E18" i="43"/>
  <c r="B18" i="43"/>
  <c r="L17" i="43"/>
  <c r="K17" i="43"/>
  <c r="J17" i="43"/>
  <c r="H17" i="43"/>
  <c r="E17" i="43"/>
  <c r="B17" i="43"/>
  <c r="K16" i="43"/>
  <c r="L16" i="43" s="1"/>
  <c r="J16" i="43"/>
  <c r="E16" i="43"/>
  <c r="B16" i="43"/>
  <c r="L15" i="43"/>
  <c r="K15" i="43"/>
  <c r="J15" i="43"/>
  <c r="E15" i="43"/>
  <c r="B15" i="43"/>
  <c r="H15" i="43" s="1"/>
  <c r="L14" i="43"/>
  <c r="K14" i="43"/>
  <c r="J14" i="43"/>
  <c r="H14" i="43"/>
  <c r="E14" i="43"/>
  <c r="B14" i="43"/>
  <c r="L13" i="43"/>
  <c r="K13" i="43"/>
  <c r="J13" i="43"/>
  <c r="E13" i="43"/>
  <c r="B13" i="43"/>
  <c r="H13" i="43" s="1"/>
  <c r="L12" i="43"/>
  <c r="K12" i="43"/>
  <c r="J12" i="43"/>
  <c r="H12" i="43"/>
  <c r="E12" i="43"/>
  <c r="B12" i="43"/>
  <c r="L11" i="43"/>
  <c r="K11" i="43"/>
  <c r="J11" i="43"/>
  <c r="E11" i="43"/>
  <c r="B11" i="43"/>
  <c r="H11" i="43" s="1"/>
  <c r="L10" i="43"/>
  <c r="K10" i="43"/>
  <c r="J10" i="43"/>
  <c r="H10" i="43"/>
  <c r="E10" i="43"/>
  <c r="B10" i="43"/>
  <c r="L9" i="43"/>
  <c r="K9" i="43"/>
  <c r="J9" i="43"/>
  <c r="E9" i="43"/>
  <c r="B9" i="43"/>
  <c r="H9" i="43" s="1"/>
  <c r="L8" i="43"/>
  <c r="K8" i="43"/>
  <c r="J8" i="43"/>
  <c r="H8" i="43"/>
  <c r="E8" i="43"/>
  <c r="B8" i="43"/>
  <c r="L7" i="43"/>
  <c r="K7" i="43"/>
  <c r="J7" i="43"/>
  <c r="E7" i="43"/>
  <c r="B7" i="43"/>
  <c r="H7" i="43" s="1"/>
  <c r="L6" i="43"/>
  <c r="K6" i="43"/>
  <c r="J6" i="43"/>
  <c r="H6" i="43"/>
  <c r="E6" i="43"/>
  <c r="B6" i="43"/>
  <c r="L5" i="43"/>
  <c r="K5" i="43"/>
  <c r="J5" i="43"/>
  <c r="E5" i="43"/>
  <c r="M4" i="43"/>
  <c r="I4" i="43"/>
  <c r="G4" i="43"/>
  <c r="F4" i="43"/>
  <c r="E4" i="43"/>
  <c r="E2" i="43"/>
  <c r="K20" i="42"/>
  <c r="L20" i="42" s="1"/>
  <c r="J20" i="42"/>
  <c r="E20" i="42"/>
  <c r="B20" i="42"/>
  <c r="L19" i="42"/>
  <c r="K19" i="42"/>
  <c r="J19" i="42"/>
  <c r="H19" i="42"/>
  <c r="E19" i="42"/>
  <c r="B19" i="42"/>
  <c r="K18" i="42"/>
  <c r="L18" i="42" s="1"/>
  <c r="J18" i="42"/>
  <c r="E18" i="42"/>
  <c r="B18" i="42"/>
  <c r="L17" i="42"/>
  <c r="K17" i="42"/>
  <c r="J17" i="42"/>
  <c r="H17" i="42"/>
  <c r="E17" i="42"/>
  <c r="B17" i="42"/>
  <c r="K16" i="42"/>
  <c r="L16" i="42" s="1"/>
  <c r="J16" i="42"/>
  <c r="E16" i="42"/>
  <c r="B16" i="42"/>
  <c r="L15" i="42"/>
  <c r="K15" i="42"/>
  <c r="J15" i="42"/>
  <c r="E15" i="42"/>
  <c r="B15" i="42"/>
  <c r="H15" i="42" s="1"/>
  <c r="L14" i="42"/>
  <c r="K14" i="42"/>
  <c r="J14" i="42"/>
  <c r="H14" i="42"/>
  <c r="E14" i="42"/>
  <c r="B14" i="42"/>
  <c r="L13" i="42"/>
  <c r="K13" i="42"/>
  <c r="J13" i="42"/>
  <c r="E13" i="42"/>
  <c r="B13" i="42"/>
  <c r="H13" i="42" s="1"/>
  <c r="L12" i="42"/>
  <c r="K12" i="42"/>
  <c r="J12" i="42"/>
  <c r="H12" i="42"/>
  <c r="E12" i="42"/>
  <c r="B12" i="42"/>
  <c r="L11" i="42"/>
  <c r="K11" i="42"/>
  <c r="J11" i="42"/>
  <c r="E11" i="42"/>
  <c r="B11" i="42"/>
  <c r="H11" i="42" s="1"/>
  <c r="L10" i="42"/>
  <c r="K10" i="42"/>
  <c r="J10" i="42"/>
  <c r="H10" i="42"/>
  <c r="E10" i="42"/>
  <c r="B10" i="42"/>
  <c r="L9" i="42"/>
  <c r="K9" i="42"/>
  <c r="J9" i="42"/>
  <c r="E9" i="42"/>
  <c r="B9" i="42"/>
  <c r="H9" i="42" s="1"/>
  <c r="L8" i="42"/>
  <c r="K8" i="42"/>
  <c r="J8" i="42"/>
  <c r="H8" i="42"/>
  <c r="E8" i="42"/>
  <c r="B8" i="42"/>
  <c r="L7" i="42"/>
  <c r="K7" i="42"/>
  <c r="J7" i="42"/>
  <c r="E7" i="42"/>
  <c r="B7" i="42"/>
  <c r="H7" i="42" s="1"/>
  <c r="L6" i="42"/>
  <c r="K6" i="42"/>
  <c r="J6" i="42"/>
  <c r="H6" i="42"/>
  <c r="E6" i="42"/>
  <c r="B6" i="42"/>
  <c r="L5" i="42"/>
  <c r="K5" i="42"/>
  <c r="J5" i="42"/>
  <c r="E5" i="42"/>
  <c r="M4" i="42"/>
  <c r="I4" i="42"/>
  <c r="G4" i="42"/>
  <c r="F4" i="42"/>
  <c r="E4" i="42"/>
  <c r="F29" i="41"/>
  <c r="L20" i="41"/>
  <c r="K20" i="41"/>
  <c r="J20" i="41"/>
  <c r="E20" i="41"/>
  <c r="B20" i="41"/>
  <c r="H20" i="41" s="1"/>
  <c r="L19" i="41"/>
  <c r="K19" i="41"/>
  <c r="J19" i="41"/>
  <c r="H19" i="41"/>
  <c r="E19" i="41"/>
  <c r="B19" i="41"/>
  <c r="L18" i="41"/>
  <c r="K18" i="41"/>
  <c r="J18" i="41"/>
  <c r="E18" i="41"/>
  <c r="B18" i="41"/>
  <c r="H18" i="41" s="1"/>
  <c r="L17" i="41"/>
  <c r="K17" i="41"/>
  <c r="J17" i="41"/>
  <c r="H17" i="41"/>
  <c r="E17" i="41"/>
  <c r="B17" i="41"/>
  <c r="L16" i="41"/>
  <c r="K16" i="41"/>
  <c r="J16" i="41"/>
  <c r="E16" i="41"/>
  <c r="B16" i="41"/>
  <c r="L15" i="41"/>
  <c r="K15" i="41"/>
  <c r="J15" i="41"/>
  <c r="H15" i="41"/>
  <c r="E15" i="41"/>
  <c r="B15" i="41"/>
  <c r="K14" i="41"/>
  <c r="L14" i="41" s="1"/>
  <c r="J14" i="41"/>
  <c r="E14" i="41"/>
  <c r="B14" i="41"/>
  <c r="H14" i="41" s="1"/>
  <c r="L13" i="41"/>
  <c r="K13" i="41"/>
  <c r="J13" i="41"/>
  <c r="H13" i="41"/>
  <c r="E13" i="41"/>
  <c r="B13" i="41"/>
  <c r="K12" i="41"/>
  <c r="L12" i="41" s="1"/>
  <c r="J12" i="41"/>
  <c r="E12" i="41"/>
  <c r="B12" i="41"/>
  <c r="H12" i="41" s="1"/>
  <c r="L11" i="41"/>
  <c r="K11" i="41"/>
  <c r="J11" i="41"/>
  <c r="H11" i="41"/>
  <c r="E11" i="41"/>
  <c r="B11" i="41"/>
  <c r="K10" i="41"/>
  <c r="L10" i="41" s="1"/>
  <c r="J10" i="41"/>
  <c r="E10" i="41"/>
  <c r="B10" i="41"/>
  <c r="H10" i="41" s="1"/>
  <c r="L9" i="41"/>
  <c r="K9" i="41"/>
  <c r="J9" i="41"/>
  <c r="H9" i="41"/>
  <c r="E9" i="41"/>
  <c r="B9" i="41"/>
  <c r="K8" i="41"/>
  <c r="L8" i="41" s="1"/>
  <c r="J8" i="41"/>
  <c r="E8" i="41"/>
  <c r="B8" i="41"/>
  <c r="H8" i="41" s="1"/>
  <c r="L7" i="41"/>
  <c r="K7" i="41"/>
  <c r="J7" i="41"/>
  <c r="H7" i="41"/>
  <c r="E7" i="41"/>
  <c r="B7" i="41"/>
  <c r="K6" i="41"/>
  <c r="L6" i="41" s="1"/>
  <c r="J6" i="41"/>
  <c r="E6" i="41"/>
  <c r="B6" i="41"/>
  <c r="L5" i="41"/>
  <c r="K5" i="41"/>
  <c r="J5" i="41"/>
  <c r="E5" i="41"/>
  <c r="M4" i="41"/>
  <c r="J4" i="41"/>
  <c r="I4" i="41"/>
  <c r="G4" i="41"/>
  <c r="F4" i="41"/>
  <c r="F29" i="40"/>
  <c r="L20" i="40"/>
  <c r="K20" i="40"/>
  <c r="J20" i="40"/>
  <c r="H20" i="40"/>
  <c r="E20" i="40"/>
  <c r="B20" i="40"/>
  <c r="K19" i="40"/>
  <c r="L19" i="40" s="1"/>
  <c r="J19" i="40"/>
  <c r="B19" i="40"/>
  <c r="L18" i="40"/>
  <c r="K18" i="40"/>
  <c r="J18" i="40"/>
  <c r="H18" i="40"/>
  <c r="E18" i="40"/>
  <c r="B18" i="40"/>
  <c r="K17" i="40"/>
  <c r="L17" i="40" s="1"/>
  <c r="J17" i="40"/>
  <c r="H17" i="40"/>
  <c r="B17" i="40"/>
  <c r="L16" i="40"/>
  <c r="K16" i="40"/>
  <c r="J16" i="40"/>
  <c r="B16" i="40"/>
  <c r="L15" i="40"/>
  <c r="K15" i="40"/>
  <c r="J15" i="40"/>
  <c r="E15" i="40"/>
  <c r="B15" i="40"/>
  <c r="H15" i="40" s="1"/>
  <c r="L14" i="40"/>
  <c r="K14" i="40"/>
  <c r="J14" i="40"/>
  <c r="H14" i="40"/>
  <c r="E14" i="40"/>
  <c r="B14" i="40"/>
  <c r="L13" i="40"/>
  <c r="K13" i="40"/>
  <c r="J13" i="40"/>
  <c r="E13" i="40"/>
  <c r="B13" i="40"/>
  <c r="H13" i="40" s="1"/>
  <c r="L12" i="40"/>
  <c r="K12" i="40"/>
  <c r="J12" i="40"/>
  <c r="H12" i="40"/>
  <c r="E12" i="40"/>
  <c r="B12" i="40"/>
  <c r="L11" i="40"/>
  <c r="K11" i="40"/>
  <c r="J11" i="40"/>
  <c r="E11" i="40"/>
  <c r="B11" i="40"/>
  <c r="H11" i="40" s="1"/>
  <c r="L10" i="40"/>
  <c r="K10" i="40"/>
  <c r="J10" i="40"/>
  <c r="H10" i="40"/>
  <c r="E10" i="40"/>
  <c r="B10" i="40"/>
  <c r="L9" i="40"/>
  <c r="K9" i="40"/>
  <c r="J9" i="40"/>
  <c r="E9" i="40"/>
  <c r="B9" i="40"/>
  <c r="H9" i="40" s="1"/>
  <c r="L8" i="40"/>
  <c r="K8" i="40"/>
  <c r="J8" i="40"/>
  <c r="H8" i="40"/>
  <c r="E8" i="40"/>
  <c r="B8" i="40"/>
  <c r="L7" i="40"/>
  <c r="K7" i="40"/>
  <c r="J7" i="40"/>
  <c r="E7" i="40"/>
  <c r="B7" i="40"/>
  <c r="H7" i="40" s="1"/>
  <c r="L6" i="40"/>
  <c r="K6" i="40"/>
  <c r="J6" i="40"/>
  <c r="H6" i="40"/>
  <c r="E6" i="40"/>
  <c r="B6" i="40"/>
  <c r="L5" i="40"/>
  <c r="K5" i="40"/>
  <c r="J5" i="40"/>
  <c r="E5" i="40"/>
  <c r="M4" i="40"/>
  <c r="I4" i="40"/>
  <c r="G4" i="40"/>
  <c r="F4" i="40"/>
  <c r="F29" i="39"/>
  <c r="L20" i="39"/>
  <c r="K20" i="39"/>
  <c r="J20" i="39"/>
  <c r="E20" i="39"/>
  <c r="B20" i="39"/>
  <c r="H20" i="39" s="1"/>
  <c r="L19" i="39"/>
  <c r="K19" i="39"/>
  <c r="J19" i="39"/>
  <c r="H19" i="39"/>
  <c r="E19" i="39"/>
  <c r="B19" i="39"/>
  <c r="L18" i="39"/>
  <c r="K18" i="39"/>
  <c r="J18" i="39"/>
  <c r="E18" i="39"/>
  <c r="B18" i="39"/>
  <c r="H18" i="39" s="1"/>
  <c r="L17" i="39"/>
  <c r="K17" i="39"/>
  <c r="J17" i="39"/>
  <c r="H17" i="39"/>
  <c r="B17" i="39"/>
  <c r="K16" i="39"/>
  <c r="L16" i="39" s="1"/>
  <c r="J16" i="39"/>
  <c r="B16" i="39"/>
  <c r="K15" i="39"/>
  <c r="L15" i="39" s="1"/>
  <c r="J15" i="39"/>
  <c r="B15" i="39"/>
  <c r="L14" i="39"/>
  <c r="K14" i="39"/>
  <c r="J14" i="39"/>
  <c r="H14" i="39"/>
  <c r="E14" i="39"/>
  <c r="B14" i="39"/>
  <c r="K13" i="39"/>
  <c r="L13" i="39" s="1"/>
  <c r="J13" i="39"/>
  <c r="B13" i="39"/>
  <c r="L12" i="39"/>
  <c r="K12" i="39"/>
  <c r="J12" i="39"/>
  <c r="H12" i="39"/>
  <c r="E12" i="39"/>
  <c r="B12" i="39"/>
  <c r="K11" i="39"/>
  <c r="L11" i="39" s="1"/>
  <c r="J11" i="39"/>
  <c r="B11" i="39"/>
  <c r="L10" i="39"/>
  <c r="K10" i="39"/>
  <c r="J10" i="39"/>
  <c r="H10" i="39"/>
  <c r="E10" i="39"/>
  <c r="B10" i="39"/>
  <c r="K9" i="39"/>
  <c r="L9" i="39" s="1"/>
  <c r="J9" i="39"/>
  <c r="B9" i="39"/>
  <c r="L8" i="39"/>
  <c r="K8" i="39"/>
  <c r="J8" i="39"/>
  <c r="H8" i="39"/>
  <c r="E8" i="39"/>
  <c r="B8" i="39"/>
  <c r="K7" i="39"/>
  <c r="L7" i="39" s="1"/>
  <c r="J7" i="39"/>
  <c r="B7" i="39"/>
  <c r="L6" i="39"/>
  <c r="K6" i="39"/>
  <c r="J6" i="39"/>
  <c r="H6" i="39"/>
  <c r="E6" i="39"/>
  <c r="B6" i="39"/>
  <c r="K5" i="39"/>
  <c r="L5" i="39" s="1"/>
  <c r="J5" i="39"/>
  <c r="E5" i="39"/>
  <c r="M4" i="39"/>
  <c r="I4" i="39"/>
  <c r="G4" i="39"/>
  <c r="J4" i="39" s="1"/>
  <c r="F4" i="39"/>
  <c r="B4" i="39"/>
  <c r="F29" i="38"/>
  <c r="K20" i="38"/>
  <c r="L20" i="38" s="1"/>
  <c r="J20" i="38"/>
  <c r="B20" i="38"/>
  <c r="L19" i="38"/>
  <c r="K19" i="38"/>
  <c r="J19" i="38"/>
  <c r="H19" i="38"/>
  <c r="E19" i="38"/>
  <c r="B19" i="38"/>
  <c r="K18" i="38"/>
  <c r="L18" i="38" s="1"/>
  <c r="J18" i="38"/>
  <c r="B18" i="38"/>
  <c r="L17" i="38"/>
  <c r="K17" i="38"/>
  <c r="J17" i="38"/>
  <c r="H17" i="38"/>
  <c r="B17" i="38"/>
  <c r="L16" i="38"/>
  <c r="K16" i="38"/>
  <c r="J16" i="38"/>
  <c r="B16" i="38"/>
  <c r="L15" i="38"/>
  <c r="K15" i="38"/>
  <c r="J15" i="38"/>
  <c r="H15" i="38"/>
  <c r="E15" i="38"/>
  <c r="B15" i="38"/>
  <c r="L14" i="38"/>
  <c r="K14" i="38"/>
  <c r="J14" i="38"/>
  <c r="E14" i="38"/>
  <c r="B14" i="38"/>
  <c r="H14" i="38" s="1"/>
  <c r="L13" i="38"/>
  <c r="K13" i="38"/>
  <c r="J13" i="38"/>
  <c r="H13" i="38"/>
  <c r="E13" i="38"/>
  <c r="B13" i="38"/>
  <c r="L12" i="38"/>
  <c r="K12" i="38"/>
  <c r="J12" i="38"/>
  <c r="E12" i="38"/>
  <c r="B12" i="38"/>
  <c r="H12" i="38" s="1"/>
  <c r="L11" i="38"/>
  <c r="K11" i="38"/>
  <c r="J11" i="38"/>
  <c r="H11" i="38"/>
  <c r="E11" i="38"/>
  <c r="B11" i="38"/>
  <c r="L10" i="38"/>
  <c r="K10" i="38"/>
  <c r="J10" i="38"/>
  <c r="E10" i="38"/>
  <c r="B10" i="38"/>
  <c r="H10" i="38" s="1"/>
  <c r="L9" i="38"/>
  <c r="K9" i="38"/>
  <c r="J9" i="38"/>
  <c r="H9" i="38"/>
  <c r="E9" i="38"/>
  <c r="B9" i="38"/>
  <c r="L8" i="38"/>
  <c r="K8" i="38"/>
  <c r="J8" i="38"/>
  <c r="E8" i="38"/>
  <c r="B8" i="38"/>
  <c r="H8" i="38" s="1"/>
  <c r="L7" i="38"/>
  <c r="K7" i="38"/>
  <c r="J7" i="38"/>
  <c r="H7" i="38"/>
  <c r="E7" i="38"/>
  <c r="B7" i="38"/>
  <c r="L6" i="38"/>
  <c r="K6" i="38"/>
  <c r="J6" i="38"/>
  <c r="E6" i="38"/>
  <c r="B6" i="38"/>
  <c r="H6" i="38" s="1"/>
  <c r="L5" i="38"/>
  <c r="K5" i="38"/>
  <c r="J5" i="38"/>
  <c r="E5" i="38"/>
  <c r="M4" i="38"/>
  <c r="K4" i="38"/>
  <c r="I4" i="38"/>
  <c r="G4" i="38"/>
  <c r="J4" i="38" s="1"/>
  <c r="F4" i="38"/>
  <c r="F29" i="37"/>
  <c r="L20" i="37"/>
  <c r="K20" i="37"/>
  <c r="J20" i="37"/>
  <c r="H20" i="37"/>
  <c r="E20" i="37"/>
  <c r="B20" i="37"/>
  <c r="L19" i="37"/>
  <c r="K19" i="37"/>
  <c r="J19" i="37"/>
  <c r="E19" i="37"/>
  <c r="B19" i="37"/>
  <c r="H19" i="37" s="1"/>
  <c r="L18" i="37"/>
  <c r="K18" i="37"/>
  <c r="J18" i="37"/>
  <c r="H18" i="37"/>
  <c r="E18" i="37"/>
  <c r="B18" i="37"/>
  <c r="L17" i="37"/>
  <c r="K17" i="37"/>
  <c r="J17" i="37"/>
  <c r="H17" i="37"/>
  <c r="B17" i="37"/>
  <c r="L16" i="37"/>
  <c r="K16" i="37"/>
  <c r="J16" i="37"/>
  <c r="B16" i="37"/>
  <c r="L15" i="37"/>
  <c r="K15" i="37"/>
  <c r="J15" i="37"/>
  <c r="H15" i="37"/>
  <c r="E15" i="37"/>
  <c r="B15" i="37"/>
  <c r="K14" i="37"/>
  <c r="L14" i="37" s="1"/>
  <c r="J14" i="37"/>
  <c r="B14" i="37"/>
  <c r="L13" i="37"/>
  <c r="K13" i="37"/>
  <c r="J13" i="37"/>
  <c r="H13" i="37"/>
  <c r="E13" i="37"/>
  <c r="B13" i="37"/>
  <c r="K12" i="37"/>
  <c r="L12" i="37" s="1"/>
  <c r="J12" i="37"/>
  <c r="B12" i="37"/>
  <c r="L11" i="37"/>
  <c r="K11" i="37"/>
  <c r="J11" i="37"/>
  <c r="H11" i="37"/>
  <c r="E11" i="37"/>
  <c r="B11" i="37"/>
  <c r="K10" i="37"/>
  <c r="L10" i="37" s="1"/>
  <c r="J10" i="37"/>
  <c r="B10" i="37"/>
  <c r="L9" i="37"/>
  <c r="K9" i="37"/>
  <c r="J9" i="37"/>
  <c r="H9" i="37"/>
  <c r="E9" i="37"/>
  <c r="B9" i="37"/>
  <c r="K8" i="37"/>
  <c r="L8" i="37" s="1"/>
  <c r="J8" i="37"/>
  <c r="B8" i="37"/>
  <c r="L7" i="37"/>
  <c r="K7" i="37"/>
  <c r="J7" i="37"/>
  <c r="H7" i="37"/>
  <c r="E7" i="37"/>
  <c r="B7" i="37"/>
  <c r="K6" i="37"/>
  <c r="L6" i="37" s="1"/>
  <c r="J6" i="37"/>
  <c r="B6" i="37"/>
  <c r="L5" i="37"/>
  <c r="K5" i="37"/>
  <c r="J5" i="37"/>
  <c r="E5" i="37"/>
  <c r="M4" i="37"/>
  <c r="J4" i="37"/>
  <c r="I4" i="37"/>
  <c r="K4" i="49" s="1"/>
  <c r="L4" i="49" s="1"/>
  <c r="G4" i="37"/>
  <c r="F4" i="37"/>
  <c r="F29" i="36"/>
  <c r="L20" i="36"/>
  <c r="K20" i="36"/>
  <c r="J20" i="36"/>
  <c r="H20" i="36"/>
  <c r="E20" i="36"/>
  <c r="B20" i="36"/>
  <c r="K19" i="36"/>
  <c r="L19" i="36" s="1"/>
  <c r="J19" i="36"/>
  <c r="B19" i="36"/>
  <c r="L18" i="36"/>
  <c r="K18" i="36"/>
  <c r="J18" i="36"/>
  <c r="H18" i="36"/>
  <c r="E18" i="36"/>
  <c r="B18" i="36"/>
  <c r="K17" i="36"/>
  <c r="L17" i="36" s="1"/>
  <c r="J17" i="36"/>
  <c r="H17" i="36"/>
  <c r="B17" i="36"/>
  <c r="L16" i="36"/>
  <c r="K16" i="36"/>
  <c r="J16" i="36"/>
  <c r="B16" i="36"/>
  <c r="L15" i="36"/>
  <c r="K15" i="36"/>
  <c r="J15" i="36"/>
  <c r="E15" i="36"/>
  <c r="B15" i="36"/>
  <c r="H15" i="36" s="1"/>
  <c r="L14" i="36"/>
  <c r="K14" i="36"/>
  <c r="J14" i="36"/>
  <c r="H14" i="36"/>
  <c r="E14" i="36"/>
  <c r="B14" i="36"/>
  <c r="L13" i="36"/>
  <c r="K13" i="36"/>
  <c r="J13" i="36"/>
  <c r="E13" i="36"/>
  <c r="B13" i="36"/>
  <c r="H13" i="36" s="1"/>
  <c r="L12" i="36"/>
  <c r="K12" i="36"/>
  <c r="J12" i="36"/>
  <c r="H12" i="36"/>
  <c r="E12" i="36"/>
  <c r="B12" i="36"/>
  <c r="L11" i="36"/>
  <c r="K11" i="36"/>
  <c r="J11" i="36"/>
  <c r="E11" i="36"/>
  <c r="B11" i="36"/>
  <c r="H11" i="36" s="1"/>
  <c r="L10" i="36"/>
  <c r="K10" i="36"/>
  <c r="J10" i="36"/>
  <c r="H10" i="36"/>
  <c r="E10" i="36"/>
  <c r="B10" i="36"/>
  <c r="L9" i="36"/>
  <c r="K9" i="36"/>
  <c r="J9" i="36"/>
  <c r="E9" i="36"/>
  <c r="B9" i="36"/>
  <c r="H9" i="36" s="1"/>
  <c r="L8" i="36"/>
  <c r="K8" i="36"/>
  <c r="J8" i="36"/>
  <c r="H8" i="36"/>
  <c r="E8" i="36"/>
  <c r="B8" i="36"/>
  <c r="L7" i="36"/>
  <c r="K7" i="36"/>
  <c r="J7" i="36"/>
  <c r="E7" i="36"/>
  <c r="B7" i="36"/>
  <c r="H7" i="36" s="1"/>
  <c r="L6" i="36"/>
  <c r="K6" i="36"/>
  <c r="J6" i="36"/>
  <c r="H6" i="36"/>
  <c r="E6" i="36"/>
  <c r="B6" i="36"/>
  <c r="L5" i="36"/>
  <c r="K5" i="36"/>
  <c r="J5" i="36"/>
  <c r="E5" i="36"/>
  <c r="M4" i="36"/>
  <c r="I4" i="36"/>
  <c r="G4" i="36"/>
  <c r="F4" i="36"/>
  <c r="F29" i="35"/>
  <c r="L20" i="35"/>
  <c r="K20" i="35"/>
  <c r="J20" i="35"/>
  <c r="E20" i="35"/>
  <c r="B20" i="35"/>
  <c r="H20" i="35" s="1"/>
  <c r="L19" i="35"/>
  <c r="K19" i="35"/>
  <c r="J19" i="35"/>
  <c r="H19" i="35"/>
  <c r="E19" i="35"/>
  <c r="B19" i="35"/>
  <c r="L18" i="35"/>
  <c r="K18" i="35"/>
  <c r="J18" i="35"/>
  <c r="B18" i="35"/>
  <c r="H18" i="35" s="1"/>
  <c r="L17" i="35"/>
  <c r="K17" i="35"/>
  <c r="J17" i="35"/>
  <c r="H17" i="35"/>
  <c r="B17" i="35"/>
  <c r="K16" i="35"/>
  <c r="L16" i="35" s="1"/>
  <c r="J16" i="35"/>
  <c r="B16" i="35"/>
  <c r="K15" i="35"/>
  <c r="L15" i="35" s="1"/>
  <c r="J15" i="35"/>
  <c r="B15" i="35"/>
  <c r="L14" i="35"/>
  <c r="K14" i="35"/>
  <c r="J14" i="35"/>
  <c r="H14" i="35"/>
  <c r="E14" i="35"/>
  <c r="B14" i="35"/>
  <c r="K13" i="35"/>
  <c r="L13" i="35" s="1"/>
  <c r="J13" i="35"/>
  <c r="B13" i="35"/>
  <c r="L12" i="35"/>
  <c r="K12" i="35"/>
  <c r="J12" i="35"/>
  <c r="H12" i="35"/>
  <c r="E12" i="35"/>
  <c r="B12" i="35"/>
  <c r="K11" i="35"/>
  <c r="L11" i="35" s="1"/>
  <c r="J11" i="35"/>
  <c r="H11" i="35"/>
  <c r="B11" i="35"/>
  <c r="E11" i="35" s="1"/>
  <c r="K10" i="35"/>
  <c r="L10" i="35" s="1"/>
  <c r="J10" i="35"/>
  <c r="B10" i="35"/>
  <c r="E10" i="35" s="1"/>
  <c r="K9" i="35"/>
  <c r="L9" i="35" s="1"/>
  <c r="J9" i="35"/>
  <c r="B9" i="35"/>
  <c r="E9" i="35" s="1"/>
  <c r="L8" i="35"/>
  <c r="K8" i="35"/>
  <c r="J8" i="35"/>
  <c r="H8" i="35"/>
  <c r="E8" i="35"/>
  <c r="B8" i="35"/>
  <c r="K7" i="35"/>
  <c r="L7" i="35" s="1"/>
  <c r="J7" i="35"/>
  <c r="H7" i="35"/>
  <c r="B7" i="35"/>
  <c r="E7" i="35" s="1"/>
  <c r="K6" i="35"/>
  <c r="L6" i="35" s="1"/>
  <c r="J6" i="35"/>
  <c r="B6" i="35"/>
  <c r="E6" i="35" s="1"/>
  <c r="K5" i="35"/>
  <c r="L5" i="35" s="1"/>
  <c r="J5" i="35"/>
  <c r="E5" i="35"/>
  <c r="M4" i="35"/>
  <c r="J4" i="35"/>
  <c r="I4" i="35"/>
  <c r="G4" i="35"/>
  <c r="F4" i="35"/>
  <c r="B4" i="35"/>
  <c r="E4" i="35" s="1"/>
  <c r="F29" i="34"/>
  <c r="K20" i="34"/>
  <c r="L20" i="34" s="1"/>
  <c r="J20" i="34"/>
  <c r="H20" i="34"/>
  <c r="B20" i="34"/>
  <c r="E20" i="34" s="1"/>
  <c r="K19" i="34"/>
  <c r="L19" i="34" s="1"/>
  <c r="J19" i="34"/>
  <c r="B19" i="34"/>
  <c r="E19" i="34" s="1"/>
  <c r="K18" i="34"/>
  <c r="L18" i="34" s="1"/>
  <c r="J18" i="34"/>
  <c r="B18" i="34"/>
  <c r="E18" i="34" s="1"/>
  <c r="L17" i="34"/>
  <c r="K17" i="34"/>
  <c r="J17" i="34"/>
  <c r="H17" i="34"/>
  <c r="B17" i="34"/>
  <c r="L16" i="34"/>
  <c r="K16" i="34"/>
  <c r="J16" i="34"/>
  <c r="B16" i="34"/>
  <c r="L15" i="34"/>
  <c r="K15" i="34"/>
  <c r="J15" i="34"/>
  <c r="H15" i="34"/>
  <c r="E15" i="34"/>
  <c r="B15" i="34"/>
  <c r="L14" i="34"/>
  <c r="K14" i="34"/>
  <c r="J14" i="34"/>
  <c r="B14" i="34"/>
  <c r="H14" i="34" s="1"/>
  <c r="L13" i="34"/>
  <c r="K13" i="34"/>
  <c r="J13" i="34"/>
  <c r="H13" i="34"/>
  <c r="E13" i="34"/>
  <c r="B13" i="34"/>
  <c r="K12" i="34"/>
  <c r="L12" i="34" s="1"/>
  <c r="J12" i="34"/>
  <c r="B12" i="34"/>
  <c r="H12" i="34" s="1"/>
  <c r="L11" i="34"/>
  <c r="K11" i="34"/>
  <c r="J11" i="34"/>
  <c r="H11" i="34"/>
  <c r="E11" i="34"/>
  <c r="B11" i="34"/>
  <c r="K10" i="34"/>
  <c r="L10" i="34" s="1"/>
  <c r="J10" i="34"/>
  <c r="E10" i="34"/>
  <c r="B10" i="34"/>
  <c r="H10" i="34" s="1"/>
  <c r="L9" i="34"/>
  <c r="K9" i="34"/>
  <c r="J9" i="34"/>
  <c r="H9" i="34"/>
  <c r="E9" i="34"/>
  <c r="B9" i="34"/>
  <c r="L8" i="34"/>
  <c r="K8" i="34"/>
  <c r="J8" i="34"/>
  <c r="E8" i="34"/>
  <c r="B8" i="34"/>
  <c r="H8" i="34" s="1"/>
  <c r="L7" i="34"/>
  <c r="K7" i="34"/>
  <c r="J7" i="34"/>
  <c r="H7" i="34"/>
  <c r="E7" i="34"/>
  <c r="B7" i="34"/>
  <c r="L6" i="34"/>
  <c r="K6" i="34"/>
  <c r="J6" i="34"/>
  <c r="B6" i="34"/>
  <c r="L5" i="34"/>
  <c r="K5" i="34"/>
  <c r="J5" i="34"/>
  <c r="E5" i="34"/>
  <c r="M4" i="34"/>
  <c r="I4" i="34"/>
  <c r="J4" i="34" s="1"/>
  <c r="G4" i="34"/>
  <c r="F4" i="34"/>
  <c r="F29" i="33"/>
  <c r="L20" i="33"/>
  <c r="K20" i="33"/>
  <c r="J20" i="33"/>
  <c r="H20" i="33"/>
  <c r="E20" i="33"/>
  <c r="B20" i="33"/>
  <c r="L19" i="33"/>
  <c r="K19" i="33"/>
  <c r="J19" i="33"/>
  <c r="B19" i="33"/>
  <c r="H19" i="33" s="1"/>
  <c r="L18" i="33"/>
  <c r="K18" i="33"/>
  <c r="J18" i="33"/>
  <c r="H18" i="33"/>
  <c r="E18" i="33"/>
  <c r="B18" i="33"/>
  <c r="K17" i="33"/>
  <c r="L17" i="33" s="1"/>
  <c r="J17" i="33"/>
  <c r="H17" i="33"/>
  <c r="B17" i="33"/>
  <c r="L16" i="33"/>
  <c r="K16" i="33"/>
  <c r="J16" i="33"/>
  <c r="B16" i="33"/>
  <c r="L15" i="33"/>
  <c r="K15" i="33"/>
  <c r="J15" i="33"/>
  <c r="E15" i="33"/>
  <c r="B15" i="33"/>
  <c r="H15" i="33" s="1"/>
  <c r="K14" i="33"/>
  <c r="L14" i="33" s="1"/>
  <c r="J14" i="33"/>
  <c r="H14" i="33"/>
  <c r="B14" i="33"/>
  <c r="E14" i="33" s="1"/>
  <c r="K13" i="33"/>
  <c r="L13" i="33" s="1"/>
  <c r="J13" i="33"/>
  <c r="H13" i="33"/>
  <c r="B13" i="33"/>
  <c r="E13" i="33" s="1"/>
  <c r="K12" i="33"/>
  <c r="L12" i="33" s="1"/>
  <c r="J12" i="33"/>
  <c r="B12" i="33"/>
  <c r="E12" i="33" s="1"/>
  <c r="L11" i="33"/>
  <c r="K11" i="33"/>
  <c r="J11" i="33"/>
  <c r="E11" i="33"/>
  <c r="B11" i="33"/>
  <c r="H11" i="33" s="1"/>
  <c r="K10" i="33"/>
  <c r="L10" i="33" s="1"/>
  <c r="J10" i="33"/>
  <c r="H10" i="33"/>
  <c r="B10" i="33"/>
  <c r="E10" i="33" s="1"/>
  <c r="K9" i="33"/>
  <c r="L9" i="33" s="1"/>
  <c r="J9" i="33"/>
  <c r="H9" i="33"/>
  <c r="B9" i="33"/>
  <c r="E9" i="33" s="1"/>
  <c r="K8" i="33"/>
  <c r="L8" i="33" s="1"/>
  <c r="J8" i="33"/>
  <c r="B8" i="33"/>
  <c r="E8" i="33" s="1"/>
  <c r="L7" i="33"/>
  <c r="K7" i="33"/>
  <c r="J7" i="33"/>
  <c r="E7" i="33"/>
  <c r="B7" i="33"/>
  <c r="H7" i="33" s="1"/>
  <c r="K6" i="33"/>
  <c r="L6" i="33" s="1"/>
  <c r="J6" i="33"/>
  <c r="H6" i="33"/>
  <c r="B6" i="33"/>
  <c r="E6" i="33" s="1"/>
  <c r="K5" i="33"/>
  <c r="L5" i="33" s="1"/>
  <c r="J5" i="33"/>
  <c r="E5" i="33"/>
  <c r="M4" i="33"/>
  <c r="J4" i="33"/>
  <c r="I4" i="33"/>
  <c r="K4" i="33" s="1"/>
  <c r="L4" i="33" s="1"/>
  <c r="G4" i="33"/>
  <c r="F4" i="33"/>
  <c r="F29" i="32"/>
  <c r="L20" i="32"/>
  <c r="K20" i="32"/>
  <c r="J20" i="32"/>
  <c r="E20" i="32"/>
  <c r="B20" i="32"/>
  <c r="H20" i="32" s="1"/>
  <c r="K19" i="32"/>
  <c r="L19" i="32" s="1"/>
  <c r="J19" i="32"/>
  <c r="H19" i="32"/>
  <c r="B19" i="32"/>
  <c r="E19" i="32" s="1"/>
  <c r="K18" i="32"/>
  <c r="L18" i="32" s="1"/>
  <c r="J18" i="32"/>
  <c r="H18" i="32"/>
  <c r="B18" i="32"/>
  <c r="E18" i="32" s="1"/>
  <c r="K17" i="32"/>
  <c r="L17" i="32" s="1"/>
  <c r="J17" i="32"/>
  <c r="H17" i="32"/>
  <c r="B17" i="32"/>
  <c r="L16" i="32"/>
  <c r="K16" i="32"/>
  <c r="J16" i="32"/>
  <c r="B16" i="32"/>
  <c r="L15" i="32"/>
  <c r="K15" i="32"/>
  <c r="J15" i="32"/>
  <c r="B15" i="32"/>
  <c r="H15" i="32" s="1"/>
  <c r="L14" i="32"/>
  <c r="K14" i="32"/>
  <c r="J14" i="32"/>
  <c r="H14" i="32"/>
  <c r="E14" i="32"/>
  <c r="B14" i="32"/>
  <c r="K13" i="32"/>
  <c r="L13" i="32" s="1"/>
  <c r="J13" i="32"/>
  <c r="B13" i="32"/>
  <c r="H13" i="32" s="1"/>
  <c r="L12" i="32"/>
  <c r="K12" i="32"/>
  <c r="J12" i="32"/>
  <c r="H12" i="32"/>
  <c r="E12" i="32"/>
  <c r="B12" i="32"/>
  <c r="K11" i="32"/>
  <c r="L11" i="32" s="1"/>
  <c r="J11" i="32"/>
  <c r="E11" i="32"/>
  <c r="B11" i="32"/>
  <c r="H11" i="32" s="1"/>
  <c r="L10" i="32"/>
  <c r="K10" i="32"/>
  <c r="J10" i="32"/>
  <c r="H10" i="32"/>
  <c r="E10" i="32"/>
  <c r="B10" i="32"/>
  <c r="L9" i="32"/>
  <c r="K9" i="32"/>
  <c r="J9" i="32"/>
  <c r="E9" i="32"/>
  <c r="B9" i="32"/>
  <c r="H9" i="32" s="1"/>
  <c r="L8" i="32"/>
  <c r="K8" i="32"/>
  <c r="J8" i="32"/>
  <c r="H8" i="32"/>
  <c r="E8" i="32"/>
  <c r="B8" i="32"/>
  <c r="L7" i="32"/>
  <c r="K7" i="32"/>
  <c r="J7" i="32"/>
  <c r="B7" i="32"/>
  <c r="H7" i="32" s="1"/>
  <c r="L6" i="32"/>
  <c r="K6" i="32"/>
  <c r="J6" i="32"/>
  <c r="H6" i="32"/>
  <c r="H4" i="32" s="1"/>
  <c r="E6" i="32"/>
  <c r="B6" i="32"/>
  <c r="K5" i="32"/>
  <c r="L5" i="32" s="1"/>
  <c r="J5" i="32"/>
  <c r="E5" i="32"/>
  <c r="M4" i="32"/>
  <c r="K4" i="32"/>
  <c r="I4" i="32"/>
  <c r="G4" i="32"/>
  <c r="L4" i="32" s="1"/>
  <c r="F4" i="32"/>
  <c r="F29" i="31"/>
  <c r="K20" i="31"/>
  <c r="L20" i="31" s="1"/>
  <c r="H20" i="31"/>
  <c r="B20" i="31"/>
  <c r="E20" i="31" s="1"/>
  <c r="K19" i="31"/>
  <c r="L19" i="31" s="1"/>
  <c r="E19" i="31"/>
  <c r="B19" i="31"/>
  <c r="H19" i="31" s="1"/>
  <c r="L18" i="31"/>
  <c r="K18" i="31"/>
  <c r="H18" i="31"/>
  <c r="E18" i="31"/>
  <c r="B18" i="31"/>
  <c r="K17" i="31"/>
  <c r="L17" i="31" s="1"/>
  <c r="H17" i="31"/>
  <c r="B17" i="31"/>
  <c r="K16" i="31"/>
  <c r="L16" i="31" s="1"/>
  <c r="B16" i="31"/>
  <c r="L15" i="31"/>
  <c r="K15" i="31"/>
  <c r="B15" i="31"/>
  <c r="E15" i="31" s="1"/>
  <c r="K14" i="31"/>
  <c r="L14" i="31" s="1"/>
  <c r="H14" i="31"/>
  <c r="E14" i="31"/>
  <c r="B14" i="31"/>
  <c r="L13" i="31"/>
  <c r="K13" i="31"/>
  <c r="B13" i="31"/>
  <c r="E13" i="31" s="1"/>
  <c r="L12" i="31"/>
  <c r="K12" i="31"/>
  <c r="B12" i="31"/>
  <c r="H12" i="31" s="1"/>
  <c r="L11" i="31"/>
  <c r="K11" i="31"/>
  <c r="E11" i="31"/>
  <c r="B11" i="31"/>
  <c r="H11" i="31" s="1"/>
  <c r="K10" i="31"/>
  <c r="L10" i="31" s="1"/>
  <c r="H10" i="31"/>
  <c r="E10" i="31"/>
  <c r="B10" i="31"/>
  <c r="K9" i="31"/>
  <c r="L9" i="31" s="1"/>
  <c r="H9" i="31"/>
  <c r="B9" i="31"/>
  <c r="E9" i="31" s="1"/>
  <c r="K8" i="31"/>
  <c r="L8" i="31" s="1"/>
  <c r="E8" i="31"/>
  <c r="B8" i="31"/>
  <c r="H8" i="31" s="1"/>
  <c r="L7" i="31"/>
  <c r="K7" i="31"/>
  <c r="H7" i="31"/>
  <c r="E7" i="31"/>
  <c r="B7" i="31"/>
  <c r="K6" i="31"/>
  <c r="L6" i="31" s="1"/>
  <c r="H6" i="31"/>
  <c r="E6" i="31"/>
  <c r="B6" i="31"/>
  <c r="K5" i="31"/>
  <c r="L5" i="31" s="1"/>
  <c r="E5" i="31"/>
  <c r="M4" i="31"/>
  <c r="K4" i="31"/>
  <c r="L4" i="31" s="1"/>
  <c r="G4" i="31"/>
  <c r="F4" i="31"/>
  <c r="F29" i="30"/>
  <c r="H20" i="30"/>
  <c r="E20" i="30"/>
  <c r="B20" i="30"/>
  <c r="L19" i="30"/>
  <c r="H19" i="30"/>
  <c r="E19" i="30"/>
  <c r="B19" i="30"/>
  <c r="L18" i="30"/>
  <c r="H18" i="30"/>
  <c r="E18" i="30"/>
  <c r="B18" i="30"/>
  <c r="L17" i="30"/>
  <c r="H17" i="30"/>
  <c r="B17" i="30"/>
  <c r="L16" i="30"/>
  <c r="B16" i="30"/>
  <c r="L15" i="30"/>
  <c r="H15" i="30"/>
  <c r="B15" i="30"/>
  <c r="E15" i="30" s="1"/>
  <c r="L14" i="30"/>
  <c r="B14" i="30"/>
  <c r="E14" i="30" s="1"/>
  <c r="L13" i="30"/>
  <c r="J13" i="30"/>
  <c r="B13" i="30"/>
  <c r="H13" i="30" s="1"/>
  <c r="L12" i="30"/>
  <c r="B12" i="30"/>
  <c r="H12" i="30" s="1"/>
  <c r="L11" i="30"/>
  <c r="E11" i="30"/>
  <c r="B11" i="30"/>
  <c r="H11" i="30" s="1"/>
  <c r="L10" i="30"/>
  <c r="E10" i="30"/>
  <c r="B10" i="30"/>
  <c r="H10" i="30" s="1"/>
  <c r="L9" i="30"/>
  <c r="B9" i="30"/>
  <c r="H9" i="30" s="1"/>
  <c r="L8" i="30"/>
  <c r="B8" i="30"/>
  <c r="H8" i="30" s="1"/>
  <c r="L7" i="30"/>
  <c r="E7" i="30"/>
  <c r="B7" i="30"/>
  <c r="H7" i="30" s="1"/>
  <c r="L6" i="30"/>
  <c r="E6" i="30"/>
  <c r="B6" i="30"/>
  <c r="L5" i="30"/>
  <c r="J5" i="30"/>
  <c r="E5" i="30"/>
  <c r="M4" i="30"/>
  <c r="L4" i="30"/>
  <c r="G4" i="30"/>
  <c r="F4" i="30"/>
  <c r="F29" i="29"/>
  <c r="H20" i="29"/>
  <c r="B20" i="29"/>
  <c r="E20" i="29" s="1"/>
  <c r="L19" i="29"/>
  <c r="B19" i="29"/>
  <c r="E19" i="29" s="1"/>
  <c r="L18" i="29"/>
  <c r="B18" i="29"/>
  <c r="E18" i="29" s="1"/>
  <c r="L17" i="29"/>
  <c r="H17" i="29"/>
  <c r="B17" i="29"/>
  <c r="L16" i="29"/>
  <c r="B16" i="29"/>
  <c r="B4" i="29" s="1"/>
  <c r="L15" i="29"/>
  <c r="B15" i="29"/>
  <c r="H15" i="29" s="1"/>
  <c r="L14" i="29"/>
  <c r="E14" i="29"/>
  <c r="B14" i="29"/>
  <c r="H14" i="29" s="1"/>
  <c r="L13" i="29"/>
  <c r="J13" i="29"/>
  <c r="H13" i="29"/>
  <c r="B13" i="29"/>
  <c r="E13" i="29" s="1"/>
  <c r="L12" i="29"/>
  <c r="H12" i="29"/>
  <c r="B12" i="29"/>
  <c r="E12" i="29" s="1"/>
  <c r="L11" i="29"/>
  <c r="H11" i="29"/>
  <c r="B11" i="29"/>
  <c r="E11" i="29" s="1"/>
  <c r="L10" i="29"/>
  <c r="H10" i="29"/>
  <c r="B10" i="29"/>
  <c r="E10" i="29" s="1"/>
  <c r="L9" i="29"/>
  <c r="H9" i="29"/>
  <c r="B9" i="29"/>
  <c r="E9" i="29" s="1"/>
  <c r="L8" i="29"/>
  <c r="H8" i="29"/>
  <c r="B8" i="29"/>
  <c r="E8" i="29" s="1"/>
  <c r="L7" i="29"/>
  <c r="H7" i="29"/>
  <c r="B7" i="29"/>
  <c r="E7" i="29" s="1"/>
  <c r="L6" i="29"/>
  <c r="H6" i="29"/>
  <c r="B6" i="29"/>
  <c r="E6" i="29" s="1"/>
  <c r="J5" i="29"/>
  <c r="L5" i="29" s="1"/>
  <c r="E5" i="29"/>
  <c r="M4" i="29"/>
  <c r="L4" i="29"/>
  <c r="G4" i="29"/>
  <c r="F4" i="29"/>
  <c r="F29" i="28"/>
  <c r="B20" i="28"/>
  <c r="H20" i="28" s="1"/>
  <c r="L19" i="28"/>
  <c r="E19" i="28"/>
  <c r="B19" i="28"/>
  <c r="H19" i="28" s="1"/>
  <c r="L18" i="28"/>
  <c r="E18" i="28"/>
  <c r="B18" i="28"/>
  <c r="H18" i="28" s="1"/>
  <c r="L17" i="28"/>
  <c r="H17" i="28"/>
  <c r="B17" i="28"/>
  <c r="L16" i="28"/>
  <c r="B16" i="28"/>
  <c r="L15" i="28"/>
  <c r="H15" i="28"/>
  <c r="E15" i="28"/>
  <c r="B15" i="28"/>
  <c r="L14" i="28"/>
  <c r="H14" i="28"/>
  <c r="E14" i="28"/>
  <c r="B14" i="28"/>
  <c r="J13" i="28"/>
  <c r="L13" i="28" s="1"/>
  <c r="H13" i="28"/>
  <c r="E13" i="28"/>
  <c r="B13" i="28"/>
  <c r="L12" i="28"/>
  <c r="H12" i="28"/>
  <c r="E12" i="28"/>
  <c r="B12" i="28"/>
  <c r="L11" i="28"/>
  <c r="H11" i="28"/>
  <c r="E11" i="28"/>
  <c r="B11" i="28"/>
  <c r="L10" i="28"/>
  <c r="H10" i="28"/>
  <c r="E10" i="28"/>
  <c r="B10" i="28"/>
  <c r="L9" i="28"/>
  <c r="H9" i="28"/>
  <c r="E9" i="28"/>
  <c r="B9" i="28"/>
  <c r="L8" i="28"/>
  <c r="H8" i="28"/>
  <c r="E8" i="28"/>
  <c r="B8" i="28"/>
  <c r="L7" i="28"/>
  <c r="H7" i="28"/>
  <c r="E7" i="28"/>
  <c r="B7" i="28"/>
  <c r="L6" i="28"/>
  <c r="H6" i="28"/>
  <c r="E6" i="28"/>
  <c r="B6" i="28"/>
  <c r="J5" i="28"/>
  <c r="L5" i="28" s="1"/>
  <c r="E5" i="28"/>
  <c r="M4" i="28"/>
  <c r="L4" i="28"/>
  <c r="H4" i="28"/>
  <c r="G4" i="28"/>
  <c r="F4" i="28"/>
  <c r="B4" i="28"/>
  <c r="E4" i="28" s="1"/>
  <c r="F29" i="27"/>
  <c r="E20" i="27"/>
  <c r="B20" i="27"/>
  <c r="H20" i="27" s="1"/>
  <c r="L19" i="27"/>
  <c r="E19" i="27"/>
  <c r="B19" i="27"/>
  <c r="H19" i="27" s="1"/>
  <c r="L18" i="27"/>
  <c r="E18" i="27"/>
  <c r="B18" i="27"/>
  <c r="H18" i="27" s="1"/>
  <c r="L17" i="27"/>
  <c r="H17" i="27"/>
  <c r="B17" i="27"/>
  <c r="L16" i="27"/>
  <c r="B16" i="27"/>
  <c r="L15" i="27"/>
  <c r="H15" i="27"/>
  <c r="E15" i="27"/>
  <c r="B15" i="27"/>
  <c r="L14" i="27"/>
  <c r="H14" i="27"/>
  <c r="E14" i="27"/>
  <c r="B14" i="27"/>
  <c r="J13" i="27"/>
  <c r="L13" i="27" s="1"/>
  <c r="H13" i="27"/>
  <c r="B13" i="27"/>
  <c r="E13" i="27" s="1"/>
  <c r="L12" i="27"/>
  <c r="H12" i="27"/>
  <c r="B12" i="27"/>
  <c r="E12" i="27" s="1"/>
  <c r="L11" i="27"/>
  <c r="B11" i="27"/>
  <c r="E11" i="27" s="1"/>
  <c r="L10" i="27"/>
  <c r="B10" i="27"/>
  <c r="E10" i="27" s="1"/>
  <c r="L9" i="27"/>
  <c r="H9" i="27"/>
  <c r="B9" i="27"/>
  <c r="E9" i="27" s="1"/>
  <c r="L8" i="27"/>
  <c r="H8" i="27"/>
  <c r="B8" i="27"/>
  <c r="E8" i="27" s="1"/>
  <c r="L7" i="27"/>
  <c r="B7" i="27"/>
  <c r="E7" i="27" s="1"/>
  <c r="L6" i="27"/>
  <c r="B6" i="27"/>
  <c r="E6" i="27" s="1"/>
  <c r="L5" i="27"/>
  <c r="J5" i="27"/>
  <c r="E5" i="27"/>
  <c r="M4" i="27"/>
  <c r="L4" i="27"/>
  <c r="G4" i="27"/>
  <c r="F4" i="27"/>
  <c r="F29" i="26"/>
  <c r="H20" i="26"/>
  <c r="E20" i="26"/>
  <c r="B20" i="26"/>
  <c r="L19" i="26"/>
  <c r="H19" i="26"/>
  <c r="E19" i="26"/>
  <c r="B19" i="26"/>
  <c r="L18" i="26"/>
  <c r="H18" i="26"/>
  <c r="E18" i="26"/>
  <c r="B18" i="26"/>
  <c r="L17" i="26"/>
  <c r="H17" i="26"/>
  <c r="B17" i="26"/>
  <c r="L16" i="26"/>
  <c r="B16" i="26"/>
  <c r="L15" i="26"/>
  <c r="H15" i="26"/>
  <c r="B15" i="26"/>
  <c r="E15" i="26" s="1"/>
  <c r="L14" i="26"/>
  <c r="B14" i="26"/>
  <c r="E14" i="26" s="1"/>
  <c r="L13" i="26"/>
  <c r="J13" i="26"/>
  <c r="B13" i="26"/>
  <c r="H13" i="26" s="1"/>
  <c r="L12" i="26"/>
  <c r="B12" i="26"/>
  <c r="H12" i="26" s="1"/>
  <c r="L11" i="26"/>
  <c r="E11" i="26"/>
  <c r="B11" i="26"/>
  <c r="H11" i="26" s="1"/>
  <c r="L10" i="26"/>
  <c r="E10" i="26"/>
  <c r="B10" i="26"/>
  <c r="H10" i="26" s="1"/>
  <c r="L9" i="26"/>
  <c r="B9" i="26"/>
  <c r="H9" i="26" s="1"/>
  <c r="L8" i="26"/>
  <c r="B8" i="26"/>
  <c r="H8" i="26" s="1"/>
  <c r="L7" i="26"/>
  <c r="E7" i="26"/>
  <c r="B7" i="26"/>
  <c r="H7" i="26" s="1"/>
  <c r="L6" i="26"/>
  <c r="E6" i="26"/>
  <c r="B6" i="26"/>
  <c r="L5" i="26"/>
  <c r="J5" i="26"/>
  <c r="E5" i="26"/>
  <c r="M4" i="26"/>
  <c r="L4" i="26"/>
  <c r="G4" i="26"/>
  <c r="F4" i="26"/>
  <c r="F29" i="25"/>
  <c r="H20" i="25"/>
  <c r="B20" i="25"/>
  <c r="E20" i="25" s="1"/>
  <c r="L19" i="25"/>
  <c r="B19" i="25"/>
  <c r="E19" i="25" s="1"/>
  <c r="L18" i="25"/>
  <c r="B18" i="25"/>
  <c r="E18" i="25" s="1"/>
  <c r="L17" i="25"/>
  <c r="H17" i="25"/>
  <c r="B17" i="25"/>
  <c r="L16" i="25"/>
  <c r="B16" i="25"/>
  <c r="B4" i="25" s="1"/>
  <c r="L15" i="25"/>
  <c r="B15" i="25"/>
  <c r="H15" i="25" s="1"/>
  <c r="L14" i="25"/>
  <c r="E14" i="25"/>
  <c r="B14" i="25"/>
  <c r="H14" i="25" s="1"/>
  <c r="L13" i="25"/>
  <c r="J13" i="25"/>
  <c r="H13" i="25"/>
  <c r="B13" i="25"/>
  <c r="E13" i="25" s="1"/>
  <c r="L12" i="25"/>
  <c r="H12" i="25"/>
  <c r="B12" i="25"/>
  <c r="E12" i="25" s="1"/>
  <c r="L11" i="25"/>
  <c r="H11" i="25"/>
  <c r="B11" i="25"/>
  <c r="E11" i="25" s="1"/>
  <c r="L10" i="25"/>
  <c r="H10" i="25"/>
  <c r="B10" i="25"/>
  <c r="E10" i="25" s="1"/>
  <c r="L9" i="25"/>
  <c r="H9" i="25"/>
  <c r="B9" i="25"/>
  <c r="E9" i="25" s="1"/>
  <c r="L8" i="25"/>
  <c r="H8" i="25"/>
  <c r="B8" i="25"/>
  <c r="E8" i="25" s="1"/>
  <c r="L7" i="25"/>
  <c r="H7" i="25"/>
  <c r="B7" i="25"/>
  <c r="E7" i="25" s="1"/>
  <c r="L6" i="25"/>
  <c r="H6" i="25"/>
  <c r="B6" i="25"/>
  <c r="E6" i="25" s="1"/>
  <c r="J5" i="25"/>
  <c r="L5" i="25" s="1"/>
  <c r="E5" i="25"/>
  <c r="M4" i="25"/>
  <c r="L4" i="25"/>
  <c r="G4" i="25"/>
  <c r="F4" i="25"/>
  <c r="F29" i="24"/>
  <c r="B20" i="24"/>
  <c r="H20" i="24" s="1"/>
  <c r="L19" i="24"/>
  <c r="E19" i="24"/>
  <c r="B19" i="24"/>
  <c r="H19" i="24" s="1"/>
  <c r="L18" i="24"/>
  <c r="E18" i="24"/>
  <c r="B18" i="24"/>
  <c r="H18" i="24" s="1"/>
  <c r="L17" i="24"/>
  <c r="H17" i="24"/>
  <c r="B17" i="24"/>
  <c r="L16" i="24"/>
  <c r="B16" i="24"/>
  <c r="L15" i="24"/>
  <c r="H15" i="24"/>
  <c r="E15" i="24"/>
  <c r="B15" i="24"/>
  <c r="L14" i="24"/>
  <c r="H14" i="24"/>
  <c r="E14" i="24"/>
  <c r="B14" i="24"/>
  <c r="J13" i="24"/>
  <c r="L13" i="24" s="1"/>
  <c r="H13" i="24"/>
  <c r="E13" i="24"/>
  <c r="B13" i="24"/>
  <c r="L12" i="24"/>
  <c r="H12" i="24"/>
  <c r="E12" i="24"/>
  <c r="B12" i="24"/>
  <c r="L11" i="24"/>
  <c r="H11" i="24"/>
  <c r="E11" i="24"/>
  <c r="B11" i="24"/>
  <c r="L10" i="24"/>
  <c r="H10" i="24"/>
  <c r="E10" i="24"/>
  <c r="B10" i="24"/>
  <c r="L9" i="24"/>
  <c r="H9" i="24"/>
  <c r="E9" i="24"/>
  <c r="B9" i="24"/>
  <c r="L8" i="24"/>
  <c r="H8" i="24"/>
  <c r="E8" i="24"/>
  <c r="B8" i="24"/>
  <c r="L7" i="24"/>
  <c r="H7" i="24"/>
  <c r="E7" i="24"/>
  <c r="B7" i="24"/>
  <c r="L6" i="24"/>
  <c r="H6" i="24"/>
  <c r="E6" i="24"/>
  <c r="B6" i="24"/>
  <c r="J5" i="24"/>
  <c r="L5" i="24" s="1"/>
  <c r="E5" i="24"/>
  <c r="M4" i="24"/>
  <c r="L4" i="24"/>
  <c r="H4" i="24"/>
  <c r="G4" i="24"/>
  <c r="F4" i="24"/>
  <c r="B4" i="24"/>
  <c r="E4" i="24" s="1"/>
  <c r="F29" i="23"/>
  <c r="E20" i="23"/>
  <c r="B20" i="23"/>
  <c r="H20" i="23" s="1"/>
  <c r="L19" i="23"/>
  <c r="E19" i="23"/>
  <c r="B19" i="23"/>
  <c r="H19" i="23" s="1"/>
  <c r="L18" i="23"/>
  <c r="E18" i="23"/>
  <c r="B18" i="23"/>
  <c r="H18" i="23" s="1"/>
  <c r="L17" i="23"/>
  <c r="H17" i="23"/>
  <c r="B17" i="23"/>
  <c r="L16" i="23"/>
  <c r="B16" i="23"/>
  <c r="L15" i="23"/>
  <c r="H15" i="23"/>
  <c r="E15" i="23"/>
  <c r="B15" i="23"/>
  <c r="L14" i="23"/>
  <c r="H14" i="23"/>
  <c r="E14" i="23"/>
  <c r="B14" i="23"/>
  <c r="J13" i="23"/>
  <c r="L13" i="23" s="1"/>
  <c r="H13" i="23"/>
  <c r="B13" i="23"/>
  <c r="E13" i="23" s="1"/>
  <c r="L12" i="23"/>
  <c r="H12" i="23"/>
  <c r="B12" i="23"/>
  <c r="E12" i="23" s="1"/>
  <c r="L11" i="23"/>
  <c r="B11" i="23"/>
  <c r="E11" i="23" s="1"/>
  <c r="L10" i="23"/>
  <c r="B10" i="23"/>
  <c r="E10" i="23" s="1"/>
  <c r="L9" i="23"/>
  <c r="H9" i="23"/>
  <c r="B9" i="23"/>
  <c r="E9" i="23" s="1"/>
  <c r="L8" i="23"/>
  <c r="H8" i="23"/>
  <c r="B8" i="23"/>
  <c r="E8" i="23" s="1"/>
  <c r="L7" i="23"/>
  <c r="B7" i="23"/>
  <c r="E7" i="23" s="1"/>
  <c r="L6" i="23"/>
  <c r="B6" i="23"/>
  <c r="E6" i="23" s="1"/>
  <c r="L5" i="23"/>
  <c r="J5" i="23"/>
  <c r="E5" i="23"/>
  <c r="M4" i="23"/>
  <c r="L4" i="23"/>
  <c r="G4" i="23"/>
  <c r="F4" i="23"/>
  <c r="F29" i="22"/>
  <c r="H20" i="22"/>
  <c r="E20" i="22"/>
  <c r="B20" i="22"/>
  <c r="L19" i="22"/>
  <c r="H19" i="22"/>
  <c r="E19" i="22"/>
  <c r="B19" i="22"/>
  <c r="L18" i="22"/>
  <c r="H18" i="22"/>
  <c r="E18" i="22"/>
  <c r="B18" i="22"/>
  <c r="L17" i="22"/>
  <c r="H17" i="22"/>
  <c r="B17" i="22"/>
  <c r="L16" i="22"/>
  <c r="B16" i="22"/>
  <c r="L15" i="22"/>
  <c r="H15" i="22"/>
  <c r="B15" i="22"/>
  <c r="E15" i="22" s="1"/>
  <c r="L14" i="22"/>
  <c r="B14" i="22"/>
  <c r="E14" i="22" s="1"/>
  <c r="L13" i="22"/>
  <c r="J13" i="22"/>
  <c r="B13" i="22"/>
  <c r="H13" i="22" s="1"/>
  <c r="L12" i="22"/>
  <c r="B12" i="22"/>
  <c r="H12" i="22" s="1"/>
  <c r="L11" i="22"/>
  <c r="E11" i="22"/>
  <c r="B11" i="22"/>
  <c r="H11" i="22" s="1"/>
  <c r="L10" i="22"/>
  <c r="E10" i="22"/>
  <c r="B10" i="22"/>
  <c r="H10" i="22" s="1"/>
  <c r="L9" i="22"/>
  <c r="B9" i="22"/>
  <c r="H9" i="22" s="1"/>
  <c r="L8" i="22"/>
  <c r="B8" i="22"/>
  <c r="H8" i="22" s="1"/>
  <c r="L7" i="22"/>
  <c r="E7" i="22"/>
  <c r="B7" i="22"/>
  <c r="H7" i="22" s="1"/>
  <c r="L6" i="22"/>
  <c r="E6" i="22"/>
  <c r="B6" i="22"/>
  <c r="L5" i="22"/>
  <c r="J5" i="22"/>
  <c r="E5" i="22"/>
  <c r="M4" i="22"/>
  <c r="L4" i="22"/>
  <c r="G4" i="22"/>
  <c r="F4" i="22"/>
  <c r="F29" i="21"/>
  <c r="H20" i="21"/>
  <c r="B20" i="21"/>
  <c r="E20" i="21" s="1"/>
  <c r="L19" i="21"/>
  <c r="B19" i="21"/>
  <c r="E19" i="21" s="1"/>
  <c r="L18" i="21"/>
  <c r="B18" i="21"/>
  <c r="E18" i="21" s="1"/>
  <c r="L17" i="21"/>
  <c r="H17" i="21"/>
  <c r="B17" i="21"/>
  <c r="L16" i="21"/>
  <c r="B16" i="21"/>
  <c r="B4" i="21" s="1"/>
  <c r="L15" i="21"/>
  <c r="B15" i="21"/>
  <c r="H15" i="21" s="1"/>
  <c r="L14" i="21"/>
  <c r="E14" i="21"/>
  <c r="B14" i="21"/>
  <c r="H14" i="21" s="1"/>
  <c r="L13" i="21"/>
  <c r="J13" i="21"/>
  <c r="H13" i="21"/>
  <c r="B13" i="21"/>
  <c r="E13" i="21" s="1"/>
  <c r="L12" i="21"/>
  <c r="H12" i="21"/>
  <c r="B12" i="21"/>
  <c r="E12" i="21" s="1"/>
  <c r="L11" i="21"/>
  <c r="H11" i="21"/>
  <c r="B11" i="21"/>
  <c r="E11" i="21" s="1"/>
  <c r="L10" i="21"/>
  <c r="H10" i="21"/>
  <c r="B10" i="21"/>
  <c r="E10" i="21" s="1"/>
  <c r="L9" i="21"/>
  <c r="H9" i="21"/>
  <c r="B9" i="21"/>
  <c r="E9" i="21" s="1"/>
  <c r="L8" i="21"/>
  <c r="H8" i="21"/>
  <c r="B8" i="21"/>
  <c r="E8" i="21" s="1"/>
  <c r="L7" i="21"/>
  <c r="H7" i="21"/>
  <c r="B7" i="21"/>
  <c r="E7" i="21" s="1"/>
  <c r="L6" i="21"/>
  <c r="H6" i="21"/>
  <c r="B6" i="21"/>
  <c r="E6" i="21" s="1"/>
  <c r="J5" i="21"/>
  <c r="L5" i="21" s="1"/>
  <c r="E5" i="21"/>
  <c r="M4" i="21"/>
  <c r="L4" i="21"/>
  <c r="G4" i="21"/>
  <c r="F4" i="21"/>
  <c r="F29" i="20"/>
  <c r="B20" i="20"/>
  <c r="H20" i="20" s="1"/>
  <c r="L19" i="20"/>
  <c r="E19" i="20"/>
  <c r="B19" i="20"/>
  <c r="H19" i="20" s="1"/>
  <c r="L18" i="20"/>
  <c r="E18" i="20"/>
  <c r="B18" i="20"/>
  <c r="H18" i="20" s="1"/>
  <c r="L17" i="20"/>
  <c r="H17" i="20"/>
  <c r="B17" i="20"/>
  <c r="L16" i="20"/>
  <c r="B16" i="20"/>
  <c r="L15" i="20"/>
  <c r="H15" i="20"/>
  <c r="E15" i="20"/>
  <c r="B15" i="20"/>
  <c r="L14" i="20"/>
  <c r="H14" i="20"/>
  <c r="E14" i="20"/>
  <c r="B14" i="20"/>
  <c r="J13" i="20"/>
  <c r="L13" i="20" s="1"/>
  <c r="H13" i="20"/>
  <c r="E13" i="20"/>
  <c r="B13" i="20"/>
  <c r="L12" i="20"/>
  <c r="H12" i="20"/>
  <c r="E12" i="20"/>
  <c r="B12" i="20"/>
  <c r="L11" i="20"/>
  <c r="H11" i="20"/>
  <c r="E11" i="20"/>
  <c r="B11" i="20"/>
  <c r="L10" i="20"/>
  <c r="H10" i="20"/>
  <c r="E10" i="20"/>
  <c r="B10" i="20"/>
  <c r="L9" i="20"/>
  <c r="H9" i="20"/>
  <c r="E9" i="20"/>
  <c r="B9" i="20"/>
  <c r="L8" i="20"/>
  <c r="H8" i="20"/>
  <c r="E8" i="20"/>
  <c r="B8" i="20"/>
  <c r="L7" i="20"/>
  <c r="H7" i="20"/>
  <c r="E7" i="20"/>
  <c r="B7" i="20"/>
  <c r="L6" i="20"/>
  <c r="H6" i="20"/>
  <c r="E6" i="20"/>
  <c r="B6" i="20"/>
  <c r="J5" i="20"/>
  <c r="L5" i="20" s="1"/>
  <c r="E5" i="20"/>
  <c r="M4" i="20"/>
  <c r="L4" i="20"/>
  <c r="H4" i="20"/>
  <c r="G4" i="20"/>
  <c r="F4" i="20"/>
  <c r="B4" i="20"/>
  <c r="E4" i="20" s="1"/>
  <c r="F29" i="19"/>
  <c r="E20" i="19"/>
  <c r="B20" i="19"/>
  <c r="H20" i="19" s="1"/>
  <c r="L19" i="19"/>
  <c r="E19" i="19"/>
  <c r="B19" i="19"/>
  <c r="H19" i="19" s="1"/>
  <c r="L18" i="19"/>
  <c r="E18" i="19"/>
  <c r="B18" i="19"/>
  <c r="H18" i="19" s="1"/>
  <c r="L17" i="19"/>
  <c r="H17" i="19"/>
  <c r="B17" i="19"/>
  <c r="L16" i="19"/>
  <c r="B16" i="19"/>
  <c r="L15" i="19"/>
  <c r="H15" i="19"/>
  <c r="E15" i="19"/>
  <c r="B15" i="19"/>
  <c r="L14" i="19"/>
  <c r="H14" i="19"/>
  <c r="E14" i="19"/>
  <c r="B14" i="19"/>
  <c r="J13" i="19"/>
  <c r="L13" i="19" s="1"/>
  <c r="H13" i="19"/>
  <c r="B13" i="19"/>
  <c r="E13" i="19" s="1"/>
  <c r="L12" i="19"/>
  <c r="H12" i="19"/>
  <c r="B12" i="19"/>
  <c r="E12" i="19" s="1"/>
  <c r="L11" i="19"/>
  <c r="B11" i="19"/>
  <c r="E11" i="19" s="1"/>
  <c r="L10" i="19"/>
  <c r="B10" i="19"/>
  <c r="E10" i="19" s="1"/>
  <c r="L9" i="19"/>
  <c r="H9" i="19"/>
  <c r="B9" i="19"/>
  <c r="E9" i="19" s="1"/>
  <c r="L8" i="19"/>
  <c r="H8" i="19"/>
  <c r="B8" i="19"/>
  <c r="E8" i="19" s="1"/>
  <c r="L7" i="19"/>
  <c r="B7" i="19"/>
  <c r="E7" i="19" s="1"/>
  <c r="L6" i="19"/>
  <c r="B6" i="19"/>
  <c r="E6" i="19" s="1"/>
  <c r="L5" i="19"/>
  <c r="J5" i="19"/>
  <c r="E5" i="19"/>
  <c r="M4" i="19"/>
  <c r="L4" i="19"/>
  <c r="G4" i="19"/>
  <c r="F4" i="19"/>
  <c r="F29" i="18"/>
  <c r="H20" i="18"/>
  <c r="E20" i="18"/>
  <c r="B20" i="18"/>
  <c r="L19" i="18"/>
  <c r="H19" i="18"/>
  <c r="E19" i="18"/>
  <c r="B19" i="18"/>
  <c r="L18" i="18"/>
  <c r="H18" i="18"/>
  <c r="E18" i="18"/>
  <c r="B18" i="18"/>
  <c r="L17" i="18"/>
  <c r="H17" i="18"/>
  <c r="B17" i="18"/>
  <c r="L16" i="18"/>
  <c r="B16" i="18"/>
  <c r="L15" i="18"/>
  <c r="H15" i="18"/>
  <c r="B15" i="18"/>
  <c r="E15" i="18" s="1"/>
  <c r="L14" i="18"/>
  <c r="B14" i="18"/>
  <c r="E14" i="18" s="1"/>
  <c r="L13" i="18"/>
  <c r="J13" i="18"/>
  <c r="B13" i="18"/>
  <c r="H13" i="18" s="1"/>
  <c r="L12" i="18"/>
  <c r="B12" i="18"/>
  <c r="H12" i="18" s="1"/>
  <c r="L11" i="18"/>
  <c r="E11" i="18"/>
  <c r="B11" i="18"/>
  <c r="H11" i="18" s="1"/>
  <c r="L10" i="18"/>
  <c r="E10" i="18"/>
  <c r="B10" i="18"/>
  <c r="H10" i="18" s="1"/>
  <c r="L9" i="18"/>
  <c r="B9" i="18"/>
  <c r="H9" i="18" s="1"/>
  <c r="L8" i="18"/>
  <c r="B8" i="18"/>
  <c r="H8" i="18" s="1"/>
  <c r="L7" i="18"/>
  <c r="E7" i="18"/>
  <c r="B7" i="18"/>
  <c r="H7" i="18" s="1"/>
  <c r="L6" i="18"/>
  <c r="E6" i="18"/>
  <c r="B6" i="18"/>
  <c r="L5" i="18"/>
  <c r="J5" i="18"/>
  <c r="E5" i="18"/>
  <c r="M4" i="18"/>
  <c r="L4" i="18"/>
  <c r="G4" i="18"/>
  <c r="F4" i="18"/>
  <c r="F29" i="17"/>
  <c r="H20" i="17"/>
  <c r="B20" i="17"/>
  <c r="E20" i="17" s="1"/>
  <c r="L19" i="17"/>
  <c r="B19" i="17"/>
  <c r="E19" i="17" s="1"/>
  <c r="L18" i="17"/>
  <c r="B18" i="17"/>
  <c r="E18" i="17" s="1"/>
  <c r="L17" i="17"/>
  <c r="H17" i="17"/>
  <c r="B17" i="17"/>
  <c r="L16" i="17"/>
  <c r="B16" i="17"/>
  <c r="B4" i="17" s="1"/>
  <c r="L15" i="17"/>
  <c r="B15" i="17"/>
  <c r="H15" i="17" s="1"/>
  <c r="L14" i="17"/>
  <c r="E14" i="17"/>
  <c r="B14" i="17"/>
  <c r="H14" i="17" s="1"/>
  <c r="L13" i="17"/>
  <c r="J13" i="17"/>
  <c r="H13" i="17"/>
  <c r="B13" i="17"/>
  <c r="E13" i="17" s="1"/>
  <c r="L12" i="17"/>
  <c r="H12" i="17"/>
  <c r="B12" i="17"/>
  <c r="E12" i="17" s="1"/>
  <c r="L11" i="17"/>
  <c r="H11" i="17"/>
  <c r="B11" i="17"/>
  <c r="E11" i="17" s="1"/>
  <c r="L10" i="17"/>
  <c r="H10" i="17"/>
  <c r="B10" i="17"/>
  <c r="E10" i="17" s="1"/>
  <c r="L9" i="17"/>
  <c r="H9" i="17"/>
  <c r="B9" i="17"/>
  <c r="E9" i="17" s="1"/>
  <c r="L8" i="17"/>
  <c r="H8" i="17"/>
  <c r="B8" i="17"/>
  <c r="E8" i="17" s="1"/>
  <c r="L7" i="17"/>
  <c r="H7" i="17"/>
  <c r="B7" i="17"/>
  <c r="E7" i="17" s="1"/>
  <c r="L6" i="17"/>
  <c r="H6" i="17"/>
  <c r="B6" i="17"/>
  <c r="E6" i="17" s="1"/>
  <c r="J5" i="17"/>
  <c r="L5" i="17" s="1"/>
  <c r="E5" i="17"/>
  <c r="M4" i="17"/>
  <c r="L4" i="17"/>
  <c r="G4" i="17"/>
  <c r="F4" i="17"/>
  <c r="F29" i="16"/>
  <c r="B20" i="16"/>
  <c r="H20" i="16" s="1"/>
  <c r="L19" i="16"/>
  <c r="E19" i="16"/>
  <c r="B19" i="16"/>
  <c r="H19" i="16" s="1"/>
  <c r="L18" i="16"/>
  <c r="E18" i="16"/>
  <c r="B18" i="16"/>
  <c r="H18" i="16" s="1"/>
  <c r="L17" i="16"/>
  <c r="H17" i="16"/>
  <c r="L16" i="16"/>
  <c r="L15" i="16"/>
  <c r="B15" i="16"/>
  <c r="E15" i="16" s="1"/>
  <c r="L14" i="16"/>
  <c r="H14" i="16"/>
  <c r="B14" i="16"/>
  <c r="E14" i="16" s="1"/>
  <c r="J13" i="16"/>
  <c r="L13" i="16" s="1"/>
  <c r="E13" i="16"/>
  <c r="B13" i="16"/>
  <c r="H13" i="16" s="1"/>
  <c r="L12" i="16"/>
  <c r="E12" i="16"/>
  <c r="B12" i="16"/>
  <c r="H12" i="16" s="1"/>
  <c r="L11" i="16"/>
  <c r="B11" i="16"/>
  <c r="H11" i="16" s="1"/>
  <c r="L10" i="16"/>
  <c r="B10" i="16"/>
  <c r="H10" i="16" s="1"/>
  <c r="L9" i="16"/>
  <c r="E9" i="16"/>
  <c r="B9" i="16"/>
  <c r="H9" i="16" s="1"/>
  <c r="L8" i="16"/>
  <c r="E8" i="16"/>
  <c r="B8" i="16"/>
  <c r="H8" i="16" s="1"/>
  <c r="L7" i="16"/>
  <c r="B7" i="16"/>
  <c r="H7" i="16" s="1"/>
  <c r="L6" i="16"/>
  <c r="B6" i="16"/>
  <c r="E6" i="16" s="1"/>
  <c r="L5" i="16"/>
  <c r="J5" i="16"/>
  <c r="E5" i="16"/>
  <c r="M4" i="16"/>
  <c r="L4" i="16"/>
  <c r="G4" i="16"/>
  <c r="F4" i="16"/>
  <c r="F29" i="15"/>
  <c r="B20" i="15"/>
  <c r="E20" i="15" s="1"/>
  <c r="L19" i="15"/>
  <c r="H19" i="15"/>
  <c r="B19" i="15"/>
  <c r="E19" i="15" s="1"/>
  <c r="L18" i="15"/>
  <c r="H18" i="15"/>
  <c r="B18" i="15"/>
  <c r="E18" i="15" s="1"/>
  <c r="L17" i="15"/>
  <c r="H17" i="15"/>
  <c r="L16" i="15"/>
  <c r="L15" i="15"/>
  <c r="H15" i="15"/>
  <c r="E15" i="15"/>
  <c r="B15" i="15"/>
  <c r="L14" i="15"/>
  <c r="H14" i="15"/>
  <c r="E14" i="15"/>
  <c r="B14" i="15"/>
  <c r="L13" i="15"/>
  <c r="J13" i="15"/>
  <c r="B13" i="15"/>
  <c r="E13" i="15" s="1"/>
  <c r="L12" i="15"/>
  <c r="B12" i="15"/>
  <c r="E12" i="15" s="1"/>
  <c r="L11" i="15"/>
  <c r="H11" i="15"/>
  <c r="B11" i="15"/>
  <c r="E11" i="15" s="1"/>
  <c r="L10" i="15"/>
  <c r="H10" i="15"/>
  <c r="B10" i="15"/>
  <c r="E10" i="15" s="1"/>
  <c r="L9" i="15"/>
  <c r="B9" i="15"/>
  <c r="E9" i="15" s="1"/>
  <c r="L8" i="15"/>
  <c r="B8" i="15"/>
  <c r="E8" i="15" s="1"/>
  <c r="L7" i="15"/>
  <c r="H7" i="15"/>
  <c r="B7" i="15"/>
  <c r="E7" i="15" s="1"/>
  <c r="L6" i="15"/>
  <c r="H6" i="15"/>
  <c r="B6" i="15"/>
  <c r="E6" i="15" s="1"/>
  <c r="J5" i="15"/>
  <c r="L5" i="15" s="1"/>
  <c r="E5" i="15"/>
  <c r="M4" i="15"/>
  <c r="L4" i="15"/>
  <c r="G4" i="15"/>
  <c r="F4" i="15"/>
  <c r="F29" i="14"/>
  <c r="H20" i="14"/>
  <c r="E20" i="14"/>
  <c r="B20" i="14"/>
  <c r="L19" i="14"/>
  <c r="H19" i="14"/>
  <c r="E19" i="14"/>
  <c r="B19" i="14"/>
  <c r="L18" i="14"/>
  <c r="H18" i="14"/>
  <c r="E18" i="14"/>
  <c r="B18" i="14"/>
  <c r="L17" i="14"/>
  <c r="H17" i="14"/>
  <c r="L16" i="14"/>
  <c r="L15" i="14"/>
  <c r="H15" i="14"/>
  <c r="E15" i="14"/>
  <c r="B15" i="14"/>
  <c r="L14" i="14"/>
  <c r="H14" i="14"/>
  <c r="E14" i="14"/>
  <c r="B14" i="14"/>
  <c r="J13" i="14"/>
  <c r="L13" i="14" s="1"/>
  <c r="H13" i="14"/>
  <c r="E13" i="14"/>
  <c r="B13" i="14"/>
  <c r="L12" i="14"/>
  <c r="H12" i="14"/>
  <c r="E12" i="14"/>
  <c r="B12" i="14"/>
  <c r="L11" i="14"/>
  <c r="H11" i="14"/>
  <c r="E11" i="14"/>
  <c r="B11" i="14"/>
  <c r="L10" i="14"/>
  <c r="H10" i="14"/>
  <c r="E10" i="14"/>
  <c r="B10" i="14"/>
  <c r="L9" i="14"/>
  <c r="H9" i="14"/>
  <c r="E9" i="14"/>
  <c r="B9" i="14"/>
  <c r="L8" i="14"/>
  <c r="H8" i="14"/>
  <c r="E8" i="14"/>
  <c r="B8" i="14"/>
  <c r="L7" i="14"/>
  <c r="H7" i="14"/>
  <c r="E7" i="14"/>
  <c r="B7" i="14"/>
  <c r="L6" i="14"/>
  <c r="H6" i="14"/>
  <c r="E6" i="14"/>
  <c r="B6" i="14"/>
  <c r="J5" i="14"/>
  <c r="L5" i="14" s="1"/>
  <c r="E5" i="14"/>
  <c r="M4" i="14"/>
  <c r="L4" i="14"/>
  <c r="H4" i="14"/>
  <c r="G4" i="14"/>
  <c r="F4" i="14"/>
  <c r="B4" i="14"/>
  <c r="E4" i="14" s="1"/>
  <c r="F29" i="13"/>
  <c r="E20" i="13"/>
  <c r="B20" i="13"/>
  <c r="H20" i="13" s="1"/>
  <c r="L19" i="13"/>
  <c r="E19" i="13"/>
  <c r="B19" i="13"/>
  <c r="H19" i="13" s="1"/>
  <c r="L18" i="13"/>
  <c r="E18" i="13"/>
  <c r="B18" i="13"/>
  <c r="H18" i="13" s="1"/>
  <c r="H4" i="13" s="1"/>
  <c r="L17" i="13"/>
  <c r="H17" i="13"/>
  <c r="L16" i="13"/>
  <c r="L15" i="13"/>
  <c r="B15" i="13"/>
  <c r="H15" i="13" s="1"/>
  <c r="L14" i="13"/>
  <c r="E14" i="13"/>
  <c r="B14" i="13"/>
  <c r="H14" i="13" s="1"/>
  <c r="L13" i="13"/>
  <c r="J13" i="13"/>
  <c r="H13" i="13"/>
  <c r="B13" i="13"/>
  <c r="E13" i="13" s="1"/>
  <c r="L12" i="13"/>
  <c r="H12" i="13"/>
  <c r="B12" i="13"/>
  <c r="E12" i="13" s="1"/>
  <c r="L11" i="13"/>
  <c r="H11" i="13"/>
  <c r="B11" i="13"/>
  <c r="E11" i="13" s="1"/>
  <c r="L10" i="13"/>
  <c r="H10" i="13"/>
  <c r="B10" i="13"/>
  <c r="E10" i="13" s="1"/>
  <c r="L9" i="13"/>
  <c r="H9" i="13"/>
  <c r="B9" i="13"/>
  <c r="E9" i="13" s="1"/>
  <c r="L8" i="13"/>
  <c r="H8" i="13"/>
  <c r="B8" i="13"/>
  <c r="E8" i="13" s="1"/>
  <c r="L7" i="13"/>
  <c r="H7" i="13"/>
  <c r="B7" i="13"/>
  <c r="E7" i="13" s="1"/>
  <c r="L6" i="13"/>
  <c r="H6" i="13"/>
  <c r="B6" i="13"/>
  <c r="E6" i="13" s="1"/>
  <c r="J5" i="13"/>
  <c r="L5" i="13" s="1"/>
  <c r="E5" i="13"/>
  <c r="M4" i="13"/>
  <c r="L4" i="13"/>
  <c r="G4" i="13"/>
  <c r="F4" i="13"/>
  <c r="F29" i="12"/>
  <c r="B20" i="12"/>
  <c r="H20" i="12" s="1"/>
  <c r="L19" i="12"/>
  <c r="E19" i="12"/>
  <c r="B19" i="12"/>
  <c r="H19" i="12" s="1"/>
  <c r="L18" i="12"/>
  <c r="E18" i="12"/>
  <c r="B18" i="12"/>
  <c r="H18" i="12" s="1"/>
  <c r="L17" i="12"/>
  <c r="H17" i="12"/>
  <c r="L16" i="12"/>
  <c r="L15" i="12"/>
  <c r="B15" i="12"/>
  <c r="E15" i="12" s="1"/>
  <c r="L14" i="12"/>
  <c r="H14" i="12"/>
  <c r="B14" i="12"/>
  <c r="E14" i="12" s="1"/>
  <c r="J13" i="12"/>
  <c r="L13" i="12" s="1"/>
  <c r="E13" i="12"/>
  <c r="B13" i="12"/>
  <c r="H13" i="12" s="1"/>
  <c r="L12" i="12"/>
  <c r="E12" i="12"/>
  <c r="B12" i="12"/>
  <c r="H12" i="12" s="1"/>
  <c r="L11" i="12"/>
  <c r="B11" i="12"/>
  <c r="H11" i="12" s="1"/>
  <c r="L10" i="12"/>
  <c r="B10" i="12"/>
  <c r="H10" i="12" s="1"/>
  <c r="L9" i="12"/>
  <c r="E9" i="12"/>
  <c r="B9" i="12"/>
  <c r="H9" i="12" s="1"/>
  <c r="L8" i="12"/>
  <c r="E8" i="12"/>
  <c r="B8" i="12"/>
  <c r="H8" i="12" s="1"/>
  <c r="L7" i="12"/>
  <c r="B7" i="12"/>
  <c r="H7" i="12" s="1"/>
  <c r="L6" i="12"/>
  <c r="B6" i="12"/>
  <c r="E6" i="12" s="1"/>
  <c r="L5" i="12"/>
  <c r="J5" i="12"/>
  <c r="E5" i="12"/>
  <c r="M4" i="12"/>
  <c r="L4" i="12"/>
  <c r="G4" i="12"/>
  <c r="F4" i="12"/>
  <c r="F29" i="11"/>
  <c r="B20" i="11"/>
  <c r="E20" i="11" s="1"/>
  <c r="L19" i="11"/>
  <c r="H19" i="11"/>
  <c r="B19" i="11"/>
  <c r="E19" i="11" s="1"/>
  <c r="L18" i="11"/>
  <c r="H18" i="11"/>
  <c r="B18" i="11"/>
  <c r="E18" i="11" s="1"/>
  <c r="L17" i="11"/>
  <c r="H17" i="11"/>
  <c r="L16" i="11"/>
  <c r="L15" i="11"/>
  <c r="H15" i="11"/>
  <c r="E15" i="11"/>
  <c r="B15" i="11"/>
  <c r="L14" i="11"/>
  <c r="H14" i="11"/>
  <c r="E14" i="11"/>
  <c r="B14" i="11"/>
  <c r="L13" i="11"/>
  <c r="J13" i="11"/>
  <c r="B13" i="11"/>
  <c r="E13" i="11" s="1"/>
  <c r="L12" i="11"/>
  <c r="B12" i="11"/>
  <c r="E12" i="11" s="1"/>
  <c r="L11" i="11"/>
  <c r="H11" i="11"/>
  <c r="B11" i="11"/>
  <c r="E11" i="11" s="1"/>
  <c r="L10" i="11"/>
  <c r="H10" i="11"/>
  <c r="B10" i="11"/>
  <c r="E10" i="11" s="1"/>
  <c r="L9" i="11"/>
  <c r="B9" i="11"/>
  <c r="E9" i="11" s="1"/>
  <c r="L8" i="11"/>
  <c r="B8" i="11"/>
  <c r="E8" i="11" s="1"/>
  <c r="L7" i="11"/>
  <c r="H7" i="11"/>
  <c r="B7" i="11"/>
  <c r="E7" i="11" s="1"/>
  <c r="L6" i="11"/>
  <c r="H6" i="11"/>
  <c r="B6" i="11"/>
  <c r="E6" i="11" s="1"/>
  <c r="J5" i="11"/>
  <c r="L5" i="11" s="1"/>
  <c r="E5" i="11"/>
  <c r="M4" i="11"/>
  <c r="L4" i="11"/>
  <c r="G4" i="11"/>
  <c r="F4" i="11"/>
  <c r="F29" i="10"/>
  <c r="H20" i="10"/>
  <c r="E20" i="10"/>
  <c r="B20" i="10"/>
  <c r="L19" i="10"/>
  <c r="H19" i="10"/>
  <c r="E19" i="10"/>
  <c r="B19" i="10"/>
  <c r="L18" i="10"/>
  <c r="H18" i="10"/>
  <c r="E18" i="10"/>
  <c r="B18" i="10"/>
  <c r="L17" i="10"/>
  <c r="H17" i="10"/>
  <c r="L16" i="10"/>
  <c r="L15" i="10"/>
  <c r="H15" i="10"/>
  <c r="E15" i="10"/>
  <c r="B15" i="10"/>
  <c r="L14" i="10"/>
  <c r="H14" i="10"/>
  <c r="E14" i="10"/>
  <c r="B14" i="10"/>
  <c r="J13" i="10"/>
  <c r="L13" i="10" s="1"/>
  <c r="H13" i="10"/>
  <c r="E13" i="10"/>
  <c r="B13" i="10"/>
  <c r="L12" i="10"/>
  <c r="H12" i="10"/>
  <c r="E12" i="10"/>
  <c r="B12" i="10"/>
  <c r="L11" i="10"/>
  <c r="H11" i="10"/>
  <c r="E11" i="10"/>
  <c r="B11" i="10"/>
  <c r="L10" i="10"/>
  <c r="H10" i="10"/>
  <c r="E10" i="10"/>
  <c r="B10" i="10"/>
  <c r="L9" i="10"/>
  <c r="H9" i="10"/>
  <c r="E9" i="10"/>
  <c r="B9" i="10"/>
  <c r="L8" i="10"/>
  <c r="H8" i="10"/>
  <c r="E8" i="10"/>
  <c r="B8" i="10"/>
  <c r="L7" i="10"/>
  <c r="H7" i="10"/>
  <c r="E7" i="10"/>
  <c r="B7" i="10"/>
  <c r="L6" i="10"/>
  <c r="H6" i="10"/>
  <c r="H4" i="10" s="1"/>
  <c r="E6" i="10"/>
  <c r="B6" i="10"/>
  <c r="J5" i="10"/>
  <c r="L5" i="10" s="1"/>
  <c r="E5" i="10"/>
  <c r="M4" i="10"/>
  <c r="L4" i="10"/>
  <c r="G4" i="10"/>
  <c r="F4" i="10"/>
  <c r="B4" i="10"/>
  <c r="E4" i="10" s="1"/>
  <c r="E2" i="10"/>
  <c r="F29" i="9"/>
  <c r="B20" i="9"/>
  <c r="H20" i="9" s="1"/>
  <c r="L19" i="9"/>
  <c r="E19" i="9"/>
  <c r="B19" i="9"/>
  <c r="H19" i="9" s="1"/>
  <c r="L18" i="9"/>
  <c r="B18" i="9"/>
  <c r="H18" i="9" s="1"/>
  <c r="L17" i="9"/>
  <c r="H17" i="9"/>
  <c r="L16" i="9"/>
  <c r="L15" i="9"/>
  <c r="B15" i="9"/>
  <c r="H15" i="9" s="1"/>
  <c r="L14" i="9"/>
  <c r="E14" i="9"/>
  <c r="B14" i="9"/>
  <c r="H14" i="9" s="1"/>
  <c r="L13" i="9"/>
  <c r="J13" i="9"/>
  <c r="H13" i="9"/>
  <c r="B13" i="9"/>
  <c r="E13" i="9" s="1"/>
  <c r="L12" i="9"/>
  <c r="H12" i="9"/>
  <c r="B12" i="9"/>
  <c r="E12" i="9" s="1"/>
  <c r="L11" i="9"/>
  <c r="H11" i="9"/>
  <c r="B11" i="9"/>
  <c r="E11" i="9" s="1"/>
  <c r="L10" i="9"/>
  <c r="H10" i="9"/>
  <c r="B10" i="9"/>
  <c r="E10" i="9" s="1"/>
  <c r="L9" i="9"/>
  <c r="H9" i="9"/>
  <c r="B9" i="9"/>
  <c r="E9" i="9" s="1"/>
  <c r="L8" i="9"/>
  <c r="H8" i="9"/>
  <c r="B8" i="9"/>
  <c r="E8" i="9" s="1"/>
  <c r="L7" i="9"/>
  <c r="H7" i="9"/>
  <c r="B7" i="9"/>
  <c r="E7" i="9" s="1"/>
  <c r="L6" i="9"/>
  <c r="H6" i="9"/>
  <c r="B6" i="9"/>
  <c r="E6" i="9" s="1"/>
  <c r="J5" i="9"/>
  <c r="L5" i="9" s="1"/>
  <c r="E5" i="9"/>
  <c r="M4" i="9"/>
  <c r="L4" i="9"/>
  <c r="H4" i="9"/>
  <c r="G4" i="9"/>
  <c r="F4" i="9"/>
  <c r="F29" i="8"/>
  <c r="E20" i="8"/>
  <c r="B20" i="8"/>
  <c r="H20" i="8" s="1"/>
  <c r="L19" i="8"/>
  <c r="B19" i="8"/>
  <c r="H19" i="8" s="1"/>
  <c r="L18" i="8"/>
  <c r="E18" i="8"/>
  <c r="B18" i="8"/>
  <c r="H18" i="8" s="1"/>
  <c r="L17" i="8"/>
  <c r="H17" i="8"/>
  <c r="L16" i="8"/>
  <c r="L15" i="8"/>
  <c r="B15" i="8"/>
  <c r="L14" i="8"/>
  <c r="B14" i="8"/>
  <c r="L13" i="8"/>
  <c r="J13" i="8"/>
  <c r="B13" i="8"/>
  <c r="H13" i="8" s="1"/>
  <c r="L12" i="8"/>
  <c r="E12" i="8"/>
  <c r="B12" i="8"/>
  <c r="H12" i="8" s="1"/>
  <c r="L11" i="8"/>
  <c r="B11" i="8"/>
  <c r="H11" i="8" s="1"/>
  <c r="L10" i="8"/>
  <c r="E10" i="8"/>
  <c r="B10" i="8"/>
  <c r="H10" i="8" s="1"/>
  <c r="L9" i="8"/>
  <c r="B9" i="8"/>
  <c r="H9" i="8" s="1"/>
  <c r="L8" i="8"/>
  <c r="E8" i="8"/>
  <c r="B8" i="8"/>
  <c r="H8" i="8" s="1"/>
  <c r="L7" i="8"/>
  <c r="B7" i="8"/>
  <c r="H7" i="8" s="1"/>
  <c r="L6" i="8"/>
  <c r="E6" i="8"/>
  <c r="B6" i="8"/>
  <c r="H6" i="8" s="1"/>
  <c r="J5" i="8"/>
  <c r="L5" i="8" s="1"/>
  <c r="E5" i="8"/>
  <c r="M4" i="8"/>
  <c r="L4" i="8"/>
  <c r="G4" i="8"/>
  <c r="F4" i="8"/>
  <c r="F29" i="7"/>
  <c r="E20" i="7"/>
  <c r="B20" i="7"/>
  <c r="H20" i="7" s="1"/>
  <c r="L19" i="7"/>
  <c r="B19" i="7"/>
  <c r="H19" i="7" s="1"/>
  <c r="L18" i="7"/>
  <c r="E18" i="7"/>
  <c r="B18" i="7"/>
  <c r="H18" i="7" s="1"/>
  <c r="L17" i="7"/>
  <c r="H17" i="7"/>
  <c r="L16" i="7"/>
  <c r="L15" i="7"/>
  <c r="H15" i="7"/>
  <c r="B15" i="7"/>
  <c r="E15" i="7" s="1"/>
  <c r="L14" i="7"/>
  <c r="B14" i="7"/>
  <c r="E14" i="7" s="1"/>
  <c r="J13" i="7"/>
  <c r="L13" i="7" s="1"/>
  <c r="B13" i="7"/>
  <c r="H13" i="7" s="1"/>
  <c r="L12" i="7"/>
  <c r="E12" i="7"/>
  <c r="B12" i="7"/>
  <c r="H12" i="7" s="1"/>
  <c r="L11" i="7"/>
  <c r="B11" i="7"/>
  <c r="H11" i="7" s="1"/>
  <c r="L10" i="7"/>
  <c r="E10" i="7"/>
  <c r="B10" i="7"/>
  <c r="H10" i="7" s="1"/>
  <c r="L9" i="7"/>
  <c r="B9" i="7"/>
  <c r="H9" i="7" s="1"/>
  <c r="L8" i="7"/>
  <c r="E8" i="7"/>
  <c r="B8" i="7"/>
  <c r="H8" i="7" s="1"/>
  <c r="L7" i="7"/>
  <c r="B7" i="7"/>
  <c r="H7" i="7" s="1"/>
  <c r="L6" i="7"/>
  <c r="E6" i="7"/>
  <c r="B6" i="7"/>
  <c r="L5" i="7"/>
  <c r="J5" i="7"/>
  <c r="E5" i="7"/>
  <c r="M4" i="7"/>
  <c r="L4" i="7"/>
  <c r="G4" i="7"/>
  <c r="F4" i="7"/>
  <c r="F29" i="6"/>
  <c r="H20" i="6"/>
  <c r="B20" i="6"/>
  <c r="E20" i="6" s="1"/>
  <c r="L19" i="6"/>
  <c r="B19" i="6"/>
  <c r="E19" i="6" s="1"/>
  <c r="L18" i="6"/>
  <c r="H18" i="6"/>
  <c r="B18" i="6"/>
  <c r="E18" i="6" s="1"/>
  <c r="L17" i="6"/>
  <c r="H17" i="6"/>
  <c r="L16" i="6"/>
  <c r="L15" i="6"/>
  <c r="H15" i="6"/>
  <c r="E15" i="6"/>
  <c r="B15" i="6"/>
  <c r="L14" i="6"/>
  <c r="H14" i="6"/>
  <c r="E14" i="6"/>
  <c r="B14" i="6"/>
  <c r="J13" i="6"/>
  <c r="L13" i="6" s="1"/>
  <c r="B13" i="6"/>
  <c r="E13" i="6" s="1"/>
  <c r="L12" i="6"/>
  <c r="H12" i="6"/>
  <c r="B12" i="6"/>
  <c r="E12" i="6" s="1"/>
  <c r="L11" i="6"/>
  <c r="B11" i="6"/>
  <c r="E11" i="6" s="1"/>
  <c r="L10" i="6"/>
  <c r="H10" i="6"/>
  <c r="B10" i="6"/>
  <c r="E10" i="6" s="1"/>
  <c r="L9" i="6"/>
  <c r="B9" i="6"/>
  <c r="E9" i="6" s="1"/>
  <c r="L8" i="6"/>
  <c r="H8" i="6"/>
  <c r="B8" i="6"/>
  <c r="E8" i="6" s="1"/>
  <c r="L7" i="6"/>
  <c r="B7" i="6"/>
  <c r="E7" i="6" s="1"/>
  <c r="L6" i="6"/>
  <c r="H6" i="6"/>
  <c r="B6" i="6"/>
  <c r="E6" i="6" s="1"/>
  <c r="L5" i="6"/>
  <c r="J5" i="6"/>
  <c r="E5" i="6"/>
  <c r="M4" i="6"/>
  <c r="L4" i="6"/>
  <c r="G4" i="6"/>
  <c r="F4" i="6"/>
  <c r="F29" i="5"/>
  <c r="H20" i="5"/>
  <c r="E20" i="5"/>
  <c r="B20" i="5"/>
  <c r="L19" i="5"/>
  <c r="H19" i="5"/>
  <c r="E19" i="5"/>
  <c r="B19" i="5"/>
  <c r="L18" i="5"/>
  <c r="H18" i="5"/>
  <c r="E18" i="5"/>
  <c r="B18" i="5"/>
  <c r="L17" i="5"/>
  <c r="H17" i="5"/>
  <c r="L16" i="5"/>
  <c r="L15" i="5"/>
  <c r="B15" i="5"/>
  <c r="H15" i="5" s="1"/>
  <c r="L14" i="5"/>
  <c r="B14" i="5"/>
  <c r="H14" i="5" s="1"/>
  <c r="H4" i="5" s="1"/>
  <c r="J13" i="5"/>
  <c r="L13" i="5" s="1"/>
  <c r="H13" i="5"/>
  <c r="E13" i="5"/>
  <c r="B13" i="5"/>
  <c r="L12" i="5"/>
  <c r="H12" i="5"/>
  <c r="E12" i="5"/>
  <c r="B12" i="5"/>
  <c r="L11" i="5"/>
  <c r="H11" i="5"/>
  <c r="E11" i="5"/>
  <c r="B11" i="5"/>
  <c r="L10" i="5"/>
  <c r="H10" i="5"/>
  <c r="E10" i="5"/>
  <c r="B10" i="5"/>
  <c r="L9" i="5"/>
  <c r="H9" i="5"/>
  <c r="E9" i="5"/>
  <c r="B9" i="5"/>
  <c r="L8" i="5"/>
  <c r="H8" i="5"/>
  <c r="E8" i="5"/>
  <c r="B8" i="5"/>
  <c r="L7" i="5"/>
  <c r="H7" i="5"/>
  <c r="E7" i="5"/>
  <c r="B7" i="5"/>
  <c r="L6" i="5"/>
  <c r="H6" i="5"/>
  <c r="E6" i="5"/>
  <c r="B6" i="5"/>
  <c r="J5" i="5"/>
  <c r="L5" i="5" s="1"/>
  <c r="E5" i="5"/>
  <c r="M4" i="5"/>
  <c r="L4" i="5"/>
  <c r="G4" i="5"/>
  <c r="F4" i="5"/>
  <c r="B4" i="5"/>
  <c r="E2" i="5" s="1"/>
  <c r="F29" i="4"/>
  <c r="E20" i="4"/>
  <c r="B20" i="4"/>
  <c r="H20" i="4" s="1"/>
  <c r="L19" i="4"/>
  <c r="E19" i="4"/>
  <c r="B19" i="4"/>
  <c r="H19" i="4" s="1"/>
  <c r="L18" i="4"/>
  <c r="E18" i="4"/>
  <c r="B18" i="4"/>
  <c r="H18" i="4" s="1"/>
  <c r="H4" i="4" s="1"/>
  <c r="L17" i="4"/>
  <c r="H17" i="4"/>
  <c r="L16" i="4"/>
  <c r="L15" i="4"/>
  <c r="E15" i="4"/>
  <c r="B15" i="4"/>
  <c r="H15" i="4" s="1"/>
  <c r="L14" i="4"/>
  <c r="E14" i="4"/>
  <c r="B14" i="4"/>
  <c r="H14" i="4" s="1"/>
  <c r="L13" i="4"/>
  <c r="J13" i="4"/>
  <c r="H13" i="4"/>
  <c r="E13" i="4"/>
  <c r="B13" i="4"/>
  <c r="L12" i="4"/>
  <c r="H12" i="4"/>
  <c r="E12" i="4"/>
  <c r="B12" i="4"/>
  <c r="L11" i="4"/>
  <c r="H11" i="4"/>
  <c r="E11" i="4"/>
  <c r="B11" i="4"/>
  <c r="L10" i="4"/>
  <c r="H10" i="4"/>
  <c r="E10" i="4"/>
  <c r="B10" i="4"/>
  <c r="L9" i="4"/>
  <c r="H9" i="4"/>
  <c r="E9" i="4"/>
  <c r="B9" i="4"/>
  <c r="L8" i="4"/>
  <c r="H8" i="4"/>
  <c r="E8" i="4"/>
  <c r="B8" i="4"/>
  <c r="L7" i="4"/>
  <c r="H7" i="4"/>
  <c r="E7" i="4"/>
  <c r="B7" i="4"/>
  <c r="L6" i="4"/>
  <c r="H6" i="4"/>
  <c r="E6" i="4"/>
  <c r="B6" i="4"/>
  <c r="J5" i="4"/>
  <c r="L5" i="4" s="1"/>
  <c r="E5" i="4"/>
  <c r="M4" i="4"/>
  <c r="L4" i="4"/>
  <c r="G4" i="4"/>
  <c r="F4" i="4"/>
  <c r="B4" i="4"/>
  <c r="E4" i="4" s="1"/>
  <c r="E2" i="4"/>
  <c r="F29" i="3"/>
  <c r="E20" i="3"/>
  <c r="B20" i="3"/>
  <c r="L19" i="3"/>
  <c r="H19" i="3"/>
  <c r="E19" i="3"/>
  <c r="B19" i="3"/>
  <c r="D16" i="55" s="1"/>
  <c r="E16" i="55" s="1"/>
  <c r="L18" i="3"/>
  <c r="B18" i="3"/>
  <c r="D15" i="55" s="1"/>
  <c r="E15" i="55" s="1"/>
  <c r="L17" i="3"/>
  <c r="H17" i="3"/>
  <c r="L16" i="3"/>
  <c r="L15" i="3"/>
  <c r="H15" i="3"/>
  <c r="E15" i="3"/>
  <c r="B15" i="3"/>
  <c r="D14" i="55" s="1"/>
  <c r="E14" i="55" s="1"/>
  <c r="L14" i="3"/>
  <c r="B14" i="3"/>
  <c r="D13" i="55" s="1"/>
  <c r="E13" i="55" s="1"/>
  <c r="L13" i="3"/>
  <c r="J13" i="3"/>
  <c r="E13" i="3"/>
  <c r="B13" i="3"/>
  <c r="D12" i="55" s="1"/>
  <c r="E12" i="55" s="1"/>
  <c r="L12" i="3"/>
  <c r="B12" i="3"/>
  <c r="D11" i="55" s="1"/>
  <c r="E11" i="55" s="1"/>
  <c r="L11" i="3"/>
  <c r="B11" i="3"/>
  <c r="D10" i="55" s="1"/>
  <c r="E10" i="55" s="1"/>
  <c r="L10" i="3"/>
  <c r="B10" i="3"/>
  <c r="H10" i="3" s="1"/>
  <c r="L9" i="3"/>
  <c r="B9" i="3"/>
  <c r="D9" i="55" s="1"/>
  <c r="E9" i="55" s="1"/>
  <c r="L8" i="3"/>
  <c r="B8" i="3"/>
  <c r="D8" i="55" s="1"/>
  <c r="E8" i="55" s="1"/>
  <c r="L7" i="3"/>
  <c r="B7" i="3"/>
  <c r="D7" i="55" s="1"/>
  <c r="E7" i="55" s="1"/>
  <c r="L6" i="3"/>
  <c r="B6" i="3"/>
  <c r="D6" i="55" s="1"/>
  <c r="J5" i="3"/>
  <c r="L5" i="3" s="1"/>
  <c r="E5" i="3"/>
  <c r="M4" i="3"/>
  <c r="L4" i="3"/>
  <c r="G4" i="3"/>
  <c r="F4" i="3"/>
  <c r="F29" i="2"/>
  <c r="B20" i="2"/>
  <c r="H20" i="2" s="1"/>
  <c r="L19" i="2"/>
  <c r="B19" i="2"/>
  <c r="H19" i="2" s="1"/>
  <c r="L18" i="2"/>
  <c r="B18" i="2"/>
  <c r="H18" i="2" s="1"/>
  <c r="L17" i="2"/>
  <c r="H17" i="2"/>
  <c r="L16" i="2"/>
  <c r="L15" i="2"/>
  <c r="H15" i="2"/>
  <c r="E15" i="2"/>
  <c r="B15" i="2"/>
  <c r="L14" i="2"/>
  <c r="H14" i="2"/>
  <c r="B14" i="2"/>
  <c r="E14" i="2" s="1"/>
  <c r="J13" i="2"/>
  <c r="L13" i="2" s="1"/>
  <c r="B13" i="2"/>
  <c r="H13" i="2" s="1"/>
  <c r="L12" i="2"/>
  <c r="B12" i="2"/>
  <c r="H12" i="2" s="1"/>
  <c r="L11" i="2"/>
  <c r="B11" i="2"/>
  <c r="H11" i="2" s="1"/>
  <c r="L10" i="2"/>
  <c r="B10" i="2"/>
  <c r="H10" i="2" s="1"/>
  <c r="L9" i="2"/>
  <c r="B9" i="2"/>
  <c r="H9" i="2" s="1"/>
  <c r="L8" i="2"/>
  <c r="B8" i="2"/>
  <c r="H8" i="2" s="1"/>
  <c r="L7" i="2"/>
  <c r="B7" i="2"/>
  <c r="H7" i="2" s="1"/>
  <c r="L6" i="2"/>
  <c r="B6" i="2"/>
  <c r="H6" i="2" s="1"/>
  <c r="H4" i="2" s="1"/>
  <c r="L5" i="2"/>
  <c r="J5" i="2"/>
  <c r="E5" i="2"/>
  <c r="M4" i="2"/>
  <c r="L4" i="2"/>
  <c r="G4" i="2"/>
  <c r="F4" i="2"/>
  <c r="F29" i="1"/>
  <c r="L17" i="1"/>
  <c r="H17" i="1"/>
  <c r="L16" i="1"/>
  <c r="L15" i="1"/>
  <c r="H15" i="1"/>
  <c r="B15" i="1"/>
  <c r="E15" i="1" s="1"/>
  <c r="L14" i="1"/>
  <c r="H14" i="1"/>
  <c r="B14" i="1"/>
  <c r="E14" i="1" s="1"/>
  <c r="J13" i="1"/>
  <c r="L13" i="1" s="1"/>
  <c r="B13" i="1"/>
  <c r="H13" i="1" s="1"/>
  <c r="L12" i="1"/>
  <c r="B12" i="1"/>
  <c r="H12" i="1" s="1"/>
  <c r="L11" i="1"/>
  <c r="B11" i="1"/>
  <c r="H11" i="1" s="1"/>
  <c r="L10" i="1"/>
  <c r="B10" i="1"/>
  <c r="H10" i="1" s="1"/>
  <c r="L9" i="1"/>
  <c r="B9" i="1"/>
  <c r="H9" i="1" s="1"/>
  <c r="L8" i="1"/>
  <c r="B8" i="1"/>
  <c r="H8" i="1" s="1"/>
  <c r="L7" i="1"/>
  <c r="B7" i="1"/>
  <c r="H7" i="1" s="1"/>
  <c r="L6" i="1"/>
  <c r="B6" i="1"/>
  <c r="H6" i="1" s="1"/>
  <c r="H4" i="1" s="1"/>
  <c r="L5" i="1"/>
  <c r="J5" i="1"/>
  <c r="F5" i="1"/>
  <c r="E5" i="1"/>
  <c r="M4" i="1"/>
  <c r="L4" i="1"/>
  <c r="G4" i="1"/>
  <c r="F4" i="1"/>
  <c r="D4" i="1"/>
  <c r="B4" i="1"/>
  <c r="E4" i="1" s="1"/>
  <c r="E2" i="1"/>
  <c r="E6" i="55" l="1"/>
  <c r="D17" i="55"/>
  <c r="E17" i="55" s="1"/>
  <c r="H20" i="3"/>
  <c r="E4" i="5"/>
  <c r="B4" i="6"/>
  <c r="H9" i="6"/>
  <c r="H13" i="6"/>
  <c r="H6" i="7"/>
  <c r="B4" i="7"/>
  <c r="E7" i="7"/>
  <c r="E11" i="7"/>
  <c r="B4" i="8"/>
  <c r="E7" i="8"/>
  <c r="E11" i="8"/>
  <c r="E19" i="8"/>
  <c r="E18" i="9"/>
  <c r="E6" i="3"/>
  <c r="E7" i="3"/>
  <c r="E8" i="3"/>
  <c r="E9" i="3"/>
  <c r="E10" i="3"/>
  <c r="E11" i="3"/>
  <c r="E12" i="3"/>
  <c r="E18" i="3"/>
  <c r="E14" i="8"/>
  <c r="H14" i="8"/>
  <c r="E4" i="17"/>
  <c r="E2" i="17"/>
  <c r="E4" i="21"/>
  <c r="E2" i="21"/>
  <c r="E4" i="25"/>
  <c r="E2" i="25"/>
  <c r="E4" i="29"/>
  <c r="E2" i="29"/>
  <c r="E6" i="1"/>
  <c r="E7" i="1"/>
  <c r="E8" i="1"/>
  <c r="E9" i="1"/>
  <c r="E10" i="1"/>
  <c r="E11" i="1"/>
  <c r="E12" i="1"/>
  <c r="E13" i="1"/>
  <c r="E6" i="2"/>
  <c r="E7" i="2"/>
  <c r="E8" i="2"/>
  <c r="E9" i="2"/>
  <c r="E10" i="2"/>
  <c r="E11" i="2"/>
  <c r="E12" i="2"/>
  <c r="E13" i="2"/>
  <c r="E18" i="2"/>
  <c r="E19" i="2"/>
  <c r="E20" i="2"/>
  <c r="B4" i="3"/>
  <c r="H6" i="3"/>
  <c r="H7" i="3"/>
  <c r="H8" i="3"/>
  <c r="H9" i="3"/>
  <c r="H11" i="3"/>
  <c r="H12" i="3"/>
  <c r="H13" i="3"/>
  <c r="E14" i="3"/>
  <c r="H18" i="3"/>
  <c r="E14" i="5"/>
  <c r="E15" i="5"/>
  <c r="H7" i="6"/>
  <c r="H4" i="6" s="1"/>
  <c r="H11" i="6"/>
  <c r="H19" i="6"/>
  <c r="E9" i="7"/>
  <c r="E13" i="7"/>
  <c r="H14" i="7"/>
  <c r="E19" i="7"/>
  <c r="E9" i="8"/>
  <c r="E13" i="8"/>
  <c r="B4" i="9"/>
  <c r="E20" i="9"/>
  <c r="B4" i="2"/>
  <c r="H14" i="3"/>
  <c r="E15" i="8"/>
  <c r="H15" i="8"/>
  <c r="H4" i="11"/>
  <c r="E15" i="9"/>
  <c r="H8" i="11"/>
  <c r="H12" i="11"/>
  <c r="H20" i="11"/>
  <c r="E10" i="12"/>
  <c r="H15" i="12"/>
  <c r="E20" i="12"/>
  <c r="E15" i="13"/>
  <c r="H8" i="15"/>
  <c r="H4" i="15" s="1"/>
  <c r="H12" i="15"/>
  <c r="H20" i="15"/>
  <c r="E10" i="16"/>
  <c r="H15" i="16"/>
  <c r="E20" i="16"/>
  <c r="E15" i="17"/>
  <c r="H18" i="17"/>
  <c r="E8" i="18"/>
  <c r="E12" i="18"/>
  <c r="H6" i="19"/>
  <c r="H10" i="19"/>
  <c r="E20" i="20"/>
  <c r="E15" i="21"/>
  <c r="H18" i="21"/>
  <c r="E8" i="22"/>
  <c r="E12" i="22"/>
  <c r="H6" i="23"/>
  <c r="H10" i="23"/>
  <c r="E20" i="24"/>
  <c r="E15" i="25"/>
  <c r="H18" i="25"/>
  <c r="E8" i="26"/>
  <c r="E12" i="26"/>
  <c r="H6" i="27"/>
  <c r="H10" i="27"/>
  <c r="E20" i="28"/>
  <c r="E15" i="29"/>
  <c r="H18" i="29"/>
  <c r="H4" i="29" s="1"/>
  <c r="E8" i="30"/>
  <c r="E12" i="30"/>
  <c r="H15" i="31"/>
  <c r="J4" i="32"/>
  <c r="E13" i="32"/>
  <c r="B4" i="33"/>
  <c r="H8" i="33"/>
  <c r="H4" i="33" s="1"/>
  <c r="H12" i="33"/>
  <c r="K4" i="34"/>
  <c r="L4" i="34" s="1"/>
  <c r="E12" i="34"/>
  <c r="H19" i="34"/>
  <c r="K4" i="35"/>
  <c r="L4" i="35" s="1"/>
  <c r="H6" i="35"/>
  <c r="H10" i="35"/>
  <c r="H6" i="37"/>
  <c r="B4" i="37"/>
  <c r="E6" i="37"/>
  <c r="H14" i="37"/>
  <c r="E14" i="37"/>
  <c r="L4" i="38"/>
  <c r="H9" i="39"/>
  <c r="E9" i="39"/>
  <c r="H6" i="41"/>
  <c r="H4" i="41" s="1"/>
  <c r="B4" i="41"/>
  <c r="B4" i="42"/>
  <c r="H18" i="42"/>
  <c r="H4" i="47"/>
  <c r="H4" i="51"/>
  <c r="H4" i="55"/>
  <c r="H4" i="58"/>
  <c r="K6" i="65"/>
  <c r="E2" i="14"/>
  <c r="H6" i="18"/>
  <c r="B4" i="18"/>
  <c r="B4" i="19"/>
  <c r="E2" i="20"/>
  <c r="H6" i="22"/>
  <c r="B4" i="22"/>
  <c r="B4" i="23"/>
  <c r="E2" i="24"/>
  <c r="H6" i="26"/>
  <c r="B4" i="26"/>
  <c r="B4" i="27"/>
  <c r="E2" i="28"/>
  <c r="H6" i="30"/>
  <c r="B4" i="30"/>
  <c r="B4" i="31"/>
  <c r="E2" i="35"/>
  <c r="B4" i="36"/>
  <c r="H19" i="36"/>
  <c r="E19" i="36"/>
  <c r="H8" i="37"/>
  <c r="E8" i="37"/>
  <c r="H11" i="39"/>
  <c r="E11" i="39"/>
  <c r="B4" i="40"/>
  <c r="H19" i="40"/>
  <c r="E19" i="40"/>
  <c r="K4" i="41"/>
  <c r="L4" i="41" s="1"/>
  <c r="K4" i="42"/>
  <c r="L4" i="42" s="1"/>
  <c r="J4" i="42"/>
  <c r="H4" i="42"/>
  <c r="B4" i="43"/>
  <c r="H18" i="43"/>
  <c r="H6" i="34"/>
  <c r="B4" i="34"/>
  <c r="H13" i="35"/>
  <c r="E13" i="35"/>
  <c r="K4" i="36"/>
  <c r="L4" i="36" s="1"/>
  <c r="J4" i="36"/>
  <c r="H4" i="36"/>
  <c r="H10" i="37"/>
  <c r="E10" i="37"/>
  <c r="H18" i="38"/>
  <c r="H4" i="38" s="1"/>
  <c r="E18" i="38"/>
  <c r="H13" i="39"/>
  <c r="E13" i="39"/>
  <c r="K4" i="40"/>
  <c r="L4" i="40" s="1"/>
  <c r="J4" i="40"/>
  <c r="H4" i="40"/>
  <c r="H20" i="42"/>
  <c r="E2" i="42"/>
  <c r="K4" i="43"/>
  <c r="L4" i="43" s="1"/>
  <c r="J4" i="43"/>
  <c r="H4" i="43"/>
  <c r="H4" i="54"/>
  <c r="L6" i="57"/>
  <c r="B4" i="11"/>
  <c r="H9" i="11"/>
  <c r="H13" i="11"/>
  <c r="H6" i="12"/>
  <c r="H4" i="12" s="1"/>
  <c r="B4" i="12"/>
  <c r="E7" i="12"/>
  <c r="E11" i="12"/>
  <c r="B4" i="13"/>
  <c r="B4" i="15"/>
  <c r="H9" i="15"/>
  <c r="H13" i="15"/>
  <c r="H6" i="16"/>
  <c r="B4" i="16"/>
  <c r="E7" i="16"/>
  <c r="E11" i="16"/>
  <c r="H19" i="17"/>
  <c r="E9" i="18"/>
  <c r="E13" i="18"/>
  <c r="H14" i="18"/>
  <c r="H7" i="19"/>
  <c r="H11" i="19"/>
  <c r="H19" i="21"/>
  <c r="E9" i="22"/>
  <c r="E13" i="22"/>
  <c r="H14" i="22"/>
  <c r="H7" i="23"/>
  <c r="H11" i="23"/>
  <c r="H19" i="25"/>
  <c r="E9" i="26"/>
  <c r="E13" i="26"/>
  <c r="H14" i="26"/>
  <c r="H7" i="27"/>
  <c r="H11" i="27"/>
  <c r="H19" i="29"/>
  <c r="E9" i="30"/>
  <c r="E13" i="30"/>
  <c r="H14" i="30"/>
  <c r="E12" i="31"/>
  <c r="H13" i="31"/>
  <c r="H4" i="31" s="1"/>
  <c r="B4" i="32"/>
  <c r="E7" i="32"/>
  <c r="E15" i="32"/>
  <c r="E19" i="33"/>
  <c r="E6" i="34"/>
  <c r="E14" i="34"/>
  <c r="H18" i="34"/>
  <c r="H9" i="35"/>
  <c r="H15" i="35"/>
  <c r="E15" i="35"/>
  <c r="E18" i="35"/>
  <c r="H12" i="37"/>
  <c r="E12" i="37"/>
  <c r="H20" i="38"/>
  <c r="E20" i="38"/>
  <c r="E2" i="39"/>
  <c r="E4" i="39"/>
  <c r="H7" i="39"/>
  <c r="H4" i="39" s="1"/>
  <c r="E7" i="39"/>
  <c r="H15" i="39"/>
  <c r="E15" i="39"/>
  <c r="E4" i="41"/>
  <c r="E2" i="41"/>
  <c r="K4" i="44"/>
  <c r="L4" i="44" s="1"/>
  <c r="J4" i="44"/>
  <c r="H4" i="44"/>
  <c r="H4" i="48"/>
  <c r="H4" i="50"/>
  <c r="K6" i="76"/>
  <c r="H4" i="60"/>
  <c r="J4" i="79"/>
  <c r="K4" i="79" s="1"/>
  <c r="K6" i="79"/>
  <c r="H7" i="57"/>
  <c r="H4" i="57" s="1"/>
  <c r="K8" i="57"/>
  <c r="L8" i="57" s="1"/>
  <c r="K12" i="57"/>
  <c r="L12" i="57" s="1"/>
  <c r="K6" i="59"/>
  <c r="K8" i="59"/>
  <c r="L8" i="59" s="1"/>
  <c r="K10" i="59"/>
  <c r="L10" i="59" s="1"/>
  <c r="K12" i="59"/>
  <c r="L12" i="59" s="1"/>
  <c r="K15" i="60"/>
  <c r="L15" i="60" s="1"/>
  <c r="I8" i="61"/>
  <c r="J8" i="61" s="1"/>
  <c r="I12" i="61"/>
  <c r="J12" i="61" s="1"/>
  <c r="J15" i="65"/>
  <c r="K15" i="65" s="1"/>
  <c r="J6" i="73"/>
  <c r="J8" i="73"/>
  <c r="K8" i="73" s="1"/>
  <c r="J10" i="73"/>
  <c r="K10" i="73" s="1"/>
  <c r="J12" i="73"/>
  <c r="K12" i="73" s="1"/>
  <c r="J9" i="75"/>
  <c r="K9" i="75" s="1"/>
  <c r="J13" i="75"/>
  <c r="K13" i="75" s="1"/>
  <c r="J14" i="75"/>
  <c r="K14" i="75" s="1"/>
  <c r="J17" i="75"/>
  <c r="K17" i="75" s="1"/>
  <c r="J7" i="76"/>
  <c r="K7" i="76" s="1"/>
  <c r="J11" i="76"/>
  <c r="K11" i="76" s="1"/>
  <c r="J16" i="76"/>
  <c r="K16" i="76" s="1"/>
  <c r="E4" i="97"/>
  <c r="E2" i="97"/>
  <c r="K7" i="110"/>
  <c r="J4" i="110"/>
  <c r="K4" i="110" s="1"/>
  <c r="J4" i="116"/>
  <c r="K4" i="116" s="1"/>
  <c r="K6" i="116"/>
  <c r="K4" i="37"/>
  <c r="L4" i="37" s="1"/>
  <c r="B4" i="38"/>
  <c r="B4" i="55"/>
  <c r="J4" i="55"/>
  <c r="J8" i="56"/>
  <c r="K9" i="56"/>
  <c r="L9" i="56" s="1"/>
  <c r="J12" i="56"/>
  <c r="K13" i="56"/>
  <c r="L13" i="56" s="1"/>
  <c r="J15" i="56"/>
  <c r="K16" i="56"/>
  <c r="L16" i="56" s="1"/>
  <c r="H17" i="56"/>
  <c r="J6" i="57"/>
  <c r="J10" i="57"/>
  <c r="J15" i="57"/>
  <c r="C16" i="57"/>
  <c r="C4" i="57" s="1"/>
  <c r="K7" i="58"/>
  <c r="L7" i="58" s="1"/>
  <c r="K9" i="58"/>
  <c r="L9" i="58" s="1"/>
  <c r="K11" i="58"/>
  <c r="L11" i="58" s="1"/>
  <c r="K13" i="58"/>
  <c r="L13" i="58" s="1"/>
  <c r="K15" i="58"/>
  <c r="L15" i="58" s="1"/>
  <c r="K17" i="58"/>
  <c r="L17" i="58" s="1"/>
  <c r="F2" i="60"/>
  <c r="I9" i="61"/>
  <c r="J9" i="61" s="1"/>
  <c r="I13" i="61"/>
  <c r="J13" i="61" s="1"/>
  <c r="I17" i="61"/>
  <c r="J17" i="61" s="1"/>
  <c r="I7" i="62"/>
  <c r="J7" i="62" s="1"/>
  <c r="E2" i="63"/>
  <c r="E2" i="64"/>
  <c r="F4" i="65"/>
  <c r="I4" i="65" s="1"/>
  <c r="G7" i="65"/>
  <c r="I9" i="65"/>
  <c r="G11" i="65"/>
  <c r="I13" i="65"/>
  <c r="G15" i="65"/>
  <c r="I17" i="65"/>
  <c r="E2" i="68"/>
  <c r="E2" i="69"/>
  <c r="E2" i="70"/>
  <c r="E2" i="71"/>
  <c r="E2" i="72"/>
  <c r="E2" i="73"/>
  <c r="G6" i="73"/>
  <c r="E7" i="73"/>
  <c r="I7" i="73"/>
  <c r="G8" i="73"/>
  <c r="E9" i="73"/>
  <c r="I9" i="73"/>
  <c r="G10" i="73"/>
  <c r="E11" i="73"/>
  <c r="I11" i="73"/>
  <c r="G12" i="73"/>
  <c r="E13" i="73"/>
  <c r="I13" i="73"/>
  <c r="G14" i="73"/>
  <c r="E15" i="73"/>
  <c r="I15" i="73"/>
  <c r="G16" i="73"/>
  <c r="E17" i="73"/>
  <c r="I17" i="73"/>
  <c r="C4" i="74"/>
  <c r="B7" i="74"/>
  <c r="B4" i="74" s="1"/>
  <c r="J7" i="74"/>
  <c r="K7" i="74" s="1"/>
  <c r="B9" i="74"/>
  <c r="J9" i="74"/>
  <c r="K9" i="74" s="1"/>
  <c r="B11" i="74"/>
  <c r="J11" i="74"/>
  <c r="K11" i="74" s="1"/>
  <c r="B13" i="74"/>
  <c r="J13" i="74"/>
  <c r="K13" i="74" s="1"/>
  <c r="E14" i="74"/>
  <c r="I14" i="74"/>
  <c r="B15" i="74"/>
  <c r="J15" i="74"/>
  <c r="K15" i="74" s="1"/>
  <c r="B17" i="74"/>
  <c r="J17" i="74"/>
  <c r="K17" i="74" s="1"/>
  <c r="D4" i="75"/>
  <c r="J6" i="75"/>
  <c r="J10" i="75"/>
  <c r="K10" i="75" s="1"/>
  <c r="J8" i="76"/>
  <c r="K8" i="76" s="1"/>
  <c r="J12" i="76"/>
  <c r="K12" i="76" s="1"/>
  <c r="J17" i="76"/>
  <c r="K17" i="76" s="1"/>
  <c r="J4" i="77"/>
  <c r="K4" i="77" s="1"/>
  <c r="K7" i="77"/>
  <c r="K11" i="77"/>
  <c r="K15" i="77"/>
  <c r="E2" i="78"/>
  <c r="K6" i="78"/>
  <c r="J7" i="78"/>
  <c r="K7" i="78" s="1"/>
  <c r="J11" i="78"/>
  <c r="K11" i="78" s="1"/>
  <c r="J15" i="78"/>
  <c r="K15" i="78" s="1"/>
  <c r="I4" i="82"/>
  <c r="G4" i="91"/>
  <c r="K8" i="91"/>
  <c r="E4" i="93"/>
  <c r="E2" i="93"/>
  <c r="J4" i="93"/>
  <c r="K4" i="93" s="1"/>
  <c r="E2" i="94"/>
  <c r="E4" i="96"/>
  <c r="G4" i="96"/>
  <c r="M4" i="97"/>
  <c r="B4" i="104"/>
  <c r="K7" i="104"/>
  <c r="J4" i="104"/>
  <c r="K4" i="104" s="1"/>
  <c r="B4" i="105"/>
  <c r="K7" i="105"/>
  <c r="J4" i="105"/>
  <c r="K4" i="105" s="1"/>
  <c r="B4" i="108"/>
  <c r="K6" i="108"/>
  <c r="J4" i="108"/>
  <c r="K4" i="108" s="1"/>
  <c r="E4" i="117"/>
  <c r="E2" i="117"/>
  <c r="E4" i="122"/>
  <c r="E2" i="122"/>
  <c r="K4" i="122"/>
  <c r="H18" i="44"/>
  <c r="H7" i="45"/>
  <c r="H4" i="45" s="1"/>
  <c r="E2" i="56"/>
  <c r="I4" i="56"/>
  <c r="J4" i="56" s="1"/>
  <c r="K8" i="56"/>
  <c r="H9" i="56"/>
  <c r="H4" i="56" s="1"/>
  <c r="K12" i="56"/>
  <c r="L12" i="56" s="1"/>
  <c r="H13" i="56"/>
  <c r="K15" i="56"/>
  <c r="L15" i="56" s="1"/>
  <c r="E2" i="57"/>
  <c r="I4" i="57"/>
  <c r="J4" i="57" s="1"/>
  <c r="E2" i="58"/>
  <c r="K9" i="59"/>
  <c r="L9" i="59" s="1"/>
  <c r="K13" i="59"/>
  <c r="L13" i="59" s="1"/>
  <c r="K15" i="59"/>
  <c r="L15" i="59" s="1"/>
  <c r="B4" i="60"/>
  <c r="K6" i="60"/>
  <c r="K8" i="60"/>
  <c r="L8" i="60" s="1"/>
  <c r="K10" i="60"/>
  <c r="L10" i="60" s="1"/>
  <c r="K12" i="60"/>
  <c r="L12" i="60" s="1"/>
  <c r="K16" i="60"/>
  <c r="L16" i="60" s="1"/>
  <c r="I6" i="61"/>
  <c r="I10" i="61"/>
  <c r="J10" i="61" s="1"/>
  <c r="J9" i="65"/>
  <c r="K9" i="65" s="1"/>
  <c r="D4" i="74"/>
  <c r="H4" i="74"/>
  <c r="I4" i="74" s="1"/>
  <c r="J15" i="75"/>
  <c r="K15" i="75" s="1"/>
  <c r="J18" i="75"/>
  <c r="K18" i="75" s="1"/>
  <c r="E2" i="79"/>
  <c r="E4" i="82"/>
  <c r="E2" i="82"/>
  <c r="J4" i="82"/>
  <c r="K4" i="82" s="1"/>
  <c r="E2" i="83"/>
  <c r="E2" i="84"/>
  <c r="E2" i="85"/>
  <c r="E2" i="86"/>
  <c r="E2" i="87"/>
  <c r="E2" i="88"/>
  <c r="E2" i="89"/>
  <c r="E2" i="90"/>
  <c r="E4" i="92"/>
  <c r="B4" i="92"/>
  <c r="J4" i="92"/>
  <c r="K4" i="92" s="1"/>
  <c r="J4" i="94"/>
  <c r="K4" i="94" s="1"/>
  <c r="E2" i="96"/>
  <c r="E4" i="98"/>
  <c r="E2" i="98"/>
  <c r="B4" i="100"/>
  <c r="K7" i="100"/>
  <c r="J4" i="100"/>
  <c r="K4" i="100" s="1"/>
  <c r="K7" i="101"/>
  <c r="J4" i="101"/>
  <c r="K4" i="101" s="1"/>
  <c r="E2" i="103"/>
  <c r="M4" i="103"/>
  <c r="E4" i="103"/>
  <c r="K11" i="107"/>
  <c r="J4" i="107"/>
  <c r="K4" i="107" s="1"/>
  <c r="J4" i="112"/>
  <c r="K4" i="112" s="1"/>
  <c r="K6" i="112"/>
  <c r="K4" i="39"/>
  <c r="L4" i="39" s="1"/>
  <c r="K4" i="45"/>
  <c r="L4" i="45" s="1"/>
  <c r="K4" i="46"/>
  <c r="L4" i="46" s="1"/>
  <c r="K4" i="47"/>
  <c r="L4" i="47" s="1"/>
  <c r="K4" i="48"/>
  <c r="L4" i="48" s="1"/>
  <c r="N5" i="226"/>
  <c r="O5" i="226" s="1"/>
  <c r="N5" i="225"/>
  <c r="O5" i="225" s="1"/>
  <c r="N5" i="224"/>
  <c r="O5" i="224" s="1"/>
  <c r="N5" i="223"/>
  <c r="O5" i="223" s="1"/>
  <c r="N5" i="222"/>
  <c r="O5" i="222" s="1"/>
  <c r="N5" i="221"/>
  <c r="O5" i="221" s="1"/>
  <c r="N5" i="220"/>
  <c r="O5" i="220" s="1"/>
  <c r="N5" i="218"/>
  <c r="O5" i="218" s="1"/>
  <c r="N5" i="213"/>
  <c r="O5" i="213" s="1"/>
  <c r="N5" i="212"/>
  <c r="O5" i="212" s="1"/>
  <c r="N5" i="211"/>
  <c r="O5" i="211" s="1"/>
  <c r="N5" i="210"/>
  <c r="O5" i="210" s="1"/>
  <c r="N5" i="209"/>
  <c r="O5" i="209" s="1"/>
  <c r="N5" i="208"/>
  <c r="O5" i="208" s="1"/>
  <c r="N5" i="207"/>
  <c r="O5" i="207" s="1"/>
  <c r="N5" i="206"/>
  <c r="O5" i="206" s="1"/>
  <c r="N5" i="205"/>
  <c r="O5" i="205" s="1"/>
  <c r="N5" i="204"/>
  <c r="O5" i="204" s="1"/>
  <c r="N5" i="203"/>
  <c r="O5" i="203" s="1"/>
  <c r="N5" i="202"/>
  <c r="O5" i="202" s="1"/>
  <c r="N5" i="201"/>
  <c r="O5" i="201" s="1"/>
  <c r="N5" i="200"/>
  <c r="O5" i="200" s="1"/>
  <c r="N5" i="199"/>
  <c r="O5" i="199" s="1"/>
  <c r="N5" i="198"/>
  <c r="O5" i="198" s="1"/>
  <c r="N5" i="197"/>
  <c r="O5" i="197" s="1"/>
  <c r="N5" i="196"/>
  <c r="O5" i="196" s="1"/>
  <c r="N5" i="195"/>
  <c r="O5" i="195" s="1"/>
  <c r="N5" i="194"/>
  <c r="O5" i="194" s="1"/>
  <c r="N5" i="193"/>
  <c r="O5" i="193" s="1"/>
  <c r="N5" i="192"/>
  <c r="O5" i="192" s="1"/>
  <c r="N5" i="191"/>
  <c r="O5" i="191" s="1"/>
  <c r="N5" i="190"/>
  <c r="O5" i="190" s="1"/>
  <c r="N5" i="189"/>
  <c r="O5" i="189" s="1"/>
  <c r="N5" i="188"/>
  <c r="O5" i="188" s="1"/>
  <c r="N5" i="187"/>
  <c r="O5" i="187" s="1"/>
  <c r="N5" i="216"/>
  <c r="O5" i="216" s="1"/>
  <c r="N5" i="215"/>
  <c r="O5" i="215" s="1"/>
  <c r="N5" i="214"/>
  <c r="O5" i="214" s="1"/>
  <c r="N5" i="217"/>
  <c r="O5" i="217" s="1"/>
  <c r="N5" i="219"/>
  <c r="O5" i="219" s="1"/>
  <c r="N5" i="181"/>
  <c r="O5" i="181" s="1"/>
  <c r="L5" i="172"/>
  <c r="M5" i="172" s="1"/>
  <c r="L5" i="170"/>
  <c r="M5" i="170" s="1"/>
  <c r="L5" i="166"/>
  <c r="M5" i="166" s="1"/>
  <c r="N5" i="182"/>
  <c r="O5" i="182" s="1"/>
  <c r="L5" i="180"/>
  <c r="M5" i="180" s="1"/>
  <c r="N5" i="183"/>
  <c r="O5" i="183" s="1"/>
  <c r="L5" i="173"/>
  <c r="M5" i="173" s="1"/>
  <c r="L5" i="171"/>
  <c r="M5" i="171" s="1"/>
  <c r="L5" i="168"/>
  <c r="M5" i="168" s="1"/>
  <c r="L5" i="164"/>
  <c r="M5" i="164" s="1"/>
  <c r="L5" i="177"/>
  <c r="M5" i="177" s="1"/>
  <c r="L5" i="174"/>
  <c r="M5" i="174" s="1"/>
  <c r="L5" i="149"/>
  <c r="M5" i="149" s="1"/>
  <c r="K5" i="140"/>
  <c r="L5" i="140" s="1"/>
  <c r="N5" i="186"/>
  <c r="O5" i="186" s="1"/>
  <c r="L5" i="179"/>
  <c r="M5" i="179" s="1"/>
  <c r="L5" i="176"/>
  <c r="M5" i="176" s="1"/>
  <c r="L5" i="169"/>
  <c r="M5" i="169" s="1"/>
  <c r="L5" i="160"/>
  <c r="M5" i="160" s="1"/>
  <c r="L5" i="159"/>
  <c r="M5" i="159" s="1"/>
  <c r="L5" i="158"/>
  <c r="M5" i="158" s="1"/>
  <c r="L5" i="157"/>
  <c r="M5" i="157" s="1"/>
  <c r="L5" i="156"/>
  <c r="M5" i="156" s="1"/>
  <c r="L5" i="155"/>
  <c r="M5" i="155" s="1"/>
  <c r="L5" i="154"/>
  <c r="M5" i="154" s="1"/>
  <c r="L5" i="153"/>
  <c r="M5" i="153" s="1"/>
  <c r="L5" i="152"/>
  <c r="M5" i="152" s="1"/>
  <c r="L5" i="151"/>
  <c r="M5" i="151" s="1"/>
  <c r="L5" i="150"/>
  <c r="M5" i="150" s="1"/>
  <c r="L5" i="146"/>
  <c r="M5" i="146" s="1"/>
  <c r="L5" i="144"/>
  <c r="M5" i="144" s="1"/>
  <c r="L5" i="141"/>
  <c r="M5" i="141" s="1"/>
  <c r="K5" i="139"/>
  <c r="L5" i="139" s="1"/>
  <c r="N5" i="184"/>
  <c r="O5" i="184" s="1"/>
  <c r="L5" i="178"/>
  <c r="M5" i="178" s="1"/>
  <c r="L5" i="161"/>
  <c r="M5" i="161" s="1"/>
  <c r="L5" i="147"/>
  <c r="M5" i="147" s="1"/>
  <c r="L5" i="142"/>
  <c r="M5" i="142" s="1"/>
  <c r="K5" i="138"/>
  <c r="L5" i="138" s="1"/>
  <c r="N5" i="185"/>
  <c r="O5" i="185" s="1"/>
  <c r="L5" i="175"/>
  <c r="M5" i="175" s="1"/>
  <c r="L5" i="167"/>
  <c r="M5" i="167" s="1"/>
  <c r="L5" i="165"/>
  <c r="M5" i="165" s="1"/>
  <c r="L5" i="163"/>
  <c r="M5" i="163" s="1"/>
  <c r="L5" i="162"/>
  <c r="M5" i="162" s="1"/>
  <c r="L5" i="143"/>
  <c r="M5" i="143" s="1"/>
  <c r="L5" i="145"/>
  <c r="M5" i="145" s="1"/>
  <c r="L5" i="148"/>
  <c r="M5" i="148" s="1"/>
  <c r="B4" i="56"/>
  <c r="K16" i="57"/>
  <c r="L16" i="57" s="1"/>
  <c r="K6" i="58"/>
  <c r="K8" i="58"/>
  <c r="L8" i="58" s="1"/>
  <c r="K10" i="58"/>
  <c r="L10" i="58" s="1"/>
  <c r="K12" i="58"/>
  <c r="L12" i="58" s="1"/>
  <c r="K16" i="58"/>
  <c r="L16" i="58" s="1"/>
  <c r="I15" i="61"/>
  <c r="J15" i="61" s="1"/>
  <c r="I6" i="62"/>
  <c r="I8" i="62"/>
  <c r="J8" i="62" s="1"/>
  <c r="I10" i="62"/>
  <c r="J10" i="62" s="1"/>
  <c r="I12" i="62"/>
  <c r="J12" i="62" s="1"/>
  <c r="I16" i="62"/>
  <c r="J16" i="62" s="1"/>
  <c r="J8" i="65"/>
  <c r="K8" i="65" s="1"/>
  <c r="J12" i="65"/>
  <c r="K12" i="65" s="1"/>
  <c r="J16" i="65"/>
  <c r="K16" i="65" s="1"/>
  <c r="E6" i="73"/>
  <c r="E8" i="73"/>
  <c r="E10" i="73"/>
  <c r="J6" i="74"/>
  <c r="J8" i="74"/>
  <c r="K8" i="74" s="1"/>
  <c r="J10" i="74"/>
  <c r="K10" i="74" s="1"/>
  <c r="J12" i="74"/>
  <c r="K12" i="74" s="1"/>
  <c r="J16" i="74"/>
  <c r="K16" i="74" s="1"/>
  <c r="F4" i="75"/>
  <c r="I4" i="75" s="1"/>
  <c r="J4" i="90"/>
  <c r="K4" i="90" s="1"/>
  <c r="E2" i="91"/>
  <c r="B4" i="96"/>
  <c r="J4" i="96"/>
  <c r="K4" i="96" s="1"/>
  <c r="B4" i="97"/>
  <c r="J4" i="97"/>
  <c r="K4" i="97" s="1"/>
  <c r="K4" i="98"/>
  <c r="E4" i="110"/>
  <c r="E2" i="110"/>
  <c r="E4" i="113"/>
  <c r="E2" i="113"/>
  <c r="M7" i="121"/>
  <c r="L4" i="121"/>
  <c r="M4" i="121" s="1"/>
  <c r="G4" i="99"/>
  <c r="B4" i="102"/>
  <c r="K7" i="102"/>
  <c r="J4" i="102"/>
  <c r="K4" i="102" s="1"/>
  <c r="G4" i="103"/>
  <c r="B4" i="106"/>
  <c r="K7" i="106"/>
  <c r="J4" i="106"/>
  <c r="K4" i="106" s="1"/>
  <c r="E4" i="108"/>
  <c r="E2" i="108"/>
  <c r="J4" i="111"/>
  <c r="K4" i="111" s="1"/>
  <c r="M4" i="112"/>
  <c r="B4" i="114"/>
  <c r="J4" i="114"/>
  <c r="K4" i="114" s="1"/>
  <c r="E4" i="115"/>
  <c r="E2" i="115"/>
  <c r="M4" i="116"/>
  <c r="B4" i="118"/>
  <c r="J4" i="118"/>
  <c r="K4" i="118" s="1"/>
  <c r="M7" i="122"/>
  <c r="L4" i="122"/>
  <c r="M4" i="122" s="1"/>
  <c r="E4" i="123"/>
  <c r="M7" i="124"/>
  <c r="L4" i="124"/>
  <c r="M4" i="124" s="1"/>
  <c r="E4" i="125"/>
  <c r="M7" i="126"/>
  <c r="L4" i="126"/>
  <c r="M4" i="126" s="1"/>
  <c r="E4" i="127"/>
  <c r="N4" i="130"/>
  <c r="F4" i="132"/>
  <c r="F6" i="135"/>
  <c r="B4" i="135"/>
  <c r="L4" i="142"/>
  <c r="M4" i="142" s="1"/>
  <c r="M8" i="142"/>
  <c r="M7" i="144"/>
  <c r="L4" i="144"/>
  <c r="M4" i="144" s="1"/>
  <c r="F4" i="146"/>
  <c r="I4" i="146"/>
  <c r="O4" i="147"/>
  <c r="F4" i="147"/>
  <c r="L4" i="147"/>
  <c r="M4" i="147" s="1"/>
  <c r="G2" i="149"/>
  <c r="G19" i="149"/>
  <c r="F4" i="150"/>
  <c r="I4" i="150"/>
  <c r="O4" i="151"/>
  <c r="G4" i="151"/>
  <c r="F4" i="151"/>
  <c r="L4" i="151"/>
  <c r="M4" i="151" s="1"/>
  <c r="B4" i="152"/>
  <c r="G2" i="152" s="1"/>
  <c r="Q4" i="153"/>
  <c r="O4" i="155"/>
  <c r="F4" i="155"/>
  <c r="G2" i="155"/>
  <c r="L4" i="155"/>
  <c r="M4" i="155" s="1"/>
  <c r="B4" i="156"/>
  <c r="G4" i="100"/>
  <c r="B4" i="103"/>
  <c r="K7" i="103"/>
  <c r="J4" i="103"/>
  <c r="K4" i="103" s="1"/>
  <c r="G4" i="104"/>
  <c r="E4" i="109"/>
  <c r="E2" i="109"/>
  <c r="B4" i="113"/>
  <c r="J4" i="113"/>
  <c r="K4" i="113" s="1"/>
  <c r="E4" i="114"/>
  <c r="E2" i="114"/>
  <c r="K6" i="114"/>
  <c r="M4" i="115"/>
  <c r="B4" i="117"/>
  <c r="J4" i="117"/>
  <c r="K4" i="117" s="1"/>
  <c r="E4" i="118"/>
  <c r="E2" i="118"/>
  <c r="K6" i="118"/>
  <c r="E4" i="119"/>
  <c r="E2" i="119"/>
  <c r="B4" i="122"/>
  <c r="B4" i="124"/>
  <c r="B4" i="126"/>
  <c r="M4" i="131"/>
  <c r="N4" i="131" s="1"/>
  <c r="N6" i="131"/>
  <c r="N4" i="134"/>
  <c r="E4" i="138"/>
  <c r="P4" i="138"/>
  <c r="F2" i="140"/>
  <c r="F19" i="140"/>
  <c r="F4" i="144"/>
  <c r="I4" i="144"/>
  <c r="G6" i="145"/>
  <c r="B4" i="145"/>
  <c r="G2" i="145" s="1"/>
  <c r="L4" i="145"/>
  <c r="M4" i="145" s="1"/>
  <c r="L4" i="149"/>
  <c r="M4" i="149" s="1"/>
  <c r="M6" i="149"/>
  <c r="B4" i="151"/>
  <c r="G2" i="151" s="1"/>
  <c r="Q4" i="152"/>
  <c r="O4" i="154"/>
  <c r="F4" i="154"/>
  <c r="G2" i="154"/>
  <c r="L4" i="154"/>
  <c r="M4" i="154" s="1"/>
  <c r="B4" i="155"/>
  <c r="G4" i="155" s="1"/>
  <c r="O4" i="158"/>
  <c r="G4" i="158"/>
  <c r="F4" i="158"/>
  <c r="G2" i="158"/>
  <c r="L4" i="158"/>
  <c r="M4" i="158" s="1"/>
  <c r="M7" i="123"/>
  <c r="L4" i="123"/>
  <c r="M4" i="123" s="1"/>
  <c r="M7" i="125"/>
  <c r="L4" i="125"/>
  <c r="M4" i="125" s="1"/>
  <c r="M7" i="127"/>
  <c r="L4" i="127"/>
  <c r="M4" i="127" s="1"/>
  <c r="F6" i="129"/>
  <c r="B4" i="129"/>
  <c r="E4" i="130"/>
  <c r="H4" i="132"/>
  <c r="K4" i="139"/>
  <c r="L4" i="139" s="1"/>
  <c r="L6" i="140"/>
  <c r="K4" i="140"/>
  <c r="L4" i="140" s="1"/>
  <c r="O4" i="141"/>
  <c r="F4" i="141"/>
  <c r="L4" i="141"/>
  <c r="M4" i="141" s="1"/>
  <c r="G4" i="142"/>
  <c r="G4" i="145"/>
  <c r="B4" i="146"/>
  <c r="G4" i="146" s="1"/>
  <c r="G8" i="146"/>
  <c r="B4" i="150"/>
  <c r="G4" i="150" s="1"/>
  <c r="G8" i="150"/>
  <c r="O4" i="153"/>
  <c r="F4" i="153"/>
  <c r="G2" i="153"/>
  <c r="B4" i="154"/>
  <c r="G4" i="154" s="1"/>
  <c r="O4" i="157"/>
  <c r="G4" i="157"/>
  <c r="F4" i="157"/>
  <c r="L4" i="157"/>
  <c r="M4" i="157" s="1"/>
  <c r="G4" i="161"/>
  <c r="G4" i="107"/>
  <c r="E4" i="111"/>
  <c r="E2" i="111"/>
  <c r="E4" i="112"/>
  <c r="E2" i="112"/>
  <c r="M4" i="113"/>
  <c r="B4" i="115"/>
  <c r="J4" i="115"/>
  <c r="K4" i="115" s="1"/>
  <c r="E4" i="116"/>
  <c r="E2" i="116"/>
  <c r="M4" i="117"/>
  <c r="J4" i="119"/>
  <c r="K4" i="119" s="1"/>
  <c r="L10" i="119"/>
  <c r="E4" i="120"/>
  <c r="E2" i="120"/>
  <c r="M6" i="120"/>
  <c r="L4" i="120"/>
  <c r="M4" i="120" s="1"/>
  <c r="L14" i="120"/>
  <c r="M14" i="120" s="1"/>
  <c r="K14" i="120"/>
  <c r="E4" i="121"/>
  <c r="E2" i="121"/>
  <c r="B4" i="121"/>
  <c r="E4" i="134"/>
  <c r="B4" i="136"/>
  <c r="E2" i="138"/>
  <c r="N4" i="138"/>
  <c r="B4" i="139"/>
  <c r="F2" i="139" s="1"/>
  <c r="F8" i="139"/>
  <c r="H4" i="140"/>
  <c r="B4" i="141"/>
  <c r="G2" i="141" s="1"/>
  <c r="G9" i="142"/>
  <c r="B4" i="142"/>
  <c r="G2" i="142" s="1"/>
  <c r="B4" i="144"/>
  <c r="G4" i="144" s="1"/>
  <c r="G8" i="144"/>
  <c r="M7" i="146"/>
  <c r="L4" i="146"/>
  <c r="M4" i="146" s="1"/>
  <c r="G6" i="148"/>
  <c r="B4" i="148"/>
  <c r="G2" i="148" s="1"/>
  <c r="L4" i="148"/>
  <c r="M4" i="148" s="1"/>
  <c r="M7" i="150"/>
  <c r="L4" i="150"/>
  <c r="M4" i="150" s="1"/>
  <c r="O4" i="152"/>
  <c r="G4" i="152"/>
  <c r="F4" i="152"/>
  <c r="B4" i="153"/>
  <c r="G4" i="153" s="1"/>
  <c r="O4" i="156"/>
  <c r="G4" i="156"/>
  <c r="F4" i="156"/>
  <c r="G2" i="156"/>
  <c r="L4" i="156"/>
  <c r="M4" i="156" s="1"/>
  <c r="B4" i="157"/>
  <c r="G2" i="157" s="1"/>
  <c r="F2" i="164"/>
  <c r="F4" i="164"/>
  <c r="G2" i="165"/>
  <c r="N18" i="189"/>
  <c r="O18" i="189" s="1"/>
  <c r="N18" i="182"/>
  <c r="O18" i="182" s="1"/>
  <c r="L18" i="172"/>
  <c r="M18" i="172" s="1"/>
  <c r="L18" i="170"/>
  <c r="M18" i="170" s="1"/>
  <c r="N18" i="188"/>
  <c r="O18" i="188" s="1"/>
  <c r="N18" i="183"/>
  <c r="O18" i="183" s="1"/>
  <c r="L18" i="180"/>
  <c r="M18" i="180" s="1"/>
  <c r="N18" i="199"/>
  <c r="O18" i="199" s="1"/>
  <c r="N18" i="198"/>
  <c r="O18" i="198" s="1"/>
  <c r="N18" i="197"/>
  <c r="O18" i="197" s="1"/>
  <c r="N18" i="196"/>
  <c r="O18" i="196" s="1"/>
  <c r="N18" i="195"/>
  <c r="O18" i="195" s="1"/>
  <c r="N18" i="194"/>
  <c r="O18" i="194" s="1"/>
  <c r="N18" i="193"/>
  <c r="O18" i="193" s="1"/>
  <c r="N18" i="192"/>
  <c r="O18" i="192" s="1"/>
  <c r="N18" i="191"/>
  <c r="O18" i="191" s="1"/>
  <c r="N18" i="187"/>
  <c r="O18" i="187" s="1"/>
  <c r="N18" i="186"/>
  <c r="O18" i="186" s="1"/>
  <c r="N18" i="185"/>
  <c r="O18" i="185" s="1"/>
  <c r="N18" i="184"/>
  <c r="O18" i="184" s="1"/>
  <c r="L18" i="173"/>
  <c r="M18" i="173" s="1"/>
  <c r="L18" i="171"/>
  <c r="M18" i="171" s="1"/>
  <c r="M18" i="169"/>
  <c r="F2" i="173"/>
  <c r="F4" i="173"/>
  <c r="G2" i="175"/>
  <c r="G4" i="175"/>
  <c r="L18" i="175"/>
  <c r="M18" i="175" s="1"/>
  <c r="L18" i="178"/>
  <c r="M18" i="178" s="1"/>
  <c r="L18" i="179"/>
  <c r="M18" i="179" s="1"/>
  <c r="F4" i="180"/>
  <c r="I19" i="181"/>
  <c r="I10" i="183"/>
  <c r="B4" i="183"/>
  <c r="I2" i="183" s="1"/>
  <c r="O6" i="190"/>
  <c r="G4" i="203"/>
  <c r="I19" i="203"/>
  <c r="B4" i="203"/>
  <c r="I2" i="203" s="1"/>
  <c r="O8" i="205"/>
  <c r="N4" i="205"/>
  <c r="O4" i="205" s="1"/>
  <c r="I19" i="205"/>
  <c r="O8" i="207"/>
  <c r="N4" i="207"/>
  <c r="O4" i="207" s="1"/>
  <c r="I19" i="207"/>
  <c r="G4" i="239"/>
  <c r="H4" i="239"/>
  <c r="G2" i="239"/>
  <c r="I4" i="239"/>
  <c r="G2" i="159"/>
  <c r="B4" i="161"/>
  <c r="G2" i="161" s="1"/>
  <c r="G4" i="162"/>
  <c r="M6" i="162"/>
  <c r="G4" i="163"/>
  <c r="O4" i="163"/>
  <c r="M9" i="163"/>
  <c r="F2" i="165"/>
  <c r="L4" i="165"/>
  <c r="M4" i="165" s="1"/>
  <c r="I4" i="165"/>
  <c r="B4" i="166"/>
  <c r="F2" i="167"/>
  <c r="L4" i="167"/>
  <c r="M4" i="167" s="1"/>
  <c r="G2" i="168"/>
  <c r="L4" i="168"/>
  <c r="M4" i="168" s="1"/>
  <c r="N6" i="199"/>
  <c r="N6" i="198"/>
  <c r="N6" i="197"/>
  <c r="N6" i="196"/>
  <c r="N6" i="195"/>
  <c r="N6" i="194"/>
  <c r="N6" i="193"/>
  <c r="N6" i="192"/>
  <c r="N6" i="189"/>
  <c r="N6" i="182"/>
  <c r="L6" i="172"/>
  <c r="L6" i="170"/>
  <c r="N6" i="188"/>
  <c r="N6" i="183"/>
  <c r="L6" i="180"/>
  <c r="N6" i="191"/>
  <c r="N6" i="187"/>
  <c r="N6" i="186"/>
  <c r="N6" i="185"/>
  <c r="N6" i="184"/>
  <c r="L6" i="173"/>
  <c r="L6" i="171"/>
  <c r="M6" i="169"/>
  <c r="N8" i="191"/>
  <c r="O8" i="191" s="1"/>
  <c r="N8" i="187"/>
  <c r="O8" i="187" s="1"/>
  <c r="N8" i="182"/>
  <c r="O8" i="182" s="1"/>
  <c r="L8" i="173"/>
  <c r="M8" i="173" s="1"/>
  <c r="L8" i="171"/>
  <c r="M8" i="171" s="1"/>
  <c r="M8" i="169"/>
  <c r="N8" i="190"/>
  <c r="O8" i="190" s="1"/>
  <c r="N8" i="183"/>
  <c r="O8" i="183" s="1"/>
  <c r="N8" i="189"/>
  <c r="O8" i="189" s="1"/>
  <c r="N8" i="186"/>
  <c r="O8" i="186" s="1"/>
  <c r="N8" i="185"/>
  <c r="O8" i="185" s="1"/>
  <c r="N8" i="184"/>
  <c r="O8" i="184" s="1"/>
  <c r="L8" i="172"/>
  <c r="M8" i="172" s="1"/>
  <c r="L8" i="170"/>
  <c r="M8" i="170" s="1"/>
  <c r="F2" i="171"/>
  <c r="F4" i="171"/>
  <c r="F4" i="172"/>
  <c r="L6" i="174"/>
  <c r="L8" i="174"/>
  <c r="M8" i="174" s="1"/>
  <c r="B4" i="174"/>
  <c r="G4" i="174" s="1"/>
  <c r="F2" i="175"/>
  <c r="I4" i="175"/>
  <c r="L18" i="176"/>
  <c r="M18" i="176" s="1"/>
  <c r="B4" i="177"/>
  <c r="L8" i="177"/>
  <c r="M8" i="177" s="1"/>
  <c r="G2" i="178"/>
  <c r="K4" i="178"/>
  <c r="I4" i="178"/>
  <c r="L6" i="179"/>
  <c r="O4" i="180"/>
  <c r="M4" i="181"/>
  <c r="N6" i="181"/>
  <c r="N8" i="181"/>
  <c r="O8" i="181" s="1"/>
  <c r="N18" i="181"/>
  <c r="O18" i="181" s="1"/>
  <c r="K4" i="183"/>
  <c r="H4" i="186"/>
  <c r="G2" i="186"/>
  <c r="G4" i="186"/>
  <c r="S4" i="186"/>
  <c r="N8" i="188"/>
  <c r="O8" i="188" s="1"/>
  <c r="G4" i="189"/>
  <c r="B4" i="190"/>
  <c r="I4" i="190" s="1"/>
  <c r="I19" i="190"/>
  <c r="N8" i="192"/>
  <c r="O8" i="192" s="1"/>
  <c r="N8" i="193"/>
  <c r="O8" i="193" s="1"/>
  <c r="N8" i="194"/>
  <c r="O8" i="194" s="1"/>
  <c r="N8" i="195"/>
  <c r="O8" i="195" s="1"/>
  <c r="N8" i="196"/>
  <c r="O8" i="196" s="1"/>
  <c r="N8" i="197"/>
  <c r="O8" i="197" s="1"/>
  <c r="N8" i="198"/>
  <c r="O8" i="198" s="1"/>
  <c r="N8" i="199"/>
  <c r="O8" i="199" s="1"/>
  <c r="K4" i="203"/>
  <c r="I19" i="211"/>
  <c r="B4" i="211"/>
  <c r="I2" i="211" s="1"/>
  <c r="N4" i="217"/>
  <c r="O4" i="217" s="1"/>
  <c r="O7" i="217"/>
  <c r="G2" i="218"/>
  <c r="G4" i="218"/>
  <c r="S7" i="260"/>
  <c r="R4" i="260"/>
  <c r="S4" i="260" s="1"/>
  <c r="P11" i="261"/>
  <c r="Q11" i="261" s="1"/>
  <c r="R11" i="261"/>
  <c r="S11" i="261" s="1"/>
  <c r="E2" i="123"/>
  <c r="E2" i="124"/>
  <c r="E2" i="125"/>
  <c r="E2" i="126"/>
  <c r="E2" i="127"/>
  <c r="E2" i="128"/>
  <c r="N6" i="128"/>
  <c r="B4" i="130"/>
  <c r="F2" i="130" s="1"/>
  <c r="F2" i="131"/>
  <c r="E4" i="131"/>
  <c r="E2" i="132"/>
  <c r="E4" i="133"/>
  <c r="B4" i="134"/>
  <c r="F4" i="134" s="1"/>
  <c r="E2" i="136"/>
  <c r="E4" i="137"/>
  <c r="B4" i="138"/>
  <c r="F4" i="138" s="1"/>
  <c r="E4" i="139"/>
  <c r="E2" i="140"/>
  <c r="L4" i="143"/>
  <c r="M4" i="143" s="1"/>
  <c r="G2" i="144"/>
  <c r="M6" i="145"/>
  <c r="G2" i="146"/>
  <c r="B4" i="147"/>
  <c r="G4" i="147" s="1"/>
  <c r="M6" i="148"/>
  <c r="G2" i="150"/>
  <c r="F4" i="159"/>
  <c r="B4" i="160"/>
  <c r="G4" i="160" s="1"/>
  <c r="F4" i="160"/>
  <c r="M6" i="161"/>
  <c r="G2" i="163"/>
  <c r="K4" i="163"/>
  <c r="B4" i="164"/>
  <c r="B4" i="165"/>
  <c r="G4" i="165" s="1"/>
  <c r="F4" i="165"/>
  <c r="O4" i="165"/>
  <c r="B4" i="167"/>
  <c r="G4" i="167" s="1"/>
  <c r="F4" i="167"/>
  <c r="O4" i="167"/>
  <c r="F2" i="168"/>
  <c r="F4" i="168"/>
  <c r="G6" i="168"/>
  <c r="G2" i="169"/>
  <c r="G4" i="169"/>
  <c r="K4" i="169"/>
  <c r="N10" i="189"/>
  <c r="O10" i="189" s="1"/>
  <c r="N10" i="182"/>
  <c r="O10" i="182" s="1"/>
  <c r="L10" i="172"/>
  <c r="M10" i="172" s="1"/>
  <c r="L10" i="170"/>
  <c r="M10" i="170" s="1"/>
  <c r="N10" i="188"/>
  <c r="O10" i="188" s="1"/>
  <c r="N10" i="183"/>
  <c r="O10" i="183" s="1"/>
  <c r="L10" i="180"/>
  <c r="M10" i="180" s="1"/>
  <c r="N10" i="199"/>
  <c r="O10" i="199" s="1"/>
  <c r="N10" i="198"/>
  <c r="O10" i="198" s="1"/>
  <c r="N10" i="197"/>
  <c r="O10" i="197" s="1"/>
  <c r="N10" i="196"/>
  <c r="O10" i="196" s="1"/>
  <c r="N10" i="195"/>
  <c r="O10" i="195" s="1"/>
  <c r="N10" i="194"/>
  <c r="O10" i="194" s="1"/>
  <c r="N10" i="193"/>
  <c r="O10" i="193" s="1"/>
  <c r="N10" i="192"/>
  <c r="O10" i="192" s="1"/>
  <c r="N10" i="191"/>
  <c r="O10" i="191" s="1"/>
  <c r="N10" i="187"/>
  <c r="O10" i="187" s="1"/>
  <c r="N10" i="186"/>
  <c r="O10" i="186" s="1"/>
  <c r="N10" i="185"/>
  <c r="O10" i="185" s="1"/>
  <c r="N10" i="184"/>
  <c r="O10" i="184" s="1"/>
  <c r="L10" i="173"/>
  <c r="M10" i="173" s="1"/>
  <c r="L10" i="171"/>
  <c r="M10" i="171" s="1"/>
  <c r="M10" i="169"/>
  <c r="N12" i="191"/>
  <c r="O12" i="191" s="1"/>
  <c r="N12" i="187"/>
  <c r="O12" i="187" s="1"/>
  <c r="N12" i="182"/>
  <c r="O12" i="182" s="1"/>
  <c r="L12" i="173"/>
  <c r="M12" i="173" s="1"/>
  <c r="L12" i="171"/>
  <c r="M12" i="171" s="1"/>
  <c r="M12" i="169"/>
  <c r="N12" i="199"/>
  <c r="O12" i="199" s="1"/>
  <c r="N12" i="198"/>
  <c r="O12" i="198" s="1"/>
  <c r="N12" i="197"/>
  <c r="O12" i="197" s="1"/>
  <c r="N12" i="196"/>
  <c r="O12" i="196" s="1"/>
  <c r="N12" i="195"/>
  <c r="O12" i="195" s="1"/>
  <c r="N12" i="194"/>
  <c r="O12" i="194" s="1"/>
  <c r="N12" i="193"/>
  <c r="O12" i="193" s="1"/>
  <c r="N12" i="192"/>
  <c r="O12" i="192" s="1"/>
  <c r="N12" i="190"/>
  <c r="O12" i="190" s="1"/>
  <c r="N12" i="183"/>
  <c r="O12" i="183" s="1"/>
  <c r="L12" i="179"/>
  <c r="M12" i="179" s="1"/>
  <c r="N12" i="189"/>
  <c r="O12" i="189" s="1"/>
  <c r="N12" i="186"/>
  <c r="O12" i="186" s="1"/>
  <c r="N12" i="185"/>
  <c r="O12" i="185" s="1"/>
  <c r="N12" i="184"/>
  <c r="O12" i="184" s="1"/>
  <c r="L12" i="172"/>
  <c r="M12" i="172" s="1"/>
  <c r="L12" i="170"/>
  <c r="M12" i="170" s="1"/>
  <c r="F4" i="170"/>
  <c r="B4" i="172"/>
  <c r="B4" i="173"/>
  <c r="G2" i="174"/>
  <c r="L18" i="174"/>
  <c r="M18" i="174" s="1"/>
  <c r="F4" i="175"/>
  <c r="O4" i="175"/>
  <c r="L8" i="175"/>
  <c r="M8" i="175" s="1"/>
  <c r="L10" i="175"/>
  <c r="M10" i="175" s="1"/>
  <c r="G4" i="176"/>
  <c r="G2" i="176"/>
  <c r="K4" i="176"/>
  <c r="I4" i="176"/>
  <c r="Q4" i="177"/>
  <c r="L6" i="177"/>
  <c r="F2" i="178"/>
  <c r="L10" i="178"/>
  <c r="M10" i="178" s="1"/>
  <c r="L12" i="178"/>
  <c r="M12" i="178" s="1"/>
  <c r="G2" i="179"/>
  <c r="G4" i="179"/>
  <c r="K4" i="179"/>
  <c r="F2" i="180"/>
  <c r="Q4" i="180"/>
  <c r="G9" i="180"/>
  <c r="B4" i="180"/>
  <c r="G4" i="180" s="1"/>
  <c r="H4" i="185"/>
  <c r="G2" i="185"/>
  <c r="G4" i="185"/>
  <c r="Q4" i="185"/>
  <c r="N10" i="190"/>
  <c r="O10" i="190" s="1"/>
  <c r="N18" i="190"/>
  <c r="O18" i="190" s="1"/>
  <c r="N4" i="201"/>
  <c r="O4" i="201" s="1"/>
  <c r="K4" i="202"/>
  <c r="O8" i="204"/>
  <c r="N4" i="204"/>
  <c r="O4" i="204" s="1"/>
  <c r="I19" i="204"/>
  <c r="I2" i="204"/>
  <c r="B4" i="205"/>
  <c r="I2" i="205" s="1"/>
  <c r="O8" i="206"/>
  <c r="N4" i="206"/>
  <c r="O4" i="206" s="1"/>
  <c r="I19" i="206"/>
  <c r="I2" i="206"/>
  <c r="B4" i="207"/>
  <c r="I2" i="207" s="1"/>
  <c r="G2" i="215"/>
  <c r="G4" i="215"/>
  <c r="B4" i="133"/>
  <c r="F2" i="133" s="1"/>
  <c r="F4" i="133"/>
  <c r="B4" i="137"/>
  <c r="F4" i="137" s="1"/>
  <c r="G2" i="143"/>
  <c r="G4" i="159"/>
  <c r="B4" i="163"/>
  <c r="F4" i="163"/>
  <c r="Q4" i="163"/>
  <c r="L4" i="164"/>
  <c r="M4" i="164" s="1"/>
  <c r="Q4" i="165"/>
  <c r="G6" i="166"/>
  <c r="M7" i="166"/>
  <c r="L4" i="166"/>
  <c r="M4" i="166" s="1"/>
  <c r="Q4" i="167"/>
  <c r="L4" i="169"/>
  <c r="M4" i="169" s="1"/>
  <c r="I4" i="169"/>
  <c r="N14" i="199"/>
  <c r="O14" i="199" s="1"/>
  <c r="N14" i="198"/>
  <c r="O14" i="198" s="1"/>
  <c r="N14" i="197"/>
  <c r="O14" i="197" s="1"/>
  <c r="N14" i="196"/>
  <c r="O14" i="196" s="1"/>
  <c r="N14" i="195"/>
  <c r="O14" i="195" s="1"/>
  <c r="N14" i="194"/>
  <c r="O14" i="194" s="1"/>
  <c r="N14" i="193"/>
  <c r="O14" i="193" s="1"/>
  <c r="N14" i="192"/>
  <c r="O14" i="192" s="1"/>
  <c r="N14" i="189"/>
  <c r="O14" i="189" s="1"/>
  <c r="N14" i="182"/>
  <c r="O14" i="182" s="1"/>
  <c r="L14" i="172"/>
  <c r="M14" i="172" s="1"/>
  <c r="L14" i="170"/>
  <c r="M14" i="170" s="1"/>
  <c r="N14" i="188"/>
  <c r="O14" i="188" s="1"/>
  <c r="N14" i="183"/>
  <c r="O14" i="183" s="1"/>
  <c r="L14" i="180"/>
  <c r="M14" i="180" s="1"/>
  <c r="N14" i="191"/>
  <c r="O14" i="191" s="1"/>
  <c r="N14" i="187"/>
  <c r="O14" i="187" s="1"/>
  <c r="N14" i="186"/>
  <c r="O14" i="186" s="1"/>
  <c r="N14" i="185"/>
  <c r="O14" i="185" s="1"/>
  <c r="N14" i="184"/>
  <c r="O14" i="184" s="1"/>
  <c r="L14" i="173"/>
  <c r="M14" i="173" s="1"/>
  <c r="L14" i="171"/>
  <c r="M14" i="171" s="1"/>
  <c r="M14" i="169"/>
  <c r="N16" i="191"/>
  <c r="O16" i="191" s="1"/>
  <c r="N16" i="187"/>
  <c r="O16" i="187" s="1"/>
  <c r="N16" i="182"/>
  <c r="O16" i="182" s="1"/>
  <c r="L16" i="173"/>
  <c r="M16" i="173" s="1"/>
  <c r="L16" i="171"/>
  <c r="M16" i="171" s="1"/>
  <c r="M16" i="169"/>
  <c r="N16" i="190"/>
  <c r="O16" i="190" s="1"/>
  <c r="N16" i="183"/>
  <c r="O16" i="183" s="1"/>
  <c r="L16" i="179"/>
  <c r="M16" i="179" s="1"/>
  <c r="N16" i="189"/>
  <c r="O16" i="189" s="1"/>
  <c r="N16" i="186"/>
  <c r="O16" i="186" s="1"/>
  <c r="N16" i="185"/>
  <c r="O16" i="185" s="1"/>
  <c r="N16" i="184"/>
  <c r="O16" i="184" s="1"/>
  <c r="L16" i="172"/>
  <c r="M16" i="172" s="1"/>
  <c r="L16" i="170"/>
  <c r="M16" i="170" s="1"/>
  <c r="B4" i="170"/>
  <c r="B4" i="171"/>
  <c r="I4" i="174"/>
  <c r="L14" i="174"/>
  <c r="M14" i="174" s="1"/>
  <c r="L16" i="174"/>
  <c r="M16" i="174" s="1"/>
  <c r="G19" i="174"/>
  <c r="Q4" i="175"/>
  <c r="L6" i="175"/>
  <c r="L10" i="176"/>
  <c r="M10" i="176" s="1"/>
  <c r="L12" i="176"/>
  <c r="M12" i="176" s="1"/>
  <c r="G2" i="177"/>
  <c r="G4" i="177"/>
  <c r="L16" i="177"/>
  <c r="M16" i="177" s="1"/>
  <c r="L18" i="177"/>
  <c r="M18" i="177" s="1"/>
  <c r="B4" i="178"/>
  <c r="G4" i="178" s="1"/>
  <c r="F4" i="178"/>
  <c r="O4" i="178"/>
  <c r="L6" i="178"/>
  <c r="L8" i="178"/>
  <c r="M8" i="178" s="1"/>
  <c r="L8" i="180"/>
  <c r="M8" i="180" s="1"/>
  <c r="L12" i="180"/>
  <c r="M12" i="180" s="1"/>
  <c r="L16" i="180"/>
  <c r="M16" i="180" s="1"/>
  <c r="B4" i="181"/>
  <c r="I4" i="181" s="1"/>
  <c r="H4" i="184"/>
  <c r="G2" i="184"/>
  <c r="S4" i="184"/>
  <c r="G4" i="184"/>
  <c r="Q4" i="184"/>
  <c r="I4" i="186"/>
  <c r="I10" i="188"/>
  <c r="B4" i="188"/>
  <c r="N12" i="188"/>
  <c r="O12" i="188" s="1"/>
  <c r="K4" i="192"/>
  <c r="N16" i="192"/>
  <c r="O16" i="192" s="1"/>
  <c r="K4" i="193"/>
  <c r="N16" i="193"/>
  <c r="O16" i="193" s="1"/>
  <c r="K4" i="194"/>
  <c r="N16" i="194"/>
  <c r="O16" i="194" s="1"/>
  <c r="K4" i="195"/>
  <c r="N16" i="195"/>
  <c r="O16" i="195" s="1"/>
  <c r="K4" i="196"/>
  <c r="N16" i="196"/>
  <c r="O16" i="196" s="1"/>
  <c r="K4" i="197"/>
  <c r="N16" i="197"/>
  <c r="O16" i="197" s="1"/>
  <c r="K4" i="198"/>
  <c r="N16" i="198"/>
  <c r="O16" i="198" s="1"/>
  <c r="K4" i="199"/>
  <c r="N16" i="199"/>
  <c r="O16" i="199" s="1"/>
  <c r="N4" i="203"/>
  <c r="O4" i="203" s="1"/>
  <c r="O8" i="210"/>
  <c r="N4" i="210"/>
  <c r="O4" i="210" s="1"/>
  <c r="N4" i="215"/>
  <c r="O4" i="215" s="1"/>
  <c r="O8" i="215"/>
  <c r="Q5" i="256"/>
  <c r="P4" i="256"/>
  <c r="Q4" i="256" s="1"/>
  <c r="N7" i="199"/>
  <c r="O7" i="199" s="1"/>
  <c r="N7" i="198"/>
  <c r="O7" i="198" s="1"/>
  <c r="N7" i="197"/>
  <c r="O7" i="197" s="1"/>
  <c r="N7" i="196"/>
  <c r="O7" i="196" s="1"/>
  <c r="N7" i="195"/>
  <c r="O7" i="195" s="1"/>
  <c r="N7" i="194"/>
  <c r="O7" i="194" s="1"/>
  <c r="N7" i="193"/>
  <c r="O7" i="193" s="1"/>
  <c r="N7" i="192"/>
  <c r="O7" i="192" s="1"/>
  <c r="N11" i="199"/>
  <c r="O11" i="199" s="1"/>
  <c r="N11" i="198"/>
  <c r="O11" i="198" s="1"/>
  <c r="N11" i="197"/>
  <c r="O11" i="197" s="1"/>
  <c r="N11" i="196"/>
  <c r="O11" i="196" s="1"/>
  <c r="N11" i="195"/>
  <c r="O11" i="195" s="1"/>
  <c r="N11" i="194"/>
  <c r="O11" i="194" s="1"/>
  <c r="N11" i="193"/>
  <c r="O11" i="193" s="1"/>
  <c r="N11" i="192"/>
  <c r="O11" i="192" s="1"/>
  <c r="N15" i="199"/>
  <c r="O15" i="199" s="1"/>
  <c r="N15" i="198"/>
  <c r="O15" i="198" s="1"/>
  <c r="N15" i="197"/>
  <c r="O15" i="197" s="1"/>
  <c r="N15" i="196"/>
  <c r="O15" i="196" s="1"/>
  <c r="N15" i="195"/>
  <c r="O15" i="195" s="1"/>
  <c r="N15" i="194"/>
  <c r="O15" i="194" s="1"/>
  <c r="N15" i="193"/>
  <c r="O15" i="193" s="1"/>
  <c r="N15" i="192"/>
  <c r="O15" i="192" s="1"/>
  <c r="N19" i="201"/>
  <c r="O19" i="201" s="1"/>
  <c r="N19" i="200"/>
  <c r="N19" i="199"/>
  <c r="O19" i="199" s="1"/>
  <c r="N19" i="198"/>
  <c r="O19" i="198" s="1"/>
  <c r="N19" i="197"/>
  <c r="O19" i="197" s="1"/>
  <c r="N19" i="196"/>
  <c r="O19" i="196" s="1"/>
  <c r="N19" i="195"/>
  <c r="O19" i="195" s="1"/>
  <c r="N19" i="194"/>
  <c r="O19" i="194" s="1"/>
  <c r="N19" i="193"/>
  <c r="O19" i="193" s="1"/>
  <c r="N19" i="192"/>
  <c r="O19" i="192" s="1"/>
  <c r="N19" i="191"/>
  <c r="O19" i="191" s="1"/>
  <c r="L9" i="174"/>
  <c r="M9" i="174" s="1"/>
  <c r="L13" i="174"/>
  <c r="M13" i="174" s="1"/>
  <c r="L17" i="174"/>
  <c r="M17" i="174" s="1"/>
  <c r="L7" i="175"/>
  <c r="M7" i="175" s="1"/>
  <c r="L11" i="175"/>
  <c r="M11" i="175" s="1"/>
  <c r="L15" i="175"/>
  <c r="M15" i="175" s="1"/>
  <c r="L9" i="176"/>
  <c r="M9" i="176" s="1"/>
  <c r="L13" i="176"/>
  <c r="M13" i="176" s="1"/>
  <c r="L17" i="176"/>
  <c r="M17" i="176" s="1"/>
  <c r="L7" i="177"/>
  <c r="M7" i="177" s="1"/>
  <c r="L11" i="177"/>
  <c r="M11" i="177" s="1"/>
  <c r="L15" i="177"/>
  <c r="M15" i="177" s="1"/>
  <c r="L9" i="178"/>
  <c r="M9" i="178" s="1"/>
  <c r="L13" i="178"/>
  <c r="M13" i="178" s="1"/>
  <c r="L17" i="178"/>
  <c r="M17" i="178" s="1"/>
  <c r="L7" i="179"/>
  <c r="M7" i="179" s="1"/>
  <c r="L11" i="179"/>
  <c r="M11" i="179" s="1"/>
  <c r="L15" i="179"/>
  <c r="M15" i="179" s="1"/>
  <c r="L9" i="180"/>
  <c r="M9" i="180" s="1"/>
  <c r="L13" i="180"/>
  <c r="M13" i="180" s="1"/>
  <c r="L17" i="180"/>
  <c r="M17" i="180" s="1"/>
  <c r="G2" i="182"/>
  <c r="H4" i="182"/>
  <c r="N7" i="182"/>
  <c r="O7" i="182" s="1"/>
  <c r="N9" i="182"/>
  <c r="O9" i="182" s="1"/>
  <c r="N11" i="182"/>
  <c r="O11" i="182" s="1"/>
  <c r="N13" i="182"/>
  <c r="O13" i="182" s="1"/>
  <c r="N15" i="182"/>
  <c r="O15" i="182" s="1"/>
  <c r="N17" i="182"/>
  <c r="O17" i="182" s="1"/>
  <c r="I4" i="183"/>
  <c r="I4" i="188"/>
  <c r="N9" i="188"/>
  <c r="O9" i="188" s="1"/>
  <c r="N13" i="188"/>
  <c r="O13" i="188" s="1"/>
  <c r="N17" i="188"/>
  <c r="O17" i="188" s="1"/>
  <c r="G4" i="190"/>
  <c r="N7" i="190"/>
  <c r="O7" i="190" s="1"/>
  <c r="N11" i="190"/>
  <c r="O11" i="190" s="1"/>
  <c r="N15" i="190"/>
  <c r="O15" i="190" s="1"/>
  <c r="N19" i="190"/>
  <c r="O19" i="190" s="1"/>
  <c r="I19" i="191"/>
  <c r="I2" i="191"/>
  <c r="G4" i="192"/>
  <c r="I19" i="192"/>
  <c r="I2" i="192"/>
  <c r="G4" i="193"/>
  <c r="I19" i="193"/>
  <c r="I2" i="193"/>
  <c r="G4" i="194"/>
  <c r="I19" i="194"/>
  <c r="I2" i="194"/>
  <c r="G4" i="195"/>
  <c r="I19" i="195"/>
  <c r="I2" i="195"/>
  <c r="G4" i="196"/>
  <c r="I19" i="196"/>
  <c r="I2" i="196"/>
  <c r="G4" i="197"/>
  <c r="I19" i="197"/>
  <c r="I2" i="197"/>
  <c r="G4" i="198"/>
  <c r="I19" i="198"/>
  <c r="I2" i="198"/>
  <c r="G4" i="199"/>
  <c r="I19" i="199"/>
  <c r="I2" i="199"/>
  <c r="G4" i="200"/>
  <c r="I19" i="201"/>
  <c r="I2" i="201"/>
  <c r="G4" i="202"/>
  <c r="K4" i="204"/>
  <c r="K4" i="205"/>
  <c r="K4" i="206"/>
  <c r="K4" i="207"/>
  <c r="I19" i="210"/>
  <c r="N4" i="214"/>
  <c r="O4" i="214" s="1"/>
  <c r="O8" i="214"/>
  <c r="O9" i="218"/>
  <c r="N4" i="218"/>
  <c r="O4" i="218" s="1"/>
  <c r="G4" i="222"/>
  <c r="I19" i="223"/>
  <c r="B4" i="223"/>
  <c r="I2" i="223" s="1"/>
  <c r="S12" i="231"/>
  <c r="R4" i="231"/>
  <c r="S4" i="231" s="1"/>
  <c r="P4" i="240"/>
  <c r="Q4" i="240" s="1"/>
  <c r="Q5" i="240"/>
  <c r="S11" i="240"/>
  <c r="R4" i="240"/>
  <c r="S4" i="240" s="1"/>
  <c r="R10" i="255"/>
  <c r="S10" i="255" s="1"/>
  <c r="P10" i="255"/>
  <c r="Q10" i="255" s="1"/>
  <c r="I4" i="182"/>
  <c r="G4" i="187"/>
  <c r="M4" i="187"/>
  <c r="N7" i="187"/>
  <c r="O7" i="187" s="1"/>
  <c r="N11" i="187"/>
  <c r="O11" i="187" s="1"/>
  <c r="N15" i="187"/>
  <c r="O15" i="187" s="1"/>
  <c r="N19" i="187"/>
  <c r="O19" i="187" s="1"/>
  <c r="I19" i="188"/>
  <c r="I2" i="188"/>
  <c r="I4" i="189"/>
  <c r="M4" i="191"/>
  <c r="N7" i="191"/>
  <c r="O7" i="191" s="1"/>
  <c r="N11" i="191"/>
  <c r="O11" i="191" s="1"/>
  <c r="N15" i="191"/>
  <c r="O15" i="191" s="1"/>
  <c r="B4" i="201"/>
  <c r="I4" i="201" s="1"/>
  <c r="M4" i="201"/>
  <c r="O6" i="201"/>
  <c r="I4" i="203"/>
  <c r="M4" i="204"/>
  <c r="M4" i="205"/>
  <c r="M4" i="206"/>
  <c r="M4" i="207"/>
  <c r="K4" i="208"/>
  <c r="I19" i="209"/>
  <c r="I2" i="209"/>
  <c r="K4" i="212"/>
  <c r="K4" i="213"/>
  <c r="F4" i="216"/>
  <c r="F4" i="217"/>
  <c r="F4" i="218"/>
  <c r="K4" i="218"/>
  <c r="N4" i="223"/>
  <c r="O4" i="223" s="1"/>
  <c r="O14" i="223"/>
  <c r="K4" i="227"/>
  <c r="O4" i="240"/>
  <c r="Q7" i="271"/>
  <c r="N9" i="199"/>
  <c r="O9" i="199" s="1"/>
  <c r="N9" i="198"/>
  <c r="O9" i="198" s="1"/>
  <c r="N9" i="197"/>
  <c r="O9" i="197" s="1"/>
  <c r="N9" i="196"/>
  <c r="O9" i="196" s="1"/>
  <c r="N9" i="195"/>
  <c r="O9" i="195" s="1"/>
  <c r="N9" i="194"/>
  <c r="O9" i="194" s="1"/>
  <c r="N9" i="193"/>
  <c r="O9" i="193" s="1"/>
  <c r="N9" i="192"/>
  <c r="O9" i="192" s="1"/>
  <c r="N13" i="199"/>
  <c r="O13" i="199" s="1"/>
  <c r="N13" i="198"/>
  <c r="O13" i="198" s="1"/>
  <c r="N13" i="197"/>
  <c r="O13" i="197" s="1"/>
  <c r="N13" i="196"/>
  <c r="O13" i="196" s="1"/>
  <c r="N13" i="195"/>
  <c r="O13" i="195" s="1"/>
  <c r="N13" i="194"/>
  <c r="O13" i="194" s="1"/>
  <c r="N13" i="193"/>
  <c r="O13" i="193" s="1"/>
  <c r="N13" i="192"/>
  <c r="O13" i="192" s="1"/>
  <c r="N17" i="199"/>
  <c r="O17" i="199" s="1"/>
  <c r="N17" i="198"/>
  <c r="O17" i="198" s="1"/>
  <c r="N17" i="197"/>
  <c r="O17" i="197" s="1"/>
  <c r="N17" i="196"/>
  <c r="O17" i="196" s="1"/>
  <c r="N17" i="195"/>
  <c r="O17" i="195" s="1"/>
  <c r="N17" i="194"/>
  <c r="O17" i="194" s="1"/>
  <c r="N17" i="193"/>
  <c r="O17" i="193" s="1"/>
  <c r="N17" i="192"/>
  <c r="O17" i="192" s="1"/>
  <c r="L7" i="174"/>
  <c r="M7" i="174" s="1"/>
  <c r="L11" i="174"/>
  <c r="M11" i="174" s="1"/>
  <c r="L15" i="174"/>
  <c r="M15" i="174" s="1"/>
  <c r="L9" i="175"/>
  <c r="M9" i="175" s="1"/>
  <c r="L13" i="175"/>
  <c r="M13" i="175" s="1"/>
  <c r="L17" i="175"/>
  <c r="M17" i="175" s="1"/>
  <c r="L7" i="176"/>
  <c r="M7" i="176" s="1"/>
  <c r="L11" i="176"/>
  <c r="M11" i="176" s="1"/>
  <c r="L15" i="176"/>
  <c r="M15" i="176" s="1"/>
  <c r="L9" i="177"/>
  <c r="M9" i="177" s="1"/>
  <c r="L13" i="177"/>
  <c r="M13" i="177" s="1"/>
  <c r="L17" i="177"/>
  <c r="M17" i="177" s="1"/>
  <c r="L7" i="178"/>
  <c r="M7" i="178" s="1"/>
  <c r="L11" i="178"/>
  <c r="M11" i="178" s="1"/>
  <c r="L15" i="178"/>
  <c r="M15" i="178" s="1"/>
  <c r="L9" i="179"/>
  <c r="M9" i="179" s="1"/>
  <c r="L13" i="179"/>
  <c r="M13" i="179" s="1"/>
  <c r="L17" i="179"/>
  <c r="M17" i="179" s="1"/>
  <c r="L7" i="180"/>
  <c r="M7" i="180" s="1"/>
  <c r="L11" i="180"/>
  <c r="M11" i="180" s="1"/>
  <c r="L15" i="180"/>
  <c r="M15" i="180" s="1"/>
  <c r="N7" i="184"/>
  <c r="O7" i="184" s="1"/>
  <c r="N9" i="184"/>
  <c r="O9" i="184" s="1"/>
  <c r="N11" i="184"/>
  <c r="O11" i="184" s="1"/>
  <c r="N13" i="184"/>
  <c r="O13" i="184" s="1"/>
  <c r="N15" i="184"/>
  <c r="O15" i="184" s="1"/>
  <c r="N17" i="184"/>
  <c r="O17" i="184" s="1"/>
  <c r="N19" i="184"/>
  <c r="O19" i="184" s="1"/>
  <c r="N7" i="185"/>
  <c r="O7" i="185" s="1"/>
  <c r="N9" i="185"/>
  <c r="O9" i="185" s="1"/>
  <c r="N11" i="185"/>
  <c r="O11" i="185" s="1"/>
  <c r="N13" i="185"/>
  <c r="O13" i="185" s="1"/>
  <c r="N15" i="185"/>
  <c r="O15" i="185" s="1"/>
  <c r="N17" i="185"/>
  <c r="O17" i="185" s="1"/>
  <c r="N19" i="185"/>
  <c r="O19" i="185" s="1"/>
  <c r="N7" i="186"/>
  <c r="O7" i="186" s="1"/>
  <c r="N9" i="186"/>
  <c r="O9" i="186" s="1"/>
  <c r="N11" i="186"/>
  <c r="O11" i="186" s="1"/>
  <c r="N13" i="186"/>
  <c r="O13" i="186" s="1"/>
  <c r="N15" i="186"/>
  <c r="O15" i="186" s="1"/>
  <c r="N17" i="186"/>
  <c r="O17" i="186" s="1"/>
  <c r="N19" i="186"/>
  <c r="O19" i="186" s="1"/>
  <c r="M4" i="188"/>
  <c r="N7" i="188"/>
  <c r="O7" i="188" s="1"/>
  <c r="N11" i="188"/>
  <c r="O11" i="188" s="1"/>
  <c r="N15" i="188"/>
  <c r="O15" i="188" s="1"/>
  <c r="N19" i="188"/>
  <c r="O19" i="188" s="1"/>
  <c r="I19" i="189"/>
  <c r="I2" i="189"/>
  <c r="N9" i="190"/>
  <c r="O9" i="190" s="1"/>
  <c r="N13" i="190"/>
  <c r="O13" i="190" s="1"/>
  <c r="N17" i="190"/>
  <c r="O17" i="190" s="1"/>
  <c r="I4" i="192"/>
  <c r="I4" i="193"/>
  <c r="I4" i="194"/>
  <c r="I4" i="195"/>
  <c r="I4" i="196"/>
  <c r="I4" i="197"/>
  <c r="I4" i="198"/>
  <c r="I4" i="199"/>
  <c r="I4" i="200"/>
  <c r="I19" i="200"/>
  <c r="I2" i="200"/>
  <c r="G4" i="201"/>
  <c r="I4" i="202"/>
  <c r="I19" i="202"/>
  <c r="I2" i="202"/>
  <c r="M4" i="203"/>
  <c r="I4" i="204"/>
  <c r="I4" i="205"/>
  <c r="I4" i="206"/>
  <c r="I4" i="207"/>
  <c r="I19" i="208"/>
  <c r="I2" i="208"/>
  <c r="N4" i="209"/>
  <c r="O4" i="209" s="1"/>
  <c r="B4" i="210"/>
  <c r="I2" i="210" s="1"/>
  <c r="K4" i="211"/>
  <c r="I19" i="212"/>
  <c r="I2" i="212"/>
  <c r="N4" i="213"/>
  <c r="O4" i="213" s="1"/>
  <c r="Q6" i="239"/>
  <c r="P4" i="239"/>
  <c r="Q4" i="239" s="1"/>
  <c r="P12" i="253"/>
  <c r="Q12" i="253" s="1"/>
  <c r="R12" i="253"/>
  <c r="S12" i="253" s="1"/>
  <c r="P7" i="257"/>
  <c r="R7" i="257"/>
  <c r="S7" i="257" s="1"/>
  <c r="G4" i="204"/>
  <c r="G4" i="205"/>
  <c r="G4" i="206"/>
  <c r="G4" i="207"/>
  <c r="I4" i="217"/>
  <c r="I19" i="218"/>
  <c r="I19" i="219"/>
  <c r="I2" i="219"/>
  <c r="I4" i="220"/>
  <c r="I19" i="225"/>
  <c r="G4" i="227"/>
  <c r="G4" i="230"/>
  <c r="I4" i="230"/>
  <c r="G2" i="230"/>
  <c r="H4" i="230"/>
  <c r="O4" i="234"/>
  <c r="Q5" i="252"/>
  <c r="P4" i="252"/>
  <c r="Q4" i="252" s="1"/>
  <c r="S6" i="252"/>
  <c r="R4" i="252"/>
  <c r="S4" i="252" s="1"/>
  <c r="R8" i="258"/>
  <c r="S8" i="258" s="1"/>
  <c r="P8" i="258"/>
  <c r="Q8" i="258" s="1"/>
  <c r="R15" i="259"/>
  <c r="S15" i="259" s="1"/>
  <c r="P15" i="259"/>
  <c r="Q15" i="259" s="1"/>
  <c r="Q5" i="260"/>
  <c r="P4" i="260"/>
  <c r="Q4" i="260" s="1"/>
  <c r="R11" i="267"/>
  <c r="S11" i="267" s="1"/>
  <c r="P11" i="267"/>
  <c r="Q11" i="267" s="1"/>
  <c r="R6" i="270"/>
  <c r="S6" i="270" s="1"/>
  <c r="P6" i="270"/>
  <c r="Q6" i="270" s="1"/>
  <c r="K4" i="270"/>
  <c r="R13" i="275"/>
  <c r="S13" i="275" s="1"/>
  <c r="P13" i="275"/>
  <c r="Q13" i="275" s="1"/>
  <c r="H4" i="276"/>
  <c r="E2" i="276"/>
  <c r="E4" i="276"/>
  <c r="I2" i="276"/>
  <c r="I4" i="276"/>
  <c r="S5" i="287"/>
  <c r="R4" i="287"/>
  <c r="S4" i="287" s="1"/>
  <c r="G2" i="208"/>
  <c r="H4" i="208"/>
  <c r="G2" i="209"/>
  <c r="H4" i="209"/>
  <c r="G2" i="210"/>
  <c r="H4" i="210"/>
  <c r="G2" i="211"/>
  <c r="H4" i="211"/>
  <c r="G2" i="212"/>
  <c r="H4" i="212"/>
  <c r="G2" i="213"/>
  <c r="H4" i="213"/>
  <c r="I2" i="214"/>
  <c r="I2" i="215"/>
  <c r="O7" i="216"/>
  <c r="I4" i="218"/>
  <c r="B4" i="219"/>
  <c r="I4" i="219" s="1"/>
  <c r="K4" i="219"/>
  <c r="M4" i="220"/>
  <c r="I19" i="221"/>
  <c r="I2" i="221"/>
  <c r="K4" i="222"/>
  <c r="G4" i="223"/>
  <c r="N4" i="224"/>
  <c r="O4" i="224" s="1"/>
  <c r="I19" i="224"/>
  <c r="I2" i="224"/>
  <c r="M4" i="226"/>
  <c r="R4" i="228"/>
  <c r="S4" i="228" s="1"/>
  <c r="Q14" i="228"/>
  <c r="S13" i="229"/>
  <c r="R4" i="229"/>
  <c r="S4" i="229" s="1"/>
  <c r="I2" i="232"/>
  <c r="I4" i="232"/>
  <c r="H4" i="234"/>
  <c r="G2" i="234"/>
  <c r="G4" i="234"/>
  <c r="Q4" i="238"/>
  <c r="R4" i="239"/>
  <c r="S4" i="239" s="1"/>
  <c r="G4" i="243"/>
  <c r="I4" i="243"/>
  <c r="G2" i="243"/>
  <c r="H4" i="243"/>
  <c r="R4" i="243"/>
  <c r="S4" i="243" s="1"/>
  <c r="G4" i="247"/>
  <c r="I4" i="247"/>
  <c r="G2" i="247"/>
  <c r="H4" i="247"/>
  <c r="R4" i="247"/>
  <c r="S4" i="247" s="1"/>
  <c r="S5" i="247"/>
  <c r="P4" i="249"/>
  <c r="Q4" i="249" s="1"/>
  <c r="R5" i="254"/>
  <c r="P5" i="254"/>
  <c r="G4" i="255"/>
  <c r="Q6" i="255"/>
  <c r="P4" i="255"/>
  <c r="Q4" i="255" s="1"/>
  <c r="R6" i="259"/>
  <c r="P6" i="259"/>
  <c r="K4" i="261"/>
  <c r="S5" i="261"/>
  <c r="R13" i="262"/>
  <c r="S13" i="262" s="1"/>
  <c r="P13" i="262"/>
  <c r="Q13" i="262" s="1"/>
  <c r="P4" i="263"/>
  <c r="Q4" i="263" s="1"/>
  <c r="Q5" i="263"/>
  <c r="O4" i="264"/>
  <c r="R5" i="266"/>
  <c r="P5" i="266"/>
  <c r="R15" i="271"/>
  <c r="S15" i="271" s="1"/>
  <c r="P15" i="271"/>
  <c r="Q15" i="271" s="1"/>
  <c r="I4" i="208"/>
  <c r="I4" i="209"/>
  <c r="I4" i="211"/>
  <c r="I4" i="212"/>
  <c r="I4" i="213"/>
  <c r="G4" i="217"/>
  <c r="B4" i="218"/>
  <c r="I2" i="218" s="1"/>
  <c r="N4" i="220"/>
  <c r="O4" i="220" s="1"/>
  <c r="I19" i="220"/>
  <c r="I2" i="220"/>
  <c r="I4" i="221"/>
  <c r="B4" i="225"/>
  <c r="I2" i="225" s="1"/>
  <c r="N4" i="226"/>
  <c r="O4" i="226" s="1"/>
  <c r="R4" i="227"/>
  <c r="S4" i="227" s="1"/>
  <c r="I2" i="228"/>
  <c r="I4" i="228"/>
  <c r="Q4" i="230"/>
  <c r="G4" i="235"/>
  <c r="H4" i="235"/>
  <c r="G4" i="238"/>
  <c r="I4" i="238"/>
  <c r="G2" i="238"/>
  <c r="H4" i="238"/>
  <c r="S4" i="238"/>
  <c r="R6" i="251"/>
  <c r="S6" i="251" s="1"/>
  <c r="P6" i="251"/>
  <c r="R14" i="251"/>
  <c r="S14" i="251" s="1"/>
  <c r="P14" i="251"/>
  <c r="Q14" i="251" s="1"/>
  <c r="R12" i="254"/>
  <c r="S12" i="254" s="1"/>
  <c r="P12" i="254"/>
  <c r="Q12" i="254" s="1"/>
  <c r="K4" i="255"/>
  <c r="P4" i="258"/>
  <c r="Q4" i="258" s="1"/>
  <c r="Q5" i="258"/>
  <c r="O4" i="260"/>
  <c r="P9" i="263"/>
  <c r="Q9" i="263" s="1"/>
  <c r="P12" i="265"/>
  <c r="Q12" i="265" s="1"/>
  <c r="R12" i="265"/>
  <c r="S12" i="265" s="1"/>
  <c r="R12" i="266"/>
  <c r="S12" i="266" s="1"/>
  <c r="P12" i="266"/>
  <c r="Q12" i="266" s="1"/>
  <c r="P15" i="269"/>
  <c r="Q15" i="269" s="1"/>
  <c r="R15" i="269"/>
  <c r="S15" i="269" s="1"/>
  <c r="R4" i="273"/>
  <c r="S4" i="273" s="1"/>
  <c r="P4" i="273"/>
  <c r="Q4" i="273" s="1"/>
  <c r="S12" i="274"/>
  <c r="R4" i="274"/>
  <c r="S4" i="274" s="1"/>
  <c r="R8" i="275"/>
  <c r="S8" i="275" s="1"/>
  <c r="P8" i="275"/>
  <c r="Q8" i="275" s="1"/>
  <c r="S9" i="276"/>
  <c r="R4" i="276"/>
  <c r="S4" i="276" s="1"/>
  <c r="I4" i="279"/>
  <c r="I2" i="279"/>
  <c r="S5" i="279"/>
  <c r="R4" i="279"/>
  <c r="S4" i="279" s="1"/>
  <c r="S4" i="244"/>
  <c r="S4" i="248"/>
  <c r="M4" i="250"/>
  <c r="S5" i="251"/>
  <c r="P7" i="253"/>
  <c r="R7" i="253"/>
  <c r="S7" i="253" s="1"/>
  <c r="O4" i="256"/>
  <c r="K4" i="257"/>
  <c r="R4" i="257"/>
  <c r="S4" i="257" s="1"/>
  <c r="P11" i="257"/>
  <c r="Q11" i="257" s="1"/>
  <c r="R11" i="257"/>
  <c r="S11" i="257" s="1"/>
  <c r="H4" i="260"/>
  <c r="G2" i="260"/>
  <c r="G4" i="260"/>
  <c r="G4" i="261"/>
  <c r="H4" i="261"/>
  <c r="P15" i="261"/>
  <c r="Q15" i="261" s="1"/>
  <c r="R15" i="261"/>
  <c r="S15" i="261" s="1"/>
  <c r="I4" i="263"/>
  <c r="E4" i="263"/>
  <c r="I2" i="263"/>
  <c r="E2" i="263"/>
  <c r="K4" i="263"/>
  <c r="Q5" i="264"/>
  <c r="P4" i="264"/>
  <c r="Q4" i="264" s="1"/>
  <c r="P7" i="265"/>
  <c r="R7" i="265"/>
  <c r="S7" i="265" s="1"/>
  <c r="Q5" i="267"/>
  <c r="P13" i="269"/>
  <c r="Q13" i="269" s="1"/>
  <c r="R13" i="269"/>
  <c r="S13" i="269" s="1"/>
  <c r="S5" i="270"/>
  <c r="R4" i="270"/>
  <c r="S4" i="270" s="1"/>
  <c r="H4" i="272"/>
  <c r="E2" i="272"/>
  <c r="E4" i="272"/>
  <c r="I2" i="272"/>
  <c r="I4" i="272"/>
  <c r="S7" i="272"/>
  <c r="R4" i="272"/>
  <c r="S4" i="272" s="1"/>
  <c r="R4" i="275"/>
  <c r="S4" i="275" s="1"/>
  <c r="S5" i="275"/>
  <c r="T6" i="282"/>
  <c r="U6" i="282" s="1"/>
  <c r="R6" i="282"/>
  <c r="S6" i="282" s="1"/>
  <c r="U5" i="283"/>
  <c r="I4" i="286"/>
  <c r="I2" i="286"/>
  <c r="U5" i="289"/>
  <c r="R8" i="289"/>
  <c r="S8" i="289" s="1"/>
  <c r="T8" i="289"/>
  <c r="U8" i="289" s="1"/>
  <c r="R12" i="289"/>
  <c r="S12" i="289" s="1"/>
  <c r="T12" i="289"/>
  <c r="U12" i="289" s="1"/>
  <c r="R14" i="296"/>
  <c r="S14" i="296" s="1"/>
  <c r="T14" i="296"/>
  <c r="U14" i="296" s="1"/>
  <c r="K4" i="228"/>
  <c r="M4" i="229"/>
  <c r="S4" i="230"/>
  <c r="M4" i="233"/>
  <c r="S4" i="237"/>
  <c r="G4" i="237"/>
  <c r="S5" i="244"/>
  <c r="S4" i="245"/>
  <c r="S5" i="248"/>
  <c r="R4" i="249"/>
  <c r="S4" i="249" s="1"/>
  <c r="G4" i="250"/>
  <c r="I4" i="250"/>
  <c r="G2" i="250"/>
  <c r="H4" i="250"/>
  <c r="S4" i="250"/>
  <c r="O4" i="252"/>
  <c r="K4" i="253"/>
  <c r="P11" i="253"/>
  <c r="Q11" i="253" s="1"/>
  <c r="R11" i="253"/>
  <c r="S11" i="253" s="1"/>
  <c r="R4" i="255"/>
  <c r="S4" i="255" s="1"/>
  <c r="P15" i="255"/>
  <c r="Q15" i="255" s="1"/>
  <c r="H4" i="256"/>
  <c r="G2" i="256"/>
  <c r="G4" i="256"/>
  <c r="R4" i="256"/>
  <c r="S4" i="256" s="1"/>
  <c r="G4" i="257"/>
  <c r="H4" i="257"/>
  <c r="S5" i="257"/>
  <c r="P15" i="257"/>
  <c r="Q15" i="257" s="1"/>
  <c r="R15" i="257"/>
  <c r="S15" i="257" s="1"/>
  <c r="P13" i="258"/>
  <c r="Q13" i="258" s="1"/>
  <c r="P11" i="259"/>
  <c r="Q11" i="259" s="1"/>
  <c r="O4" i="261"/>
  <c r="S5" i="262"/>
  <c r="R4" i="262"/>
  <c r="S4" i="262" s="1"/>
  <c r="P9" i="262"/>
  <c r="Q9" i="262" s="1"/>
  <c r="H4" i="263"/>
  <c r="R4" i="263"/>
  <c r="S4" i="263" s="1"/>
  <c r="P14" i="263"/>
  <c r="Q14" i="263" s="1"/>
  <c r="H4" i="264"/>
  <c r="E2" i="264"/>
  <c r="I4" i="264"/>
  <c r="R4" i="264"/>
  <c r="S4" i="264" s="1"/>
  <c r="S5" i="264"/>
  <c r="I2" i="265"/>
  <c r="K4" i="265"/>
  <c r="P11" i="265"/>
  <c r="Q11" i="265" s="1"/>
  <c r="R11" i="265"/>
  <c r="S11" i="265" s="1"/>
  <c r="E4" i="266"/>
  <c r="E2" i="266"/>
  <c r="P6" i="267"/>
  <c r="Q6" i="267" s="1"/>
  <c r="Q5" i="268"/>
  <c r="P4" i="268"/>
  <c r="Q4" i="268" s="1"/>
  <c r="S7" i="268"/>
  <c r="R4" i="268"/>
  <c r="S4" i="268" s="1"/>
  <c r="P7" i="269"/>
  <c r="Q7" i="269" s="1"/>
  <c r="R7" i="269"/>
  <c r="S7" i="269" s="1"/>
  <c r="P10" i="269"/>
  <c r="Q10" i="269" s="1"/>
  <c r="R10" i="269"/>
  <c r="S10" i="269" s="1"/>
  <c r="Q5" i="270"/>
  <c r="Q5" i="272"/>
  <c r="P4" i="272"/>
  <c r="Q4" i="272" s="1"/>
  <c r="I4" i="273"/>
  <c r="E4" i="273"/>
  <c r="I2" i="273"/>
  <c r="E2" i="273"/>
  <c r="P8" i="273"/>
  <c r="Q8" i="273" s="1"/>
  <c r="N4" i="283"/>
  <c r="S5" i="283"/>
  <c r="T15" i="283"/>
  <c r="U15" i="283" s="1"/>
  <c r="R15" i="283"/>
  <c r="S15" i="283" s="1"/>
  <c r="G4" i="219"/>
  <c r="M4" i="221"/>
  <c r="I19" i="222"/>
  <c r="I2" i="222"/>
  <c r="I4" i="223"/>
  <c r="M4" i="225"/>
  <c r="I19" i="226"/>
  <c r="I2" i="226"/>
  <c r="I4" i="227"/>
  <c r="O4" i="230"/>
  <c r="K4" i="230"/>
  <c r="M4" i="231"/>
  <c r="S4" i="235"/>
  <c r="K4" i="239"/>
  <c r="S6" i="241"/>
  <c r="S4" i="242"/>
  <c r="H4" i="244"/>
  <c r="S5" i="245"/>
  <c r="S4" i="246"/>
  <c r="H4" i="248"/>
  <c r="S5" i="249"/>
  <c r="S5" i="250"/>
  <c r="P7" i="251"/>
  <c r="Q7" i="251" s="1"/>
  <c r="G8" i="251"/>
  <c r="I8" i="251"/>
  <c r="H8" i="251"/>
  <c r="P15" i="251"/>
  <c r="Q15" i="251" s="1"/>
  <c r="H4" i="252"/>
  <c r="G2" i="252"/>
  <c r="G4" i="252"/>
  <c r="G4" i="253"/>
  <c r="H4" i="253"/>
  <c r="S5" i="253"/>
  <c r="P15" i="253"/>
  <c r="Q15" i="253" s="1"/>
  <c r="R15" i="253"/>
  <c r="S15" i="253" s="1"/>
  <c r="P13" i="254"/>
  <c r="Q13" i="254" s="1"/>
  <c r="P11" i="255"/>
  <c r="Q11" i="255" s="1"/>
  <c r="O4" i="257"/>
  <c r="S5" i="258"/>
  <c r="R4" i="258"/>
  <c r="S4" i="258" s="1"/>
  <c r="P9" i="258"/>
  <c r="Q9" i="258" s="1"/>
  <c r="G4" i="259"/>
  <c r="P7" i="259"/>
  <c r="Q7" i="259" s="1"/>
  <c r="I4" i="260"/>
  <c r="I4" i="261"/>
  <c r="P7" i="261"/>
  <c r="R7" i="261"/>
  <c r="S7" i="261" s="1"/>
  <c r="R8" i="261"/>
  <c r="S8" i="261" s="1"/>
  <c r="P5" i="262"/>
  <c r="H4" i="265"/>
  <c r="E2" i="265"/>
  <c r="S5" i="265"/>
  <c r="P15" i="265"/>
  <c r="Q15" i="265" s="1"/>
  <c r="R15" i="265"/>
  <c r="S15" i="265" s="1"/>
  <c r="P13" i="266"/>
  <c r="Q13" i="266" s="1"/>
  <c r="I4" i="267"/>
  <c r="E4" i="267"/>
  <c r="I2" i="267"/>
  <c r="E2" i="267"/>
  <c r="K4" i="267"/>
  <c r="P8" i="267"/>
  <c r="Q8" i="267" s="1"/>
  <c r="P9" i="267"/>
  <c r="Q9" i="267" s="1"/>
  <c r="P15" i="267"/>
  <c r="Q15" i="267" s="1"/>
  <c r="I4" i="269"/>
  <c r="E4" i="269"/>
  <c r="I2" i="269"/>
  <c r="H4" i="269"/>
  <c r="P5" i="269"/>
  <c r="R5" i="269"/>
  <c r="E4" i="270"/>
  <c r="E2" i="270"/>
  <c r="P10" i="270"/>
  <c r="Q10" i="270" s="1"/>
  <c r="P15" i="270"/>
  <c r="Q15" i="270" s="1"/>
  <c r="P12" i="271"/>
  <c r="Q12" i="271" s="1"/>
  <c r="P13" i="271"/>
  <c r="Q13" i="271" s="1"/>
  <c r="H4" i="273"/>
  <c r="P14" i="274"/>
  <c r="Q14" i="274" s="1"/>
  <c r="P5" i="275"/>
  <c r="P6" i="277"/>
  <c r="Q6" i="277" s="1"/>
  <c r="R6" i="277"/>
  <c r="P10" i="277"/>
  <c r="Q10" i="277" s="1"/>
  <c r="R10" i="277"/>
  <c r="S10" i="277" s="1"/>
  <c r="Q4" i="282"/>
  <c r="G2" i="240"/>
  <c r="H4" i="240"/>
  <c r="G2" i="254"/>
  <c r="H4" i="254"/>
  <c r="G2" i="258"/>
  <c r="H4" i="258"/>
  <c r="G2" i="262"/>
  <c r="H4" i="262"/>
  <c r="H4" i="268"/>
  <c r="E2" i="268"/>
  <c r="E4" i="268"/>
  <c r="I2" i="268"/>
  <c r="P9" i="269"/>
  <c r="Q9" i="269" s="1"/>
  <c r="R9" i="269"/>
  <c r="S9" i="269" s="1"/>
  <c r="R4" i="271"/>
  <c r="S4" i="271" s="1"/>
  <c r="I4" i="274"/>
  <c r="E4" i="274"/>
  <c r="I2" i="274"/>
  <c r="P7" i="275"/>
  <c r="Q7" i="275" s="1"/>
  <c r="Q5" i="276"/>
  <c r="P4" i="276"/>
  <c r="Q4" i="276" s="1"/>
  <c r="T4" i="278"/>
  <c r="U4" i="278" s="1"/>
  <c r="R10" i="280"/>
  <c r="S10" i="280" s="1"/>
  <c r="T10" i="280"/>
  <c r="U10" i="280" s="1"/>
  <c r="S5" i="282"/>
  <c r="T13" i="282"/>
  <c r="U13" i="282" s="1"/>
  <c r="R13" i="282"/>
  <c r="S13" i="282" s="1"/>
  <c r="T14" i="282"/>
  <c r="U14" i="282" s="1"/>
  <c r="R14" i="282"/>
  <c r="S14" i="282" s="1"/>
  <c r="R7" i="285"/>
  <c r="S7" i="285" s="1"/>
  <c r="T7" i="285"/>
  <c r="U7" i="285" s="1"/>
  <c r="R11" i="285"/>
  <c r="S11" i="285" s="1"/>
  <c r="T11" i="285"/>
  <c r="U11" i="285" s="1"/>
  <c r="R15" i="285"/>
  <c r="S15" i="285" s="1"/>
  <c r="T15" i="285"/>
  <c r="U15" i="285" s="1"/>
  <c r="R15" i="293"/>
  <c r="S15" i="293" s="1"/>
  <c r="T15" i="293"/>
  <c r="U15" i="293" s="1"/>
  <c r="U5" i="296"/>
  <c r="R10" i="296"/>
  <c r="S10" i="296" s="1"/>
  <c r="T10" i="296"/>
  <c r="U10" i="296" s="1"/>
  <c r="T4" i="297"/>
  <c r="U4" i="297" s="1"/>
  <c r="U7" i="297"/>
  <c r="O4" i="250"/>
  <c r="I4" i="255"/>
  <c r="I4" i="259"/>
  <c r="O4" i="277"/>
  <c r="Q5" i="277"/>
  <c r="P8" i="277"/>
  <c r="Q8" i="277" s="1"/>
  <c r="R8" i="277"/>
  <c r="S8" i="277" s="1"/>
  <c r="S5" i="278"/>
  <c r="R4" i="278"/>
  <c r="S4" i="278" s="1"/>
  <c r="U6" i="278"/>
  <c r="H4" i="280"/>
  <c r="E2" i="280"/>
  <c r="E4" i="280"/>
  <c r="I2" i="280"/>
  <c r="I4" i="280"/>
  <c r="R13" i="280"/>
  <c r="S13" i="280" s="1"/>
  <c r="T13" i="280"/>
  <c r="U13" i="280" s="1"/>
  <c r="R14" i="280"/>
  <c r="S14" i="280" s="1"/>
  <c r="T14" i="280"/>
  <c r="U14" i="280" s="1"/>
  <c r="R9" i="282"/>
  <c r="S9" i="282" s="1"/>
  <c r="T7" i="283"/>
  <c r="U7" i="283" s="1"/>
  <c r="R7" i="283"/>
  <c r="S7" i="283" s="1"/>
  <c r="R13" i="284"/>
  <c r="S13" i="284" s="1"/>
  <c r="T13" i="284"/>
  <c r="U13" i="284" s="1"/>
  <c r="R11" i="293"/>
  <c r="S11" i="293" s="1"/>
  <c r="T11" i="293"/>
  <c r="U11" i="293" s="1"/>
  <c r="P14" i="277"/>
  <c r="Q14" i="277" s="1"/>
  <c r="R14" i="277"/>
  <c r="S14" i="277" s="1"/>
  <c r="R9" i="284"/>
  <c r="S9" i="284" s="1"/>
  <c r="T9" i="284"/>
  <c r="U9" i="284" s="1"/>
  <c r="U5" i="286"/>
  <c r="T4" i="286"/>
  <c r="U4" i="286" s="1"/>
  <c r="U6" i="291"/>
  <c r="T4" i="291"/>
  <c r="U4" i="291" s="1"/>
  <c r="R7" i="293"/>
  <c r="S7" i="293" s="1"/>
  <c r="T7" i="293"/>
  <c r="U7" i="293" s="1"/>
  <c r="R6" i="296"/>
  <c r="T6" i="296"/>
  <c r="U6" i="296" s="1"/>
  <c r="O4" i="269"/>
  <c r="K4" i="269"/>
  <c r="I4" i="271"/>
  <c r="E4" i="271"/>
  <c r="I2" i="271"/>
  <c r="M4" i="271"/>
  <c r="O4" i="273"/>
  <c r="K4" i="273"/>
  <c r="P12" i="277"/>
  <c r="Q12" i="277" s="1"/>
  <c r="R12" i="277"/>
  <c r="S12" i="277" s="1"/>
  <c r="K4" i="280"/>
  <c r="I4" i="281"/>
  <c r="I2" i="281"/>
  <c r="T4" i="281"/>
  <c r="U4" i="281" s="1"/>
  <c r="I4" i="282"/>
  <c r="E4" i="282"/>
  <c r="I2" i="282"/>
  <c r="H4" i="282"/>
  <c r="E2" i="282"/>
  <c r="U5" i="282"/>
  <c r="R5" i="284"/>
  <c r="T5" i="284"/>
  <c r="U5" i="285"/>
  <c r="R9" i="285"/>
  <c r="S9" i="285" s="1"/>
  <c r="T9" i="285"/>
  <c r="U9" i="285" s="1"/>
  <c r="R13" i="285"/>
  <c r="S13" i="285" s="1"/>
  <c r="T13" i="285"/>
  <c r="U13" i="285" s="1"/>
  <c r="E4" i="286"/>
  <c r="E2" i="286"/>
  <c r="R6" i="289"/>
  <c r="T6" i="289"/>
  <c r="U6" i="289" s="1"/>
  <c r="R10" i="289"/>
  <c r="S10" i="289" s="1"/>
  <c r="T10" i="289"/>
  <c r="U10" i="289" s="1"/>
  <c r="R14" i="289"/>
  <c r="S14" i="289" s="1"/>
  <c r="T14" i="289"/>
  <c r="U14" i="289" s="1"/>
  <c r="S5" i="291"/>
  <c r="R4" i="291"/>
  <c r="S4" i="291" s="1"/>
  <c r="K4" i="292"/>
  <c r="O4" i="274"/>
  <c r="K4" i="274"/>
  <c r="I4" i="275"/>
  <c r="E4" i="275"/>
  <c r="I2" i="275"/>
  <c r="M4" i="275"/>
  <c r="H4" i="277"/>
  <c r="E2" i="277"/>
  <c r="R9" i="280"/>
  <c r="T9" i="280"/>
  <c r="H4" i="283"/>
  <c r="E2" i="283"/>
  <c r="I4" i="283"/>
  <c r="R5" i="285"/>
  <c r="U6" i="287"/>
  <c r="T4" i="287"/>
  <c r="U4" i="287" s="1"/>
  <c r="H4" i="292"/>
  <c r="E2" i="292"/>
  <c r="I4" i="292"/>
  <c r="E4" i="292"/>
  <c r="I2" i="292"/>
  <c r="I4" i="293"/>
  <c r="E4" i="293"/>
  <c r="I2" i="293"/>
  <c r="H4" i="293"/>
  <c r="E2" i="293"/>
  <c r="I2" i="278"/>
  <c r="E4" i="278"/>
  <c r="K4" i="282"/>
  <c r="I4" i="284"/>
  <c r="E4" i="284"/>
  <c r="I2" i="284"/>
  <c r="Q4" i="284"/>
  <c r="Q4" i="289"/>
  <c r="S5" i="290"/>
  <c r="R4" i="290"/>
  <c r="S4" i="290" s="1"/>
  <c r="R8" i="296"/>
  <c r="S8" i="296" s="1"/>
  <c r="T8" i="296"/>
  <c r="U8" i="296" s="1"/>
  <c r="R12" i="296"/>
  <c r="S12" i="296" s="1"/>
  <c r="T12" i="296"/>
  <c r="U12" i="296" s="1"/>
  <c r="S5" i="281"/>
  <c r="R4" i="281"/>
  <c r="S4" i="281" s="1"/>
  <c r="H4" i="284"/>
  <c r="T8" i="284"/>
  <c r="U8" i="284" s="1"/>
  <c r="T12" i="284"/>
  <c r="U12" i="284" s="1"/>
  <c r="I4" i="285"/>
  <c r="I2" i="285"/>
  <c r="I4" i="289"/>
  <c r="E4" i="289"/>
  <c r="I2" i="289"/>
  <c r="H4" i="289"/>
  <c r="E2" i="289"/>
  <c r="I4" i="290"/>
  <c r="I2" i="290"/>
  <c r="T4" i="290"/>
  <c r="U4" i="290" s="1"/>
  <c r="U5" i="290"/>
  <c r="R8" i="292"/>
  <c r="S8" i="292" s="1"/>
  <c r="R12" i="292"/>
  <c r="S12" i="292" s="1"/>
  <c r="R5" i="293"/>
  <c r="T5" i="293"/>
  <c r="K4" i="293"/>
  <c r="R9" i="293"/>
  <c r="S9" i="293" s="1"/>
  <c r="T9" i="293"/>
  <c r="U9" i="293" s="1"/>
  <c r="R13" i="293"/>
  <c r="S13" i="293" s="1"/>
  <c r="T13" i="293"/>
  <c r="U13" i="293" s="1"/>
  <c r="E4" i="297"/>
  <c r="E2" i="297"/>
  <c r="I4" i="296"/>
  <c r="E4" i="296"/>
  <c r="I2" i="296"/>
  <c r="H4" i="296"/>
  <c r="E2" i="296"/>
  <c r="I4" i="297"/>
  <c r="I2" i="297"/>
  <c r="R4" i="286"/>
  <c r="S4" i="286" s="1"/>
  <c r="U5" i="292"/>
  <c r="T4" i="292"/>
  <c r="U4" i="292" s="1"/>
  <c r="Q4" i="293"/>
  <c r="R4" i="297"/>
  <c r="S4" i="297" s="1"/>
  <c r="R4" i="283" l="1"/>
  <c r="S4" i="283" s="1"/>
  <c r="P4" i="266"/>
  <c r="Q4" i="266" s="1"/>
  <c r="Q5" i="266"/>
  <c r="N4" i="198"/>
  <c r="O4" i="198" s="1"/>
  <c r="O6" i="198"/>
  <c r="G2" i="160"/>
  <c r="J6" i="62"/>
  <c r="I4" i="62"/>
  <c r="J4" i="62" s="1"/>
  <c r="J6" i="61"/>
  <c r="I4" i="61"/>
  <c r="J4" i="61" s="1"/>
  <c r="E4" i="75"/>
  <c r="E2" i="75"/>
  <c r="E4" i="16"/>
  <c r="E2" i="16"/>
  <c r="E2" i="15"/>
  <c r="E4" i="15"/>
  <c r="E4" i="12"/>
  <c r="E2" i="12"/>
  <c r="E2" i="11"/>
  <c r="E4" i="11"/>
  <c r="E2" i="31"/>
  <c r="E4" i="31"/>
  <c r="E2" i="27"/>
  <c r="E4" i="27"/>
  <c r="E2" i="23"/>
  <c r="E4" i="23"/>
  <c r="E2" i="19"/>
  <c r="E4" i="19"/>
  <c r="J4" i="65"/>
  <c r="K4" i="65" s="1"/>
  <c r="E4" i="37"/>
  <c r="E2" i="37"/>
  <c r="H4" i="27"/>
  <c r="E4" i="2"/>
  <c r="E2" i="2"/>
  <c r="Q7" i="265"/>
  <c r="P4" i="265"/>
  <c r="Q4" i="265" s="1"/>
  <c r="O19" i="200"/>
  <c r="N4" i="200"/>
  <c r="O4" i="200" s="1"/>
  <c r="L4" i="171"/>
  <c r="M4" i="171" s="1"/>
  <c r="M6" i="171"/>
  <c r="N4" i="182"/>
  <c r="O4" i="182" s="1"/>
  <c r="O6" i="182"/>
  <c r="G2" i="180"/>
  <c r="M10" i="119"/>
  <c r="L4" i="119"/>
  <c r="M4" i="119" s="1"/>
  <c r="R4" i="296"/>
  <c r="S4" i="296" s="1"/>
  <c r="S6" i="296"/>
  <c r="P4" i="277"/>
  <c r="Q4" i="277" s="1"/>
  <c r="R4" i="265"/>
  <c r="S4" i="265" s="1"/>
  <c r="I4" i="225"/>
  <c r="P4" i="271"/>
  <c r="Q4" i="271" s="1"/>
  <c r="L4" i="176"/>
  <c r="M4" i="176" s="1"/>
  <c r="G4" i="170"/>
  <c r="G2" i="170"/>
  <c r="M6" i="179"/>
  <c r="L4" i="179"/>
  <c r="M4" i="179" s="1"/>
  <c r="M6" i="174"/>
  <c r="L4" i="174"/>
  <c r="M4" i="174" s="1"/>
  <c r="L4" i="173"/>
  <c r="M4" i="173" s="1"/>
  <c r="M6" i="173"/>
  <c r="N4" i="187"/>
  <c r="O4" i="187" s="1"/>
  <c r="O6" i="187"/>
  <c r="O6" i="188"/>
  <c r="N4" i="188"/>
  <c r="O4" i="188" s="1"/>
  <c r="N4" i="189"/>
  <c r="O4" i="189" s="1"/>
  <c r="O6" i="189"/>
  <c r="N4" i="195"/>
  <c r="O4" i="195" s="1"/>
  <c r="O6" i="195"/>
  <c r="N4" i="199"/>
  <c r="O4" i="199" s="1"/>
  <c r="O6" i="199"/>
  <c r="G2" i="167"/>
  <c r="G4" i="141"/>
  <c r="F4" i="130"/>
  <c r="F2" i="138"/>
  <c r="G2" i="147"/>
  <c r="K6" i="74"/>
  <c r="J4" i="74"/>
  <c r="K4" i="74" s="1"/>
  <c r="E4" i="74"/>
  <c r="E2" i="74"/>
  <c r="L6" i="60"/>
  <c r="K4" i="60"/>
  <c r="L4" i="60" s="1"/>
  <c r="L8" i="56"/>
  <c r="K4" i="56"/>
  <c r="L4" i="56" s="1"/>
  <c r="G4" i="73"/>
  <c r="G4" i="65"/>
  <c r="E4" i="38"/>
  <c r="E2" i="38"/>
  <c r="J4" i="76"/>
  <c r="K4" i="76" s="1"/>
  <c r="E2" i="32"/>
  <c r="E4" i="32"/>
  <c r="H4" i="16"/>
  <c r="E4" i="13"/>
  <c r="E2" i="13"/>
  <c r="K4" i="57"/>
  <c r="L4" i="57" s="1"/>
  <c r="E4" i="30"/>
  <c r="E2" i="30"/>
  <c r="E4" i="26"/>
  <c r="E2" i="26"/>
  <c r="E4" i="22"/>
  <c r="E2" i="22"/>
  <c r="E4" i="18"/>
  <c r="E2" i="18"/>
  <c r="H4" i="37"/>
  <c r="H4" i="17"/>
  <c r="E2" i="7"/>
  <c r="E4" i="7"/>
  <c r="E2" i="6"/>
  <c r="E4" i="6"/>
  <c r="S5" i="293"/>
  <c r="R4" i="293"/>
  <c r="S4" i="293" s="1"/>
  <c r="Q5" i="275"/>
  <c r="P4" i="275"/>
  <c r="Q4" i="275" s="1"/>
  <c r="R4" i="261"/>
  <c r="S4" i="261" s="1"/>
  <c r="G4" i="171"/>
  <c r="G2" i="171"/>
  <c r="O6" i="186"/>
  <c r="N4" i="186"/>
  <c r="O4" i="186" s="1"/>
  <c r="O6" i="183"/>
  <c r="N4" i="183"/>
  <c r="O4" i="183" s="1"/>
  <c r="F2" i="134"/>
  <c r="U5" i="284"/>
  <c r="T4" i="284"/>
  <c r="U4" i="284" s="1"/>
  <c r="P4" i="274"/>
  <c r="Q4" i="274" s="1"/>
  <c r="S5" i="285"/>
  <c r="R4" i="285"/>
  <c r="S4" i="285" s="1"/>
  <c r="U9" i="280"/>
  <c r="T4" i="280"/>
  <c r="U4" i="280" s="1"/>
  <c r="R4" i="284"/>
  <c r="S4" i="284" s="1"/>
  <c r="S5" i="284"/>
  <c r="R4" i="282"/>
  <c r="S4" i="282" s="1"/>
  <c r="S6" i="277"/>
  <c r="R4" i="277"/>
  <c r="S4" i="277" s="1"/>
  <c r="P4" i="269"/>
  <c r="Q4" i="269" s="1"/>
  <c r="Q5" i="269"/>
  <c r="P4" i="270"/>
  <c r="Q4" i="270" s="1"/>
  <c r="P4" i="267"/>
  <c r="Q4" i="267" s="1"/>
  <c r="R4" i="251"/>
  <c r="S4" i="251" s="1"/>
  <c r="Q6" i="251"/>
  <c r="P4" i="251"/>
  <c r="Q4" i="251" s="1"/>
  <c r="I4" i="210"/>
  <c r="Q6" i="259"/>
  <c r="P4" i="259"/>
  <c r="Q4" i="259" s="1"/>
  <c r="M6" i="175"/>
  <c r="L4" i="175"/>
  <c r="M4" i="175" s="1"/>
  <c r="F4" i="139"/>
  <c r="M6" i="177"/>
  <c r="L4" i="177"/>
  <c r="M4" i="177" s="1"/>
  <c r="G4" i="173"/>
  <c r="G2" i="173"/>
  <c r="F2" i="137"/>
  <c r="I2" i="190"/>
  <c r="O6" i="181"/>
  <c r="N4" i="181"/>
  <c r="O4" i="181" s="1"/>
  <c r="O6" i="184"/>
  <c r="N4" i="184"/>
  <c r="O4" i="184" s="1"/>
  <c r="N4" i="191"/>
  <c r="O4" i="191" s="1"/>
  <c r="O6" i="191"/>
  <c r="L4" i="170"/>
  <c r="M4" i="170" s="1"/>
  <c r="M6" i="170"/>
  <c r="N4" i="192"/>
  <c r="O4" i="192" s="1"/>
  <c r="O6" i="192"/>
  <c r="N4" i="196"/>
  <c r="O4" i="196" s="1"/>
  <c r="O6" i="196"/>
  <c r="G4" i="166"/>
  <c r="G2" i="166"/>
  <c r="I2" i="181"/>
  <c r="F4" i="129"/>
  <c r="F2" i="129"/>
  <c r="L6" i="58"/>
  <c r="K4" i="58"/>
  <c r="L4" i="58" s="1"/>
  <c r="E4" i="34"/>
  <c r="E2" i="34"/>
  <c r="E2" i="36"/>
  <c r="E4" i="36"/>
  <c r="H4" i="30"/>
  <c r="H4" i="26"/>
  <c r="H4" i="22"/>
  <c r="H4" i="18"/>
  <c r="E2" i="33"/>
  <c r="E4" i="33"/>
  <c r="H4" i="21"/>
  <c r="H4" i="19"/>
  <c r="E4" i="9"/>
  <c r="E2" i="9"/>
  <c r="H4" i="3"/>
  <c r="E4" i="8"/>
  <c r="E2" i="8"/>
  <c r="H4" i="7"/>
  <c r="D4" i="55"/>
  <c r="R4" i="289"/>
  <c r="S4" i="289" s="1"/>
  <c r="S6" i="289"/>
  <c r="P4" i="261"/>
  <c r="Q4" i="261" s="1"/>
  <c r="Q7" i="261"/>
  <c r="S5" i="254"/>
  <c r="R4" i="254"/>
  <c r="S4" i="254" s="1"/>
  <c r="N4" i="194"/>
  <c r="O4" i="194" s="1"/>
  <c r="O6" i="194"/>
  <c r="S5" i="269"/>
  <c r="R4" i="269"/>
  <c r="S4" i="269" s="1"/>
  <c r="P4" i="262"/>
  <c r="Q4" i="262" s="1"/>
  <c r="Q5" i="262"/>
  <c r="Q7" i="253"/>
  <c r="P4" i="253"/>
  <c r="Q4" i="253" s="1"/>
  <c r="S5" i="266"/>
  <c r="R4" i="266"/>
  <c r="S4" i="266" s="1"/>
  <c r="U5" i="293"/>
  <c r="T4" i="293"/>
  <c r="U4" i="293" s="1"/>
  <c r="R4" i="292"/>
  <c r="S4" i="292" s="1"/>
  <c r="S9" i="280"/>
  <c r="R4" i="280"/>
  <c r="S4" i="280" s="1"/>
  <c r="T4" i="285"/>
  <c r="U4" i="285" s="1"/>
  <c r="T4" i="282"/>
  <c r="U4" i="282" s="1"/>
  <c r="T4" i="296"/>
  <c r="U4" i="296" s="1"/>
  <c r="R4" i="253"/>
  <c r="S4" i="253" s="1"/>
  <c r="T4" i="289"/>
  <c r="U4" i="289" s="1"/>
  <c r="T4" i="283"/>
  <c r="U4" i="283" s="1"/>
  <c r="R4" i="267"/>
  <c r="S4" i="267" s="1"/>
  <c r="S6" i="259"/>
  <c r="R4" i="259"/>
  <c r="S4" i="259" s="1"/>
  <c r="P4" i="254"/>
  <c r="Q4" i="254" s="1"/>
  <c r="Q5" i="254"/>
  <c r="Q7" i="257"/>
  <c r="P4" i="257"/>
  <c r="Q4" i="257" s="1"/>
  <c r="M6" i="178"/>
  <c r="L4" i="178"/>
  <c r="M4" i="178" s="1"/>
  <c r="G4" i="172"/>
  <c r="G2" i="172"/>
  <c r="G4" i="164"/>
  <c r="G2" i="164"/>
  <c r="O6" i="185"/>
  <c r="N4" i="185"/>
  <c r="O4" i="185" s="1"/>
  <c r="M6" i="180"/>
  <c r="L4" i="180"/>
  <c r="M4" i="180" s="1"/>
  <c r="L4" i="172"/>
  <c r="M4" i="172" s="1"/>
  <c r="M6" i="172"/>
  <c r="N4" i="193"/>
  <c r="O4" i="193" s="1"/>
  <c r="O6" i="193"/>
  <c r="N4" i="197"/>
  <c r="O4" i="197" s="1"/>
  <c r="O6" i="197"/>
  <c r="N4" i="190"/>
  <c r="O4" i="190" s="1"/>
  <c r="F2" i="136"/>
  <c r="F4" i="136"/>
  <c r="G4" i="148"/>
  <c r="F4" i="135"/>
  <c r="F2" i="135"/>
  <c r="J4" i="75"/>
  <c r="K4" i="75" s="1"/>
  <c r="K6" i="75"/>
  <c r="J4" i="73"/>
  <c r="K4" i="73" s="1"/>
  <c r="K6" i="73"/>
  <c r="L6" i="59"/>
  <c r="K4" i="59"/>
  <c r="L4" i="59" s="1"/>
  <c r="J4" i="78"/>
  <c r="K4" i="78" s="1"/>
  <c r="H4" i="34"/>
  <c r="E2" i="40"/>
  <c r="E4" i="40"/>
  <c r="H4" i="35"/>
  <c r="H4" i="25"/>
  <c r="H4" i="23"/>
  <c r="E4" i="3"/>
  <c r="E2" i="3"/>
  <c r="H4" i="8"/>
  <c r="E4" i="55" l="1"/>
  <c r="E2" i="55"/>
</calcChain>
</file>

<file path=xl/sharedStrings.xml><?xml version="1.0" encoding="utf-8"?>
<sst xmlns="http://schemas.openxmlformats.org/spreadsheetml/2006/main" count="10006" uniqueCount="106">
  <si>
    <t>% Organic</t>
  </si>
  <si>
    <t>Turnover Gross</t>
  </si>
  <si>
    <t>LAST WEEK  (Gross)</t>
  </si>
  <si>
    <t>LAST YEAR (Gross)</t>
  </si>
  <si>
    <t>% to LY</t>
  </si>
  <si>
    <t>T/over Net</t>
  </si>
  <si>
    <t>Covers</t>
  </si>
  <si>
    <t>Avg Spend</t>
  </si>
  <si>
    <t>PROMO</t>
  </si>
  <si>
    <t>Promo to Date</t>
  </si>
  <si>
    <t>Swipes</t>
  </si>
  <si>
    <t>% To Date</t>
  </si>
  <si>
    <t>Discounts</t>
  </si>
  <si>
    <t>GROUP TOTAL</t>
  </si>
  <si>
    <t>Bedfordview</t>
  </si>
  <si>
    <t>Irene Village</t>
  </si>
  <si>
    <t>Melrose Arch</t>
  </si>
  <si>
    <t>Melville</t>
  </si>
  <si>
    <t>Rosebank</t>
  </si>
  <si>
    <t>The Wedge</t>
  </si>
  <si>
    <t xml:space="preserve">Waterkloof </t>
  </si>
  <si>
    <t>Eagles Landing</t>
  </si>
  <si>
    <t>Stellenbosch</t>
  </si>
  <si>
    <t>Lynnwood</t>
  </si>
  <si>
    <t>Wellington</t>
  </si>
  <si>
    <t>Midrand</t>
  </si>
  <si>
    <t>Hartenbos</t>
  </si>
  <si>
    <t>Kyalami Corner</t>
  </si>
  <si>
    <t>Paulshof</t>
  </si>
  <si>
    <t>% To Covers</t>
  </si>
  <si>
    <t>LAST YEAR (Net)</t>
  </si>
  <si>
    <t>.</t>
  </si>
  <si>
    <t>PROMO Weekly</t>
  </si>
  <si>
    <t>Queenswood</t>
  </si>
  <si>
    <t>Last Week (Net)</t>
  </si>
  <si>
    <t>Deliveries</t>
  </si>
  <si>
    <t>Deliveries % of TO</t>
  </si>
  <si>
    <t>Centurion</t>
  </si>
  <si>
    <t>Invoices</t>
  </si>
  <si>
    <t>Uber / Mr D Deliveries</t>
  </si>
  <si>
    <t>In-Store Deliveries / T-Away</t>
  </si>
  <si>
    <t>% to LW</t>
  </si>
  <si>
    <t>WhatsApp</t>
  </si>
  <si>
    <t>WhatsApp % of TO</t>
  </si>
  <si>
    <t>Month To Date T/Over</t>
  </si>
  <si>
    <t>LAST YEAR (Net) 2019</t>
  </si>
  <si>
    <t>% to LY 2019</t>
  </si>
  <si>
    <t>LAST YEAR (Net) 2020</t>
  </si>
  <si>
    <t>% to LW 2020</t>
  </si>
  <si>
    <t>LAST YEAR (Net) 2021</t>
  </si>
  <si>
    <t>% to LY 2020</t>
  </si>
  <si>
    <t>% to LW 2021</t>
  </si>
  <si>
    <t>T/Over Net</t>
  </si>
  <si>
    <t>Non-Banking</t>
  </si>
  <si>
    <t>Avg Spend per Bill</t>
  </si>
  <si>
    <t>Cambridge Crossing</t>
  </si>
  <si>
    <t>97633..12</t>
  </si>
  <si>
    <t>Delivery</t>
  </si>
  <si>
    <t>Whatsapp</t>
  </si>
  <si>
    <t>Close</t>
  </si>
  <si>
    <t>close</t>
  </si>
  <si>
    <t>Whatsapp /Takeout</t>
  </si>
  <si>
    <t>LAST YEAR (Net) 2022</t>
  </si>
  <si>
    <t>% to LW 2022</t>
  </si>
  <si>
    <t>Current Week (Net)</t>
  </si>
  <si>
    <t>Mac &amp; Rib</t>
  </si>
  <si>
    <t>Mac &amp; Rib Monthly</t>
  </si>
  <si>
    <t>Sales Departemental report</t>
  </si>
  <si>
    <t>Report name</t>
  </si>
  <si>
    <t>Non Banking</t>
  </si>
  <si>
    <t>Turnover Exclusive</t>
  </si>
  <si>
    <t>Notes</t>
  </si>
  <si>
    <t>Eastern Cape - Hartenbos</t>
  </si>
  <si>
    <t>Gauteng - Eagles Landing</t>
  </si>
  <si>
    <t>Gauteng - Irene Village</t>
  </si>
  <si>
    <t>Gauteng - Kyalami</t>
  </si>
  <si>
    <t>Gauteng - Lynnridge Mall</t>
  </si>
  <si>
    <t>Gauteng - Melrose Arch</t>
  </si>
  <si>
    <t>Gauteng - Melville @ Bibloteek</t>
  </si>
  <si>
    <t>Gauteng - Paulshof</t>
  </si>
  <si>
    <t>Gauteng - Queenswood</t>
  </si>
  <si>
    <t>Gauteng - Rosebank</t>
  </si>
  <si>
    <t>Gauteng - Waterkloof Corner</t>
  </si>
  <si>
    <t>Western Cape - Stellenbosch Square</t>
  </si>
  <si>
    <t>LLI Menu items</t>
  </si>
  <si>
    <t>9 - current</t>
  </si>
  <si>
    <t>7 to 13</t>
  </si>
  <si>
    <t>14 to 20</t>
  </si>
  <si>
    <t>21 to 27</t>
  </si>
  <si>
    <t>28 Jan to 3 Feb</t>
  </si>
  <si>
    <t>4 Feb to 10 Feb</t>
  </si>
  <si>
    <t>11 Feb to 17 Feb</t>
  </si>
  <si>
    <t>18 Feb to 24 Feb</t>
  </si>
  <si>
    <t>25 Feb to 3 Mar</t>
  </si>
  <si>
    <t>4 Mar to 10 Mar</t>
  </si>
  <si>
    <t>11 Mar to 17 Mar</t>
  </si>
  <si>
    <t>18 Mar to 24 Mar</t>
  </si>
  <si>
    <t>25 Mar to 31 Mar</t>
  </si>
  <si>
    <t>1 Apr- 7 Apr</t>
  </si>
  <si>
    <t>8 Apr- 14 Apr</t>
  </si>
  <si>
    <t>15 Apr- 21 Apr</t>
  </si>
  <si>
    <t>22 Apr- 28 Apr</t>
  </si>
  <si>
    <t>29 Apr- 5 May</t>
  </si>
  <si>
    <t>6 May - 12 May</t>
  </si>
  <si>
    <t>Gaap</t>
  </si>
  <si>
    <t>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</si>
</sst>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R&quot;#,##0.00;[Red]\-&quot;R&quot;#,##0.00"/>
    <numFmt numFmtId="164" formatCode="_ * #,##0.00_ ;_ * \-#,##0.00_ ;_ * &quot;-&quot;??_ ;_ @_ "/>
    <numFmt numFmtId="165" formatCode="_ * #,##0_ ;_ * \-#,##0_ ;_ * &quot;-&quot;??_ ;_ @_ "/>
    <numFmt numFmtId="166" formatCode="#,##0.00;\(#,##0.00\)"/>
    <numFmt numFmtId="167" formatCode="0.0%"/>
    <numFmt numFmtId="168" formatCode="[$R]\ #\ ###\ ###\ ##0.00;[$R]\ \-#\ ###\ ###\ ##0.00"/>
    <numFmt numFmtId="169" formatCode="&quot;R&quot;#,##0"/>
  </numFmts>
  <fonts count="45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  <charset val="238"/>
    </font>
    <font>
      <b/>
      <sz val="12"/>
      <name val="Arial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Arial"/>
      <family val="2"/>
    </font>
    <font>
      <sz val="12"/>
      <color indexed="8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8"/>
      <color rgb="FF000000"/>
      <name val="Calibri"/>
      <family val="2"/>
    </font>
    <font>
      <b/>
      <sz val="12"/>
      <color theme="4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9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92">
    <xf numFmtId="0" fontId="0" fillId="0" borderId="0"/>
    <xf numFmtId="0" fontId="4" fillId="0" borderId="0"/>
    <xf numFmtId="0" fontId="4" fillId="0" borderId="0"/>
    <xf numFmtId="9" fontId="4" fillId="0" borderId="0"/>
    <xf numFmtId="164" fontId="4" fillId="0" borderId="0"/>
    <xf numFmtId="164" fontId="4" fillId="0" borderId="0"/>
    <xf numFmtId="164" fontId="4" fillId="0" borderId="0"/>
    <xf numFmtId="0" fontId="4" fillId="0" borderId="0"/>
    <xf numFmtId="9" fontId="4" fillId="0" borderId="0"/>
    <xf numFmtId="9" fontId="4" fillId="0" borderId="0"/>
    <xf numFmtId="9" fontId="26" fillId="0" borderId="0"/>
    <xf numFmtId="0" fontId="2" fillId="0" borderId="0"/>
    <xf numFmtId="0" fontId="2" fillId="11" borderId="17"/>
    <xf numFmtId="0" fontId="28" fillId="0" borderId="0"/>
    <xf numFmtId="0" fontId="26" fillId="0" borderId="0"/>
    <xf numFmtId="9" fontId="26" fillId="0" borderId="0"/>
    <xf numFmtId="0" fontId="16" fillId="5" borderId="0"/>
    <xf numFmtId="0" fontId="17" fillId="6" borderId="0"/>
    <xf numFmtId="0" fontId="18" fillId="7" borderId="0"/>
    <xf numFmtId="0" fontId="19" fillId="8" borderId="13"/>
    <xf numFmtId="0" fontId="20" fillId="9" borderId="14"/>
    <xf numFmtId="0" fontId="21" fillId="9" borderId="13"/>
    <xf numFmtId="0" fontId="22" fillId="0" borderId="15"/>
    <xf numFmtId="0" fontId="14" fillId="10" borderId="16"/>
    <xf numFmtId="0" fontId="23" fillId="0" borderId="0"/>
    <xf numFmtId="0" fontId="24" fillId="0" borderId="0"/>
    <xf numFmtId="0" fontId="12" fillId="0" borderId="18"/>
    <xf numFmtId="0" fontId="15" fillId="12" borderId="0"/>
    <xf numFmtId="0" fontId="2" fillId="13" borderId="0"/>
    <xf numFmtId="0" fontId="2" fillId="14" borderId="0"/>
    <xf numFmtId="0" fontId="15" fillId="15" borderId="0"/>
    <xf numFmtId="0" fontId="15" fillId="16" borderId="0"/>
    <xf numFmtId="0" fontId="2" fillId="17" borderId="0"/>
    <xf numFmtId="0" fontId="2" fillId="18" borderId="0"/>
    <xf numFmtId="0" fontId="15" fillId="19" borderId="0"/>
    <xf numFmtId="0" fontId="15" fillId="20" borderId="0"/>
    <xf numFmtId="0" fontId="2" fillId="21" borderId="0"/>
    <xf numFmtId="0" fontId="2" fillId="22" borderId="0"/>
    <xf numFmtId="0" fontId="15" fillId="23" borderId="0"/>
    <xf numFmtId="0" fontId="15" fillId="24" borderId="0"/>
    <xf numFmtId="0" fontId="2" fillId="25" borderId="0"/>
    <xf numFmtId="0" fontId="2" fillId="26" borderId="0"/>
    <xf numFmtId="0" fontId="15" fillId="27" borderId="0"/>
    <xf numFmtId="0" fontId="15" fillId="28" borderId="0"/>
    <xf numFmtId="0" fontId="2" fillId="29" borderId="0"/>
    <xf numFmtId="0" fontId="2" fillId="30" borderId="0"/>
    <xf numFmtId="0" fontId="15" fillId="31" borderId="0"/>
    <xf numFmtId="0" fontId="15" fillId="32" borderId="0"/>
    <xf numFmtId="0" fontId="2" fillId="33" borderId="0"/>
    <xf numFmtId="0" fontId="2" fillId="34" borderId="0"/>
    <xf numFmtId="0" fontId="15" fillId="35" borderId="0"/>
    <xf numFmtId="0" fontId="2" fillId="0" borderId="0"/>
    <xf numFmtId="0" fontId="2" fillId="11" borderId="17"/>
    <xf numFmtId="0" fontId="31" fillId="0" borderId="10"/>
    <xf numFmtId="0" fontId="32" fillId="0" borderId="11"/>
    <xf numFmtId="0" fontId="33" fillId="0" borderId="12"/>
    <xf numFmtId="0" fontId="33" fillId="0" borderId="0"/>
    <xf numFmtId="0" fontId="34" fillId="5" borderId="0"/>
    <xf numFmtId="0" fontId="35" fillId="6" borderId="0"/>
    <xf numFmtId="0" fontId="36" fillId="7" borderId="0"/>
    <xf numFmtId="0" fontId="37" fillId="8" borderId="13"/>
    <xf numFmtId="0" fontId="38" fillId="9" borderId="14"/>
    <xf numFmtId="0" fontId="39" fillId="9" borderId="13"/>
    <xf numFmtId="0" fontId="40" fillId="0" borderId="15"/>
    <xf numFmtId="0" fontId="11" fillId="10" borderId="16"/>
    <xf numFmtId="0" fontId="41" fillId="0" borderId="0"/>
    <xf numFmtId="0" fontId="42" fillId="0" borderId="0"/>
    <xf numFmtId="0" fontId="43" fillId="0" borderId="18"/>
    <xf numFmtId="0" fontId="27" fillId="12" borderId="0"/>
    <xf numFmtId="0" fontId="26" fillId="13" borderId="0"/>
    <xf numFmtId="0" fontId="26" fillId="14" borderId="0"/>
    <xf numFmtId="0" fontId="26" fillId="15" borderId="0"/>
    <xf numFmtId="0" fontId="27" fillId="16" borderId="0"/>
    <xf numFmtId="0" fontId="26" fillId="17" borderId="0"/>
    <xf numFmtId="0" fontId="26" fillId="18" borderId="0"/>
    <xf numFmtId="0" fontId="26" fillId="19" borderId="0"/>
    <xf numFmtId="0" fontId="27" fillId="20" borderId="0"/>
    <xf numFmtId="0" fontId="26" fillId="21" borderId="0"/>
    <xf numFmtId="0" fontId="26" fillId="22" borderId="0"/>
    <xf numFmtId="0" fontId="26" fillId="23" borderId="0"/>
    <xf numFmtId="0" fontId="27" fillId="24" borderId="0"/>
    <xf numFmtId="0" fontId="26" fillId="25" borderId="0"/>
    <xf numFmtId="0" fontId="26" fillId="26" borderId="0"/>
    <xf numFmtId="0" fontId="26" fillId="27" borderId="0"/>
    <xf numFmtId="0" fontId="27" fillId="28" borderId="0"/>
    <xf numFmtId="0" fontId="26" fillId="29" borderId="0"/>
    <xf numFmtId="0" fontId="26" fillId="30" borderId="0"/>
    <xf numFmtId="0" fontId="26" fillId="31" borderId="0"/>
    <xf numFmtId="0" fontId="27" fillId="32" borderId="0"/>
    <xf numFmtId="0" fontId="26" fillId="33" borderId="0"/>
    <xf numFmtId="0" fontId="26" fillId="34" borderId="0"/>
    <xf numFmtId="0" fontId="26" fillId="35" borderId="0"/>
  </cellStyleXfs>
  <cellXfs count="505">
    <xf numFmtId="0" fontId="0" fillId="0" borderId="0" xfId="0"/>
    <xf numFmtId="0" fontId="3" fillId="0" borderId="0" xfId="1" applyFont="1"/>
    <xf numFmtId="0" fontId="5" fillId="0" borderId="0" xfId="1" applyFont="1"/>
    <xf numFmtId="164" fontId="7" fillId="0" borderId="1" xfId="1" applyNumberFormat="1" applyFont="1" applyBorder="1" applyAlignment="1">
      <alignment horizontal="left" wrapText="1"/>
    </xf>
    <xf numFmtId="9" fontId="8" fillId="0" borderId="1" xfId="3" applyFont="1" applyBorder="1" applyAlignment="1">
      <alignment horizontal="center"/>
    </xf>
    <xf numFmtId="165" fontId="5" fillId="0" borderId="1" xfId="4" applyNumberFormat="1" applyFont="1" applyBorder="1" applyAlignment="1">
      <alignment horizontal="center"/>
    </xf>
    <xf numFmtId="165" fontId="5" fillId="0" borderId="1" xfId="5" applyNumberFormat="1" applyFont="1" applyBorder="1" applyAlignment="1">
      <alignment horizontal="center"/>
    </xf>
    <xf numFmtId="0" fontId="3" fillId="0" borderId="0" xfId="7" applyFont="1"/>
    <xf numFmtId="164" fontId="0" fillId="0" borderId="0" xfId="0" applyNumberFormat="1"/>
    <xf numFmtId="0" fontId="10" fillId="0" borderId="0" xfId="0" applyFont="1"/>
    <xf numFmtId="0" fontId="6" fillId="2" borderId="2" xfId="1" applyFont="1" applyFill="1" applyBorder="1" applyAlignment="1">
      <alignment horizontal="center"/>
    </xf>
    <xf numFmtId="0" fontId="7" fillId="2" borderId="2" xfId="1" applyFont="1" applyFill="1" applyBorder="1" applyAlignment="1">
      <alignment horizontal="center"/>
    </xf>
    <xf numFmtId="0" fontId="7" fillId="2" borderId="1" xfId="1" applyFont="1" applyFill="1" applyBorder="1"/>
    <xf numFmtId="0" fontId="7" fillId="2" borderId="3" xfId="1" applyFont="1" applyFill="1" applyBorder="1" applyAlignment="1">
      <alignment horizontal="center"/>
    </xf>
    <xf numFmtId="0" fontId="7" fillId="3" borderId="4" xfId="7" applyFont="1" applyFill="1" applyBorder="1"/>
    <xf numFmtId="0" fontId="6" fillId="2" borderId="2" xfId="1" applyFont="1" applyFill="1" applyBorder="1" applyAlignment="1">
      <alignment horizontal="center" wrapText="1"/>
    </xf>
    <xf numFmtId="0" fontId="7" fillId="2" borderId="2" xfId="1" applyFont="1" applyFill="1" applyBorder="1" applyAlignment="1">
      <alignment horizontal="center" wrapText="1"/>
    </xf>
    <xf numFmtId="0" fontId="11" fillId="0" borderId="0" xfId="0" applyFont="1"/>
    <xf numFmtId="166" fontId="5" fillId="0" borderId="1" xfId="0" applyNumberFormat="1" applyFont="1" applyBorder="1" applyAlignment="1">
      <alignment horizontal="right" vertical="center"/>
    </xf>
    <xf numFmtId="0" fontId="7" fillId="2" borderId="2" xfId="1" applyFont="1" applyFill="1" applyBorder="1"/>
    <xf numFmtId="9" fontId="7" fillId="0" borderId="1" xfId="1" applyNumberFormat="1" applyFont="1" applyBorder="1" applyAlignment="1">
      <alignment horizontal="left" wrapText="1"/>
    </xf>
    <xf numFmtId="0" fontId="14" fillId="0" borderId="0" xfId="0" applyFont="1"/>
    <xf numFmtId="0" fontId="15" fillId="0" borderId="0" xfId="0" applyFont="1"/>
    <xf numFmtId="0" fontId="14" fillId="4" borderId="0" xfId="0" applyFont="1" applyFill="1" applyAlignment="1">
      <alignment wrapText="1"/>
    </xf>
    <xf numFmtId="1" fontId="14" fillId="0" borderId="0" xfId="0" applyNumberFormat="1" applyFont="1"/>
    <xf numFmtId="1" fontId="10" fillId="0" borderId="0" xfId="0" applyNumberFormat="1" applyFont="1"/>
    <xf numFmtId="1" fontId="15" fillId="0" borderId="0" xfId="0" applyNumberFormat="1" applyFont="1"/>
    <xf numFmtId="2" fontId="5" fillId="0" borderId="0" xfId="0" applyNumberFormat="1" applyFont="1" applyAlignment="1">
      <alignment horizontal="right" vertical="center"/>
    </xf>
    <xf numFmtId="10" fontId="7" fillId="0" borderId="1" xfId="1" applyNumberFormat="1" applyFont="1" applyBorder="1" applyAlignment="1">
      <alignment horizontal="left" wrapText="1"/>
    </xf>
    <xf numFmtId="1" fontId="7" fillId="0" borderId="1" xfId="1" applyNumberFormat="1" applyFont="1" applyBorder="1" applyAlignment="1">
      <alignment horizontal="left" wrapText="1"/>
    </xf>
    <xf numFmtId="166" fontId="7" fillId="0" borderId="1" xfId="0" applyNumberFormat="1" applyFont="1" applyBorder="1" applyAlignment="1">
      <alignment horizontal="right" vertical="center"/>
    </xf>
    <xf numFmtId="10" fontId="3" fillId="3" borderId="5" xfId="10" applyNumberFormat="1" applyFont="1" applyFill="1" applyBorder="1" applyAlignment="1">
      <alignment horizontal="center"/>
    </xf>
    <xf numFmtId="4" fontId="5" fillId="0" borderId="1" xfId="0" applyNumberFormat="1" applyFont="1" applyBorder="1" applyAlignment="1">
      <alignment horizontal="right" vertical="center"/>
    </xf>
    <xf numFmtId="4" fontId="25" fillId="0" borderId="0" xfId="0" applyNumberFormat="1" applyFont="1"/>
    <xf numFmtId="14" fontId="3" fillId="0" borderId="0" xfId="1" applyNumberFormat="1" applyFont="1"/>
    <xf numFmtId="14" fontId="7" fillId="2" borderId="2" xfId="1" applyNumberFormat="1" applyFont="1" applyFill="1" applyBorder="1" applyAlignment="1">
      <alignment horizontal="center"/>
    </xf>
    <xf numFmtId="14" fontId="0" fillId="0" borderId="0" xfId="0" applyNumberFormat="1"/>
    <xf numFmtId="164" fontId="7" fillId="0" borderId="19" xfId="1" applyNumberFormat="1" applyFont="1" applyBorder="1" applyAlignment="1">
      <alignment horizontal="left" wrapText="1"/>
    </xf>
    <xf numFmtId="0" fontId="7" fillId="0" borderId="20" xfId="1" applyFont="1" applyBorder="1" applyAlignment="1">
      <alignment horizontal="left"/>
    </xf>
    <xf numFmtId="0" fontId="7" fillId="2" borderId="8" xfId="1" applyFont="1" applyFill="1" applyBorder="1" applyAlignment="1">
      <alignment horizontal="left"/>
    </xf>
    <xf numFmtId="0" fontId="7" fillId="2" borderId="8" xfId="1" applyFont="1" applyFill="1" applyBorder="1"/>
    <xf numFmtId="0" fontId="12" fillId="0" borderId="2" xfId="0" applyFont="1" applyBorder="1"/>
    <xf numFmtId="166" fontId="5" fillId="0" borderId="3" xfId="0" applyNumberFormat="1" applyFont="1" applyBorder="1" applyAlignment="1">
      <alignment horizontal="right" vertical="center"/>
    </xf>
    <xf numFmtId="4" fontId="5" fillId="0" borderId="3" xfId="4" applyNumberFormat="1" applyFont="1" applyBorder="1" applyAlignment="1">
      <alignment horizontal="right" vertical="center"/>
    </xf>
    <xf numFmtId="9" fontId="8" fillId="3" borderId="1" xfId="3" applyFont="1" applyFill="1" applyBorder="1" applyAlignment="1">
      <alignment horizontal="center"/>
    </xf>
    <xf numFmtId="164" fontId="7" fillId="0" borderId="1" xfId="1" applyNumberFormat="1" applyFont="1" applyBorder="1" applyAlignment="1">
      <alignment horizontal="center"/>
    </xf>
    <xf numFmtId="165" fontId="7" fillId="0" borderId="1" xfId="1" applyNumberFormat="1" applyFont="1" applyBorder="1" applyAlignment="1">
      <alignment horizontal="left" wrapText="1"/>
    </xf>
    <xf numFmtId="0" fontId="5" fillId="0" borderId="1" xfId="1" applyFont="1" applyBorder="1" applyAlignment="1">
      <alignment horizontal="center"/>
    </xf>
    <xf numFmtId="164" fontId="8" fillId="0" borderId="1" xfId="7" applyNumberFormat="1" applyFont="1" applyBorder="1" applyAlignment="1">
      <alignment horizontal="center"/>
    </xf>
    <xf numFmtId="1" fontId="5" fillId="0" borderId="1" xfId="1" applyNumberFormat="1" applyFont="1" applyBorder="1" applyAlignment="1">
      <alignment horizontal="center"/>
    </xf>
    <xf numFmtId="9" fontId="8" fillId="0" borderId="8" xfId="3" applyFont="1" applyBorder="1" applyAlignment="1">
      <alignment horizontal="center"/>
    </xf>
    <xf numFmtId="9" fontId="8" fillId="0" borderId="23" xfId="3" applyFont="1" applyBorder="1" applyAlignment="1">
      <alignment horizontal="center"/>
    </xf>
    <xf numFmtId="4" fontId="5" fillId="0" borderId="9" xfId="7" applyNumberFormat="1" applyFont="1" applyBorder="1"/>
    <xf numFmtId="4" fontId="5" fillId="0" borderId="1" xfId="1" applyNumberFormat="1" applyFont="1" applyBorder="1"/>
    <xf numFmtId="4" fontId="7" fillId="0" borderId="1" xfId="1" applyNumberFormat="1" applyFont="1" applyBorder="1" applyAlignment="1">
      <alignment horizontal="left" wrapText="1"/>
    </xf>
    <xf numFmtId="4" fontId="5" fillId="0" borderId="21" xfId="7" applyNumberFormat="1" applyFont="1" applyBorder="1"/>
    <xf numFmtId="4" fontId="5" fillId="0" borderId="3" xfId="1" applyNumberFormat="1" applyFont="1" applyBorder="1"/>
    <xf numFmtId="4" fontId="7" fillId="0" borderId="22" xfId="1" applyNumberFormat="1" applyFont="1" applyBorder="1" applyAlignment="1">
      <alignment horizontal="left" wrapText="1"/>
    </xf>
    <xf numFmtId="4" fontId="7" fillId="0" borderId="6" xfId="1" applyNumberFormat="1" applyFont="1" applyBorder="1" applyAlignment="1">
      <alignment horizontal="left" wrapText="1"/>
    </xf>
    <xf numFmtId="4" fontId="13" fillId="0" borderId="0" xfId="0" applyNumberFormat="1" applyFont="1"/>
    <xf numFmtId="4" fontId="7" fillId="0" borderId="7" xfId="1" applyNumberFormat="1" applyFont="1" applyBorder="1" applyAlignment="1">
      <alignment horizontal="left" wrapText="1"/>
    </xf>
    <xf numFmtId="3" fontId="5" fillId="0" borderId="1" xfId="1" applyNumberFormat="1" applyFont="1" applyBorder="1"/>
    <xf numFmtId="3" fontId="5" fillId="0" borderId="1" xfId="0" applyNumberFormat="1" applyFont="1" applyBorder="1" applyAlignment="1">
      <alignment horizontal="right" vertical="center"/>
    </xf>
    <xf numFmtId="4" fontId="5" fillId="0" borderId="1" xfId="7" applyNumberFormat="1" applyFont="1" applyBorder="1"/>
    <xf numFmtId="4" fontId="13" fillId="0" borderId="1" xfId="0" applyNumberFormat="1" applyFont="1" applyBorder="1"/>
    <xf numFmtId="164" fontId="5" fillId="0" borderId="1" xfId="7" applyNumberFormat="1" applyFont="1" applyBorder="1" applyAlignment="1">
      <alignment horizontal="center"/>
    </xf>
    <xf numFmtId="4" fontId="7" fillId="0" borderId="1" xfId="0" applyNumberFormat="1" applyFont="1" applyBorder="1" applyAlignment="1">
      <alignment horizontal="right" vertical="center"/>
    </xf>
    <xf numFmtId="4" fontId="5" fillId="0" borderId="1" xfId="4" applyNumberFormat="1" applyFont="1" applyBorder="1" applyAlignment="1">
      <alignment horizontal="center"/>
    </xf>
    <xf numFmtId="3" fontId="5" fillId="0" borderId="1" xfId="1" applyNumberFormat="1" applyFont="1" applyBorder="1" applyAlignment="1">
      <alignment horizontal="center"/>
    </xf>
    <xf numFmtId="0" fontId="26" fillId="0" borderId="0" xfId="0" applyFont="1"/>
    <xf numFmtId="0" fontId="27" fillId="0" borderId="0" xfId="0" applyFont="1"/>
    <xf numFmtId="4" fontId="1" fillId="0" borderId="3" xfId="0" applyNumberFormat="1" applyFont="1" applyBorder="1"/>
    <xf numFmtId="4" fontId="1" fillId="0" borderId="0" xfId="0" applyNumberFormat="1" applyFont="1"/>
    <xf numFmtId="4" fontId="1" fillId="0" borderId="1" xfId="0" applyNumberFormat="1" applyFont="1" applyBorder="1"/>
    <xf numFmtId="3" fontId="1" fillId="0" borderId="1" xfId="0" applyNumberFormat="1" applyFont="1" applyBorder="1"/>
    <xf numFmtId="4" fontId="1" fillId="0" borderId="1" xfId="0" applyNumberFormat="1" applyFont="1" applyBorder="1" applyAlignment="1">
      <alignment horizontal="center"/>
    </xf>
    <xf numFmtId="9" fontId="5" fillId="3" borderId="8" xfId="3" applyFont="1" applyFill="1" applyBorder="1" applyAlignment="1">
      <alignment horizontal="center"/>
    </xf>
    <xf numFmtId="9" fontId="5" fillId="0" borderId="8" xfId="3" applyFont="1" applyBorder="1" applyAlignment="1">
      <alignment horizontal="center"/>
    </xf>
    <xf numFmtId="9" fontId="5" fillId="0" borderId="23" xfId="3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/>
    <xf numFmtId="0" fontId="9" fillId="0" borderId="0" xfId="0" applyFont="1"/>
    <xf numFmtId="14" fontId="9" fillId="0" borderId="0" xfId="0" applyNumberFormat="1" applyFont="1"/>
    <xf numFmtId="164" fontId="9" fillId="0" borderId="0" xfId="0" applyNumberFormat="1" applyFont="1"/>
    <xf numFmtId="4" fontId="5" fillId="0" borderId="1" xfId="7" applyNumberFormat="1" applyFont="1" applyBorder="1" applyAlignment="1">
      <alignment horizontal="center"/>
    </xf>
    <xf numFmtId="4" fontId="7" fillId="0" borderId="1" xfId="1" applyNumberFormat="1" applyFont="1" applyBorder="1"/>
    <xf numFmtId="9" fontId="5" fillId="0" borderId="1" xfId="3" applyFont="1" applyBorder="1" applyAlignment="1">
      <alignment horizontal="center"/>
    </xf>
    <xf numFmtId="4" fontId="5" fillId="0" borderId="1" xfId="4" applyNumberFormat="1" applyFont="1" applyBorder="1" applyAlignment="1">
      <alignment horizontal="right" vertical="center"/>
    </xf>
    <xf numFmtId="3" fontId="7" fillId="0" borderId="1" xfId="1" applyNumberFormat="1" applyFont="1" applyBorder="1" applyAlignment="1">
      <alignment horizontal="center" wrapText="1"/>
    </xf>
    <xf numFmtId="10" fontId="7" fillId="0" borderId="1" xfId="1" applyNumberFormat="1" applyFont="1" applyBorder="1" applyAlignment="1">
      <alignment horizontal="center" wrapText="1"/>
    </xf>
    <xf numFmtId="9" fontId="5" fillId="3" borderId="1" xfId="3" applyFont="1" applyFill="1" applyBorder="1" applyAlignment="1">
      <alignment horizontal="center"/>
    </xf>
    <xf numFmtId="0" fontId="0" fillId="0" borderId="6" xfId="0" applyBorder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8" fontId="0" fillId="0" borderId="0" xfId="0" applyNumberFormat="1"/>
    <xf numFmtId="17" fontId="0" fillId="0" borderId="0" xfId="0" applyNumberFormat="1"/>
    <xf numFmtId="167" fontId="5" fillId="3" borderId="1" xfId="3" applyNumberFormat="1" applyFont="1" applyFill="1" applyBorder="1" applyAlignment="1">
      <alignment horizontal="center"/>
    </xf>
    <xf numFmtId="4" fontId="7" fillId="0" borderId="1" xfId="0" applyNumberFormat="1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164" fontId="7" fillId="0" borderId="9" xfId="1" applyNumberFormat="1" applyFont="1" applyBorder="1" applyAlignment="1">
      <alignment horizontal="center" vertical="center" wrapText="1"/>
    </xf>
    <xf numFmtId="168" fontId="29" fillId="0" borderId="0" xfId="13" applyNumberFormat="1" applyFont="1" applyAlignment="1">
      <alignment horizontal="right"/>
    </xf>
    <xf numFmtId="0" fontId="6" fillId="2" borderId="1" xfId="1" applyFont="1" applyFill="1" applyBorder="1" applyAlignment="1">
      <alignment horizontal="center" wrapText="1"/>
    </xf>
    <xf numFmtId="0" fontId="5" fillId="2" borderId="8" xfId="1" applyFont="1" applyFill="1" applyBorder="1" applyAlignment="1">
      <alignment horizontal="right"/>
    </xf>
    <xf numFmtId="0" fontId="0" fillId="36" borderId="0" xfId="0" applyFill="1"/>
    <xf numFmtId="0" fontId="0" fillId="37" borderId="25" xfId="0" applyFill="1" applyBorder="1"/>
    <xf numFmtId="0" fontId="0" fillId="37" borderId="26" xfId="0" applyFill="1" applyBorder="1"/>
    <xf numFmtId="0" fontId="0" fillId="37" borderId="27" xfId="0" applyFill="1" applyBorder="1"/>
    <xf numFmtId="0" fontId="0" fillId="38" borderId="0" xfId="0" applyFill="1"/>
    <xf numFmtId="0" fontId="0" fillId="39" borderId="0" xfId="0" applyFill="1"/>
    <xf numFmtId="0" fontId="29" fillId="0" borderId="0" xfId="13" applyFont="1" applyAlignment="1">
      <alignment horizontal="right"/>
    </xf>
    <xf numFmtId="0" fontId="0" fillId="3" borderId="0" xfId="0" applyFill="1"/>
    <xf numFmtId="8" fontId="0" fillId="36" borderId="0" xfId="0" applyNumberFormat="1" applyFill="1"/>
    <xf numFmtId="4" fontId="5" fillId="2" borderId="8" xfId="1" applyNumberFormat="1" applyFont="1" applyFill="1" applyBorder="1" applyAlignment="1">
      <alignment horizontal="right"/>
    </xf>
    <xf numFmtId="0" fontId="6" fillId="2" borderId="31" xfId="1" applyFont="1" applyFill="1" applyBorder="1" applyAlignment="1">
      <alignment horizontal="center" wrapText="1"/>
    </xf>
    <xf numFmtId="10" fontId="7" fillId="0" borderId="34" xfId="1" applyNumberFormat="1" applyFont="1" applyBorder="1" applyAlignment="1">
      <alignment horizontal="left" wrapText="1"/>
    </xf>
    <xf numFmtId="165" fontId="7" fillId="0" borderId="34" xfId="1" applyNumberFormat="1" applyFont="1" applyBorder="1" applyAlignment="1">
      <alignment horizontal="left" wrapText="1"/>
    </xf>
    <xf numFmtId="10" fontId="7" fillId="0" borderId="34" xfId="1" applyNumberFormat="1" applyFont="1" applyBorder="1" applyAlignment="1">
      <alignment horizontal="center" wrapText="1"/>
    </xf>
    <xf numFmtId="4" fontId="5" fillId="0" borderId="3" xfId="4" applyNumberFormat="1" applyFont="1" applyBorder="1" applyAlignment="1">
      <alignment horizontal="center"/>
    </xf>
    <xf numFmtId="3" fontId="5" fillId="0" borderId="3" xfId="1" applyNumberFormat="1" applyFont="1" applyBorder="1" applyAlignment="1">
      <alignment horizontal="center"/>
    </xf>
    <xf numFmtId="4" fontId="5" fillId="0" borderId="3" xfId="7" applyNumberFormat="1" applyFont="1" applyBorder="1" applyAlignment="1">
      <alignment horizontal="center"/>
    </xf>
    <xf numFmtId="10" fontId="7" fillId="0" borderId="3" xfId="1" applyNumberFormat="1" applyFont="1" applyBorder="1" applyAlignment="1">
      <alignment horizontal="left" wrapText="1"/>
    </xf>
    <xf numFmtId="165" fontId="7" fillId="0" borderId="3" xfId="1" applyNumberFormat="1" applyFont="1" applyBorder="1" applyAlignment="1">
      <alignment horizontal="left" wrapText="1"/>
    </xf>
    <xf numFmtId="10" fontId="7" fillId="0" borderId="3" xfId="1" applyNumberFormat="1" applyFont="1" applyBorder="1" applyAlignment="1">
      <alignment horizontal="center" wrapText="1"/>
    </xf>
    <xf numFmtId="4" fontId="1" fillId="0" borderId="30" xfId="0" applyNumberFormat="1" applyFont="1" applyBorder="1"/>
    <xf numFmtId="4" fontId="5" fillId="0" borderId="30" xfId="7" applyNumberFormat="1" applyFont="1" applyBorder="1"/>
    <xf numFmtId="3" fontId="5" fillId="0" borderId="30" xfId="1" applyNumberFormat="1" applyFont="1" applyBorder="1"/>
    <xf numFmtId="10" fontId="7" fillId="0" borderId="30" xfId="1" applyNumberFormat="1" applyFont="1" applyBorder="1" applyAlignment="1">
      <alignment horizontal="left" wrapText="1"/>
    </xf>
    <xf numFmtId="165" fontId="7" fillId="0" borderId="30" xfId="1" applyNumberFormat="1" applyFont="1" applyBorder="1" applyAlignment="1">
      <alignment horizontal="left" wrapText="1"/>
    </xf>
    <xf numFmtId="10" fontId="7" fillId="0" borderId="30" xfId="1" applyNumberFormat="1" applyFont="1" applyBorder="1" applyAlignment="1">
      <alignment horizontal="center" wrapText="1"/>
    </xf>
    <xf numFmtId="4" fontId="1" fillId="0" borderId="37" xfId="0" applyNumberFormat="1" applyFont="1" applyBorder="1"/>
    <xf numFmtId="4" fontId="1" fillId="0" borderId="38" xfId="0" applyNumberFormat="1" applyFont="1" applyBorder="1"/>
    <xf numFmtId="4" fontId="1" fillId="0" borderId="34" xfId="0" applyNumberFormat="1" applyFont="1" applyBorder="1"/>
    <xf numFmtId="4" fontId="5" fillId="0" borderId="34" xfId="7" applyNumberFormat="1" applyFont="1" applyBorder="1"/>
    <xf numFmtId="3" fontId="5" fillId="0" borderId="34" xfId="1" applyNumberFormat="1" applyFont="1" applyBorder="1"/>
    <xf numFmtId="4" fontId="1" fillId="0" borderId="35" xfId="0" applyNumberFormat="1" applyFont="1" applyBorder="1"/>
    <xf numFmtId="164" fontId="7" fillId="0" borderId="40" xfId="1" applyNumberFormat="1" applyFont="1" applyBorder="1" applyAlignment="1">
      <alignment horizontal="center" vertical="center" wrapText="1"/>
    </xf>
    <xf numFmtId="4" fontId="7" fillId="0" borderId="7" xfId="1" applyNumberFormat="1" applyFont="1" applyBorder="1"/>
    <xf numFmtId="3" fontId="7" fillId="0" borderId="7" xfId="1" applyNumberFormat="1" applyFont="1" applyBorder="1" applyAlignment="1">
      <alignment horizontal="center" wrapText="1"/>
    </xf>
    <xf numFmtId="10" fontId="7" fillId="0" borderId="7" xfId="1" applyNumberFormat="1" applyFont="1" applyBorder="1" applyAlignment="1">
      <alignment horizontal="left" wrapText="1"/>
    </xf>
    <xf numFmtId="165" fontId="7" fillId="0" borderId="7" xfId="1" applyNumberFormat="1" applyFont="1" applyBorder="1" applyAlignment="1">
      <alignment horizontal="left" wrapText="1"/>
    </xf>
    <xf numFmtId="10" fontId="7" fillId="0" borderId="7" xfId="1" applyNumberFormat="1" applyFont="1" applyBorder="1" applyAlignment="1">
      <alignment horizontal="center" wrapText="1"/>
    </xf>
    <xf numFmtId="4" fontId="7" fillId="0" borderId="41" xfId="0" applyNumberFormat="1" applyFont="1" applyBorder="1" applyAlignment="1">
      <alignment horizontal="right" vertical="center"/>
    </xf>
    <xf numFmtId="4" fontId="7" fillId="0" borderId="42" xfId="0" applyNumberFormat="1" applyFont="1" applyBorder="1" applyAlignment="1">
      <alignment horizontal="center" vertical="center"/>
    </xf>
    <xf numFmtId="4" fontId="5" fillId="0" borderId="23" xfId="4" applyNumberFormat="1" applyFont="1" applyBorder="1" applyAlignment="1">
      <alignment horizontal="center"/>
    </xf>
    <xf numFmtId="4" fontId="1" fillId="0" borderId="36" xfId="0" applyNumberFormat="1" applyFont="1" applyBorder="1"/>
    <xf numFmtId="4" fontId="1" fillId="0" borderId="8" xfId="0" applyNumberFormat="1" applyFont="1" applyBorder="1"/>
    <xf numFmtId="4" fontId="1" fillId="0" borderId="39" xfId="0" applyNumberFormat="1" applyFont="1" applyBorder="1"/>
    <xf numFmtId="4" fontId="7" fillId="0" borderId="40" xfId="0" applyNumberFormat="1" applyFont="1" applyBorder="1" applyAlignment="1">
      <alignment horizontal="right" vertical="center"/>
    </xf>
    <xf numFmtId="3" fontId="5" fillId="0" borderId="21" xfId="1" applyNumberFormat="1" applyFont="1" applyBorder="1" applyAlignment="1">
      <alignment horizontal="center"/>
    </xf>
    <xf numFmtId="3" fontId="1" fillId="0" borderId="43" xfId="0" applyNumberFormat="1" applyFont="1" applyBorder="1"/>
    <xf numFmtId="3" fontId="1" fillId="0" borderId="9" xfId="0" applyNumberFormat="1" applyFont="1" applyBorder="1"/>
    <xf numFmtId="3" fontId="1" fillId="0" borderId="33" xfId="0" applyNumberFormat="1" applyFont="1" applyBorder="1"/>
    <xf numFmtId="9" fontId="5" fillId="3" borderId="24" xfId="3" applyFont="1" applyFill="1" applyBorder="1" applyAlignment="1">
      <alignment horizontal="center"/>
    </xf>
    <xf numFmtId="9" fontId="5" fillId="0" borderId="28" xfId="3" applyFont="1" applyBorder="1" applyAlignment="1">
      <alignment horizontal="center"/>
    </xf>
    <xf numFmtId="9" fontId="5" fillId="0" borderId="25" xfId="3" applyFont="1" applyBorder="1" applyAlignment="1">
      <alignment horizontal="center"/>
    </xf>
    <xf numFmtId="9" fontId="5" fillId="0" borderId="26" xfId="3" applyFont="1" applyBorder="1" applyAlignment="1">
      <alignment horizontal="center"/>
    </xf>
    <xf numFmtId="9" fontId="5" fillId="0" borderId="27" xfId="3" applyFont="1" applyBorder="1" applyAlignment="1">
      <alignment horizontal="center"/>
    </xf>
    <xf numFmtId="4" fontId="5" fillId="2" borderId="44" xfId="1" applyNumberFormat="1" applyFont="1" applyFill="1" applyBorder="1" applyAlignment="1">
      <alignment horizontal="right"/>
    </xf>
    <xf numFmtId="4" fontId="5" fillId="2" borderId="45" xfId="1" applyNumberFormat="1" applyFont="1" applyFill="1" applyBorder="1" applyAlignment="1">
      <alignment horizontal="right"/>
    </xf>
    <xf numFmtId="4" fontId="5" fillId="2" borderId="46" xfId="1" applyNumberFormat="1" applyFont="1" applyFill="1" applyBorder="1" applyAlignment="1">
      <alignment horizontal="right"/>
    </xf>
    <xf numFmtId="0" fontId="7" fillId="2" borderId="26" xfId="1" applyFont="1" applyFill="1" applyBorder="1"/>
    <xf numFmtId="0" fontId="7" fillId="2" borderId="27" xfId="1" applyFont="1" applyFill="1" applyBorder="1"/>
    <xf numFmtId="9" fontId="5" fillId="0" borderId="47" xfId="3" applyFont="1" applyBorder="1" applyAlignment="1">
      <alignment horizontal="center"/>
    </xf>
    <xf numFmtId="9" fontId="5" fillId="0" borderId="48" xfId="3" applyFont="1" applyBorder="1" applyAlignment="1">
      <alignment horizontal="center"/>
    </xf>
    <xf numFmtId="9" fontId="5" fillId="0" borderId="49" xfId="3" applyFont="1" applyBorder="1" applyAlignment="1">
      <alignment horizontal="center"/>
    </xf>
    <xf numFmtId="3" fontId="1" fillId="0" borderId="50" xfId="0" applyNumberFormat="1" applyFont="1" applyBorder="1"/>
    <xf numFmtId="3" fontId="1" fillId="0" borderId="51" xfId="0" applyNumberFormat="1" applyFont="1" applyBorder="1"/>
    <xf numFmtId="3" fontId="1" fillId="0" borderId="52" xfId="0" applyNumberFormat="1" applyFont="1" applyBorder="1"/>
    <xf numFmtId="10" fontId="7" fillId="0" borderId="36" xfId="1" applyNumberFormat="1" applyFont="1" applyBorder="1" applyAlignment="1">
      <alignment horizontal="left" wrapText="1"/>
    </xf>
    <xf numFmtId="10" fontId="7" fillId="0" borderId="8" xfId="1" applyNumberFormat="1" applyFont="1" applyBorder="1" applyAlignment="1">
      <alignment horizontal="left" wrapText="1"/>
    </xf>
    <xf numFmtId="10" fontId="7" fillId="0" borderId="39" xfId="1" applyNumberFormat="1" applyFont="1" applyBorder="1" applyAlignment="1">
      <alignment horizontal="left" wrapText="1"/>
    </xf>
    <xf numFmtId="10" fontId="7" fillId="0" borderId="43" xfId="1" applyNumberFormat="1" applyFont="1" applyBorder="1" applyAlignment="1">
      <alignment horizontal="center" wrapText="1"/>
    </xf>
    <xf numFmtId="10" fontId="7" fillId="0" borderId="9" xfId="1" applyNumberFormat="1" applyFont="1" applyBorder="1" applyAlignment="1">
      <alignment horizontal="center" wrapText="1"/>
    </xf>
    <xf numFmtId="10" fontId="7" fillId="0" borderId="33" xfId="1" applyNumberFormat="1" applyFont="1" applyBorder="1" applyAlignment="1">
      <alignment horizontal="center" wrapText="1"/>
    </xf>
    <xf numFmtId="165" fontId="7" fillId="0" borderId="25" xfId="1" applyNumberFormat="1" applyFont="1" applyBorder="1" applyAlignment="1">
      <alignment horizontal="left" wrapText="1"/>
    </xf>
    <xf numFmtId="165" fontId="7" fillId="0" borderId="26" xfId="1" applyNumberFormat="1" applyFont="1" applyBorder="1" applyAlignment="1">
      <alignment horizontal="left" wrapText="1"/>
    </xf>
    <xf numFmtId="165" fontId="7" fillId="0" borderId="27" xfId="1" applyNumberFormat="1" applyFont="1" applyBorder="1" applyAlignment="1">
      <alignment horizontal="left" wrapText="1"/>
    </xf>
    <xf numFmtId="0" fontId="6" fillId="2" borderId="53" xfId="1" applyFont="1" applyFill="1" applyBorder="1" applyAlignment="1">
      <alignment horizontal="center" wrapText="1"/>
    </xf>
    <xf numFmtId="169" fontId="7" fillId="0" borderId="42" xfId="1" applyNumberFormat="1" applyFont="1" applyBorder="1" applyAlignment="1">
      <alignment horizontal="right" wrapText="1"/>
    </xf>
    <xf numFmtId="169" fontId="7" fillId="0" borderId="3" xfId="1" applyNumberFormat="1" applyFont="1" applyBorder="1" applyAlignment="1">
      <alignment horizontal="right" wrapText="1"/>
    </xf>
    <xf numFmtId="169" fontId="7" fillId="0" borderId="30" xfId="1" applyNumberFormat="1" applyFont="1" applyBorder="1" applyAlignment="1">
      <alignment horizontal="right" wrapText="1"/>
    </xf>
    <xf numFmtId="169" fontId="7" fillId="0" borderId="1" xfId="1" applyNumberFormat="1" applyFont="1" applyBorder="1" applyAlignment="1">
      <alignment horizontal="right" wrapText="1"/>
    </xf>
    <xf numFmtId="169" fontId="7" fillId="0" borderId="34" xfId="1" applyNumberFormat="1" applyFont="1" applyBorder="1" applyAlignment="1">
      <alignment horizontal="right" wrapText="1"/>
    </xf>
    <xf numFmtId="9" fontId="7" fillId="0" borderId="1" xfId="1" applyNumberFormat="1" applyFont="1" applyBorder="1" applyAlignment="1">
      <alignment horizontal="center" wrapText="1"/>
    </xf>
    <xf numFmtId="9" fontId="7" fillId="0" borderId="30" xfId="1" applyNumberFormat="1" applyFont="1" applyBorder="1" applyAlignment="1">
      <alignment horizontal="center" wrapText="1"/>
    </xf>
    <xf numFmtId="9" fontId="7" fillId="0" borderId="34" xfId="1" applyNumberFormat="1" applyFont="1" applyBorder="1" applyAlignment="1">
      <alignment horizontal="center" wrapText="1"/>
    </xf>
    <xf numFmtId="2" fontId="7" fillId="0" borderId="42" xfId="1" applyNumberFormat="1" applyFont="1" applyBorder="1" applyAlignment="1">
      <alignment horizontal="right" wrapText="1"/>
    </xf>
    <xf numFmtId="2" fontId="7" fillId="0" borderId="3" xfId="1" applyNumberFormat="1" applyFont="1" applyBorder="1" applyAlignment="1">
      <alignment horizontal="right" wrapText="1"/>
    </xf>
    <xf numFmtId="2" fontId="7" fillId="0" borderId="1" xfId="1" applyNumberFormat="1" applyFont="1" applyBorder="1" applyAlignment="1">
      <alignment horizontal="right" wrapText="1"/>
    </xf>
    <xf numFmtId="2" fontId="7" fillId="0" borderId="34" xfId="1" applyNumberFormat="1" applyFont="1" applyBorder="1" applyAlignment="1">
      <alignment horizontal="right" wrapText="1"/>
    </xf>
    <xf numFmtId="0" fontId="1" fillId="0" borderId="54" xfId="0" applyFont="1" applyBorder="1"/>
    <xf numFmtId="2" fontId="12" fillId="0" borderId="54" xfId="0" applyNumberFormat="1" applyFont="1" applyBorder="1"/>
    <xf numFmtId="165" fontId="7" fillId="0" borderId="5" xfId="1" applyNumberFormat="1" applyFont="1" applyBorder="1" applyAlignment="1">
      <alignment horizontal="left" wrapText="1"/>
    </xf>
    <xf numFmtId="0" fontId="1" fillId="2" borderId="54" xfId="0" applyFont="1" applyFill="1" applyBorder="1"/>
    <xf numFmtId="4" fontId="1" fillId="2" borderId="8" xfId="0" applyNumberFormat="1" applyFont="1" applyFill="1" applyBorder="1"/>
    <xf numFmtId="4" fontId="1" fillId="2" borderId="39" xfId="0" applyNumberFormat="1" applyFont="1" applyFill="1" applyBorder="1"/>
    <xf numFmtId="4" fontId="1" fillId="2" borderId="54" xfId="0" applyNumberFormat="1" applyFont="1" applyFill="1" applyBorder="1"/>
    <xf numFmtId="4" fontId="1" fillId="0" borderId="54" xfId="0" applyNumberFormat="1" applyFont="1" applyBorder="1"/>
    <xf numFmtId="0" fontId="7" fillId="2" borderId="48" xfId="1" applyFont="1" applyFill="1" applyBorder="1"/>
    <xf numFmtId="0" fontId="7" fillId="2" borderId="49" xfId="1" applyFont="1" applyFill="1" applyBorder="1"/>
    <xf numFmtId="4" fontId="1" fillId="2" borderId="1" xfId="0" applyNumberFormat="1" applyFont="1" applyFill="1" applyBorder="1"/>
    <xf numFmtId="4" fontId="1" fillId="2" borderId="34" xfId="0" applyNumberFormat="1" applyFont="1" applyFill="1" applyBorder="1"/>
    <xf numFmtId="9" fontId="5" fillId="40" borderId="48" xfId="3" applyFont="1" applyFill="1" applyBorder="1" applyAlignment="1">
      <alignment horizontal="center"/>
    </xf>
    <xf numFmtId="0" fontId="7" fillId="2" borderId="55" xfId="1" applyFont="1" applyFill="1" applyBorder="1"/>
    <xf numFmtId="4" fontId="1" fillId="2" borderId="22" xfId="0" applyNumberFormat="1" applyFont="1" applyFill="1" applyBorder="1"/>
    <xf numFmtId="4" fontId="1" fillId="0" borderId="22" xfId="0" applyNumberFormat="1" applyFont="1" applyBorder="1"/>
    <xf numFmtId="4" fontId="1" fillId="0" borderId="56" xfId="0" applyNumberFormat="1" applyFont="1" applyBorder="1"/>
    <xf numFmtId="9" fontId="5" fillId="0" borderId="55" xfId="3" applyFont="1" applyBorder="1" applyAlignment="1">
      <alignment horizontal="center"/>
    </xf>
    <xf numFmtId="3" fontId="1" fillId="0" borderId="57" xfId="0" applyNumberFormat="1" applyFont="1" applyBorder="1"/>
    <xf numFmtId="4" fontId="5" fillId="0" borderId="22" xfId="7" applyNumberFormat="1" applyFont="1" applyBorder="1"/>
    <xf numFmtId="3" fontId="5" fillId="0" borderId="22" xfId="1" applyNumberFormat="1" applyFont="1" applyBorder="1"/>
    <xf numFmtId="10" fontId="7" fillId="0" borderId="56" xfId="1" applyNumberFormat="1" applyFont="1" applyBorder="1" applyAlignment="1">
      <alignment horizontal="left" wrapText="1"/>
    </xf>
    <xf numFmtId="165" fontId="7" fillId="0" borderId="22" xfId="1" applyNumberFormat="1" applyFont="1" applyBorder="1" applyAlignment="1">
      <alignment horizontal="left" wrapText="1"/>
    </xf>
    <xf numFmtId="10" fontId="7" fillId="0" borderId="58" xfId="1" applyNumberFormat="1" applyFont="1" applyBorder="1" applyAlignment="1">
      <alignment horizontal="center" wrapText="1"/>
    </xf>
    <xf numFmtId="2" fontId="7" fillId="0" borderId="22" xfId="1" applyNumberFormat="1" applyFont="1" applyBorder="1" applyAlignment="1">
      <alignment horizontal="right" wrapText="1"/>
    </xf>
    <xf numFmtId="10" fontId="7" fillId="0" borderId="22" xfId="1" applyNumberFormat="1" applyFont="1" applyBorder="1" applyAlignment="1">
      <alignment horizontal="center" wrapText="1"/>
    </xf>
    <xf numFmtId="4" fontId="1" fillId="0" borderId="59" xfId="0" applyNumberFormat="1" applyFont="1" applyBorder="1"/>
    <xf numFmtId="9" fontId="5" fillId="3" borderId="24" xfId="3" applyFont="1" applyFill="1" applyBorder="1" applyAlignment="1">
      <alignment horizontal="center" vertical="center"/>
    </xf>
    <xf numFmtId="4" fontId="7" fillId="0" borderId="7" xfId="1" applyNumberFormat="1" applyFont="1" applyBorder="1" applyAlignment="1">
      <alignment vertical="center"/>
    </xf>
    <xf numFmtId="3" fontId="7" fillId="0" borderId="7" xfId="1" applyNumberFormat="1" applyFont="1" applyBorder="1" applyAlignment="1">
      <alignment horizontal="center" vertical="center" wrapText="1"/>
    </xf>
    <xf numFmtId="10" fontId="7" fillId="0" borderId="7" xfId="1" applyNumberFormat="1" applyFont="1" applyBorder="1" applyAlignment="1">
      <alignment horizontal="left" vertical="center" wrapText="1"/>
    </xf>
    <xf numFmtId="165" fontId="7" fillId="0" borderId="7" xfId="1" applyNumberFormat="1" applyFont="1" applyBorder="1" applyAlignment="1">
      <alignment horizontal="left" vertical="center" wrapText="1"/>
    </xf>
    <xf numFmtId="10" fontId="7" fillId="0" borderId="7" xfId="1" applyNumberFormat="1" applyFont="1" applyBorder="1" applyAlignment="1">
      <alignment horizontal="center" vertical="center" wrapText="1"/>
    </xf>
    <xf numFmtId="2" fontId="7" fillId="0" borderId="42" xfId="1" applyNumberFormat="1" applyFont="1" applyBorder="1" applyAlignment="1">
      <alignment horizontal="right" vertical="center" wrapText="1"/>
    </xf>
    <xf numFmtId="4" fontId="1" fillId="3" borderId="1" xfId="0" applyNumberFormat="1" applyFont="1" applyFill="1" applyBorder="1"/>
    <xf numFmtId="4" fontId="1" fillId="3" borderId="8" xfId="0" applyNumberFormat="1" applyFont="1" applyFill="1" applyBorder="1"/>
    <xf numFmtId="9" fontId="5" fillId="3" borderId="48" xfId="3" applyFont="1" applyFill="1" applyBorder="1" applyAlignment="1">
      <alignment horizontal="center"/>
    </xf>
    <xf numFmtId="3" fontId="1" fillId="3" borderId="51" xfId="0" applyNumberFormat="1" applyFont="1" applyFill="1" applyBorder="1"/>
    <xf numFmtId="4" fontId="5" fillId="3" borderId="1" xfId="7" applyNumberFormat="1" applyFont="1" applyFill="1" applyBorder="1"/>
    <xf numFmtId="3" fontId="5" fillId="3" borderId="1" xfId="1" applyNumberFormat="1" applyFont="1" applyFill="1" applyBorder="1"/>
    <xf numFmtId="10" fontId="7" fillId="3" borderId="8" xfId="1" applyNumberFormat="1" applyFont="1" applyFill="1" applyBorder="1" applyAlignment="1">
      <alignment horizontal="left" wrapText="1"/>
    </xf>
    <xf numFmtId="165" fontId="7" fillId="3" borderId="1" xfId="1" applyNumberFormat="1" applyFont="1" applyFill="1" applyBorder="1" applyAlignment="1">
      <alignment horizontal="left" wrapText="1"/>
    </xf>
    <xf numFmtId="10" fontId="7" fillId="3" borderId="9" xfId="1" applyNumberFormat="1" applyFont="1" applyFill="1" applyBorder="1" applyAlignment="1">
      <alignment horizontal="center" wrapText="1"/>
    </xf>
    <xf numFmtId="2" fontId="7" fillId="3" borderId="1" xfId="1" applyNumberFormat="1" applyFont="1" applyFill="1" applyBorder="1" applyAlignment="1">
      <alignment horizontal="right" wrapText="1"/>
    </xf>
    <xf numFmtId="10" fontId="7" fillId="3" borderId="1" xfId="1" applyNumberFormat="1" applyFont="1" applyFill="1" applyBorder="1" applyAlignment="1">
      <alignment horizontal="center" wrapText="1"/>
    </xf>
    <xf numFmtId="4" fontId="1" fillId="3" borderId="38" xfId="0" applyNumberFormat="1" applyFont="1" applyFill="1" applyBorder="1"/>
    <xf numFmtId="14" fontId="7" fillId="2" borderId="31" xfId="1" applyNumberFormat="1" applyFont="1" applyFill="1" applyBorder="1" applyAlignment="1">
      <alignment horizontal="center"/>
    </xf>
    <xf numFmtId="2" fontId="7" fillId="0" borderId="30" xfId="1" applyNumberFormat="1" applyFont="1" applyBorder="1" applyAlignment="1">
      <alignment horizontal="right" wrapText="1"/>
    </xf>
    <xf numFmtId="4" fontId="0" fillId="0" borderId="0" xfId="0" applyNumberFormat="1"/>
    <xf numFmtId="1" fontId="7" fillId="0" borderId="42" xfId="1" applyNumberFormat="1" applyFont="1" applyBorder="1" applyAlignment="1">
      <alignment horizontal="right" vertical="center" wrapText="1"/>
    </xf>
    <xf numFmtId="1" fontId="7" fillId="0" borderId="3" xfId="1" applyNumberFormat="1" applyFont="1" applyBorder="1" applyAlignment="1">
      <alignment horizontal="right" wrapText="1"/>
    </xf>
    <xf numFmtId="1" fontId="7" fillId="0" borderId="30" xfId="1" applyNumberFormat="1" applyFont="1" applyBorder="1" applyAlignment="1">
      <alignment horizontal="right" wrapText="1"/>
    </xf>
    <xf numFmtId="1" fontId="7" fillId="0" borderId="1" xfId="1" applyNumberFormat="1" applyFont="1" applyBorder="1" applyAlignment="1">
      <alignment horizontal="right" wrapText="1"/>
    </xf>
    <xf numFmtId="1" fontId="7" fillId="0" borderId="34" xfId="1" applyNumberFormat="1" applyFont="1" applyBorder="1" applyAlignment="1">
      <alignment horizontal="right" wrapText="1"/>
    </xf>
    <xf numFmtId="4" fontId="7" fillId="0" borderId="42" xfId="1" applyNumberFormat="1" applyFont="1" applyBorder="1" applyAlignment="1">
      <alignment horizontal="right" vertical="center" wrapText="1"/>
    </xf>
    <xf numFmtId="4" fontId="7" fillId="0" borderId="3" xfId="1" applyNumberFormat="1" applyFont="1" applyBorder="1" applyAlignment="1">
      <alignment horizontal="right" wrapText="1"/>
    </xf>
    <xf numFmtId="4" fontId="7" fillId="0" borderId="30" xfId="1" applyNumberFormat="1" applyFont="1" applyBorder="1" applyAlignment="1">
      <alignment horizontal="right" wrapText="1"/>
    </xf>
    <xf numFmtId="4" fontId="7" fillId="0" borderId="1" xfId="1" applyNumberFormat="1" applyFont="1" applyBorder="1" applyAlignment="1">
      <alignment horizontal="right" wrapText="1"/>
    </xf>
    <xf numFmtId="4" fontId="7" fillId="0" borderId="34" xfId="1" applyNumberFormat="1" applyFont="1" applyBorder="1" applyAlignment="1">
      <alignment horizontal="right" wrapText="1"/>
    </xf>
    <xf numFmtId="4" fontId="7" fillId="0" borderId="7" xfId="1" applyNumberFormat="1" applyFont="1" applyBorder="1" applyAlignment="1">
      <alignment horizontal="right" vertical="center" wrapText="1"/>
    </xf>
    <xf numFmtId="0" fontId="7" fillId="2" borderId="31" xfId="1" applyFont="1" applyFill="1" applyBorder="1" applyAlignment="1">
      <alignment horizontal="center"/>
    </xf>
    <xf numFmtId="0" fontId="7" fillId="0" borderId="48" xfId="1" applyFont="1" applyBorder="1"/>
    <xf numFmtId="4" fontId="5" fillId="0" borderId="0" xfId="4" applyNumberFormat="1" applyFont="1" applyAlignment="1">
      <alignment horizontal="center"/>
    </xf>
    <xf numFmtId="0" fontId="7" fillId="2" borderId="31" xfId="1" applyFont="1" applyFill="1" applyBorder="1" applyAlignment="1">
      <alignment horizontal="center" wrapText="1"/>
    </xf>
    <xf numFmtId="4" fontId="1" fillId="0" borderId="32" xfId="0" applyNumberFormat="1" applyFont="1" applyBorder="1"/>
    <xf numFmtId="4" fontId="1" fillId="0" borderId="31" xfId="0" applyNumberFormat="1" applyFont="1" applyBorder="1"/>
    <xf numFmtId="4" fontId="5" fillId="0" borderId="31" xfId="7" applyNumberFormat="1" applyFont="1" applyBorder="1"/>
    <xf numFmtId="4" fontId="7" fillId="0" borderId="41" xfId="1" applyNumberFormat="1" applyFont="1" applyBorder="1" applyAlignment="1">
      <alignment horizontal="right" vertical="center" wrapText="1"/>
    </xf>
    <xf numFmtId="4" fontId="5" fillId="0" borderId="3" xfId="7" applyNumberFormat="1" applyFont="1" applyBorder="1"/>
    <xf numFmtId="4" fontId="5" fillId="0" borderId="30" xfId="1" applyNumberFormat="1" applyFont="1" applyBorder="1" applyAlignment="1">
      <alignment horizontal="right" wrapText="1"/>
    </xf>
    <xf numFmtId="4" fontId="5" fillId="0" borderId="1" xfId="1" applyNumberFormat="1" applyFont="1" applyBorder="1" applyAlignment="1">
      <alignment horizontal="right" wrapText="1"/>
    </xf>
    <xf numFmtId="4" fontId="5" fillId="0" borderId="34" xfId="1" applyNumberFormat="1" applyFont="1" applyBorder="1" applyAlignment="1">
      <alignment horizontal="right" wrapText="1"/>
    </xf>
    <xf numFmtId="3" fontId="7" fillId="0" borderId="40" xfId="0" applyNumberFormat="1" applyFont="1" applyBorder="1" applyAlignment="1">
      <alignment horizontal="right" vertical="center"/>
    </xf>
    <xf numFmtId="9" fontId="5" fillId="0" borderId="60" xfId="3" applyFont="1" applyBorder="1" applyAlignment="1">
      <alignment horizontal="center"/>
    </xf>
    <xf numFmtId="9" fontId="5" fillId="0" borderId="61" xfId="3" applyFont="1" applyBorder="1" applyAlignment="1">
      <alignment horizontal="center"/>
    </xf>
    <xf numFmtId="9" fontId="5" fillId="0" borderId="5" xfId="3" applyFont="1" applyBorder="1" applyAlignment="1">
      <alignment horizontal="center"/>
    </xf>
    <xf numFmtId="9" fontId="5" fillId="0" borderId="62" xfId="3" applyFont="1" applyBorder="1" applyAlignment="1">
      <alignment horizontal="center"/>
    </xf>
    <xf numFmtId="4" fontId="1" fillId="0" borderId="63" xfId="0" applyNumberFormat="1" applyFont="1" applyBorder="1"/>
    <xf numFmtId="4" fontId="1" fillId="41" borderId="30" xfId="0" applyNumberFormat="1" applyFont="1" applyFill="1" applyBorder="1"/>
    <xf numFmtId="4" fontId="1" fillId="41" borderId="8" xfId="0" applyNumberFormat="1" applyFont="1" applyFill="1" applyBorder="1"/>
    <xf numFmtId="4" fontId="7" fillId="41" borderId="42" xfId="0" applyNumberFormat="1" applyFont="1" applyFill="1" applyBorder="1" applyAlignment="1">
      <alignment horizontal="center" vertical="center"/>
    </xf>
    <xf numFmtId="0" fontId="7" fillId="41" borderId="31" xfId="1" applyFont="1" applyFill="1" applyBorder="1" applyAlignment="1">
      <alignment horizontal="center"/>
    </xf>
    <xf numFmtId="0" fontId="12" fillId="2" borderId="32" xfId="0" applyFont="1" applyFill="1" applyBorder="1"/>
    <xf numFmtId="3" fontId="1" fillId="0" borderId="8" xfId="0" applyNumberFormat="1" applyFont="1" applyBorder="1"/>
    <xf numFmtId="4" fontId="1" fillId="2" borderId="6" xfId="0" applyNumberFormat="1" applyFont="1" applyFill="1" applyBorder="1"/>
    <xf numFmtId="9" fontId="5" fillId="0" borderId="64" xfId="3" applyFont="1" applyBorder="1" applyAlignment="1">
      <alignment horizontal="center"/>
    </xf>
    <xf numFmtId="3" fontId="1" fillId="0" borderId="58" xfId="0" applyNumberFormat="1" applyFont="1" applyBorder="1"/>
    <xf numFmtId="10" fontId="7" fillId="0" borderId="22" xfId="1" applyNumberFormat="1" applyFont="1" applyBorder="1" applyAlignment="1">
      <alignment horizontal="left" wrapText="1"/>
    </xf>
    <xf numFmtId="165" fontId="7" fillId="0" borderId="6" xfId="1" applyNumberFormat="1" applyFont="1" applyBorder="1" applyAlignment="1">
      <alignment horizontal="left" wrapText="1"/>
    </xf>
    <xf numFmtId="4" fontId="5" fillId="0" borderId="22" xfId="1" applyNumberFormat="1" applyFont="1" applyBorder="1" applyAlignment="1">
      <alignment horizontal="right" wrapText="1"/>
    </xf>
    <xf numFmtId="4" fontId="1" fillId="0" borderId="65" xfId="0" applyNumberFormat="1" applyFont="1" applyBorder="1"/>
    <xf numFmtId="4" fontId="5" fillId="0" borderId="38" xfId="1" applyNumberFormat="1" applyFont="1" applyBorder="1" applyAlignment="1">
      <alignment horizontal="right" wrapText="1"/>
    </xf>
    <xf numFmtId="3" fontId="1" fillId="0" borderId="39" xfId="0" applyNumberFormat="1" applyFont="1" applyBorder="1"/>
    <xf numFmtId="4" fontId="5" fillId="0" borderId="35" xfId="1" applyNumberFormat="1" applyFont="1" applyBorder="1" applyAlignment="1">
      <alignment horizontal="right" wrapText="1"/>
    </xf>
    <xf numFmtId="4" fontId="1" fillId="2" borderId="30" xfId="0" applyNumberFormat="1" applyFont="1" applyFill="1" applyBorder="1"/>
    <xf numFmtId="3" fontId="1" fillId="0" borderId="36" xfId="0" applyNumberFormat="1" applyFont="1" applyBorder="1"/>
    <xf numFmtId="4" fontId="5" fillId="0" borderId="37" xfId="1" applyNumberFormat="1" applyFont="1" applyBorder="1" applyAlignment="1">
      <alignment horizontal="right" wrapText="1"/>
    </xf>
    <xf numFmtId="9" fontId="5" fillId="0" borderId="44" xfId="3" applyFont="1" applyBorder="1" applyAlignment="1">
      <alignment horizontal="center"/>
    </xf>
    <xf numFmtId="9" fontId="5" fillId="0" borderId="45" xfId="3" applyFont="1" applyBorder="1" applyAlignment="1">
      <alignment horizontal="center"/>
    </xf>
    <xf numFmtId="9" fontId="5" fillId="0" borderId="46" xfId="3" applyFont="1" applyBorder="1" applyAlignment="1">
      <alignment horizontal="center"/>
    </xf>
    <xf numFmtId="0" fontId="7" fillId="2" borderId="53" xfId="1" applyFont="1" applyFill="1" applyBorder="1" applyAlignment="1">
      <alignment horizontal="center" wrapText="1"/>
    </xf>
    <xf numFmtId="14" fontId="7" fillId="2" borderId="66" xfId="1" applyNumberFormat="1" applyFont="1" applyFill="1" applyBorder="1" applyAlignment="1">
      <alignment horizontal="center"/>
    </xf>
    <xf numFmtId="0" fontId="7" fillId="2" borderId="67" xfId="1" applyFont="1" applyFill="1" applyBorder="1" applyAlignment="1">
      <alignment horizontal="center" wrapText="1"/>
    </xf>
    <xf numFmtId="0" fontId="7" fillId="2" borderId="7" xfId="1" applyFont="1" applyFill="1" applyBorder="1" applyAlignment="1">
      <alignment horizontal="center" wrapText="1"/>
    </xf>
    <xf numFmtId="0" fontId="7" fillId="2" borderId="41" xfId="1" applyFont="1" applyFill="1" applyBorder="1" applyAlignment="1">
      <alignment horizontal="center"/>
    </xf>
    <xf numFmtId="4" fontId="1" fillId="0" borderId="1" xfId="0" applyNumberFormat="1" applyFont="1" applyBorder="1" applyAlignment="1">
      <alignment horizontal="right"/>
    </xf>
    <xf numFmtId="2" fontId="0" fillId="0" borderId="0" xfId="0" applyNumberFormat="1"/>
    <xf numFmtId="2" fontId="1" fillId="0" borderId="1" xfId="0" applyNumberFormat="1" applyFont="1" applyBorder="1"/>
    <xf numFmtId="0" fontId="12" fillId="0" borderId="1" xfId="0" applyFont="1" applyBorder="1"/>
    <xf numFmtId="164" fontId="7" fillId="0" borderId="66" xfId="1" applyNumberFormat="1" applyFont="1" applyBorder="1" applyAlignment="1">
      <alignment horizontal="center" vertical="center" wrapText="1"/>
    </xf>
    <xf numFmtId="9" fontId="5" fillId="3" borderId="4" xfId="3" applyFont="1" applyFill="1" applyBorder="1" applyAlignment="1">
      <alignment horizontal="center" vertical="center"/>
    </xf>
    <xf numFmtId="3" fontId="7" fillId="0" borderId="66" xfId="0" applyNumberFormat="1" applyFont="1" applyBorder="1" applyAlignment="1">
      <alignment horizontal="right" vertical="center"/>
    </xf>
    <xf numFmtId="4" fontId="7" fillId="0" borderId="31" xfId="1" applyNumberFormat="1" applyFont="1" applyBorder="1" applyAlignment="1">
      <alignment vertical="center"/>
    </xf>
    <xf numFmtId="3" fontId="7" fillId="0" borderId="31" xfId="1" applyNumberFormat="1" applyFont="1" applyBorder="1" applyAlignment="1">
      <alignment horizontal="center" vertical="center" wrapText="1"/>
    </xf>
    <xf numFmtId="10" fontId="7" fillId="0" borderId="31" xfId="1" applyNumberFormat="1" applyFont="1" applyBorder="1" applyAlignment="1">
      <alignment horizontal="left" vertical="center" wrapText="1"/>
    </xf>
    <xf numFmtId="165" fontId="7" fillId="0" borderId="31" xfId="1" applyNumberFormat="1" applyFont="1" applyBorder="1" applyAlignment="1">
      <alignment horizontal="left" vertical="center" wrapText="1"/>
    </xf>
    <xf numFmtId="10" fontId="7" fillId="0" borderId="31" xfId="1" applyNumberFormat="1" applyFont="1" applyBorder="1" applyAlignment="1">
      <alignment horizontal="center" vertical="center" wrapText="1"/>
    </xf>
    <xf numFmtId="4" fontId="7" fillId="0" borderId="31" xfId="1" applyNumberFormat="1" applyFont="1" applyBorder="1" applyAlignment="1">
      <alignment horizontal="right" vertical="center" wrapText="1"/>
    </xf>
    <xf numFmtId="4" fontId="7" fillId="0" borderId="53" xfId="1" applyNumberFormat="1" applyFont="1" applyBorder="1" applyAlignment="1">
      <alignment horizontal="right" vertical="center" wrapText="1"/>
    </xf>
    <xf numFmtId="4" fontId="7" fillId="0" borderId="32" xfId="1" applyNumberFormat="1" applyFont="1" applyBorder="1" applyAlignment="1">
      <alignment horizontal="right" vertical="center" wrapText="1"/>
    </xf>
    <xf numFmtId="4" fontId="0" fillId="0" borderId="1" xfId="0" applyNumberFormat="1" applyBorder="1"/>
    <xf numFmtId="0" fontId="0" fillId="0" borderId="1" xfId="0" applyBorder="1"/>
    <xf numFmtId="2" fontId="0" fillId="0" borderId="1" xfId="0" applyNumberFormat="1" applyBorder="1"/>
    <xf numFmtId="4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right"/>
    </xf>
    <xf numFmtId="0" fontId="0" fillId="0" borderId="23" xfId="0" applyBorder="1"/>
    <xf numFmtId="4" fontId="0" fillId="0" borderId="30" xfId="0" applyNumberFormat="1" applyBorder="1"/>
    <xf numFmtId="0" fontId="0" fillId="0" borderId="30" xfId="0" applyBorder="1"/>
    <xf numFmtId="0" fontId="0" fillId="0" borderId="37" xfId="0" applyBorder="1"/>
    <xf numFmtId="0" fontId="0" fillId="0" borderId="38" xfId="0" applyBorder="1"/>
    <xf numFmtId="4" fontId="0" fillId="0" borderId="38" xfId="0" applyNumberFormat="1" applyBorder="1"/>
    <xf numFmtId="4" fontId="0" fillId="0" borderId="34" xfId="0" applyNumberFormat="1" applyBorder="1"/>
    <xf numFmtId="0" fontId="0" fillId="0" borderId="34" xfId="0" applyBorder="1"/>
    <xf numFmtId="4" fontId="0" fillId="0" borderId="35" xfId="0" applyNumberFormat="1" applyBorder="1"/>
    <xf numFmtId="9" fontId="5" fillId="3" borderId="29" xfId="3" applyFont="1" applyFill="1" applyBorder="1" applyAlignment="1">
      <alignment horizontal="center" vertical="center"/>
    </xf>
    <xf numFmtId="3" fontId="7" fillId="0" borderId="50" xfId="0" applyNumberFormat="1" applyFont="1" applyBorder="1" applyAlignment="1">
      <alignment horizontal="right" vertical="center"/>
    </xf>
    <xf numFmtId="4" fontId="7" fillId="0" borderId="30" xfId="1" applyNumberFormat="1" applyFont="1" applyBorder="1" applyAlignment="1">
      <alignment vertical="center"/>
    </xf>
    <xf numFmtId="3" fontId="7" fillId="0" borderId="30" xfId="1" applyNumberFormat="1" applyFont="1" applyBorder="1" applyAlignment="1">
      <alignment horizontal="center" vertical="center" wrapText="1"/>
    </xf>
    <xf numFmtId="10" fontId="7" fillId="0" borderId="30" xfId="1" applyNumberFormat="1" applyFont="1" applyBorder="1" applyAlignment="1">
      <alignment horizontal="left" vertical="center" wrapText="1"/>
    </xf>
    <xf numFmtId="165" fontId="7" fillId="0" borderId="30" xfId="1" applyNumberFormat="1" applyFont="1" applyBorder="1" applyAlignment="1">
      <alignment horizontal="left" vertical="center" wrapText="1"/>
    </xf>
    <xf numFmtId="10" fontId="7" fillId="0" borderId="30" xfId="1" applyNumberFormat="1" applyFont="1" applyBorder="1" applyAlignment="1">
      <alignment horizontal="center" vertical="center" wrapText="1"/>
    </xf>
    <xf numFmtId="4" fontId="7" fillId="0" borderId="30" xfId="1" applyNumberFormat="1" applyFont="1" applyBorder="1" applyAlignment="1">
      <alignment horizontal="right" vertical="center" wrapText="1"/>
    </xf>
    <xf numFmtId="4" fontId="0" fillId="0" borderId="37" xfId="0" applyNumberFormat="1" applyBorder="1"/>
    <xf numFmtId="0" fontId="0" fillId="0" borderId="51" xfId="0" applyBorder="1"/>
    <xf numFmtId="0" fontId="0" fillId="0" borderId="52" xfId="0" applyBorder="1"/>
    <xf numFmtId="9" fontId="5" fillId="0" borderId="50" xfId="3" applyFont="1" applyBorder="1" applyAlignment="1">
      <alignment horizontal="center"/>
    </xf>
    <xf numFmtId="9" fontId="5" fillId="0" borderId="30" xfId="3" applyFont="1" applyBorder="1" applyAlignment="1">
      <alignment horizontal="center"/>
    </xf>
    <xf numFmtId="9" fontId="5" fillId="0" borderId="37" xfId="3" applyFont="1" applyBorder="1" applyAlignment="1">
      <alignment horizontal="center"/>
    </xf>
    <xf numFmtId="9" fontId="5" fillId="0" borderId="51" xfId="3" applyFont="1" applyBorder="1" applyAlignment="1">
      <alignment horizontal="center"/>
    </xf>
    <xf numFmtId="9" fontId="5" fillId="0" borderId="38" xfId="3" applyFont="1" applyBorder="1" applyAlignment="1">
      <alignment horizontal="center"/>
    </xf>
    <xf numFmtId="9" fontId="5" fillId="0" borderId="52" xfId="3" applyFont="1" applyBorder="1" applyAlignment="1">
      <alignment horizontal="center"/>
    </xf>
    <xf numFmtId="9" fontId="5" fillId="0" borderId="34" xfId="3" applyFont="1" applyBorder="1" applyAlignment="1">
      <alignment horizontal="center"/>
    </xf>
    <xf numFmtId="9" fontId="5" fillId="0" borderId="35" xfId="3" applyFont="1" applyBorder="1" applyAlignment="1">
      <alignment horizontal="center"/>
    </xf>
    <xf numFmtId="4" fontId="0" fillId="0" borderId="43" xfId="0" applyNumberFormat="1" applyBorder="1"/>
    <xf numFmtId="4" fontId="0" fillId="0" borderId="9" xfId="0" applyNumberFormat="1" applyBorder="1"/>
    <xf numFmtId="4" fontId="0" fillId="0" borderId="9" xfId="0" applyNumberFormat="1" applyBorder="1" applyAlignment="1">
      <alignment horizontal="right"/>
    </xf>
    <xf numFmtId="4" fontId="0" fillId="0" borderId="33" xfId="0" applyNumberFormat="1" applyBorder="1"/>
    <xf numFmtId="0" fontId="6" fillId="2" borderId="66" xfId="1" applyFont="1" applyFill="1" applyBorder="1" applyAlignment="1">
      <alignment horizontal="center" wrapText="1"/>
    </xf>
    <xf numFmtId="9" fontId="5" fillId="0" borderId="43" xfId="3" applyFont="1" applyBorder="1" applyAlignment="1">
      <alignment horizontal="center"/>
    </xf>
    <xf numFmtId="9" fontId="5" fillId="0" borderId="9" xfId="3" applyFont="1" applyBorder="1" applyAlignment="1">
      <alignment horizontal="center"/>
    </xf>
    <xf numFmtId="9" fontId="5" fillId="0" borderId="33" xfId="3" applyFont="1" applyBorder="1" applyAlignment="1">
      <alignment horizontal="center"/>
    </xf>
    <xf numFmtId="9" fontId="5" fillId="0" borderId="36" xfId="3" applyFont="1" applyBorder="1" applyAlignment="1">
      <alignment horizontal="center"/>
    </xf>
    <xf numFmtId="9" fontId="5" fillId="0" borderId="39" xfId="3" applyFont="1" applyBorder="1" applyAlignment="1">
      <alignment horizontal="center"/>
    </xf>
    <xf numFmtId="4" fontId="12" fillId="0" borderId="37" xfId="0" applyNumberFormat="1" applyFont="1" applyBorder="1"/>
    <xf numFmtId="9" fontId="5" fillId="3" borderId="68" xfId="3" applyFont="1" applyFill="1" applyBorder="1" applyAlignment="1">
      <alignment horizontal="center" vertical="center"/>
    </xf>
    <xf numFmtId="9" fontId="5" fillId="0" borderId="69" xfId="3" applyFont="1" applyBorder="1" applyAlignment="1">
      <alignment horizontal="center"/>
    </xf>
    <xf numFmtId="9" fontId="5" fillId="0" borderId="70" xfId="3" applyFont="1" applyBorder="1" applyAlignment="1">
      <alignment horizontal="center"/>
    </xf>
    <xf numFmtId="9" fontId="5" fillId="0" borderId="71" xfId="3" applyFont="1" applyBorder="1" applyAlignment="1">
      <alignment horizontal="center"/>
    </xf>
    <xf numFmtId="164" fontId="7" fillId="0" borderId="72" xfId="1" applyNumberFormat="1" applyFont="1" applyBorder="1" applyAlignment="1">
      <alignment horizontal="center" vertical="center" wrapText="1"/>
    </xf>
    <xf numFmtId="4" fontId="0" fillId="0" borderId="73" xfId="0" applyNumberFormat="1" applyBorder="1"/>
    <xf numFmtId="0" fontId="7" fillId="2" borderId="77" xfId="1" applyFont="1" applyFill="1" applyBorder="1" applyAlignment="1">
      <alignment horizontal="center"/>
    </xf>
    <xf numFmtId="9" fontId="5" fillId="3" borderId="78" xfId="3" applyFont="1" applyFill="1" applyBorder="1" applyAlignment="1">
      <alignment horizontal="center" vertical="center"/>
    </xf>
    <xf numFmtId="0" fontId="0" fillId="0" borderId="79" xfId="0" applyBorder="1"/>
    <xf numFmtId="4" fontId="0" fillId="0" borderId="70" xfId="0" applyNumberFormat="1" applyBorder="1"/>
    <xf numFmtId="4" fontId="12" fillId="0" borderId="69" xfId="0" applyNumberFormat="1" applyFont="1" applyBorder="1"/>
    <xf numFmtId="14" fontId="7" fillId="2" borderId="81" xfId="1" applyNumberFormat="1" applyFont="1" applyFill="1" applyBorder="1" applyAlignment="1">
      <alignment horizontal="center"/>
    </xf>
    <xf numFmtId="0" fontId="7" fillId="2" borderId="3" xfId="1" applyFont="1" applyFill="1" applyBorder="1" applyAlignment="1">
      <alignment horizontal="center" wrapText="1"/>
    </xf>
    <xf numFmtId="0" fontId="6" fillId="2" borderId="3" xfId="1" applyFont="1" applyFill="1" applyBorder="1" applyAlignment="1">
      <alignment horizontal="center" wrapText="1"/>
    </xf>
    <xf numFmtId="0" fontId="6" fillId="2" borderId="23" xfId="1" applyFont="1" applyFill="1" applyBorder="1" applyAlignment="1">
      <alignment horizontal="center" wrapText="1"/>
    </xf>
    <xf numFmtId="0" fontId="12" fillId="2" borderId="77" xfId="0" applyFont="1" applyFill="1" applyBorder="1"/>
    <xf numFmtId="0" fontId="7" fillId="3" borderId="0" xfId="7" applyFont="1" applyFill="1"/>
    <xf numFmtId="164" fontId="7" fillId="0" borderId="21" xfId="1" applyNumberFormat="1" applyFont="1" applyBorder="1" applyAlignment="1">
      <alignment horizontal="center" vertical="center" wrapText="1"/>
    </xf>
    <xf numFmtId="9" fontId="5" fillId="3" borderId="84" xfId="3" applyFont="1" applyFill="1" applyBorder="1" applyAlignment="1">
      <alignment horizontal="center" vertical="center"/>
    </xf>
    <xf numFmtId="4" fontId="0" fillId="0" borderId="52" xfId="0" applyNumberFormat="1" applyBorder="1"/>
    <xf numFmtId="4" fontId="0" fillId="0" borderId="85" xfId="0" applyNumberFormat="1" applyBorder="1"/>
    <xf numFmtId="4" fontId="0" fillId="0" borderId="86" xfId="0" applyNumberFormat="1" applyBorder="1"/>
    <xf numFmtId="0" fontId="0" fillId="0" borderId="86" xfId="0" applyBorder="1"/>
    <xf numFmtId="4" fontId="0" fillId="0" borderId="71" xfId="0" applyNumberFormat="1" applyBorder="1"/>
    <xf numFmtId="0" fontId="7" fillId="2" borderId="6" xfId="1" applyFont="1" applyFill="1" applyBorder="1" applyAlignment="1">
      <alignment horizontal="center" wrapText="1"/>
    </xf>
    <xf numFmtId="0" fontId="6" fillId="2" borderId="88" xfId="1" applyFont="1" applyFill="1" applyBorder="1" applyAlignment="1">
      <alignment horizontal="center" wrapText="1"/>
    </xf>
    <xf numFmtId="0" fontId="7" fillId="2" borderId="87" xfId="1" applyFont="1" applyFill="1" applyBorder="1" applyAlignment="1">
      <alignment horizontal="center" wrapText="1"/>
    </xf>
    <xf numFmtId="0" fontId="7" fillId="42" borderId="3" xfId="1" applyFont="1" applyFill="1" applyBorder="1" applyAlignment="1">
      <alignment horizontal="center"/>
    </xf>
    <xf numFmtId="0" fontId="6" fillId="43" borderId="21" xfId="1" applyFont="1" applyFill="1" applyBorder="1" applyAlignment="1">
      <alignment horizontal="center" wrapText="1"/>
    </xf>
    <xf numFmtId="0" fontId="12" fillId="0" borderId="89" xfId="0" applyFont="1" applyBorder="1"/>
    <xf numFmtId="2" fontId="0" fillId="0" borderId="90" xfId="0" applyNumberFormat="1" applyBorder="1"/>
    <xf numFmtId="4" fontId="5" fillId="0" borderId="79" xfId="1" applyNumberFormat="1" applyFont="1" applyBorder="1" applyAlignment="1">
      <alignment horizontal="right" wrapText="1"/>
    </xf>
    <xf numFmtId="2" fontId="1" fillId="0" borderId="70" xfId="0" applyNumberFormat="1" applyFont="1" applyBorder="1"/>
    <xf numFmtId="0" fontId="0" fillId="0" borderId="91" xfId="0" applyBorder="1"/>
    <xf numFmtId="2" fontId="1" fillId="0" borderId="74" xfId="0" applyNumberFormat="1" applyFont="1" applyBorder="1"/>
    <xf numFmtId="2" fontId="0" fillId="0" borderId="92" xfId="0" applyNumberFormat="1" applyBorder="1"/>
    <xf numFmtId="0" fontId="0" fillId="0" borderId="93" xfId="0" applyBorder="1"/>
    <xf numFmtId="0" fontId="1" fillId="0" borderId="0" xfId="0" applyFont="1"/>
    <xf numFmtId="164" fontId="9" fillId="0" borderId="1" xfId="0" applyNumberFormat="1" applyFont="1" applyBorder="1"/>
    <xf numFmtId="14" fontId="9" fillId="0" borderId="1" xfId="0" applyNumberFormat="1" applyFont="1" applyBorder="1"/>
    <xf numFmtId="0" fontId="9" fillId="0" borderId="1" xfId="0" applyFont="1" applyBorder="1"/>
    <xf numFmtId="164" fontId="9" fillId="0" borderId="6" xfId="0" applyNumberFormat="1" applyFont="1" applyBorder="1"/>
    <xf numFmtId="14" fontId="9" fillId="0" borderId="6" xfId="0" applyNumberFormat="1" applyFont="1" applyBorder="1"/>
    <xf numFmtId="0" fontId="9" fillId="0" borderId="6" xfId="0" applyFont="1" applyBorder="1"/>
    <xf numFmtId="164" fontId="7" fillId="0" borderId="24" xfId="1" applyNumberFormat="1" applyFont="1" applyBorder="1" applyAlignment="1">
      <alignment horizontal="left" wrapText="1"/>
    </xf>
    <xf numFmtId="8" fontId="3" fillId="0" borderId="0" xfId="7" applyNumberFormat="1" applyFont="1"/>
    <xf numFmtId="10" fontId="3" fillId="3" borderId="28" xfId="10" applyNumberFormat="1" applyFont="1" applyFill="1" applyBorder="1" applyAlignment="1">
      <alignment horizontal="center"/>
    </xf>
    <xf numFmtId="0" fontId="5" fillId="0" borderId="29" xfId="1" applyFont="1" applyBorder="1"/>
    <xf numFmtId="0" fontId="12" fillId="0" borderId="32" xfId="0" applyFont="1" applyBorder="1"/>
    <xf numFmtId="0" fontId="7" fillId="0" borderId="28" xfId="1" applyFont="1" applyBorder="1" applyAlignment="1">
      <alignment horizontal="left"/>
    </xf>
    <xf numFmtId="0" fontId="7" fillId="0" borderId="0" xfId="1" applyFont="1" applyAlignment="1">
      <alignment horizontal="left"/>
    </xf>
    <xf numFmtId="0" fontId="7" fillId="2" borderId="25" xfId="1" applyFont="1" applyFill="1" applyBorder="1" applyAlignment="1">
      <alignment horizontal="left"/>
    </xf>
    <xf numFmtId="0" fontId="7" fillId="2" borderId="26" xfId="1" applyFont="1" applyFill="1" applyBorder="1" applyAlignment="1">
      <alignment horizontal="left"/>
    </xf>
    <xf numFmtId="0" fontId="14" fillId="0" borderId="0" xfId="0" applyFont="1" applyAlignment="1">
      <alignment wrapText="1"/>
    </xf>
    <xf numFmtId="0" fontId="7" fillId="2" borderId="47" xfId="1" applyFont="1" applyFill="1" applyBorder="1" applyAlignment="1">
      <alignment horizontal="left"/>
    </xf>
    <xf numFmtId="0" fontId="7" fillId="2" borderId="48" xfId="1" applyFont="1" applyFill="1" applyBorder="1" applyAlignment="1">
      <alignment horizontal="left"/>
    </xf>
    <xf numFmtId="0" fontId="7" fillId="3" borderId="48" xfId="1" applyFont="1" applyFill="1" applyBorder="1" applyAlignment="1">
      <alignment horizontal="left"/>
    </xf>
    <xf numFmtId="0" fontId="7" fillId="0" borderId="48" xfId="1" applyFont="1" applyBorder="1" applyAlignment="1">
      <alignment horizontal="left"/>
    </xf>
    <xf numFmtId="0" fontId="7" fillId="0" borderId="4" xfId="7" applyFont="1" applyBorder="1"/>
    <xf numFmtId="10" fontId="3" fillId="0" borderId="28" xfId="10" applyNumberFormat="1" applyFont="1" applyBorder="1" applyAlignment="1">
      <alignment horizontal="center"/>
    </xf>
    <xf numFmtId="0" fontId="5" fillId="0" borderId="24" xfId="1" applyFont="1" applyBorder="1"/>
    <xf numFmtId="164" fontId="7" fillId="0" borderId="4" xfId="1" applyNumberFormat="1" applyFont="1" applyBorder="1" applyAlignment="1">
      <alignment horizontal="left" wrapText="1"/>
    </xf>
    <xf numFmtId="0" fontId="7" fillId="2" borderId="25" xfId="1" applyFont="1" applyFill="1" applyBorder="1"/>
    <xf numFmtId="0" fontId="7" fillId="0" borderId="0" xfId="7" applyFont="1"/>
    <xf numFmtId="0" fontId="3" fillId="0" borderId="75" xfId="1" applyFont="1" applyBorder="1"/>
    <xf numFmtId="10" fontId="3" fillId="3" borderId="76" xfId="10" applyNumberFormat="1" applyFont="1" applyFill="1" applyBorder="1" applyAlignment="1">
      <alignment horizontal="center"/>
    </xf>
    <xf numFmtId="0" fontId="3" fillId="0" borderId="80" xfId="1" applyFont="1" applyBorder="1"/>
    <xf numFmtId="10" fontId="3" fillId="0" borderId="75" xfId="10" applyNumberFormat="1" applyFont="1" applyBorder="1" applyAlignment="1">
      <alignment horizontal="center"/>
    </xf>
    <xf numFmtId="10" fontId="3" fillId="3" borderId="0" xfId="10" applyNumberFormat="1" applyFont="1" applyFill="1" applyAlignment="1">
      <alignment horizontal="center"/>
    </xf>
    <xf numFmtId="14" fontId="3" fillId="0" borderId="83" xfId="1" applyNumberFormat="1" applyFont="1" applyBorder="1"/>
    <xf numFmtId="0" fontId="9" fillId="0" borderId="75" xfId="0" applyFont="1" applyBorder="1"/>
    <xf numFmtId="0" fontId="5" fillId="0" borderId="82" xfId="1" applyFont="1" applyBorder="1"/>
    <xf numFmtId="0" fontId="3" fillId="0" borderId="94" xfId="1" applyFont="1" applyBorder="1"/>
    <xf numFmtId="10" fontId="3" fillId="0" borderId="0" xfId="10" applyNumberFormat="1" applyFont="1" applyAlignment="1">
      <alignment horizontal="center"/>
    </xf>
    <xf numFmtId="14" fontId="3" fillId="0" borderId="23" xfId="1" applyNumberFormat="1" applyFont="1" applyBorder="1"/>
    <xf numFmtId="0" fontId="5" fillId="0" borderId="1" xfId="1" applyFont="1" applyBorder="1"/>
    <xf numFmtId="0" fontId="7" fillId="42" borderId="1" xfId="1" applyFont="1" applyFill="1" applyBorder="1" applyAlignment="1">
      <alignment horizontal="center"/>
    </xf>
    <xf numFmtId="0" fontId="6" fillId="43" borderId="1" xfId="1" applyFont="1" applyFill="1" applyBorder="1" applyAlignment="1">
      <alignment horizontal="center" wrapText="1"/>
    </xf>
    <xf numFmtId="0" fontId="7" fillId="2" borderId="1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 wrapText="1"/>
    </xf>
    <xf numFmtId="14" fontId="7" fillId="2" borderId="1" xfId="1" applyNumberFormat="1" applyFont="1" applyFill="1" applyBorder="1" applyAlignment="1">
      <alignment horizontal="center"/>
    </xf>
    <xf numFmtId="0" fontId="12" fillId="2" borderId="1" xfId="0" applyFont="1" applyFill="1" applyBorder="1"/>
    <xf numFmtId="9" fontId="5" fillId="3" borderId="1" xfId="3" applyFont="1" applyFill="1" applyBorder="1" applyAlignment="1">
      <alignment horizontal="center" vertical="center"/>
    </xf>
    <xf numFmtId="3" fontId="7" fillId="0" borderId="1" xfId="0" applyNumberFormat="1" applyFont="1" applyBorder="1" applyAlignment="1">
      <alignment horizontal="right" vertical="center"/>
    </xf>
    <xf numFmtId="4" fontId="7" fillId="0" borderId="1" xfId="1" applyNumberFormat="1" applyFont="1" applyBorder="1" applyAlignment="1">
      <alignment vertical="center"/>
    </xf>
    <xf numFmtId="3" fontId="7" fillId="0" borderId="1" xfId="1" applyNumberFormat="1" applyFont="1" applyBorder="1" applyAlignment="1">
      <alignment horizontal="center" vertical="center" wrapText="1"/>
    </xf>
    <xf numFmtId="10" fontId="7" fillId="0" borderId="1" xfId="1" applyNumberFormat="1" applyFont="1" applyBorder="1" applyAlignment="1">
      <alignment horizontal="left" vertical="center" wrapText="1"/>
    </xf>
    <xf numFmtId="165" fontId="7" fillId="0" borderId="1" xfId="1" applyNumberFormat="1" applyFont="1" applyBorder="1" applyAlignment="1">
      <alignment horizontal="left" vertical="center" wrapText="1"/>
    </xf>
    <xf numFmtId="10" fontId="7" fillId="0" borderId="1" xfId="1" applyNumberFormat="1" applyFont="1" applyBorder="1" applyAlignment="1">
      <alignment horizontal="center" vertical="center" wrapText="1"/>
    </xf>
    <xf numFmtId="4" fontId="7" fillId="0" borderId="1" xfId="1" applyNumberFormat="1" applyFont="1" applyBorder="1" applyAlignment="1">
      <alignment horizontal="right" vertical="center" wrapText="1"/>
    </xf>
    <xf numFmtId="4" fontId="12" fillId="0" borderId="1" xfId="0" applyNumberFormat="1" applyFont="1" applyBorder="1"/>
    <xf numFmtId="0" fontId="7" fillId="2" borderId="1" xfId="1" applyFont="1" applyFill="1" applyBorder="1" applyAlignment="1">
      <alignment horizontal="left"/>
    </xf>
    <xf numFmtId="0" fontId="0" fillId="0" borderId="95" xfId="0" applyBorder="1"/>
    <xf numFmtId="0" fontId="0" fillId="0" borderId="9" xfId="0" applyBorder="1"/>
    <xf numFmtId="0" fontId="0" fillId="0" borderId="96" xfId="0" applyBorder="1"/>
    <xf numFmtId="0" fontId="0" fillId="0" borderId="90" xfId="0" applyBorder="1"/>
    <xf numFmtId="0" fontId="0" fillId="0" borderId="97" xfId="0" applyBorder="1"/>
    <xf numFmtId="0" fontId="0" fillId="0" borderId="98" xfId="0" applyBorder="1"/>
    <xf numFmtId="9" fontId="5" fillId="0" borderId="1" xfId="3" applyFont="1" applyBorder="1" applyAlignment="1">
      <alignment horizontal="center" vertical="center"/>
    </xf>
    <xf numFmtId="0" fontId="12" fillId="3" borderId="1" xfId="0" applyFont="1" applyFill="1" applyBorder="1"/>
    <xf numFmtId="14" fontId="7" fillId="3" borderId="1" xfId="1" applyNumberFormat="1" applyFont="1" applyFill="1" applyBorder="1" applyAlignment="1">
      <alignment horizontal="center"/>
    </xf>
    <xf numFmtId="4" fontId="7" fillId="0" borderId="1" xfId="1" applyNumberFormat="1" applyFont="1" applyBorder="1" applyAlignment="1">
      <alignment horizontal="center" vertical="center" wrapText="1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right" vertical="center"/>
    </xf>
    <xf numFmtId="1" fontId="3" fillId="0" borderId="0" xfId="7" applyNumberFormat="1" applyFont="1"/>
    <xf numFmtId="1" fontId="3" fillId="0" borderId="23" xfId="1" applyNumberFormat="1" applyFont="1" applyBorder="1"/>
    <xf numFmtId="1" fontId="7" fillId="0" borderId="1" xfId="0" applyNumberFormat="1" applyFont="1" applyBorder="1" applyAlignment="1">
      <alignment horizontal="right" vertical="center"/>
    </xf>
    <xf numFmtId="1" fontId="0" fillId="0" borderId="1" xfId="0" applyNumberFormat="1" applyBorder="1"/>
    <xf numFmtId="1" fontId="9" fillId="0" borderId="0" xfId="0" applyNumberFormat="1" applyFont="1"/>
    <xf numFmtId="1" fontId="0" fillId="0" borderId="0" xfId="0" applyNumberFormat="1"/>
    <xf numFmtId="1" fontId="7" fillId="2" borderId="1" xfId="1" applyNumberFormat="1" applyFont="1" applyFill="1" applyBorder="1" applyAlignment="1">
      <alignment horizontal="center"/>
    </xf>
    <xf numFmtId="4" fontId="7" fillId="0" borderId="2" xfId="1" applyNumberFormat="1" applyFont="1" applyBorder="1" applyAlignment="1">
      <alignment horizontal="center" vertical="center" wrapText="1"/>
    </xf>
    <xf numFmtId="4" fontId="0" fillId="0" borderId="8" xfId="0" applyNumberFormat="1" applyBorder="1"/>
    <xf numFmtId="9" fontId="5" fillId="0" borderId="9" xfId="3" applyFont="1" applyBorder="1" applyAlignment="1">
      <alignment horizontal="center" vertical="center"/>
    </xf>
    <xf numFmtId="164" fontId="7" fillId="0" borderId="2" xfId="1" applyNumberFormat="1" applyFont="1" applyBorder="1" applyAlignment="1">
      <alignment horizontal="center" vertical="center" wrapText="1"/>
    </xf>
    <xf numFmtId="0" fontId="7" fillId="0" borderId="1" xfId="1" applyFont="1" applyBorder="1" applyAlignment="1">
      <alignment horizontal="left"/>
    </xf>
    <xf numFmtId="0" fontId="7" fillId="0" borderId="1" xfId="1" applyFont="1" applyBorder="1"/>
    <xf numFmtId="0" fontId="6" fillId="41" borderId="1" xfId="1" applyFont="1" applyFill="1" applyBorder="1" applyAlignment="1">
      <alignment horizontal="center" wrapText="1"/>
    </xf>
    <xf numFmtId="9" fontId="5" fillId="3" borderId="2" xfId="3" applyFont="1" applyFill="1" applyBorder="1" applyAlignment="1">
      <alignment horizontal="center" vertical="center"/>
    </xf>
    <xf numFmtId="0" fontId="7" fillId="0" borderId="1" xfId="1" applyFont="1" applyBorder="1" applyAlignment="1">
      <alignment horizontal="center" vertical="center" wrapText="1"/>
    </xf>
    <xf numFmtId="4" fontId="7" fillId="0" borderId="1" xfId="1" applyNumberFormat="1" applyFont="1" applyBorder="1" applyAlignment="1">
      <alignment horizontal="center" vertical="center"/>
    </xf>
    <xf numFmtId="165" fontId="7" fillId="0" borderId="1" xfId="1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65" fontId="7" fillId="0" borderId="1" xfId="1" applyNumberFormat="1" applyFont="1" applyBorder="1" applyAlignment="1">
      <alignment horizontal="center" wrapText="1"/>
    </xf>
    <xf numFmtId="0" fontId="30" fillId="2" borderId="1" xfId="1" applyFont="1" applyFill="1" applyBorder="1" applyAlignment="1">
      <alignment horizontal="center" wrapText="1"/>
    </xf>
    <xf numFmtId="4" fontId="7" fillId="0" borderId="1" xfId="1" applyNumberFormat="1" applyFont="1" applyBorder="1" applyAlignment="1">
      <alignment horizontal="center" wrapText="1"/>
    </xf>
    <xf numFmtId="1" fontId="7" fillId="0" borderId="1" xfId="0" applyNumberFormat="1" applyFont="1" applyBorder="1" applyAlignment="1">
      <alignment horizontal="center" vertical="center"/>
    </xf>
    <xf numFmtId="4" fontId="12" fillId="0" borderId="1" xfId="0" applyNumberFormat="1" applyFont="1" applyBorder="1" applyAlignment="1">
      <alignment horizontal="center"/>
    </xf>
    <xf numFmtId="1" fontId="1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1" xfId="0" applyNumberFormat="1" applyBorder="1" applyAlignment="1">
      <alignment horizontal="center"/>
    </xf>
    <xf numFmtId="4" fontId="5" fillId="0" borderId="1" xfId="1" applyNumberFormat="1" applyFont="1" applyBorder="1" applyAlignment="1">
      <alignment horizontal="center" wrapText="1"/>
    </xf>
    <xf numFmtId="0" fontId="10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1" fontId="15" fillId="0" borderId="0" xfId="0" applyNumberFormat="1" applyFont="1" applyAlignment="1">
      <alignment horizontal="center"/>
    </xf>
    <xf numFmtId="4" fontId="44" fillId="0" borderId="1" xfId="0" applyNumberFormat="1" applyFont="1" applyBorder="1" applyAlignment="1">
      <alignment horizontal="center"/>
    </xf>
    <xf numFmtId="0" fontId="44" fillId="0" borderId="1" xfId="0" applyFont="1" applyBorder="1" applyAlignment="1">
      <alignment horizontal="center"/>
    </xf>
    <xf numFmtId="164" fontId="7" fillId="0" borderId="1" xfId="1" applyNumberFormat="1" applyFont="1" applyBorder="1" applyAlignment="1">
      <alignment horizontal="center" wrapText="1"/>
    </xf>
    <xf numFmtId="0" fontId="7" fillId="0" borderId="1" xfId="1" applyFont="1" applyBorder="1" applyAlignment="1">
      <alignment horizontal="center"/>
    </xf>
    <xf numFmtId="0" fontId="7" fillId="3" borderId="1" xfId="1" applyFont="1" applyFill="1" applyBorder="1" applyAlignment="1">
      <alignment horizontal="center"/>
    </xf>
    <xf numFmtId="4" fontId="5" fillId="0" borderId="1" xfId="3" applyNumberFormat="1" applyFont="1" applyBorder="1" applyAlignment="1">
      <alignment horizontal="center"/>
    </xf>
    <xf numFmtId="4" fontId="5" fillId="0" borderId="1" xfId="3" applyNumberFormat="1" applyFont="1" applyBorder="1" applyAlignment="1">
      <alignment horizontal="center" vertical="center"/>
    </xf>
    <xf numFmtId="10" fontId="7" fillId="0" borderId="2" xfId="1" applyNumberFormat="1" applyFont="1" applyBorder="1" applyAlignment="1">
      <alignment horizontal="center" vertical="center" wrapText="1"/>
    </xf>
    <xf numFmtId="4" fontId="7" fillId="0" borderId="2" xfId="1" applyNumberFormat="1" applyFont="1" applyBorder="1" applyAlignment="1">
      <alignment horizontal="center" vertical="center"/>
    </xf>
    <xf numFmtId="4" fontId="12" fillId="0" borderId="2" xfId="0" applyNumberFormat="1" applyFont="1" applyBorder="1" applyAlignment="1">
      <alignment horizontal="center"/>
    </xf>
    <xf numFmtId="0" fontId="7" fillId="0" borderId="2" xfId="1" applyFont="1" applyBorder="1" applyAlignment="1">
      <alignment horizontal="center" vertical="center" wrapText="1"/>
    </xf>
    <xf numFmtId="165" fontId="7" fillId="0" borderId="2" xfId="1" applyNumberFormat="1" applyFont="1" applyBorder="1" applyAlignment="1">
      <alignment horizontal="center" vertical="center" wrapText="1"/>
    </xf>
    <xf numFmtId="1" fontId="7" fillId="0" borderId="2" xfId="0" applyNumberFormat="1" applyFont="1" applyBorder="1" applyAlignment="1">
      <alignment horizontal="center" vertical="center"/>
    </xf>
    <xf numFmtId="3" fontId="7" fillId="0" borderId="2" xfId="1" applyNumberFormat="1" applyFont="1" applyBorder="1" applyAlignment="1">
      <alignment horizontal="center" vertical="center" wrapText="1"/>
    </xf>
    <xf numFmtId="9" fontId="5" fillId="36" borderId="2" xfId="3" applyFont="1" applyFill="1" applyBorder="1" applyAlignment="1">
      <alignment horizontal="center" vertical="center"/>
    </xf>
    <xf numFmtId="9" fontId="5" fillId="36" borderId="1" xfId="3" applyFont="1" applyFill="1" applyBorder="1" applyAlignment="1">
      <alignment horizontal="center" vertical="center"/>
    </xf>
  </cellXfs>
  <cellStyles count="92">
    <cellStyle name="20% - Accent1 2" xfId="28" xr:uid="{00000000-0005-0000-0000-00001C000000}"/>
    <cellStyle name="20% - Accent1 3" xfId="69" xr:uid="{00000000-0005-0000-0000-000045000000}"/>
    <cellStyle name="20% - Accent2 2" xfId="32" xr:uid="{00000000-0005-0000-0000-000020000000}"/>
    <cellStyle name="20% - Accent2 3" xfId="73" xr:uid="{00000000-0005-0000-0000-000049000000}"/>
    <cellStyle name="20% - Accent3 2" xfId="36" xr:uid="{00000000-0005-0000-0000-000024000000}"/>
    <cellStyle name="20% - Accent3 3" xfId="77" xr:uid="{00000000-0005-0000-0000-00004D000000}"/>
    <cellStyle name="20% - Accent4 2" xfId="40" xr:uid="{00000000-0005-0000-0000-000028000000}"/>
    <cellStyle name="20% - Accent4 3" xfId="81" xr:uid="{00000000-0005-0000-0000-000051000000}"/>
    <cellStyle name="20% - Accent5 2" xfId="44" xr:uid="{00000000-0005-0000-0000-00002C000000}"/>
    <cellStyle name="20% - Accent5 3" xfId="85" xr:uid="{00000000-0005-0000-0000-000055000000}"/>
    <cellStyle name="20% - Accent6 2" xfId="48" xr:uid="{00000000-0005-0000-0000-000030000000}"/>
    <cellStyle name="20% - Accent6 3" xfId="89" xr:uid="{00000000-0005-0000-0000-000059000000}"/>
    <cellStyle name="40% - Accent1 2" xfId="29" xr:uid="{00000000-0005-0000-0000-00001D000000}"/>
    <cellStyle name="40% - Accent1 3" xfId="70" xr:uid="{00000000-0005-0000-0000-000046000000}"/>
    <cellStyle name="40% - Accent2 2" xfId="33" xr:uid="{00000000-0005-0000-0000-000021000000}"/>
    <cellStyle name="40% - Accent2 3" xfId="74" xr:uid="{00000000-0005-0000-0000-00004A000000}"/>
    <cellStyle name="40% - Accent3 2" xfId="37" xr:uid="{00000000-0005-0000-0000-000025000000}"/>
    <cellStyle name="40% - Accent3 3" xfId="78" xr:uid="{00000000-0005-0000-0000-00004E000000}"/>
    <cellStyle name="40% - Accent4 2" xfId="41" xr:uid="{00000000-0005-0000-0000-000029000000}"/>
    <cellStyle name="40% - Accent4 3" xfId="82" xr:uid="{00000000-0005-0000-0000-000052000000}"/>
    <cellStyle name="40% - Accent5 2" xfId="45" xr:uid="{00000000-0005-0000-0000-00002D000000}"/>
    <cellStyle name="40% - Accent5 3" xfId="86" xr:uid="{00000000-0005-0000-0000-000056000000}"/>
    <cellStyle name="40% - Accent6 2" xfId="49" xr:uid="{00000000-0005-0000-0000-000031000000}"/>
    <cellStyle name="40% - Accent6 3" xfId="90" xr:uid="{00000000-0005-0000-0000-00005A000000}"/>
    <cellStyle name="60% - Accent1 2" xfId="30" xr:uid="{00000000-0005-0000-0000-00001E000000}"/>
    <cellStyle name="60% - Accent1 3" xfId="71" xr:uid="{00000000-0005-0000-0000-000047000000}"/>
    <cellStyle name="60% - Accent2 2" xfId="34" xr:uid="{00000000-0005-0000-0000-000022000000}"/>
    <cellStyle name="60% - Accent2 3" xfId="75" xr:uid="{00000000-0005-0000-0000-00004B000000}"/>
    <cellStyle name="60% - Accent3 2" xfId="38" xr:uid="{00000000-0005-0000-0000-000026000000}"/>
    <cellStyle name="60% - Accent3 3" xfId="79" xr:uid="{00000000-0005-0000-0000-00004F000000}"/>
    <cellStyle name="60% - Accent4 2" xfId="42" xr:uid="{00000000-0005-0000-0000-00002A000000}"/>
    <cellStyle name="60% - Accent4 3" xfId="83" xr:uid="{00000000-0005-0000-0000-000053000000}"/>
    <cellStyle name="60% - Accent5 2" xfId="46" xr:uid="{00000000-0005-0000-0000-00002E000000}"/>
    <cellStyle name="60% - Accent5 3" xfId="87" xr:uid="{00000000-0005-0000-0000-000057000000}"/>
    <cellStyle name="60% - Accent6 2" xfId="50" xr:uid="{00000000-0005-0000-0000-000032000000}"/>
    <cellStyle name="60% - Accent6 3" xfId="91" xr:uid="{00000000-0005-0000-0000-00005B000000}"/>
    <cellStyle name="Accent1 2" xfId="27" xr:uid="{00000000-0005-0000-0000-00001B000000}"/>
    <cellStyle name="Accent1 3" xfId="68" xr:uid="{00000000-0005-0000-0000-000044000000}"/>
    <cellStyle name="Accent2 2" xfId="31" xr:uid="{00000000-0005-0000-0000-00001F000000}"/>
    <cellStyle name="Accent2 3" xfId="72" xr:uid="{00000000-0005-0000-0000-000048000000}"/>
    <cellStyle name="Accent3 2" xfId="35" xr:uid="{00000000-0005-0000-0000-000023000000}"/>
    <cellStyle name="Accent3 3" xfId="76" xr:uid="{00000000-0005-0000-0000-00004C000000}"/>
    <cellStyle name="Accent4 2" xfId="39" xr:uid="{00000000-0005-0000-0000-000027000000}"/>
    <cellStyle name="Accent4 3" xfId="80" xr:uid="{00000000-0005-0000-0000-000050000000}"/>
    <cellStyle name="Accent5 2" xfId="43" xr:uid="{00000000-0005-0000-0000-00002B000000}"/>
    <cellStyle name="Accent5 3" xfId="84" xr:uid="{00000000-0005-0000-0000-000054000000}"/>
    <cellStyle name="Accent6 2" xfId="47" xr:uid="{00000000-0005-0000-0000-00002F000000}"/>
    <cellStyle name="Accent6 3" xfId="88" xr:uid="{00000000-0005-0000-0000-000058000000}"/>
    <cellStyle name="Bad 2" xfId="17" xr:uid="{00000000-0005-0000-0000-000011000000}"/>
    <cellStyle name="Bad 3" xfId="58" xr:uid="{00000000-0005-0000-0000-00003A000000}"/>
    <cellStyle name="Calculation 2" xfId="21" xr:uid="{00000000-0005-0000-0000-000015000000}"/>
    <cellStyle name="Calculation 3" xfId="62" xr:uid="{00000000-0005-0000-0000-00003E000000}"/>
    <cellStyle name="Check Cell 2" xfId="23" xr:uid="{00000000-0005-0000-0000-000017000000}"/>
    <cellStyle name="Check Cell 3" xfId="64" xr:uid="{00000000-0005-0000-0000-000040000000}"/>
    <cellStyle name="Comma 2" xfId="5" xr:uid="{00000000-0005-0000-0000-000005000000}"/>
    <cellStyle name="Comma 3" xfId="4" xr:uid="{00000000-0005-0000-0000-000004000000}"/>
    <cellStyle name="Comma 3 2" xfId="6" xr:uid="{00000000-0005-0000-0000-000006000000}"/>
    <cellStyle name="Explanatory Text 2" xfId="25" xr:uid="{00000000-0005-0000-0000-000019000000}"/>
    <cellStyle name="Explanatory Text 3" xfId="66" xr:uid="{00000000-0005-0000-0000-000042000000}"/>
    <cellStyle name="Good 2" xfId="16" xr:uid="{00000000-0005-0000-0000-000010000000}"/>
    <cellStyle name="Good 3" xfId="57" xr:uid="{00000000-0005-0000-0000-000039000000}"/>
    <cellStyle name="Heading 1 2" xfId="53" xr:uid="{00000000-0005-0000-0000-000035000000}"/>
    <cellStyle name="Heading 2 2" xfId="54" xr:uid="{00000000-0005-0000-0000-000036000000}"/>
    <cellStyle name="Heading 3 2" xfId="55" xr:uid="{00000000-0005-0000-0000-000037000000}"/>
    <cellStyle name="Heading 4 2" xfId="56" xr:uid="{00000000-0005-0000-0000-000038000000}"/>
    <cellStyle name="Input 2" xfId="19" xr:uid="{00000000-0005-0000-0000-000013000000}"/>
    <cellStyle name="Input 3" xfId="60" xr:uid="{00000000-0005-0000-0000-00003C000000}"/>
    <cellStyle name="Linked Cell 2" xfId="22" xr:uid="{00000000-0005-0000-0000-000016000000}"/>
    <cellStyle name="Linked Cell 3" xfId="63" xr:uid="{00000000-0005-0000-0000-00003F000000}"/>
    <cellStyle name="Neutral 2" xfId="18" xr:uid="{00000000-0005-0000-0000-000012000000}"/>
    <cellStyle name="Neutral 3" xfId="59" xr:uid="{00000000-0005-0000-0000-00003B000000}"/>
    <cellStyle name="Normal" xfId="0" builtinId="0"/>
    <cellStyle name="Normal 2" xfId="2" xr:uid="{00000000-0005-0000-0000-000002000000}"/>
    <cellStyle name="Normal 2 2" xfId="7" xr:uid="{00000000-0005-0000-0000-000007000000}"/>
    <cellStyle name="Normal 3" xfId="1" xr:uid="{00000000-0005-0000-0000-000001000000}"/>
    <cellStyle name="Normal 4" xfId="11" xr:uid="{00000000-0005-0000-0000-00000B000000}"/>
    <cellStyle name="Normal 4 2" xfId="51" xr:uid="{00000000-0005-0000-0000-000033000000}"/>
    <cellStyle name="Normal 5" xfId="13" xr:uid="{00000000-0005-0000-0000-00000D000000}"/>
    <cellStyle name="Normal 6" xfId="14" xr:uid="{00000000-0005-0000-0000-00000E000000}"/>
    <cellStyle name="Note 2" xfId="12" xr:uid="{00000000-0005-0000-0000-00000C000000}"/>
    <cellStyle name="Note 2 2" xfId="52" xr:uid="{00000000-0005-0000-0000-000034000000}"/>
    <cellStyle name="Output 2" xfId="20" xr:uid="{00000000-0005-0000-0000-000014000000}"/>
    <cellStyle name="Output 3" xfId="61" xr:uid="{00000000-0005-0000-0000-00003D000000}"/>
    <cellStyle name="Percent" xfId="10" builtinId="5"/>
    <cellStyle name="Percent 2" xfId="8" xr:uid="{00000000-0005-0000-0000-000008000000}"/>
    <cellStyle name="Percent 3" xfId="9" xr:uid="{00000000-0005-0000-0000-000009000000}"/>
    <cellStyle name="Percent 3 2" xfId="3" xr:uid="{00000000-0005-0000-0000-000003000000}"/>
    <cellStyle name="Percent 4" xfId="15" xr:uid="{00000000-0005-0000-0000-00000F000000}"/>
    <cellStyle name="Total 2" xfId="26" xr:uid="{00000000-0005-0000-0000-00001A000000}"/>
    <cellStyle name="Total 3" xfId="67" xr:uid="{00000000-0005-0000-0000-000043000000}"/>
    <cellStyle name="Warning Text 2" xfId="24" xr:uid="{00000000-0005-0000-0000-000018000000}"/>
    <cellStyle name="Warning Text 3" xfId="65" xr:uid="{00000000-0005-0000-0000-000041000000}"/>
  </cellStyles>
  <dxfs count="690"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774774806268282E-3"/>
          <c:y val="0.15834337033674889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'Dec 25 - Jan 1 17'!$B$3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Jan 1 17'!$A$4:$A$17</c:f>
              <c:strCache>
                <c:ptCount val="11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The Wedge</c:v>
                </c:pt>
                <c:pt idx="6">
                  <c:v>Waterkloof </c:v>
                </c:pt>
                <c:pt idx="7">
                  <c:v>Eagles Landing</c:v>
                </c:pt>
                <c:pt idx="8">
                  <c:v>Stellenbosch</c:v>
                </c:pt>
                <c:pt idx="9">
                  <c:v>Lynnwood</c:v>
                </c:pt>
                <c:pt idx="10">
                  <c:v>Wellington</c:v>
                </c:pt>
              </c:strCache>
            </c:strRef>
          </c:cat>
          <c:val>
            <c:numRef>
              <c:f>'Dec 25 - Jan 1 17'!$B$4:$B$17</c:f>
              <c:numCache>
                <c:formatCode>#\ ##0.00;\(#\ ##0.00\)</c:formatCode>
                <c:ptCount val="11"/>
                <c:pt idx="0" formatCode="_ * #\ ##0.00_ ;_ * \-#\ ##0.00_ ;_ * &quot;-&quot;??_ ;_ @_ ">
                  <c:v>1560252.4499999997</c:v>
                </c:pt>
                <c:pt idx="1">
                  <c:v>262785.48119999998</c:v>
                </c:pt>
                <c:pt idx="2">
                  <c:v>134553.88079999998</c:v>
                </c:pt>
                <c:pt idx="3">
                  <c:v>73186.00499999999</c:v>
                </c:pt>
                <c:pt idx="4">
                  <c:v>262727.67179999995</c:v>
                </c:pt>
                <c:pt idx="5">
                  <c:v>74739.084000000003</c:v>
                </c:pt>
                <c:pt idx="6">
                  <c:v>127301.5998</c:v>
                </c:pt>
                <c:pt idx="7">
                  <c:v>228224.63699999996</c:v>
                </c:pt>
                <c:pt idx="8">
                  <c:v>127170.81899999999</c:v>
                </c:pt>
                <c:pt idx="9">
                  <c:v>129554.99219999998</c:v>
                </c:pt>
                <c:pt idx="10">
                  <c:v>140008.27919999999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9-4FAB-BFF0-296549D919F0}"/>
            </c:ext>
          </c:extLst>
        </c:ser>
        <c:ser>
          <c:idx val="1"/>
          <c:order val="1"/>
          <c:tx>
            <c:strRef>
              <c:f>'Dec 25 - Jan 1 17'!$C$3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Jan 1 17'!$A$4:$A$17</c:f>
              <c:strCache>
                <c:ptCount val="11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The Wedge</c:v>
                </c:pt>
                <c:pt idx="6">
                  <c:v>Waterkloof </c:v>
                </c:pt>
                <c:pt idx="7">
                  <c:v>Eagles Landing</c:v>
                </c:pt>
                <c:pt idx="8">
                  <c:v>Stellenbosch</c:v>
                </c:pt>
                <c:pt idx="9">
                  <c:v>Lynnwood</c:v>
                </c:pt>
                <c:pt idx="10">
                  <c:v>Wellington</c:v>
                </c:pt>
              </c:strCache>
            </c:strRef>
          </c:cat>
          <c:val>
            <c:numRef>
              <c:f>'Dec 25 - Jan 1 17'!$C$4:$C$17</c:f>
              <c:numCache>
                <c:formatCode>#\ ##0.00;\(#\ ##0.00\)</c:formatCode>
                <c:ptCount val="11"/>
                <c:pt idx="0" formatCode="_ * #\ ##0.00_ ;_ * \-#\ ##0.00_ ;_ * &quot;-&quot;??_ ;_ @_ ">
                  <c:v>1643651.1677999999</c:v>
                </c:pt>
                <c:pt idx="1">
                  <c:v>263914.34340000001</c:v>
                </c:pt>
                <c:pt idx="2">
                  <c:v>131205.0852</c:v>
                </c:pt>
                <c:pt idx="3">
                  <c:v>98530.473599999998</c:v>
                </c:pt>
                <c:pt idx="4">
                  <c:v>286871.59499999997</c:v>
                </c:pt>
                <c:pt idx="5">
                  <c:v>112910.4336</c:v>
                </c:pt>
                <c:pt idx="6">
                  <c:v>102979.01579999999</c:v>
                </c:pt>
                <c:pt idx="7">
                  <c:v>280576.34399999998</c:v>
                </c:pt>
                <c:pt idx="8">
                  <c:v>120383.2362</c:v>
                </c:pt>
                <c:pt idx="9">
                  <c:v>140142.30900000001</c:v>
                </c:pt>
                <c:pt idx="10">
                  <c:v>106138.33199999999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99-4FAB-BFF0-296549D919F0}"/>
            </c:ext>
          </c:extLst>
        </c:ser>
        <c:ser>
          <c:idx val="2"/>
          <c:order val="2"/>
          <c:tx>
            <c:strRef>
              <c:f>'Dec 25 - Jan 1 17'!$D$3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Jan 1 17'!$A$4:$A$17</c:f>
              <c:strCache>
                <c:ptCount val="11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The Wedge</c:v>
                </c:pt>
                <c:pt idx="6">
                  <c:v>Waterkloof </c:v>
                </c:pt>
                <c:pt idx="7">
                  <c:v>Eagles Landing</c:v>
                </c:pt>
                <c:pt idx="8">
                  <c:v>Stellenbosch</c:v>
                </c:pt>
                <c:pt idx="9">
                  <c:v>Lynnwood</c:v>
                </c:pt>
                <c:pt idx="10">
                  <c:v>Wellington</c:v>
                </c:pt>
              </c:strCache>
            </c:strRef>
          </c:cat>
          <c:val>
            <c:numRef>
              <c:f>'Dec 25 - Jan 1 17'!$D$4:$D$17</c:f>
              <c:numCache>
                <c:formatCode>#,##0.00</c:formatCode>
                <c:ptCount val="11"/>
                <c:pt idx="0" formatCode="_ * #\ ##0.00_ ;_ * \-#\ ##0.00_ ;_ * &quot;-&quot;??_ ;_ @_ ">
                  <c:v>1532982.4</c:v>
                </c:pt>
                <c:pt idx="1">
                  <c:v>350018.75</c:v>
                </c:pt>
                <c:pt idx="2">
                  <c:v>121256.48</c:v>
                </c:pt>
                <c:pt idx="3">
                  <c:v>101164.58</c:v>
                </c:pt>
                <c:pt idx="4">
                  <c:v>239113.87</c:v>
                </c:pt>
                <c:pt idx="5">
                  <c:v>102757.5</c:v>
                </c:pt>
                <c:pt idx="6">
                  <c:v>182958.8</c:v>
                </c:pt>
                <c:pt idx="7">
                  <c:v>320748.3</c:v>
                </c:pt>
                <c:pt idx="8">
                  <c:v>114964.12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99-4FAB-BFF0-296549D91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334579584"/>
        <c:axId val="435055008"/>
      </c:lineChart>
      <c:catAx>
        <c:axId val="33457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55008"/>
        <c:crosses val="autoZero"/>
        <c:auto val="1"/>
        <c:lblAlgn val="ctr"/>
        <c:lblOffset val="100"/>
        <c:noMultiLvlLbl val="0"/>
      </c:catAx>
      <c:valAx>
        <c:axId val="435055008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33457958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'Dec 25 - Dec 31 17'!$B$3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Dec 31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'Dec 25 - Dec 31 17'!$B$4:$B$20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2856621.1883999994</c:v>
                </c:pt>
                <c:pt idx="1">
                  <c:v>305952.81239999994</c:v>
                </c:pt>
                <c:pt idx="2">
                  <c:v>281625.32639999996</c:v>
                </c:pt>
                <c:pt idx="3">
                  <c:v>57697.543199999993</c:v>
                </c:pt>
                <c:pt idx="4">
                  <c:v>264574.97339999996</c:v>
                </c:pt>
                <c:pt idx="5">
                  <c:v>114275.75459999999</c:v>
                </c:pt>
                <c:pt idx="6">
                  <c:v>277715.10359999997</c:v>
                </c:pt>
                <c:pt idx="7">
                  <c:v>120034.704</c:v>
                </c:pt>
                <c:pt idx="8">
                  <c:v>157076.46179999999</c:v>
                </c:pt>
                <c:pt idx="9">
                  <c:v>195637.77119999996</c:v>
                </c:pt>
                <c:pt idx="10">
                  <c:v>802286.55959999992</c:v>
                </c:pt>
                <c:pt idx="11">
                  <c:v>103389.8832</c:v>
                </c:pt>
                <c:pt idx="12">
                  <c:v>176354.29499999998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AE6-8219-57B4AD7CB01A}"/>
            </c:ext>
          </c:extLst>
        </c:ser>
        <c:ser>
          <c:idx val="1"/>
          <c:order val="1"/>
          <c:tx>
            <c:strRef>
              <c:f>'Dec 25 - Dec 31 17'!$C$3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Dec 31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'Dec 25 - Dec 31 17'!$C$4:$C$20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3322466.0232000002</c:v>
                </c:pt>
                <c:pt idx="1">
                  <c:v>318601.65960000001</c:v>
                </c:pt>
                <c:pt idx="2">
                  <c:v>469831.32359999989</c:v>
                </c:pt>
                <c:pt idx="3">
                  <c:v>106498.0704</c:v>
                </c:pt>
                <c:pt idx="4">
                  <c:v>369985.66619999998</c:v>
                </c:pt>
                <c:pt idx="5">
                  <c:v>96134.945999999982</c:v>
                </c:pt>
                <c:pt idx="6">
                  <c:v>333290.59379999997</c:v>
                </c:pt>
                <c:pt idx="7">
                  <c:v>146877.22380000001</c:v>
                </c:pt>
                <c:pt idx="8">
                  <c:v>208847.9088</c:v>
                </c:pt>
                <c:pt idx="9">
                  <c:v>125407.182</c:v>
                </c:pt>
                <c:pt idx="10">
                  <c:v>697580.9682</c:v>
                </c:pt>
                <c:pt idx="11">
                  <c:v>134771.73480000001</c:v>
                </c:pt>
                <c:pt idx="12">
                  <c:v>314638.74599999998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AE6-8219-57B4AD7CB01A}"/>
            </c:ext>
          </c:extLst>
        </c:ser>
        <c:ser>
          <c:idx val="2"/>
          <c:order val="2"/>
          <c:tx>
            <c:strRef>
              <c:f>'Dec 25 - Dec 31 17'!$D$3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'Dec 25 - Dec 31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'Dec 25 - Dec 31 17'!$D$4:$D$20</c:f>
              <c:numCache>
                <c:formatCode>#,##0.00</c:formatCode>
                <c:ptCount val="13"/>
                <c:pt idx="0" formatCode="_ * #\ ##0.00_ ;_ * \-#\ ##0.00_ ;_ * &quot;-&quot;??_ ;_ @_ ">
                  <c:v>2073497.6298</c:v>
                </c:pt>
                <c:pt idx="1">
                  <c:v>370077.21960000001</c:v>
                </c:pt>
                <c:pt idx="2">
                  <c:v>131902.43460000001</c:v>
                </c:pt>
                <c:pt idx="3">
                  <c:v>107724.8244</c:v>
                </c:pt>
                <c:pt idx="4">
                  <c:v>363439.64939999999</c:v>
                </c:pt>
                <c:pt idx="5">
                  <c:v>155076.65100000001</c:v>
                </c:pt>
                <c:pt idx="6">
                  <c:v>346295.25780000002</c:v>
                </c:pt>
                <c:pt idx="7">
                  <c:v>165704.15280000001</c:v>
                </c:pt>
                <c:pt idx="8">
                  <c:v>185355.38159999999</c:v>
                </c:pt>
                <c:pt idx="9">
                  <c:v>130948.095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A-4AE6-8219-57B4AD7CB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'Jan 1 - Jan 7'!$B$3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1 - Jan 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1 - Jan 7'!$B$4:$B$20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2979026.7618</c:v>
                </c:pt>
                <c:pt idx="1">
                  <c:v>344966.82719999994</c:v>
                </c:pt>
                <c:pt idx="2">
                  <c:v>255007.06739999997</c:v>
                </c:pt>
                <c:pt idx="3">
                  <c:v>81571.468799999988</c:v>
                </c:pt>
                <c:pt idx="4">
                  <c:v>328490.90879999998</c:v>
                </c:pt>
                <c:pt idx="5">
                  <c:v>116016.19259999998</c:v>
                </c:pt>
                <c:pt idx="6">
                  <c:v>302047.1496</c:v>
                </c:pt>
                <c:pt idx="7">
                  <c:v>132438.38279999999</c:v>
                </c:pt>
                <c:pt idx="8">
                  <c:v>185942.43599999999</c:v>
                </c:pt>
                <c:pt idx="9">
                  <c:v>164385.90239999999</c:v>
                </c:pt>
                <c:pt idx="10">
                  <c:v>687439.07219999994</c:v>
                </c:pt>
                <c:pt idx="11">
                  <c:v>121726.27019999998</c:v>
                </c:pt>
                <c:pt idx="12">
                  <c:v>258995.08379999999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6-43D5-99A3-81BB88627CF3}"/>
            </c:ext>
          </c:extLst>
        </c:ser>
        <c:ser>
          <c:idx val="1"/>
          <c:order val="1"/>
          <c:tx>
            <c:strRef>
              <c:f>'Jan 1 - Jan 7'!$C$3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1 - Jan 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1 - Jan 7'!$C$4:$C$20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2856621.1883999989</c:v>
                </c:pt>
                <c:pt idx="1">
                  <c:v>305952.81239999988</c:v>
                </c:pt>
                <c:pt idx="2">
                  <c:v>281625.32640000002</c:v>
                </c:pt>
                <c:pt idx="3">
                  <c:v>57697.543199999993</c:v>
                </c:pt>
                <c:pt idx="4">
                  <c:v>264574.97340000002</c:v>
                </c:pt>
                <c:pt idx="5">
                  <c:v>114275.7546</c:v>
                </c:pt>
                <c:pt idx="6">
                  <c:v>277715.10359999997</c:v>
                </c:pt>
                <c:pt idx="7">
                  <c:v>120034.704</c:v>
                </c:pt>
                <c:pt idx="8">
                  <c:v>157076.46179999999</c:v>
                </c:pt>
                <c:pt idx="9">
                  <c:v>195637.77119999999</c:v>
                </c:pt>
                <c:pt idx="10">
                  <c:v>802286.55959999992</c:v>
                </c:pt>
                <c:pt idx="11">
                  <c:v>103389.8832</c:v>
                </c:pt>
                <c:pt idx="12">
                  <c:v>176354.29500000001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6-43D5-99A3-81BB88627CF3}"/>
            </c:ext>
          </c:extLst>
        </c:ser>
        <c:ser>
          <c:idx val="2"/>
          <c:order val="2"/>
          <c:tx>
            <c:strRef>
              <c:f>'Jan 1 - Jan 7'!$D$3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1 - Jan 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1 - Jan 7'!$D$4:$D$20</c:f>
              <c:numCache>
                <c:formatCode>#,##0.00</c:formatCode>
                <c:ptCount val="13"/>
                <c:pt idx="0" formatCode="_ * #\ ##0.00_ ;_ * \-#\ ##0.00_ ;_ * &quot;-&quot;??_ ;_ @_ ">
                  <c:v>1560252.45</c:v>
                </c:pt>
                <c:pt idx="1">
                  <c:v>262785.48119999998</c:v>
                </c:pt>
                <c:pt idx="2">
                  <c:v>134553.88080000001</c:v>
                </c:pt>
                <c:pt idx="3">
                  <c:v>73186.00499999999</c:v>
                </c:pt>
                <c:pt idx="4">
                  <c:v>262727.67180000001</c:v>
                </c:pt>
                <c:pt idx="5">
                  <c:v>127301.5998</c:v>
                </c:pt>
                <c:pt idx="6">
                  <c:v>228224.63699999999</c:v>
                </c:pt>
                <c:pt idx="7">
                  <c:v>127170.819</c:v>
                </c:pt>
                <c:pt idx="8">
                  <c:v>129554.99219999999</c:v>
                </c:pt>
                <c:pt idx="9">
                  <c:v>140008.27919999999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6-43D5-99A3-81BB88627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'Jan 8 - Jan 14'!$B$3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8 - Jan 14'!$A$4:$A$20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8 - Jan 14'!$B$4:$B$20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2643299.1443999996</c:v>
                </c:pt>
                <c:pt idx="1">
                  <c:v>305923.36619999999</c:v>
                </c:pt>
                <c:pt idx="2">
                  <c:v>185906.11559999999</c:v>
                </c:pt>
                <c:pt idx="3">
                  <c:v>94722.178199999995</c:v>
                </c:pt>
                <c:pt idx="4">
                  <c:v>304281.76620000001</c:v>
                </c:pt>
                <c:pt idx="5">
                  <c:v>134187.91799999998</c:v>
                </c:pt>
                <c:pt idx="6">
                  <c:v>335383.86179999996</c:v>
                </c:pt>
                <c:pt idx="7">
                  <c:v>122355.0144</c:v>
                </c:pt>
                <c:pt idx="8">
                  <c:v>231831.50579999998</c:v>
                </c:pt>
                <c:pt idx="9">
                  <c:v>118642.75259999999</c:v>
                </c:pt>
                <c:pt idx="10">
                  <c:v>392155.23479999998</c:v>
                </c:pt>
                <c:pt idx="11">
                  <c:v>136168.25759999998</c:v>
                </c:pt>
                <c:pt idx="12">
                  <c:v>281741.17319999996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3-43B0-B9C9-83E41A90E7EF}"/>
            </c:ext>
          </c:extLst>
        </c:ser>
        <c:ser>
          <c:idx val="1"/>
          <c:order val="1"/>
          <c:tx>
            <c:strRef>
              <c:f>'Jan 8 - Jan 14'!$C$3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8 - Jan 14'!$A$4:$A$20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8 - Jan 14'!$C$4:$C$20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2979026.7618</c:v>
                </c:pt>
                <c:pt idx="1">
                  <c:v>344966.82719999988</c:v>
                </c:pt>
                <c:pt idx="2">
                  <c:v>255007.0674</c:v>
                </c:pt>
                <c:pt idx="3">
                  <c:v>81571.468799999988</c:v>
                </c:pt>
                <c:pt idx="4">
                  <c:v>328490.90879999998</c:v>
                </c:pt>
                <c:pt idx="5">
                  <c:v>116016.19259999999</c:v>
                </c:pt>
                <c:pt idx="6">
                  <c:v>302047.1496</c:v>
                </c:pt>
                <c:pt idx="7">
                  <c:v>132438.38279999999</c:v>
                </c:pt>
                <c:pt idx="8">
                  <c:v>185942.43599999999</c:v>
                </c:pt>
                <c:pt idx="9">
                  <c:v>164385.90239999999</c:v>
                </c:pt>
                <c:pt idx="10">
                  <c:v>687439.07219999994</c:v>
                </c:pt>
                <c:pt idx="11">
                  <c:v>121726.2702</c:v>
                </c:pt>
                <c:pt idx="12">
                  <c:v>258995.08379999999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3-43B0-B9C9-83E41A90E7EF}"/>
            </c:ext>
          </c:extLst>
        </c:ser>
        <c:ser>
          <c:idx val="2"/>
          <c:order val="2"/>
          <c:tx>
            <c:strRef>
              <c:f>'Jan 8 - Jan 14'!$D$3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8 - Jan 14'!$A$4:$A$20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8 - Jan 14'!$D$4:$D$20</c:f>
              <c:numCache>
                <c:formatCode>#,##0.00</c:formatCode>
                <c:ptCount val="13"/>
                <c:pt idx="0" formatCode="_ * #\ ##0.00_ ;_ * \-#\ ##0.00_ ;_ * &quot;-&quot;??_ ;_ @_ ">
                  <c:v>1856806.0194000001</c:v>
                </c:pt>
                <c:pt idx="1">
                  <c:v>277591.33380000002</c:v>
                </c:pt>
                <c:pt idx="2">
                  <c:v>178260.2268</c:v>
                </c:pt>
                <c:pt idx="3">
                  <c:v>106379.43060000001</c:v>
                </c:pt>
                <c:pt idx="4">
                  <c:v>279925.55219999998</c:v>
                </c:pt>
                <c:pt idx="5">
                  <c:v>148241.6556</c:v>
                </c:pt>
                <c:pt idx="6">
                  <c:v>299760.30959999998</c:v>
                </c:pt>
                <c:pt idx="7">
                  <c:v>146501.0808</c:v>
                </c:pt>
                <c:pt idx="8">
                  <c:v>183625.14660000001</c:v>
                </c:pt>
                <c:pt idx="9">
                  <c:v>115380.97319999999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3-43B0-B9C9-83E41A90E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'Jan 15 - Jan 21'!$B$3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15 - Jan 21'!$A$4:$A$20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15 - Jan 21'!$B$4:$B$20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2399014.29</c:v>
                </c:pt>
                <c:pt idx="1">
                  <c:v>253245.63059999997</c:v>
                </c:pt>
                <c:pt idx="2">
                  <c:v>206112.92339999997</c:v>
                </c:pt>
                <c:pt idx="3">
                  <c:v>93216.260999999984</c:v>
                </c:pt>
                <c:pt idx="4">
                  <c:v>307859.70179999998</c:v>
                </c:pt>
                <c:pt idx="5">
                  <c:v>155811.609</c:v>
                </c:pt>
                <c:pt idx="6">
                  <c:v>338251.48619999998</c:v>
                </c:pt>
                <c:pt idx="7">
                  <c:v>136880.2788</c:v>
                </c:pt>
                <c:pt idx="8">
                  <c:v>237376.24919999999</c:v>
                </c:pt>
                <c:pt idx="9">
                  <c:v>102472.83299999998</c:v>
                </c:pt>
                <c:pt idx="10">
                  <c:v>164762.37599999999</c:v>
                </c:pt>
                <c:pt idx="11">
                  <c:v>142884.24839999998</c:v>
                </c:pt>
                <c:pt idx="12">
                  <c:v>260140.69259999998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E-48F5-849B-AEC8AE3EB26F}"/>
            </c:ext>
          </c:extLst>
        </c:ser>
        <c:ser>
          <c:idx val="1"/>
          <c:order val="1"/>
          <c:tx>
            <c:strRef>
              <c:f>'Jan 15 - Jan 21'!$C$3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15 - Jan 21'!$A$4:$A$20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15 - Jan 21'!$C$4:$C$20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2643299.1444000001</c:v>
                </c:pt>
                <c:pt idx="1">
                  <c:v>305923.36619999999</c:v>
                </c:pt>
                <c:pt idx="2">
                  <c:v>185906.11559999999</c:v>
                </c:pt>
                <c:pt idx="3">
                  <c:v>94722.178199999995</c:v>
                </c:pt>
                <c:pt idx="4">
                  <c:v>304281.76620000001</c:v>
                </c:pt>
                <c:pt idx="5">
                  <c:v>134187.91800000001</c:v>
                </c:pt>
                <c:pt idx="6">
                  <c:v>335383.86180000001</c:v>
                </c:pt>
                <c:pt idx="7">
                  <c:v>122355.0144</c:v>
                </c:pt>
                <c:pt idx="8">
                  <c:v>231831.50580000001</c:v>
                </c:pt>
                <c:pt idx="9">
                  <c:v>118642.75260000001</c:v>
                </c:pt>
                <c:pt idx="10">
                  <c:v>392155.23479999998</c:v>
                </c:pt>
                <c:pt idx="11">
                  <c:v>136168.25760000001</c:v>
                </c:pt>
                <c:pt idx="12">
                  <c:v>281741.17320000002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E-48F5-849B-AEC8AE3EB26F}"/>
            </c:ext>
          </c:extLst>
        </c:ser>
        <c:ser>
          <c:idx val="2"/>
          <c:order val="2"/>
          <c:tx>
            <c:strRef>
              <c:f>'Jan 15 - Jan 21'!$D$3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15 - Jan 21'!$A$4:$A$20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15 - Jan 21'!$D$4:$D$20</c:f>
              <c:numCache>
                <c:formatCode>#,##0.00</c:formatCode>
                <c:ptCount val="13"/>
                <c:pt idx="0" formatCode="_ * #\ ##0.00_ ;_ * \-#\ ##0.00_ ;_ * &quot;-&quot;??_ ;_ @_ ">
                  <c:v>1841285.2842000001</c:v>
                </c:pt>
                <c:pt idx="1">
                  <c:v>218358.7464</c:v>
                </c:pt>
                <c:pt idx="2">
                  <c:v>180684.0606</c:v>
                </c:pt>
                <c:pt idx="3">
                  <c:v>111006.49679999999</c:v>
                </c:pt>
                <c:pt idx="4">
                  <c:v>309025.61399999988</c:v>
                </c:pt>
                <c:pt idx="5">
                  <c:v>150071.8002</c:v>
                </c:pt>
                <c:pt idx="6">
                  <c:v>320712.25559999997</c:v>
                </c:pt>
                <c:pt idx="7">
                  <c:v>146267.5062</c:v>
                </c:pt>
                <c:pt idx="8">
                  <c:v>190827.2562</c:v>
                </c:pt>
                <c:pt idx="9">
                  <c:v>107767.49460000001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BE-48F5-849B-AEC8AE3EB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'Jan 22 - Jan 28'!$B$3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22 - Jan 28'!$A$4:$A$20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22 - Jan 28'!$B$4:$B$20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2606599.2726000003</c:v>
                </c:pt>
                <c:pt idx="1">
                  <c:v>264313.37759999995</c:v>
                </c:pt>
                <c:pt idx="2">
                  <c:v>213566.89319999999</c:v>
                </c:pt>
                <c:pt idx="3">
                  <c:v>137327.52359999999</c:v>
                </c:pt>
                <c:pt idx="4">
                  <c:v>357823.22279999999</c:v>
                </c:pt>
                <c:pt idx="5">
                  <c:v>188434.96619999997</c:v>
                </c:pt>
                <c:pt idx="6">
                  <c:v>359683.1214</c:v>
                </c:pt>
                <c:pt idx="7">
                  <c:v>168001.2072</c:v>
                </c:pt>
                <c:pt idx="8">
                  <c:v>278483.66879999998</c:v>
                </c:pt>
                <c:pt idx="9">
                  <c:v>94560.913799999995</c:v>
                </c:pt>
                <c:pt idx="10">
                  <c:v>160221.08339999997</c:v>
                </c:pt>
                <c:pt idx="11">
                  <c:v>135100.75019999998</c:v>
                </c:pt>
                <c:pt idx="12">
                  <c:v>249082.54439999996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0-4C4A-8487-48F845DD16BA}"/>
            </c:ext>
          </c:extLst>
        </c:ser>
        <c:ser>
          <c:idx val="1"/>
          <c:order val="1"/>
          <c:tx>
            <c:strRef>
              <c:f>'Jan 22 - Jan 28'!$C$3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22 - Jan 28'!$A$4:$A$20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22 - Jan 28'!$C$4:$C$20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2558916.2075999998</c:v>
                </c:pt>
                <c:pt idx="1">
                  <c:v>250459.83540000001</c:v>
                </c:pt>
                <c:pt idx="2">
                  <c:v>221428.242</c:v>
                </c:pt>
                <c:pt idx="3">
                  <c:v>117640.5558</c:v>
                </c:pt>
                <c:pt idx="4">
                  <c:v>358315.94219999987</c:v>
                </c:pt>
                <c:pt idx="5">
                  <c:v>164641.19399999999</c:v>
                </c:pt>
                <c:pt idx="6">
                  <c:v>374237.28480000002</c:v>
                </c:pt>
                <c:pt idx="7">
                  <c:v>156808.25399999999</c:v>
                </c:pt>
                <c:pt idx="8">
                  <c:v>218636.04</c:v>
                </c:pt>
                <c:pt idx="9">
                  <c:v>91792.298399999985</c:v>
                </c:pt>
                <c:pt idx="10">
                  <c:v>155666.76060000001</c:v>
                </c:pt>
                <c:pt idx="11">
                  <c:v>154656.84599999999</c:v>
                </c:pt>
                <c:pt idx="12">
                  <c:v>294632.95439999999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0-4C4A-8487-48F845DD16BA}"/>
            </c:ext>
          </c:extLst>
        </c:ser>
        <c:ser>
          <c:idx val="2"/>
          <c:order val="2"/>
          <c:tx>
            <c:strRef>
              <c:f>'Jan 22 - Jan 28'!$D$3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22 - Jan 28'!$A$4:$A$20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22 - Jan 28'!$D$4:$D$20</c:f>
              <c:numCache>
                <c:formatCode>#,##0.00</c:formatCode>
                <c:ptCount val="13"/>
                <c:pt idx="0" formatCode="_ * #\ ##0.00_ ;_ * \-#\ ##0.00_ ;_ * &quot;-&quot;??_ ;_ @_ ">
                  <c:v>1980443.3628</c:v>
                </c:pt>
                <c:pt idx="1">
                  <c:v>255430.25820000001</c:v>
                </c:pt>
                <c:pt idx="2">
                  <c:v>196385.12100000001</c:v>
                </c:pt>
                <c:pt idx="3">
                  <c:v>112277.0724</c:v>
                </c:pt>
                <c:pt idx="4">
                  <c:v>340323.37920000002</c:v>
                </c:pt>
                <c:pt idx="5">
                  <c:v>162490.071</c:v>
                </c:pt>
                <c:pt idx="6">
                  <c:v>326614.24079999991</c:v>
                </c:pt>
                <c:pt idx="7">
                  <c:v>142935.1722</c:v>
                </c:pt>
                <c:pt idx="8">
                  <c:v>216676.36859999999</c:v>
                </c:pt>
                <c:pt idx="9">
                  <c:v>114210.5238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0-4C4A-8487-48F845DD1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'Jan 29 - Feb 4'!$B$3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29 - Feb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29 - Feb 4'!$B$4:$B$20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2558916.2075999998</c:v>
                </c:pt>
                <c:pt idx="1">
                  <c:v>250459.83539999995</c:v>
                </c:pt>
                <c:pt idx="2">
                  <c:v>221428.24199999997</c:v>
                </c:pt>
                <c:pt idx="3">
                  <c:v>117640.55579999999</c:v>
                </c:pt>
                <c:pt idx="4">
                  <c:v>358315.94219999993</c:v>
                </c:pt>
                <c:pt idx="5">
                  <c:v>164641.19399999999</c:v>
                </c:pt>
                <c:pt idx="6">
                  <c:v>374237.28479999996</c:v>
                </c:pt>
                <c:pt idx="7">
                  <c:v>156808.25399999999</c:v>
                </c:pt>
                <c:pt idx="8">
                  <c:v>218636.03999999998</c:v>
                </c:pt>
                <c:pt idx="9">
                  <c:v>91792.298399999985</c:v>
                </c:pt>
                <c:pt idx="10">
                  <c:v>155666.76060000001</c:v>
                </c:pt>
                <c:pt idx="11">
                  <c:v>154656.84599999999</c:v>
                </c:pt>
                <c:pt idx="12">
                  <c:v>294632.95439999999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9-4AED-8827-3EED85FADBCC}"/>
            </c:ext>
          </c:extLst>
        </c:ser>
        <c:ser>
          <c:idx val="1"/>
          <c:order val="1"/>
          <c:tx>
            <c:strRef>
              <c:f>'Jan 29 - Feb 4'!$C$3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29 - Feb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29 - Feb 4'!$C$4:$C$20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2399014.29</c:v>
                </c:pt>
                <c:pt idx="1">
                  <c:v>253245.6306</c:v>
                </c:pt>
                <c:pt idx="2">
                  <c:v>206112.9234</c:v>
                </c:pt>
                <c:pt idx="3">
                  <c:v>93216.260999999984</c:v>
                </c:pt>
                <c:pt idx="4">
                  <c:v>307859.70179999998</c:v>
                </c:pt>
                <c:pt idx="5">
                  <c:v>155811.609</c:v>
                </c:pt>
                <c:pt idx="6">
                  <c:v>338251.48619999998</c:v>
                </c:pt>
                <c:pt idx="7">
                  <c:v>136880.2788</c:v>
                </c:pt>
                <c:pt idx="8">
                  <c:v>237376.24919999999</c:v>
                </c:pt>
                <c:pt idx="9">
                  <c:v>102472.833</c:v>
                </c:pt>
                <c:pt idx="10">
                  <c:v>164762.37599999999</c:v>
                </c:pt>
                <c:pt idx="11">
                  <c:v>142884.24840000001</c:v>
                </c:pt>
                <c:pt idx="12">
                  <c:v>260140.69260000001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9-4AED-8827-3EED85FADBCC}"/>
            </c:ext>
          </c:extLst>
        </c:ser>
        <c:ser>
          <c:idx val="2"/>
          <c:order val="2"/>
          <c:tx>
            <c:strRef>
              <c:f>'Jan 29 - Feb 4'!$D$3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'Jan 29 - Feb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'Jan 29 - Feb 4'!$D$4:$D$20</c:f>
              <c:numCache>
                <c:formatCode>#,##0.00</c:formatCode>
                <c:ptCount val="13"/>
                <c:pt idx="0" formatCode="_ * #\ ##0.00_ ;_ * \-#\ ##0.00_ ;_ * &quot;-&quot;??_ ;_ @_ ">
                  <c:v>1961619.6942</c:v>
                </c:pt>
                <c:pt idx="1">
                  <c:v>243951.92879999999</c:v>
                </c:pt>
                <c:pt idx="2">
                  <c:v>189747.6876</c:v>
                </c:pt>
                <c:pt idx="3">
                  <c:v>117464.34600000001</c:v>
                </c:pt>
                <c:pt idx="4">
                  <c:v>314432.09819999989</c:v>
                </c:pt>
                <c:pt idx="5">
                  <c:v>154265.83739999999</c:v>
                </c:pt>
                <c:pt idx="6">
                  <c:v>348943.23839999997</c:v>
                </c:pt>
                <c:pt idx="7">
                  <c:v>158301.1182</c:v>
                </c:pt>
                <c:pt idx="8">
                  <c:v>218844.27239999999</c:v>
                </c:pt>
                <c:pt idx="9">
                  <c:v>99077.570999999982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9-4AED-8827-3EED85FAD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'Feb 5 - Feb 11'!$B$3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5 - Feb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5 - Feb 11'!$B$4:$B$20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2458264.7069999999</c:v>
                </c:pt>
                <c:pt idx="1">
                  <c:v>238102.08719999998</c:v>
                </c:pt>
                <c:pt idx="2">
                  <c:v>197212.7838</c:v>
                </c:pt>
                <c:pt idx="3">
                  <c:v>118452.9198</c:v>
                </c:pt>
                <c:pt idx="4">
                  <c:v>355813.71059999993</c:v>
                </c:pt>
                <c:pt idx="5">
                  <c:v>162435.06599999999</c:v>
                </c:pt>
                <c:pt idx="6">
                  <c:v>342947.11199999996</c:v>
                </c:pt>
                <c:pt idx="7">
                  <c:v>140945.8266</c:v>
                </c:pt>
                <c:pt idx="8">
                  <c:v>208903.11899999998</c:v>
                </c:pt>
                <c:pt idx="9">
                  <c:v>87776.682599999986</c:v>
                </c:pt>
                <c:pt idx="10">
                  <c:v>185732.21999999997</c:v>
                </c:pt>
                <c:pt idx="11">
                  <c:v>172590.52799999999</c:v>
                </c:pt>
                <c:pt idx="12">
                  <c:v>247352.6514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4-435C-B525-38777715BAFD}"/>
            </c:ext>
          </c:extLst>
        </c:ser>
        <c:ser>
          <c:idx val="1"/>
          <c:order val="1"/>
          <c:tx>
            <c:strRef>
              <c:f>'Feb 5 - Feb 11'!$C$3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5 - Feb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5 - Feb 11'!$C$4:$C$20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2606599.2725999998</c:v>
                </c:pt>
                <c:pt idx="1">
                  <c:v>264313.37759999989</c:v>
                </c:pt>
                <c:pt idx="2">
                  <c:v>213566.89319999999</c:v>
                </c:pt>
                <c:pt idx="3">
                  <c:v>137327.52359999999</c:v>
                </c:pt>
                <c:pt idx="4">
                  <c:v>357823.22279999999</c:v>
                </c:pt>
                <c:pt idx="5">
                  <c:v>188434.9662</c:v>
                </c:pt>
                <c:pt idx="6">
                  <c:v>359683.1214</c:v>
                </c:pt>
                <c:pt idx="7">
                  <c:v>168001.2072</c:v>
                </c:pt>
                <c:pt idx="8">
                  <c:v>278483.66879999998</c:v>
                </c:pt>
                <c:pt idx="9">
                  <c:v>94560.913799999995</c:v>
                </c:pt>
                <c:pt idx="10">
                  <c:v>160221.0834</c:v>
                </c:pt>
                <c:pt idx="11">
                  <c:v>135100.75020000001</c:v>
                </c:pt>
                <c:pt idx="12">
                  <c:v>249082.54440000001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44-435C-B525-38777715BAFD}"/>
            </c:ext>
          </c:extLst>
        </c:ser>
        <c:ser>
          <c:idx val="2"/>
          <c:order val="2"/>
          <c:tx>
            <c:strRef>
              <c:f>'Feb 5 - Feb 11'!$D$3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5 - Feb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5 - Feb 11'!$D$4:$D$20</c:f>
              <c:numCache>
                <c:formatCode>#,##0.00</c:formatCode>
                <c:ptCount val="13"/>
                <c:pt idx="0" formatCode="_ * #\ ##0.00_ ;_ * \-#\ ##0.00_ ;_ * &quot;-&quot;??_ ;_ @_ ">
                  <c:v>1873856.9765999999</c:v>
                </c:pt>
                <c:pt idx="1">
                  <c:v>274609.58399999997</c:v>
                </c:pt>
                <c:pt idx="2">
                  <c:v>194885.28</c:v>
                </c:pt>
                <c:pt idx="3">
                  <c:v>105552.32640000001</c:v>
                </c:pt>
                <c:pt idx="4">
                  <c:v>303057.42899999989</c:v>
                </c:pt>
                <c:pt idx="5">
                  <c:v>189023.84460000001</c:v>
                </c:pt>
                <c:pt idx="6">
                  <c:v>328229.93999999989</c:v>
                </c:pt>
                <c:pt idx="7">
                  <c:v>151888.8462</c:v>
                </c:pt>
                <c:pt idx="8">
                  <c:v>199726.63200000001</c:v>
                </c:pt>
                <c:pt idx="9">
                  <c:v>126883.0944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44-435C-B525-38777715B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'Feb 12 - Feb 18'!$B$3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12 - Feb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12 - Feb 18'!$B$4:$B$20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2683693.3685999992</c:v>
                </c:pt>
                <c:pt idx="1">
                  <c:v>276311.946</c:v>
                </c:pt>
                <c:pt idx="2">
                  <c:v>236601.3</c:v>
                </c:pt>
                <c:pt idx="3">
                  <c:v>130404.65699999999</c:v>
                </c:pt>
                <c:pt idx="4">
                  <c:v>369527.86499999999</c:v>
                </c:pt>
                <c:pt idx="5">
                  <c:v>205533.21059999999</c:v>
                </c:pt>
                <c:pt idx="6">
                  <c:v>337363.46039999998</c:v>
                </c:pt>
                <c:pt idx="7">
                  <c:v>147341.36339999997</c:v>
                </c:pt>
                <c:pt idx="8">
                  <c:v>249269.1966</c:v>
                </c:pt>
                <c:pt idx="9">
                  <c:v>134409.83039999998</c:v>
                </c:pt>
                <c:pt idx="10">
                  <c:v>182040.3414</c:v>
                </c:pt>
                <c:pt idx="11">
                  <c:v>162343.17059999998</c:v>
                </c:pt>
                <c:pt idx="12">
                  <c:v>252547.02719999998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D-4DFA-9513-7C3DB572CFC8}"/>
            </c:ext>
          </c:extLst>
        </c:ser>
        <c:ser>
          <c:idx val="1"/>
          <c:order val="1"/>
          <c:tx>
            <c:strRef>
              <c:f>'Feb 12 - Feb 18'!$C$3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12 - Feb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12 - Feb 18'!$C$4:$C$20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2458264.7069999999</c:v>
                </c:pt>
                <c:pt idx="1">
                  <c:v>238102.08720000001</c:v>
                </c:pt>
                <c:pt idx="2">
                  <c:v>197212.7838</c:v>
                </c:pt>
                <c:pt idx="3">
                  <c:v>118452.9198</c:v>
                </c:pt>
                <c:pt idx="4">
                  <c:v>355813.71059999987</c:v>
                </c:pt>
                <c:pt idx="5">
                  <c:v>162435.06599999999</c:v>
                </c:pt>
                <c:pt idx="6">
                  <c:v>342947.11200000002</c:v>
                </c:pt>
                <c:pt idx="7">
                  <c:v>140945.8266</c:v>
                </c:pt>
                <c:pt idx="8">
                  <c:v>208903.11900000001</c:v>
                </c:pt>
                <c:pt idx="9">
                  <c:v>87776.682599999986</c:v>
                </c:pt>
                <c:pt idx="10">
                  <c:v>185732.22</c:v>
                </c:pt>
                <c:pt idx="11">
                  <c:v>172590.52799999999</c:v>
                </c:pt>
                <c:pt idx="12">
                  <c:v>247352.6514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D-4DFA-9513-7C3DB572CFC8}"/>
            </c:ext>
          </c:extLst>
        </c:ser>
        <c:ser>
          <c:idx val="2"/>
          <c:order val="2"/>
          <c:tx>
            <c:strRef>
              <c:f>'Feb 12 - Feb 18'!$D$3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12 - Feb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12 - Feb 18'!$D$4:$D$20</c:f>
              <c:numCache>
                <c:formatCode>#,##0.00</c:formatCode>
                <c:ptCount val="13"/>
                <c:pt idx="0" formatCode="_ * #\ ##0.00_ ;_ * \-#\ ##0.00_ ;_ * &quot;-&quot;??_ ;_ @_ ">
                  <c:v>1873856.9765999999</c:v>
                </c:pt>
                <c:pt idx="1">
                  <c:v>260122.14480000001</c:v>
                </c:pt>
                <c:pt idx="2">
                  <c:v>175341.30239999999</c:v>
                </c:pt>
                <c:pt idx="3">
                  <c:v>118462.929</c:v>
                </c:pt>
                <c:pt idx="4">
                  <c:v>341588.79059999989</c:v>
                </c:pt>
                <c:pt idx="5">
                  <c:v>204963.0282</c:v>
                </c:pt>
                <c:pt idx="6">
                  <c:v>327136.72559999989</c:v>
                </c:pt>
                <c:pt idx="7">
                  <c:v>153294.61439999999</c:v>
                </c:pt>
                <c:pt idx="8">
                  <c:v>227554.0662</c:v>
                </c:pt>
                <c:pt idx="9">
                  <c:v>138458.15280000001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D-4DFA-9513-7C3DB572C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'Feb 19 - Feb 25'!$B$3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19 - Feb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19 - Feb 25'!$B$4:$B$20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2641388.9147999994</c:v>
                </c:pt>
                <c:pt idx="1">
                  <c:v>267464.31479999999</c:v>
                </c:pt>
                <c:pt idx="2">
                  <c:v>223776.36839999998</c:v>
                </c:pt>
                <c:pt idx="3">
                  <c:v>121431.23819999999</c:v>
                </c:pt>
                <c:pt idx="4">
                  <c:v>412933.86659999995</c:v>
                </c:pt>
                <c:pt idx="5">
                  <c:v>161457.72119999997</c:v>
                </c:pt>
                <c:pt idx="6">
                  <c:v>344235.02699999994</c:v>
                </c:pt>
                <c:pt idx="7">
                  <c:v>132910.149</c:v>
                </c:pt>
                <c:pt idx="8">
                  <c:v>224308.40639999998</c:v>
                </c:pt>
                <c:pt idx="9">
                  <c:v>87662.477400000003</c:v>
                </c:pt>
                <c:pt idx="10">
                  <c:v>171061.81079999998</c:v>
                </c:pt>
                <c:pt idx="11">
                  <c:v>208108.86960000001</c:v>
                </c:pt>
                <c:pt idx="12">
                  <c:v>286038.66539999994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7-4FE5-B711-4E8137091798}"/>
            </c:ext>
          </c:extLst>
        </c:ser>
        <c:ser>
          <c:idx val="1"/>
          <c:order val="1"/>
          <c:tx>
            <c:strRef>
              <c:f>'Feb 19 - Feb 25'!$C$3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19 - Feb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19 - Feb 25'!$C$4:$C$20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2683693.3685999992</c:v>
                </c:pt>
                <c:pt idx="1">
                  <c:v>276311.946</c:v>
                </c:pt>
                <c:pt idx="2">
                  <c:v>236601.3</c:v>
                </c:pt>
                <c:pt idx="3">
                  <c:v>130404.65700000001</c:v>
                </c:pt>
                <c:pt idx="4">
                  <c:v>369527.86499999999</c:v>
                </c:pt>
                <c:pt idx="5">
                  <c:v>205533.21059999999</c:v>
                </c:pt>
                <c:pt idx="6">
                  <c:v>337363.46039999998</c:v>
                </c:pt>
                <c:pt idx="7">
                  <c:v>147341.3634</c:v>
                </c:pt>
                <c:pt idx="8">
                  <c:v>249269.1966</c:v>
                </c:pt>
                <c:pt idx="9">
                  <c:v>134409.83040000001</c:v>
                </c:pt>
                <c:pt idx="10">
                  <c:v>182040.3414</c:v>
                </c:pt>
                <c:pt idx="11">
                  <c:v>162343.17060000001</c:v>
                </c:pt>
                <c:pt idx="12">
                  <c:v>252547.02720000001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C7-4FE5-B711-4E8137091798}"/>
            </c:ext>
          </c:extLst>
        </c:ser>
        <c:ser>
          <c:idx val="2"/>
          <c:order val="2"/>
          <c:tx>
            <c:strRef>
              <c:f>'Feb 19 - Feb 25'!$D$3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19 - Feb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19 - Feb 25'!$D$4:$D$20</c:f>
              <c:numCache>
                <c:formatCode>#,##0.00</c:formatCode>
                <c:ptCount val="13"/>
                <c:pt idx="0" formatCode="_ * #\ ##0.00_ ;_ * \-#\ ##0.00_ ;_ * &quot;-&quot;??_ ;_ @_ ">
                  <c:v>1838805.0318</c:v>
                </c:pt>
                <c:pt idx="1">
                  <c:v>259839.97200000001</c:v>
                </c:pt>
                <c:pt idx="2">
                  <c:v>193657.386</c:v>
                </c:pt>
                <c:pt idx="3">
                  <c:v>103002.51119999999</c:v>
                </c:pt>
                <c:pt idx="4">
                  <c:v>324940.24200000003</c:v>
                </c:pt>
                <c:pt idx="5">
                  <c:v>166134.62820000001</c:v>
                </c:pt>
                <c:pt idx="6">
                  <c:v>328236.32400000002</c:v>
                </c:pt>
                <c:pt idx="7">
                  <c:v>158152.72440000001</c:v>
                </c:pt>
                <c:pt idx="8">
                  <c:v>190772.18280000001</c:v>
                </c:pt>
                <c:pt idx="9">
                  <c:v>114069.0612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C7-4FE5-B711-4E8137091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'Feb 26 - Mar 4'!$B$3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26 - Mar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26 - Mar 4'!$B$4:$B$20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2654746.8990000002</c:v>
                </c:pt>
                <c:pt idx="1">
                  <c:v>284079.96299999999</c:v>
                </c:pt>
                <c:pt idx="2">
                  <c:v>236736.49259999997</c:v>
                </c:pt>
                <c:pt idx="3">
                  <c:v>121133.89199999999</c:v>
                </c:pt>
                <c:pt idx="4">
                  <c:v>412964.15639999998</c:v>
                </c:pt>
                <c:pt idx="5">
                  <c:v>174201.92939999996</c:v>
                </c:pt>
                <c:pt idx="6">
                  <c:v>363190.81019999995</c:v>
                </c:pt>
                <c:pt idx="7">
                  <c:v>150563.14019999997</c:v>
                </c:pt>
                <c:pt idx="8">
                  <c:v>253716.87239999999</c:v>
                </c:pt>
                <c:pt idx="9">
                  <c:v>107610.1632</c:v>
                </c:pt>
                <c:pt idx="10">
                  <c:v>153225.21119999996</c:v>
                </c:pt>
                <c:pt idx="11">
                  <c:v>145563.4308</c:v>
                </c:pt>
                <c:pt idx="12">
                  <c:v>251760.83759999997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A-4EFF-B292-31D871AD186C}"/>
            </c:ext>
          </c:extLst>
        </c:ser>
        <c:ser>
          <c:idx val="1"/>
          <c:order val="1"/>
          <c:tx>
            <c:strRef>
              <c:f>'Feb 26 - Mar 4'!$C$3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26 - Mar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26 - Mar 4'!$C$4:$C$20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2641388.914799999</c:v>
                </c:pt>
                <c:pt idx="1">
                  <c:v>267464.31479999999</c:v>
                </c:pt>
                <c:pt idx="2">
                  <c:v>223776.36840000001</c:v>
                </c:pt>
                <c:pt idx="3">
                  <c:v>121431.23820000001</c:v>
                </c:pt>
                <c:pt idx="4">
                  <c:v>412933.86660000001</c:v>
                </c:pt>
                <c:pt idx="5">
                  <c:v>161457.7212</c:v>
                </c:pt>
                <c:pt idx="6">
                  <c:v>344235.02699999989</c:v>
                </c:pt>
                <c:pt idx="7">
                  <c:v>132910.149</c:v>
                </c:pt>
                <c:pt idx="8">
                  <c:v>224308.40640000001</c:v>
                </c:pt>
                <c:pt idx="9">
                  <c:v>87662.477400000003</c:v>
                </c:pt>
                <c:pt idx="10">
                  <c:v>171061.81080000001</c:v>
                </c:pt>
                <c:pt idx="11">
                  <c:v>208108.86960000001</c:v>
                </c:pt>
                <c:pt idx="12">
                  <c:v>286038.66539999988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A-4EFF-B292-31D871AD186C}"/>
            </c:ext>
          </c:extLst>
        </c:ser>
        <c:ser>
          <c:idx val="2"/>
          <c:order val="2"/>
          <c:tx>
            <c:strRef>
              <c:f>'Feb 26 - Mar 4'!$D$3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'Feb 26 - Mar 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'Feb 26 - Mar 4'!$D$4:$D$20</c:f>
              <c:numCache>
                <c:formatCode>#,##0.00</c:formatCode>
                <c:ptCount val="13"/>
                <c:pt idx="0" formatCode="_ * #\ ##0.00_ ;_ * \-#\ ##0.00_ ;_ * &quot;-&quot;??_ ;_ @_ ">
                  <c:v>1849316.1510000001</c:v>
                </c:pt>
                <c:pt idx="1">
                  <c:v>250866.67860000001</c:v>
                </c:pt>
                <c:pt idx="2">
                  <c:v>188660.77739999999</c:v>
                </c:pt>
                <c:pt idx="3">
                  <c:v>127092.62639999999</c:v>
                </c:pt>
                <c:pt idx="4">
                  <c:v>343264.18019999989</c:v>
                </c:pt>
                <c:pt idx="5">
                  <c:v>174733.13519999999</c:v>
                </c:pt>
                <c:pt idx="6">
                  <c:v>343316.7</c:v>
                </c:pt>
                <c:pt idx="7">
                  <c:v>149180.71919999999</c:v>
                </c:pt>
                <c:pt idx="8">
                  <c:v>182243.7972</c:v>
                </c:pt>
                <c:pt idx="9">
                  <c:v>89957.536799999987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A-4EFF-B292-31D871AD1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'Mar 5 - Mar 11'!$B$3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5 - Mar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5 - Mar 11'!$B$4:$B$20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2510428.1202000002</c:v>
                </c:pt>
                <c:pt idx="1">
                  <c:v>253669.09499999997</c:v>
                </c:pt>
                <c:pt idx="2">
                  <c:v>201294.24599999998</c:v>
                </c:pt>
                <c:pt idx="3">
                  <c:v>112541.0508</c:v>
                </c:pt>
                <c:pt idx="4">
                  <c:v>373639.85639999999</c:v>
                </c:pt>
                <c:pt idx="5">
                  <c:v>167563.54980000001</c:v>
                </c:pt>
                <c:pt idx="6">
                  <c:v>358608.32939999999</c:v>
                </c:pt>
                <c:pt idx="7">
                  <c:v>165013.27859999996</c:v>
                </c:pt>
                <c:pt idx="8">
                  <c:v>238418.40299999999</c:v>
                </c:pt>
                <c:pt idx="9">
                  <c:v>84512.76</c:v>
                </c:pt>
                <c:pt idx="10">
                  <c:v>152120.6538</c:v>
                </c:pt>
                <c:pt idx="11">
                  <c:v>153756.06359999996</c:v>
                </c:pt>
                <c:pt idx="12">
                  <c:v>249290.83379999999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A-469B-A900-FBAF5461D749}"/>
            </c:ext>
          </c:extLst>
        </c:ser>
        <c:ser>
          <c:idx val="1"/>
          <c:order val="1"/>
          <c:tx>
            <c:strRef>
              <c:f>'Mar 5 - Mar 11'!$C$3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5 - Mar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5 - Mar 11'!$C$4:$C$20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2654746.8990000002</c:v>
                </c:pt>
                <c:pt idx="1">
                  <c:v>284079.96299999999</c:v>
                </c:pt>
                <c:pt idx="2">
                  <c:v>236736.4926</c:v>
                </c:pt>
                <c:pt idx="3">
                  <c:v>121133.89200000001</c:v>
                </c:pt>
                <c:pt idx="4">
                  <c:v>412964.15639999998</c:v>
                </c:pt>
                <c:pt idx="5">
                  <c:v>174201.92939999999</c:v>
                </c:pt>
                <c:pt idx="6">
                  <c:v>363190.81019999989</c:v>
                </c:pt>
                <c:pt idx="7">
                  <c:v>150563.14019999999</c:v>
                </c:pt>
                <c:pt idx="8">
                  <c:v>253716.87239999999</c:v>
                </c:pt>
                <c:pt idx="9">
                  <c:v>107610.1632</c:v>
                </c:pt>
                <c:pt idx="10">
                  <c:v>153225.21119999999</c:v>
                </c:pt>
                <c:pt idx="11">
                  <c:v>145563.4308</c:v>
                </c:pt>
                <c:pt idx="12">
                  <c:v>251760.8376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0A-469B-A900-FBAF5461D749}"/>
            </c:ext>
          </c:extLst>
        </c:ser>
        <c:ser>
          <c:idx val="2"/>
          <c:order val="2"/>
          <c:tx>
            <c:strRef>
              <c:f>'Mar 5 - Mar 11'!$D$3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5 - Mar 11'!$A$4:$A$20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5 - Mar 11'!$D$4:$D$20</c:f>
              <c:numCache>
                <c:formatCode>#,##0.00</c:formatCode>
                <c:ptCount val="13"/>
                <c:pt idx="0" formatCode="_ * #\ ##0.00_ ;_ * \-#\ ##0.00_ ;_ * &quot;-&quot;??_ ;_ @_ ">
                  <c:v>1634898.7608</c:v>
                </c:pt>
                <c:pt idx="1">
                  <c:v>226151.75219999999</c:v>
                </c:pt>
                <c:pt idx="2">
                  <c:v>168726.21299999999</c:v>
                </c:pt>
                <c:pt idx="3">
                  <c:v>113762.2758</c:v>
                </c:pt>
                <c:pt idx="4">
                  <c:v>274721.1102</c:v>
                </c:pt>
                <c:pt idx="5">
                  <c:v>144546.27720000001</c:v>
                </c:pt>
                <c:pt idx="6">
                  <c:v>279323.82599999988</c:v>
                </c:pt>
                <c:pt idx="7">
                  <c:v>149269.36559999999</c:v>
                </c:pt>
                <c:pt idx="8">
                  <c:v>179858.08499999999</c:v>
                </c:pt>
                <c:pt idx="9">
                  <c:v>98539.85579999999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0A-469B-A900-FBAF5461D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'Mar 12 - Mar 18'!$B$3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12 - Mar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12 - Mar 18'!$B$4:$B$20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2481034.4399999995</c:v>
                </c:pt>
                <c:pt idx="1">
                  <c:v>245340.84779999996</c:v>
                </c:pt>
                <c:pt idx="2">
                  <c:v>186092.34599999999</c:v>
                </c:pt>
                <c:pt idx="3">
                  <c:v>105150.71579999999</c:v>
                </c:pt>
                <c:pt idx="4">
                  <c:v>367695.6</c:v>
                </c:pt>
                <c:pt idx="5">
                  <c:v>167414.47199999998</c:v>
                </c:pt>
                <c:pt idx="6">
                  <c:v>375410.81219999993</c:v>
                </c:pt>
                <c:pt idx="7">
                  <c:v>128294.859</c:v>
                </c:pt>
                <c:pt idx="8">
                  <c:v>236653.56899999999</c:v>
                </c:pt>
                <c:pt idx="9">
                  <c:v>87560.196599999996</c:v>
                </c:pt>
                <c:pt idx="10">
                  <c:v>161292.19319999998</c:v>
                </c:pt>
                <c:pt idx="11">
                  <c:v>143638.90559999997</c:v>
                </c:pt>
                <c:pt idx="12">
                  <c:v>276489.92279999994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6-4A30-806C-887C8F2ADFF2}"/>
            </c:ext>
          </c:extLst>
        </c:ser>
        <c:ser>
          <c:idx val="1"/>
          <c:order val="1"/>
          <c:tx>
            <c:strRef>
              <c:f>'Mar 12 - Mar 18'!$C$3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12 - Mar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12 - Mar 18'!$C$4:$C$20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2510428.1201999998</c:v>
                </c:pt>
                <c:pt idx="1">
                  <c:v>253669.095</c:v>
                </c:pt>
                <c:pt idx="2">
                  <c:v>201294.24600000001</c:v>
                </c:pt>
                <c:pt idx="3">
                  <c:v>112541.0508</c:v>
                </c:pt>
                <c:pt idx="4">
                  <c:v>373639.85639999999</c:v>
                </c:pt>
                <c:pt idx="5">
                  <c:v>167563.54980000001</c:v>
                </c:pt>
                <c:pt idx="6">
                  <c:v>358608.32939999999</c:v>
                </c:pt>
                <c:pt idx="7">
                  <c:v>165013.27859999999</c:v>
                </c:pt>
                <c:pt idx="8">
                  <c:v>238418.40299999999</c:v>
                </c:pt>
                <c:pt idx="9">
                  <c:v>84512.76</c:v>
                </c:pt>
                <c:pt idx="10">
                  <c:v>152120.6538</c:v>
                </c:pt>
                <c:pt idx="11">
                  <c:v>153756.06359999999</c:v>
                </c:pt>
                <c:pt idx="12">
                  <c:v>249290.83379999999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6-4A30-806C-887C8F2ADFF2}"/>
            </c:ext>
          </c:extLst>
        </c:ser>
        <c:ser>
          <c:idx val="2"/>
          <c:order val="2"/>
          <c:tx>
            <c:strRef>
              <c:f>'Mar 12 - Mar 18'!$D$3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12 - Mar 18'!$A$4:$A$20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12 - Mar 18'!$D$4:$D$20</c:f>
              <c:numCache>
                <c:formatCode>#,##0.00</c:formatCode>
                <c:ptCount val="13"/>
                <c:pt idx="0" formatCode="_ * #\ ##0.00_ ;_ * \-#\ ##0.00_ ;_ * &quot;-&quot;??_ ;_ @_ ">
                  <c:v>1961619.6942</c:v>
                </c:pt>
                <c:pt idx="1">
                  <c:v>243951.92879999999</c:v>
                </c:pt>
                <c:pt idx="2">
                  <c:v>189747.6876</c:v>
                </c:pt>
                <c:pt idx="3">
                  <c:v>117464.34600000001</c:v>
                </c:pt>
                <c:pt idx="4">
                  <c:v>314432.09819999989</c:v>
                </c:pt>
                <c:pt idx="5">
                  <c:v>154265.83739999999</c:v>
                </c:pt>
                <c:pt idx="6">
                  <c:v>348943.23839999997</c:v>
                </c:pt>
                <c:pt idx="7">
                  <c:v>158301.1182</c:v>
                </c:pt>
                <c:pt idx="8">
                  <c:v>218844.27239999999</c:v>
                </c:pt>
                <c:pt idx="9">
                  <c:v>99077.570999999982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6-4A30-806C-887C8F2AD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alpha val="33000"/>
                  <a:lumMod val="35000"/>
                  <a:lumOff val="65000"/>
                </a:schemeClr>
              </a:solidFill>
              <a:prstDash val="solid"/>
              <a:round/>
            </a:ln>
          </c:spPr>
        </c:dropLine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'Mar 19 - Mar 25'!$B$3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19 - Mar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19 - Mar 25'!$B$4:$B$20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2779971.2022000002</c:v>
                </c:pt>
                <c:pt idx="1">
                  <c:v>300254.78460000001</c:v>
                </c:pt>
                <c:pt idx="2">
                  <c:v>240153.67679999999</c:v>
                </c:pt>
                <c:pt idx="3">
                  <c:v>114471.43559999998</c:v>
                </c:pt>
                <c:pt idx="4">
                  <c:v>409047.57239999995</c:v>
                </c:pt>
                <c:pt idx="5">
                  <c:v>179567.95499999999</c:v>
                </c:pt>
                <c:pt idx="6">
                  <c:v>385820.69939999998</c:v>
                </c:pt>
                <c:pt idx="7">
                  <c:v>142139.75999999998</c:v>
                </c:pt>
                <c:pt idx="8">
                  <c:v>240031.12679999997</c:v>
                </c:pt>
                <c:pt idx="9">
                  <c:v>125870.86559999998</c:v>
                </c:pt>
                <c:pt idx="10">
                  <c:v>195653.61720000001</c:v>
                </c:pt>
                <c:pt idx="11">
                  <c:v>185789.0148</c:v>
                </c:pt>
                <c:pt idx="12">
                  <c:v>261170.69399999999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9-481E-BF4A-6BAB85F83B7F}"/>
            </c:ext>
          </c:extLst>
        </c:ser>
        <c:ser>
          <c:idx val="1"/>
          <c:order val="1"/>
          <c:tx>
            <c:strRef>
              <c:f>'Mar 19 - Mar 25'!$C$3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19 - Mar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19 - Mar 25'!$C$4:$C$20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2481034.439999999</c:v>
                </c:pt>
                <c:pt idx="1">
                  <c:v>245340.84779999999</c:v>
                </c:pt>
                <c:pt idx="2">
                  <c:v>186092.34599999999</c:v>
                </c:pt>
                <c:pt idx="3">
                  <c:v>105150.71580000001</c:v>
                </c:pt>
                <c:pt idx="4">
                  <c:v>367695.6</c:v>
                </c:pt>
                <c:pt idx="5">
                  <c:v>167414.47200000001</c:v>
                </c:pt>
                <c:pt idx="6">
                  <c:v>375410.81219999993</c:v>
                </c:pt>
                <c:pt idx="7">
                  <c:v>128294.859</c:v>
                </c:pt>
                <c:pt idx="8">
                  <c:v>236653.56899999999</c:v>
                </c:pt>
                <c:pt idx="9">
                  <c:v>87560.196599999996</c:v>
                </c:pt>
                <c:pt idx="10">
                  <c:v>161292.19320000001</c:v>
                </c:pt>
                <c:pt idx="11">
                  <c:v>143638.9056</c:v>
                </c:pt>
                <c:pt idx="12">
                  <c:v>276489.92279999988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9-481E-BF4A-6BAB85F83B7F}"/>
            </c:ext>
          </c:extLst>
        </c:ser>
        <c:ser>
          <c:idx val="2"/>
          <c:order val="2"/>
          <c:tx>
            <c:strRef>
              <c:f>'Mar 19 - Mar 25'!$D$3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19 - Mar 25'!$A$4:$A$20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19 - Mar 25'!$D$4:$D$20</c:f>
              <c:numCache>
                <c:formatCode>#,##0.00</c:formatCode>
                <c:ptCount val="13"/>
                <c:pt idx="0" formatCode="_ * #\ ##0.00_ ;_ * \-#\ ##0.00_ ;_ * &quot;-&quot;??_ ;_ @_ ">
                  <c:v>1956083.1132</c:v>
                </c:pt>
                <c:pt idx="1">
                  <c:v>279732.40199999989</c:v>
                </c:pt>
                <c:pt idx="2">
                  <c:v>216442.11</c:v>
                </c:pt>
                <c:pt idx="3">
                  <c:v>133841.81400000001</c:v>
                </c:pt>
                <c:pt idx="4">
                  <c:v>374018.04</c:v>
                </c:pt>
                <c:pt idx="5">
                  <c:v>161414.31</c:v>
                </c:pt>
                <c:pt idx="6">
                  <c:v>327932.51400000002</c:v>
                </c:pt>
                <c:pt idx="7">
                  <c:v>132220.16399999999</c:v>
                </c:pt>
                <c:pt idx="8">
                  <c:v>227734.72200000001</c:v>
                </c:pt>
                <c:pt idx="9">
                  <c:v>102747.03720000001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9-481E-BF4A-6BAB85F83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'Mar 26 - Apr 1'!$B$3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26 - Apr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26 - Apr 1'!$B$4:$B$20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2958035.0297999997</c:v>
                </c:pt>
                <c:pt idx="1">
                  <c:v>303521.92199999996</c:v>
                </c:pt>
                <c:pt idx="2">
                  <c:v>254800.25999999998</c:v>
                </c:pt>
                <c:pt idx="3">
                  <c:v>122449.10999999999</c:v>
                </c:pt>
                <c:pt idx="4">
                  <c:v>425331.03599999996</c:v>
                </c:pt>
                <c:pt idx="5">
                  <c:v>151794.07800000001</c:v>
                </c:pt>
                <c:pt idx="6">
                  <c:v>378196.48199999996</c:v>
                </c:pt>
                <c:pt idx="7">
                  <c:v>134030.484</c:v>
                </c:pt>
                <c:pt idx="8">
                  <c:v>246447.82199999996</c:v>
                </c:pt>
                <c:pt idx="9">
                  <c:v>106008.5658</c:v>
                </c:pt>
                <c:pt idx="10">
                  <c:v>380473.86</c:v>
                </c:pt>
                <c:pt idx="11">
                  <c:v>178469.16599999997</c:v>
                </c:pt>
                <c:pt idx="12">
                  <c:v>276512.24400000001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34F-9184-749804D4175E}"/>
            </c:ext>
          </c:extLst>
        </c:ser>
        <c:ser>
          <c:idx val="1"/>
          <c:order val="1"/>
          <c:tx>
            <c:strRef>
              <c:f>'Mar 26 - Apr 1'!$C$3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26 - Apr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26 - Apr 1'!$C$4:$C$20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2779971.2022000002</c:v>
                </c:pt>
                <c:pt idx="1">
                  <c:v>300254.78460000001</c:v>
                </c:pt>
                <c:pt idx="2">
                  <c:v>240153.67679999999</c:v>
                </c:pt>
                <c:pt idx="3">
                  <c:v>114471.4356</c:v>
                </c:pt>
                <c:pt idx="4">
                  <c:v>409047.57239999989</c:v>
                </c:pt>
                <c:pt idx="5">
                  <c:v>179567.95499999999</c:v>
                </c:pt>
                <c:pt idx="6">
                  <c:v>385820.69939999998</c:v>
                </c:pt>
                <c:pt idx="7">
                  <c:v>142139.76</c:v>
                </c:pt>
                <c:pt idx="8">
                  <c:v>240031.1268</c:v>
                </c:pt>
                <c:pt idx="9">
                  <c:v>125870.8656</c:v>
                </c:pt>
                <c:pt idx="10">
                  <c:v>195653.61720000001</c:v>
                </c:pt>
                <c:pt idx="11">
                  <c:v>185789.0148</c:v>
                </c:pt>
                <c:pt idx="12">
                  <c:v>261170.69399999999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A-434F-9184-749804D4175E}"/>
            </c:ext>
          </c:extLst>
        </c:ser>
        <c:ser>
          <c:idx val="2"/>
          <c:order val="2"/>
          <c:tx>
            <c:strRef>
              <c:f>'Mar 26 - Apr 1'!$D$3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'Mar 26 - Apr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'Mar 26 - Apr 1'!$D$4:$D$20</c:f>
              <c:numCache>
                <c:formatCode>#,##0.00</c:formatCode>
                <c:ptCount val="13"/>
                <c:pt idx="0" formatCode="_ * #\ ##0.00_ ;_ * \-#\ ##0.00_ ;_ * &quot;-&quot;??_ ;_ @_ ">
                  <c:v>2057108.7504</c:v>
                </c:pt>
                <c:pt idx="1">
                  <c:v>276943.48320000002</c:v>
                </c:pt>
                <c:pt idx="2">
                  <c:v>295727.37719999999</c:v>
                </c:pt>
                <c:pt idx="3">
                  <c:v>139434.8934</c:v>
                </c:pt>
                <c:pt idx="4">
                  <c:v>369735.65279999998</c:v>
                </c:pt>
                <c:pt idx="5">
                  <c:v>164607.70079999999</c:v>
                </c:pt>
                <c:pt idx="6">
                  <c:v>376391.21220000001</c:v>
                </c:pt>
                <c:pt idx="7">
                  <c:v>136595.1648</c:v>
                </c:pt>
                <c:pt idx="8">
                  <c:v>219526.08360000001</c:v>
                </c:pt>
                <c:pt idx="9">
                  <c:v>78147.182399999991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A-434F-9184-749804D41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'Apr 2 - Apr 8'!$B$3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2 - Apr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2 - Apr 8'!$B$4:$B$20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2853967.3367999997</c:v>
                </c:pt>
                <c:pt idx="1">
                  <c:v>319600.49339999998</c:v>
                </c:pt>
                <c:pt idx="2">
                  <c:v>231810.25619999997</c:v>
                </c:pt>
                <c:pt idx="3">
                  <c:v>106116.06779999999</c:v>
                </c:pt>
                <c:pt idx="4">
                  <c:v>451103.1642</c:v>
                </c:pt>
                <c:pt idx="5">
                  <c:v>142761.56159999999</c:v>
                </c:pt>
                <c:pt idx="6">
                  <c:v>350556.45239999995</c:v>
                </c:pt>
                <c:pt idx="7">
                  <c:v>118233.07079999999</c:v>
                </c:pt>
                <c:pt idx="8">
                  <c:v>232346.50079999998</c:v>
                </c:pt>
                <c:pt idx="9">
                  <c:v>108030.38999999998</c:v>
                </c:pt>
                <c:pt idx="10">
                  <c:v>396546.27539999993</c:v>
                </c:pt>
                <c:pt idx="11">
                  <c:v>158941.4448</c:v>
                </c:pt>
                <c:pt idx="12">
                  <c:v>237921.65939999997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0-4941-BAE5-10D1C6A4C619}"/>
            </c:ext>
          </c:extLst>
        </c:ser>
        <c:ser>
          <c:idx val="1"/>
          <c:order val="1"/>
          <c:tx>
            <c:strRef>
              <c:f>'Apr 2 - Apr 8'!$C$3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2 - Apr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2 - Apr 8'!$C$4:$C$20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2958035.0298000001</c:v>
                </c:pt>
                <c:pt idx="1">
                  <c:v>303521.92200000002</c:v>
                </c:pt>
                <c:pt idx="2">
                  <c:v>254800.26</c:v>
                </c:pt>
                <c:pt idx="3">
                  <c:v>122449.11</c:v>
                </c:pt>
                <c:pt idx="4">
                  <c:v>425331.03600000002</c:v>
                </c:pt>
                <c:pt idx="5">
                  <c:v>151794.07800000001</c:v>
                </c:pt>
                <c:pt idx="6">
                  <c:v>378196.48200000002</c:v>
                </c:pt>
                <c:pt idx="7">
                  <c:v>134030.484</c:v>
                </c:pt>
                <c:pt idx="8">
                  <c:v>246447.82199999999</c:v>
                </c:pt>
                <c:pt idx="9">
                  <c:v>106008.5658</c:v>
                </c:pt>
                <c:pt idx="10">
                  <c:v>380473.86</c:v>
                </c:pt>
                <c:pt idx="11">
                  <c:v>178469.166</c:v>
                </c:pt>
                <c:pt idx="12">
                  <c:v>276512.24400000001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0-4941-BAE5-10D1C6A4C619}"/>
            </c:ext>
          </c:extLst>
        </c:ser>
        <c:ser>
          <c:idx val="2"/>
          <c:order val="2"/>
          <c:tx>
            <c:strRef>
              <c:f>'Apr 2 - Apr 8'!$D$3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2 - Apr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2 - Apr 8'!$D$4:$D$20</c:f>
              <c:numCache>
                <c:formatCode>#,##0.00</c:formatCode>
                <c:ptCount val="13"/>
                <c:pt idx="0" formatCode="_ * #\ ##0.00_ ;_ * \-#\ ##0.00_ ;_ * &quot;-&quot;??_ ;_ @_ ">
                  <c:v>1869451.8</c:v>
                </c:pt>
                <c:pt idx="1">
                  <c:v>262972.56660000002</c:v>
                </c:pt>
                <c:pt idx="2">
                  <c:v>212787.21299999999</c:v>
                </c:pt>
                <c:pt idx="3">
                  <c:v>121925.4966</c:v>
                </c:pt>
                <c:pt idx="4">
                  <c:v>367222.73940000002</c:v>
                </c:pt>
                <c:pt idx="5">
                  <c:v>165382.65</c:v>
                </c:pt>
                <c:pt idx="6">
                  <c:v>337353.99839999998</c:v>
                </c:pt>
                <c:pt idx="7">
                  <c:v>132901.5306</c:v>
                </c:pt>
                <c:pt idx="8">
                  <c:v>180399.84719999999</c:v>
                </c:pt>
                <c:pt idx="9">
                  <c:v>88505.758199999997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0-4941-BAE5-10D1C6A4C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'Apr 9 - Apr 15'!$B$3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9 - Apr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9 - Apr 15'!$B$4:$B$20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2364064.9934999994</c:v>
                </c:pt>
                <c:pt idx="1">
                  <c:v>238121.18499999997</c:v>
                </c:pt>
                <c:pt idx="2">
                  <c:v>219594.85749999998</c:v>
                </c:pt>
                <c:pt idx="3">
                  <c:v>120943.60249999999</c:v>
                </c:pt>
                <c:pt idx="4">
                  <c:v>352254.82099999994</c:v>
                </c:pt>
                <c:pt idx="5">
                  <c:v>142021.59599999999</c:v>
                </c:pt>
                <c:pt idx="6">
                  <c:v>343079.00549999997</c:v>
                </c:pt>
                <c:pt idx="7">
                  <c:v>138440.55349999998</c:v>
                </c:pt>
                <c:pt idx="8">
                  <c:v>220998.674</c:v>
                </c:pt>
                <c:pt idx="9">
                  <c:v>84428.411499999987</c:v>
                </c:pt>
                <c:pt idx="10">
                  <c:v>164805.70649999997</c:v>
                </c:pt>
                <c:pt idx="11">
                  <c:v>133908.04699999999</c:v>
                </c:pt>
                <c:pt idx="12">
                  <c:v>205468.53349999999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2-48DA-8877-114DA4748829}"/>
            </c:ext>
          </c:extLst>
        </c:ser>
        <c:ser>
          <c:idx val="1"/>
          <c:order val="1"/>
          <c:tx>
            <c:strRef>
              <c:f>'Apr 9 - Apr 15'!$C$3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9 - Apr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9 - Apr 15'!$C$4:$C$20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2879002.1379999998</c:v>
                </c:pt>
                <c:pt idx="1">
                  <c:v>322404.00650000002</c:v>
                </c:pt>
                <c:pt idx="2">
                  <c:v>233843.6795</c:v>
                </c:pt>
                <c:pt idx="3">
                  <c:v>107046.9105</c:v>
                </c:pt>
                <c:pt idx="4">
                  <c:v>455060.2095</c:v>
                </c:pt>
                <c:pt idx="5">
                  <c:v>144013.856</c:v>
                </c:pt>
                <c:pt idx="6">
                  <c:v>353631.50900000002</c:v>
                </c:pt>
                <c:pt idx="7">
                  <c:v>119270.20299999999</c:v>
                </c:pt>
                <c:pt idx="8">
                  <c:v>234384.628</c:v>
                </c:pt>
                <c:pt idx="9">
                  <c:v>108978.02499999999</c:v>
                </c:pt>
                <c:pt idx="10">
                  <c:v>400024.75150000001</c:v>
                </c:pt>
                <c:pt idx="11">
                  <c:v>160335.66800000001</c:v>
                </c:pt>
                <c:pt idx="12">
                  <c:v>240008.69149999999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2-48DA-8877-114DA4748829}"/>
            </c:ext>
          </c:extLst>
        </c:ser>
        <c:ser>
          <c:idx val="2"/>
          <c:order val="2"/>
          <c:tx>
            <c:strRef>
              <c:f>'Apr 9 - Apr 15'!$D$3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9 - Apr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9 - Apr 15'!$D$4:$D$20</c:f>
              <c:numCache>
                <c:formatCode>#,##0.00</c:formatCode>
                <c:ptCount val="13"/>
                <c:pt idx="0" formatCode="_ * #\ ##0.00_ ;_ * \-#\ ##0.00_ ;_ * &quot;-&quot;??_ ;_ @_ ">
                  <c:v>1583774.4918</c:v>
                </c:pt>
                <c:pt idx="1">
                  <c:v>279289.9338</c:v>
                </c:pt>
                <c:pt idx="2">
                  <c:v>184820.84700000001</c:v>
                </c:pt>
                <c:pt idx="3">
                  <c:v>75321.555599999992</c:v>
                </c:pt>
                <c:pt idx="4">
                  <c:v>300394.51439999999</c:v>
                </c:pt>
                <c:pt idx="5">
                  <c:v>126081.7884</c:v>
                </c:pt>
                <c:pt idx="6">
                  <c:v>290540.62800000003</c:v>
                </c:pt>
                <c:pt idx="7">
                  <c:v>107629.07580000001</c:v>
                </c:pt>
                <c:pt idx="8">
                  <c:v>151682.8026</c:v>
                </c:pt>
                <c:pt idx="9">
                  <c:v>68013.3462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2-48DA-8877-114DA4748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'Apr 16 - Apr 22'!$B$3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16 - Apr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16 - Apr 22'!$B$4:$B$20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2341702.2545000003</c:v>
                </c:pt>
                <c:pt idx="1">
                  <c:v>227619.05149999997</c:v>
                </c:pt>
                <c:pt idx="2">
                  <c:v>197273.53</c:v>
                </c:pt>
                <c:pt idx="3">
                  <c:v>119502.3995</c:v>
                </c:pt>
                <c:pt idx="4">
                  <c:v>344611.76</c:v>
                </c:pt>
                <c:pt idx="5">
                  <c:v>172918.96799999999</c:v>
                </c:pt>
                <c:pt idx="6">
                  <c:v>350921.91349999997</c:v>
                </c:pt>
                <c:pt idx="7">
                  <c:v>145714.70600000001</c:v>
                </c:pt>
                <c:pt idx="8">
                  <c:v>231992.5245</c:v>
                </c:pt>
                <c:pt idx="9">
                  <c:v>66062.509000000005</c:v>
                </c:pt>
                <c:pt idx="10">
                  <c:v>139554.05249999999</c:v>
                </c:pt>
                <c:pt idx="11">
                  <c:v>122721.4105</c:v>
                </c:pt>
                <c:pt idx="12">
                  <c:v>222809.42949999997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2-4A96-9038-C667055076A8}"/>
            </c:ext>
          </c:extLst>
        </c:ser>
        <c:ser>
          <c:idx val="1"/>
          <c:order val="1"/>
          <c:tx>
            <c:strRef>
              <c:f>'Apr 16 - Apr 22'!$C$3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16 - Apr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16 - Apr 22'!$C$4:$C$20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2364064.9934999989</c:v>
                </c:pt>
                <c:pt idx="1">
                  <c:v>238121.185</c:v>
                </c:pt>
                <c:pt idx="2">
                  <c:v>219594.85750000001</c:v>
                </c:pt>
                <c:pt idx="3">
                  <c:v>120943.60249999999</c:v>
                </c:pt>
                <c:pt idx="4">
                  <c:v>352254.82099999988</c:v>
                </c:pt>
                <c:pt idx="5">
                  <c:v>142021.59599999999</c:v>
                </c:pt>
                <c:pt idx="6">
                  <c:v>343079.00550000003</c:v>
                </c:pt>
                <c:pt idx="7">
                  <c:v>138440.55350000001</c:v>
                </c:pt>
                <c:pt idx="8">
                  <c:v>220998.674</c:v>
                </c:pt>
                <c:pt idx="9">
                  <c:v>84428.411499999987</c:v>
                </c:pt>
                <c:pt idx="10">
                  <c:v>164805.7065</c:v>
                </c:pt>
                <c:pt idx="11">
                  <c:v>133908.04699999999</c:v>
                </c:pt>
                <c:pt idx="12">
                  <c:v>205468.53349999999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2-4A96-9038-C667055076A8}"/>
            </c:ext>
          </c:extLst>
        </c:ser>
        <c:ser>
          <c:idx val="2"/>
          <c:order val="2"/>
          <c:tx>
            <c:strRef>
              <c:f>'Apr 16 - Apr 22'!$D$3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16 - Apr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16 - Apr 22'!$D$4:$D$20</c:f>
              <c:numCache>
                <c:formatCode>#,##0.00</c:formatCode>
                <c:ptCount val="13"/>
                <c:pt idx="0" formatCode="_ * #\ ##0.00_ ;_ * \-#\ ##0.00_ ;_ * &quot;-&quot;??_ ;_ @_ ">
                  <c:v>1755740.3681999999</c:v>
                </c:pt>
                <c:pt idx="1">
                  <c:v>226149.32399999999</c:v>
                </c:pt>
                <c:pt idx="2">
                  <c:v>229817.046</c:v>
                </c:pt>
                <c:pt idx="3">
                  <c:v>98994.111599999989</c:v>
                </c:pt>
                <c:pt idx="4">
                  <c:v>330781.14600000001</c:v>
                </c:pt>
                <c:pt idx="5">
                  <c:v>169039.77</c:v>
                </c:pt>
                <c:pt idx="6">
                  <c:v>331280.69400000002</c:v>
                </c:pt>
                <c:pt idx="7">
                  <c:v>119260.986</c:v>
                </c:pt>
                <c:pt idx="8">
                  <c:v>186751.266</c:v>
                </c:pt>
                <c:pt idx="9">
                  <c:v>63666.024599999997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2-4A96-9038-C66705507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'Apr 23 - Apr 29'!$B$3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23 - Apr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23 - Apr 29'!$B$4:$B$20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2563724.4054999994</c:v>
                </c:pt>
                <c:pt idx="1">
                  <c:v>295203.74650000001</c:v>
                </c:pt>
                <c:pt idx="2">
                  <c:v>208560.527</c:v>
                </c:pt>
                <c:pt idx="3">
                  <c:v>126109.80499999999</c:v>
                </c:pt>
                <c:pt idx="4">
                  <c:v>381447.38699999999</c:v>
                </c:pt>
                <c:pt idx="5">
                  <c:v>148167.72499999998</c:v>
                </c:pt>
                <c:pt idx="6">
                  <c:v>351388.18099999998</c:v>
                </c:pt>
                <c:pt idx="7">
                  <c:v>115042.64199999999</c:v>
                </c:pt>
                <c:pt idx="8">
                  <c:v>236706.36299999998</c:v>
                </c:pt>
                <c:pt idx="9">
                  <c:v>89490.205499999996</c:v>
                </c:pt>
                <c:pt idx="10">
                  <c:v>266909.14649999997</c:v>
                </c:pt>
                <c:pt idx="11">
                  <c:v>129033.30049999998</c:v>
                </c:pt>
                <c:pt idx="12">
                  <c:v>215665.37649999995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1-4822-BECF-27D82F7E3D5F}"/>
            </c:ext>
          </c:extLst>
        </c:ser>
        <c:ser>
          <c:idx val="1"/>
          <c:order val="1"/>
          <c:tx>
            <c:strRef>
              <c:f>'Apr 23 - Apr 29'!$C$3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23 - Apr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23 - Apr 29'!$C$4:$C$20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2341702.2544999998</c:v>
                </c:pt>
                <c:pt idx="1">
                  <c:v>227619.0515</c:v>
                </c:pt>
                <c:pt idx="2">
                  <c:v>197273.53</c:v>
                </c:pt>
                <c:pt idx="3">
                  <c:v>119502.3995</c:v>
                </c:pt>
                <c:pt idx="4">
                  <c:v>344611.76</c:v>
                </c:pt>
                <c:pt idx="5">
                  <c:v>172918.96799999999</c:v>
                </c:pt>
                <c:pt idx="6">
                  <c:v>350921.91350000002</c:v>
                </c:pt>
                <c:pt idx="7">
                  <c:v>145714.70600000001</c:v>
                </c:pt>
                <c:pt idx="8">
                  <c:v>231992.5245</c:v>
                </c:pt>
                <c:pt idx="9">
                  <c:v>66062.509000000005</c:v>
                </c:pt>
                <c:pt idx="10">
                  <c:v>139554.05249999999</c:v>
                </c:pt>
                <c:pt idx="11">
                  <c:v>122721.4105</c:v>
                </c:pt>
                <c:pt idx="12">
                  <c:v>222809.4295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1-4822-BECF-27D82F7E3D5F}"/>
            </c:ext>
          </c:extLst>
        </c:ser>
        <c:ser>
          <c:idx val="2"/>
          <c:order val="2"/>
          <c:tx>
            <c:strRef>
              <c:f>'Apr 23 - Apr 29'!$D$3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23 - Apr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23 - Apr 29'!$D$4:$D$20</c:f>
              <c:numCache>
                <c:formatCode>#,##0.00</c:formatCode>
                <c:ptCount val="13"/>
                <c:pt idx="0" formatCode="_ * #\ ##0.00_ ;_ * \-#\ ##0.00_ ;_ * &quot;-&quot;??_ ;_ @_ ">
                  <c:v>1914675.6912</c:v>
                </c:pt>
                <c:pt idx="1">
                  <c:v>298021.35359999997</c:v>
                </c:pt>
                <c:pt idx="2">
                  <c:v>216389.8524</c:v>
                </c:pt>
                <c:pt idx="3">
                  <c:v>108355.8714</c:v>
                </c:pt>
                <c:pt idx="4">
                  <c:v>386566.35059999989</c:v>
                </c:pt>
                <c:pt idx="5">
                  <c:v>178544.75940000001</c:v>
                </c:pt>
                <c:pt idx="6">
                  <c:v>326398.51860000001</c:v>
                </c:pt>
                <c:pt idx="7">
                  <c:v>125185.07580000001</c:v>
                </c:pt>
                <c:pt idx="8">
                  <c:v>193691.26680000001</c:v>
                </c:pt>
                <c:pt idx="9">
                  <c:v>81522.642599999992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A1-4822-BECF-27D82F7E3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'Apr 30 - May 6'!$B$3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30 - May 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30 - May 6'!$B$4:$B$20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2620510.9109999998</c:v>
                </c:pt>
                <c:pt idx="1">
                  <c:v>309723.6925</c:v>
                </c:pt>
                <c:pt idx="2">
                  <c:v>216188.73</c:v>
                </c:pt>
                <c:pt idx="3">
                  <c:v>112359.00199999999</c:v>
                </c:pt>
                <c:pt idx="4">
                  <c:v>368213.4975</c:v>
                </c:pt>
                <c:pt idx="5">
                  <c:v>195822.81649999999</c:v>
                </c:pt>
                <c:pt idx="6">
                  <c:v>377023.2795</c:v>
                </c:pt>
                <c:pt idx="7">
                  <c:v>122978.723</c:v>
                </c:pt>
                <c:pt idx="8">
                  <c:v>255109.78999999998</c:v>
                </c:pt>
                <c:pt idx="9">
                  <c:v>99328.156499999983</c:v>
                </c:pt>
                <c:pt idx="10">
                  <c:v>193192.45599999998</c:v>
                </c:pt>
                <c:pt idx="11">
                  <c:v>144844.74249999999</c:v>
                </c:pt>
                <c:pt idx="12">
                  <c:v>225726.02499999999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D-4CE1-9DFA-4FF6645440DD}"/>
            </c:ext>
          </c:extLst>
        </c:ser>
        <c:ser>
          <c:idx val="1"/>
          <c:order val="1"/>
          <c:tx>
            <c:strRef>
              <c:f>'Apr 30 - May 6'!$C$3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30 - May 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30 - May 6'!$C$4:$C$20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2563724.4054999989</c:v>
                </c:pt>
                <c:pt idx="1">
                  <c:v>295203.74650000001</c:v>
                </c:pt>
                <c:pt idx="2">
                  <c:v>208560.527</c:v>
                </c:pt>
                <c:pt idx="3">
                  <c:v>126109.80499999999</c:v>
                </c:pt>
                <c:pt idx="4">
                  <c:v>381447.38699999999</c:v>
                </c:pt>
                <c:pt idx="5">
                  <c:v>148167.72500000001</c:v>
                </c:pt>
                <c:pt idx="6">
                  <c:v>351388.18099999998</c:v>
                </c:pt>
                <c:pt idx="7">
                  <c:v>115042.64200000001</c:v>
                </c:pt>
                <c:pt idx="8">
                  <c:v>236706.36300000001</c:v>
                </c:pt>
                <c:pt idx="9">
                  <c:v>89490.205499999996</c:v>
                </c:pt>
                <c:pt idx="10">
                  <c:v>266909.14649999997</c:v>
                </c:pt>
                <c:pt idx="11">
                  <c:v>129033.3005</c:v>
                </c:pt>
                <c:pt idx="12">
                  <c:v>215665.37650000001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D-4CE1-9DFA-4FF6645440DD}"/>
            </c:ext>
          </c:extLst>
        </c:ser>
        <c:ser>
          <c:idx val="2"/>
          <c:order val="2"/>
          <c:tx>
            <c:strRef>
              <c:f>'Apr 30 - May 6'!$D$3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'Apr 30 - May 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'Apr 30 - May 6'!$D$4:$D$20</c:f>
              <c:numCache>
                <c:formatCode>#,##0.00</c:formatCode>
                <c:ptCount val="13"/>
                <c:pt idx="0" formatCode="_ * #\ ##0.00_ ;_ * \-#\ ##0.00_ ;_ * &quot;-&quot;??_ ;_ @_ ">
                  <c:v>1801556.8428</c:v>
                </c:pt>
                <c:pt idx="1">
                  <c:v>268465.44</c:v>
                </c:pt>
                <c:pt idx="2">
                  <c:v>243261.522</c:v>
                </c:pt>
                <c:pt idx="3">
                  <c:v>99002.900999999983</c:v>
                </c:pt>
                <c:pt idx="4">
                  <c:v>308306.38799999998</c:v>
                </c:pt>
                <c:pt idx="5">
                  <c:v>175644.36</c:v>
                </c:pt>
                <c:pt idx="6">
                  <c:v>340751.92800000001</c:v>
                </c:pt>
                <c:pt idx="7">
                  <c:v>117742.39200000001</c:v>
                </c:pt>
                <c:pt idx="8">
                  <c:v>180887.448</c:v>
                </c:pt>
                <c:pt idx="9">
                  <c:v>67494.463799999998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D-4CE1-9DFA-4FF664544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'May 7 - May 13'!$B$3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7 - May 13'!$A$4:$A$20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7 - May 13'!$B$4:$B$20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2465060.8684999999</c:v>
                </c:pt>
                <c:pt idx="1">
                  <c:v>273062.23300000001</c:v>
                </c:pt>
                <c:pt idx="2">
                  <c:v>213723.47499999998</c:v>
                </c:pt>
                <c:pt idx="3">
                  <c:v>122921.65999999999</c:v>
                </c:pt>
                <c:pt idx="4">
                  <c:v>357525.56999999995</c:v>
                </c:pt>
                <c:pt idx="5">
                  <c:v>165839.53349999999</c:v>
                </c:pt>
                <c:pt idx="6">
                  <c:v>343697.73999999993</c:v>
                </c:pt>
                <c:pt idx="7">
                  <c:v>128537.8805</c:v>
                </c:pt>
                <c:pt idx="8">
                  <c:v>237333.3775</c:v>
                </c:pt>
                <c:pt idx="9">
                  <c:v>72766.997499999998</c:v>
                </c:pt>
                <c:pt idx="10">
                  <c:v>127554.66499999999</c:v>
                </c:pt>
                <c:pt idx="11">
                  <c:v>164792.82649999997</c:v>
                </c:pt>
                <c:pt idx="12">
                  <c:v>257304.90999999997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D-46A3-BA6A-9A5DA70C71A9}"/>
            </c:ext>
          </c:extLst>
        </c:ser>
        <c:ser>
          <c:idx val="1"/>
          <c:order val="1"/>
          <c:tx>
            <c:strRef>
              <c:f>'May 7 - May 13'!$C$3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7 - May 13'!$A$4:$A$20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7 - May 13'!$C$4:$C$20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2620510.9109999998</c:v>
                </c:pt>
                <c:pt idx="1">
                  <c:v>309723.6925</c:v>
                </c:pt>
                <c:pt idx="2">
                  <c:v>216188.73</c:v>
                </c:pt>
                <c:pt idx="3">
                  <c:v>112359.00199999999</c:v>
                </c:pt>
                <c:pt idx="4">
                  <c:v>368213.4975</c:v>
                </c:pt>
                <c:pt idx="5">
                  <c:v>195822.81649999999</c:v>
                </c:pt>
                <c:pt idx="6">
                  <c:v>377023.2795</c:v>
                </c:pt>
                <c:pt idx="7">
                  <c:v>122978.723</c:v>
                </c:pt>
                <c:pt idx="8">
                  <c:v>255109.79</c:v>
                </c:pt>
                <c:pt idx="9">
                  <c:v>99328.156499999983</c:v>
                </c:pt>
                <c:pt idx="10">
                  <c:v>193192.45600000001</c:v>
                </c:pt>
                <c:pt idx="11">
                  <c:v>144844.74249999999</c:v>
                </c:pt>
                <c:pt idx="12">
                  <c:v>225726.02499999999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D-46A3-BA6A-9A5DA70C71A9}"/>
            </c:ext>
          </c:extLst>
        </c:ser>
        <c:ser>
          <c:idx val="2"/>
          <c:order val="2"/>
          <c:tx>
            <c:strRef>
              <c:f>'May 7 - May 13'!$D$3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7 - May 13'!$A$4:$A$20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7 - May 13'!$D$4:$D$20</c:f>
              <c:numCache>
                <c:formatCode>#,##0.00</c:formatCode>
                <c:ptCount val="13"/>
                <c:pt idx="0" formatCode="_ * #\ ##0.00_ ;_ * \-#\ ##0.00_ ;_ * &quot;-&quot;??_ ;_ @_ ">
                  <c:v>1696499.094</c:v>
                </c:pt>
                <c:pt idx="1">
                  <c:v>230487.3204</c:v>
                </c:pt>
                <c:pt idx="2">
                  <c:v>190477.356</c:v>
                </c:pt>
                <c:pt idx="3">
                  <c:v>96202.661999999997</c:v>
                </c:pt>
                <c:pt idx="4">
                  <c:v>332690.39520000003</c:v>
                </c:pt>
                <c:pt idx="5">
                  <c:v>185135.31599999999</c:v>
                </c:pt>
                <c:pt idx="6">
                  <c:v>314880.6312</c:v>
                </c:pt>
                <c:pt idx="7">
                  <c:v>123490.6254</c:v>
                </c:pt>
                <c:pt idx="8">
                  <c:v>183686.37599999999</c:v>
                </c:pt>
                <c:pt idx="9">
                  <c:v>39448.411800000002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2D-46A3-BA6A-9A5DA70C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'May 14 - May 20'!$B$3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14 - May 20'!$A$4:$A$20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14 - May 20'!$B$4:$B$20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2051415.2294999999</c:v>
                </c:pt>
                <c:pt idx="1">
                  <c:v>213604.79499999998</c:v>
                </c:pt>
                <c:pt idx="2">
                  <c:v>195955.21599999999</c:v>
                </c:pt>
                <c:pt idx="3">
                  <c:v>91718.180999999997</c:v>
                </c:pt>
                <c:pt idx="4">
                  <c:v>298811.99799999996</c:v>
                </c:pt>
                <c:pt idx="5">
                  <c:v>148748.79699999999</c:v>
                </c:pt>
                <c:pt idx="6">
                  <c:v>330866.62649999995</c:v>
                </c:pt>
                <c:pt idx="7">
                  <c:v>119245.10999999999</c:v>
                </c:pt>
                <c:pt idx="8">
                  <c:v>194762.10249999998</c:v>
                </c:pt>
                <c:pt idx="9">
                  <c:v>47622.281999999999</c:v>
                </c:pt>
                <c:pt idx="10">
                  <c:v>109177.14749999999</c:v>
                </c:pt>
                <c:pt idx="11">
                  <c:v>121823.00749999999</c:v>
                </c:pt>
                <c:pt idx="12">
                  <c:v>179079.96649999998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D2-4BFC-BE37-7E5968E8EC47}"/>
            </c:ext>
          </c:extLst>
        </c:ser>
        <c:ser>
          <c:idx val="1"/>
          <c:order val="1"/>
          <c:tx>
            <c:strRef>
              <c:f>'May 14 - May 20'!$C$3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14 - May 20'!$A$4:$A$20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14 - May 20'!$C$4:$C$20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2465060.8684999999</c:v>
                </c:pt>
                <c:pt idx="1">
                  <c:v>273062.23300000001</c:v>
                </c:pt>
                <c:pt idx="2">
                  <c:v>213723.47500000001</c:v>
                </c:pt>
                <c:pt idx="3">
                  <c:v>122921.66</c:v>
                </c:pt>
                <c:pt idx="4">
                  <c:v>357525.56999999989</c:v>
                </c:pt>
                <c:pt idx="5">
                  <c:v>165839.53349999999</c:v>
                </c:pt>
                <c:pt idx="6">
                  <c:v>343697.73999999987</c:v>
                </c:pt>
                <c:pt idx="7">
                  <c:v>128537.8805</c:v>
                </c:pt>
                <c:pt idx="8">
                  <c:v>237333.3775</c:v>
                </c:pt>
                <c:pt idx="9">
                  <c:v>72766.997499999998</c:v>
                </c:pt>
                <c:pt idx="10">
                  <c:v>127554.66499999999</c:v>
                </c:pt>
                <c:pt idx="11">
                  <c:v>164792.8265</c:v>
                </c:pt>
                <c:pt idx="12">
                  <c:v>257304.91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D2-4BFC-BE37-7E5968E8EC47}"/>
            </c:ext>
          </c:extLst>
        </c:ser>
        <c:ser>
          <c:idx val="2"/>
          <c:order val="2"/>
          <c:tx>
            <c:strRef>
              <c:f>'May 14 - May 20'!$D$3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14 - May 20'!$A$4:$A$20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14 - May 20'!$D$4:$D$20</c:f>
              <c:numCache>
                <c:formatCode>#,##0.00</c:formatCode>
                <c:ptCount val="13"/>
                <c:pt idx="0" formatCode="_ * #\ ##0.00_ ;_ * \-#\ ##0.00_ ;_ * &quot;-&quot;??_ ;_ @_ ">
                  <c:v>1700822.6466000001</c:v>
                </c:pt>
                <c:pt idx="1">
                  <c:v>192784.46520000001</c:v>
                </c:pt>
                <c:pt idx="2">
                  <c:v>219700.6746</c:v>
                </c:pt>
                <c:pt idx="3">
                  <c:v>124098.4506</c:v>
                </c:pt>
                <c:pt idx="4">
                  <c:v>319344.5748</c:v>
                </c:pt>
                <c:pt idx="5">
                  <c:v>177577.74299999999</c:v>
                </c:pt>
                <c:pt idx="6">
                  <c:v>320830.25699999998</c:v>
                </c:pt>
                <c:pt idx="7">
                  <c:v>103652.4252</c:v>
                </c:pt>
                <c:pt idx="8">
                  <c:v>170720.83679999999</c:v>
                </c:pt>
                <c:pt idx="9">
                  <c:v>72113.219399999987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D2-4BFC-BE37-7E5968E8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'May 21 - May 27'!$B$3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21 - May 27'!$A$4:$A$20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21 - May 27'!$B$4:$B$20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2362997.5865000002</c:v>
                </c:pt>
                <c:pt idx="1">
                  <c:v>255099.52049999998</c:v>
                </c:pt>
                <c:pt idx="2">
                  <c:v>214635.7585</c:v>
                </c:pt>
                <c:pt idx="3">
                  <c:v>101687.47349999999</c:v>
                </c:pt>
                <c:pt idx="4">
                  <c:v>344683.27850000001</c:v>
                </c:pt>
                <c:pt idx="5">
                  <c:v>193456.48449999999</c:v>
                </c:pt>
                <c:pt idx="6">
                  <c:v>350859.83649999998</c:v>
                </c:pt>
                <c:pt idx="7">
                  <c:v>128439.08399999999</c:v>
                </c:pt>
                <c:pt idx="8">
                  <c:v>230164.90999999997</c:v>
                </c:pt>
                <c:pt idx="9">
                  <c:v>61139.255499999992</c:v>
                </c:pt>
                <c:pt idx="10">
                  <c:v>125713.57249999998</c:v>
                </c:pt>
                <c:pt idx="11">
                  <c:v>144610.28049999999</c:v>
                </c:pt>
                <c:pt idx="12">
                  <c:v>212508.13199999998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E-42BF-9167-BC973F0C0498}"/>
            </c:ext>
          </c:extLst>
        </c:ser>
        <c:ser>
          <c:idx val="1"/>
          <c:order val="1"/>
          <c:tx>
            <c:strRef>
              <c:f>'May 21 - May 27'!$C$3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21 - May 27'!$A$4:$A$20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21 - May 27'!$C$4:$C$20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2051415.2294999999</c:v>
                </c:pt>
                <c:pt idx="1">
                  <c:v>213604.79500000001</c:v>
                </c:pt>
                <c:pt idx="2">
                  <c:v>195955.21599999999</c:v>
                </c:pt>
                <c:pt idx="3">
                  <c:v>91718.180999999997</c:v>
                </c:pt>
                <c:pt idx="4">
                  <c:v>298811.99800000002</c:v>
                </c:pt>
                <c:pt idx="5">
                  <c:v>148748.79699999999</c:v>
                </c:pt>
                <c:pt idx="6">
                  <c:v>330866.62650000001</c:v>
                </c:pt>
                <c:pt idx="7">
                  <c:v>119245.11</c:v>
                </c:pt>
                <c:pt idx="8">
                  <c:v>194762.10250000001</c:v>
                </c:pt>
                <c:pt idx="9">
                  <c:v>47622.281999999999</c:v>
                </c:pt>
                <c:pt idx="10">
                  <c:v>109177.14750000001</c:v>
                </c:pt>
                <c:pt idx="11">
                  <c:v>121823.00750000001</c:v>
                </c:pt>
                <c:pt idx="12">
                  <c:v>179079.96650000001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E-42BF-9167-BC973F0C0498}"/>
            </c:ext>
          </c:extLst>
        </c:ser>
        <c:ser>
          <c:idx val="2"/>
          <c:order val="2"/>
          <c:tx>
            <c:strRef>
              <c:f>'May 21 - May 27'!$D$3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21 - May 27'!$A$4:$A$20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21 - May 27'!$D$4:$D$20</c:f>
              <c:numCache>
                <c:formatCode>#,##0.00</c:formatCode>
                <c:ptCount val="13"/>
                <c:pt idx="0" formatCode="_ * #\ ##0.00_ ;_ * \-#\ ##0.00_ ;_ * &quot;-&quot;??_ ;_ @_ ">
                  <c:v>1818532.8563999999</c:v>
                </c:pt>
                <c:pt idx="1">
                  <c:v>266564.76359999989</c:v>
                </c:pt>
                <c:pt idx="2">
                  <c:v>177411.85019999999</c:v>
                </c:pt>
                <c:pt idx="3">
                  <c:v>125343.62699999999</c:v>
                </c:pt>
                <c:pt idx="4">
                  <c:v>318817.17659999989</c:v>
                </c:pt>
                <c:pt idx="5">
                  <c:v>197336.80439999999</c:v>
                </c:pt>
                <c:pt idx="6">
                  <c:v>382925.58960000001</c:v>
                </c:pt>
                <c:pt idx="7">
                  <c:v>118424.7276</c:v>
                </c:pt>
                <c:pt idx="8">
                  <c:v>182258.00159999999</c:v>
                </c:pt>
                <c:pt idx="9">
                  <c:v>49450.315799999997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E-42BF-9167-BC973F0C0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'May 28 - Jun 3'!$B$3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28 - Jun 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28 - Jun 3'!$B$4:$B$20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2318776.2455000002</c:v>
                </c:pt>
                <c:pt idx="1">
                  <c:v>249507.30049999998</c:v>
                </c:pt>
                <c:pt idx="2">
                  <c:v>203383.30749999997</c:v>
                </c:pt>
                <c:pt idx="3">
                  <c:v>119282.08249999999</c:v>
                </c:pt>
                <c:pt idx="4">
                  <c:v>374041.42149999994</c:v>
                </c:pt>
                <c:pt idx="5">
                  <c:v>148581.62149999998</c:v>
                </c:pt>
                <c:pt idx="6">
                  <c:v>362904.6605</c:v>
                </c:pt>
                <c:pt idx="7">
                  <c:v>128569.5745</c:v>
                </c:pt>
                <c:pt idx="8">
                  <c:v>225445.37899999999</c:v>
                </c:pt>
                <c:pt idx="9">
                  <c:v>47655.94249999999</c:v>
                </c:pt>
                <c:pt idx="10">
                  <c:v>123453.46599999999</c:v>
                </c:pt>
                <c:pt idx="11">
                  <c:v>145407.89749999999</c:v>
                </c:pt>
                <c:pt idx="12">
                  <c:v>190543.59199999998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5-462C-94FB-9A64C5B020AF}"/>
            </c:ext>
          </c:extLst>
        </c:ser>
        <c:ser>
          <c:idx val="1"/>
          <c:order val="1"/>
          <c:tx>
            <c:strRef>
              <c:f>'May 28 - Jun 3'!$C$3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28 - Jun 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28 - Jun 3'!$C$4:$C$20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2362997.5865000002</c:v>
                </c:pt>
                <c:pt idx="1">
                  <c:v>255099.52050000001</c:v>
                </c:pt>
                <c:pt idx="2">
                  <c:v>214635.7585</c:v>
                </c:pt>
                <c:pt idx="3">
                  <c:v>101687.47349999999</c:v>
                </c:pt>
                <c:pt idx="4">
                  <c:v>344683.27850000001</c:v>
                </c:pt>
                <c:pt idx="5">
                  <c:v>193456.48449999999</c:v>
                </c:pt>
                <c:pt idx="6">
                  <c:v>350859.83649999998</c:v>
                </c:pt>
                <c:pt idx="7">
                  <c:v>128439.084</c:v>
                </c:pt>
                <c:pt idx="8">
                  <c:v>230164.91</c:v>
                </c:pt>
                <c:pt idx="9">
                  <c:v>61139.255499999992</c:v>
                </c:pt>
                <c:pt idx="10">
                  <c:v>125713.57249999999</c:v>
                </c:pt>
                <c:pt idx="11">
                  <c:v>144610.28049999999</c:v>
                </c:pt>
                <c:pt idx="12">
                  <c:v>212508.13200000001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5-462C-94FB-9A64C5B020AF}"/>
            </c:ext>
          </c:extLst>
        </c:ser>
        <c:ser>
          <c:idx val="2"/>
          <c:order val="2"/>
          <c:tx>
            <c:strRef>
              <c:f>'May 28 - Jun 3'!$D$3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'May 28 - Jun 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'May 28 - Jun 3'!$D$4:$D$20</c:f>
              <c:numCache>
                <c:formatCode>#,##0.00</c:formatCode>
                <c:ptCount val="13"/>
                <c:pt idx="0" formatCode="_ * #\ ##0.00_ ;_ * \-#\ ##0.00_ ;_ * &quot;-&quot;??_ ;_ @_ ">
                  <c:v>1680888.2646000001</c:v>
                </c:pt>
                <c:pt idx="1">
                  <c:v>223132.99799999999</c:v>
                </c:pt>
                <c:pt idx="2">
                  <c:v>182723.19</c:v>
                </c:pt>
                <c:pt idx="3">
                  <c:v>108279.79919999999</c:v>
                </c:pt>
                <c:pt idx="4">
                  <c:v>292489.00199999998</c:v>
                </c:pt>
                <c:pt idx="5">
                  <c:v>183151.03200000001</c:v>
                </c:pt>
                <c:pt idx="6">
                  <c:v>340070.55</c:v>
                </c:pt>
                <c:pt idx="7">
                  <c:v>126452.22</c:v>
                </c:pt>
                <c:pt idx="8">
                  <c:v>184063.60200000001</c:v>
                </c:pt>
                <c:pt idx="9">
                  <c:v>40525.871400000004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5-462C-94FB-9A64C5B02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'Jun 4 - Jun 10'!$B$3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4 - Jun 10'!$A$4:$A$20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4 - Jun 10'!$B$4:$B$20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2201735.4440000001</c:v>
                </c:pt>
                <c:pt idx="1">
                  <c:v>226121.10749999998</c:v>
                </c:pt>
                <c:pt idx="2">
                  <c:v>200063.48749999999</c:v>
                </c:pt>
                <c:pt idx="3">
                  <c:v>123465.16149999999</c:v>
                </c:pt>
                <c:pt idx="4">
                  <c:v>327882.72149999993</c:v>
                </c:pt>
                <c:pt idx="5">
                  <c:v>131483.98499999999</c:v>
                </c:pt>
                <c:pt idx="6">
                  <c:v>327159.68199999997</c:v>
                </c:pt>
                <c:pt idx="7">
                  <c:v>125528.74449999999</c:v>
                </c:pt>
                <c:pt idx="8">
                  <c:v>211024.48249999998</c:v>
                </c:pt>
                <c:pt idx="9">
                  <c:v>67894.010499999989</c:v>
                </c:pt>
                <c:pt idx="10">
                  <c:v>114671.20349999999</c:v>
                </c:pt>
                <c:pt idx="11">
                  <c:v>134713.66800000001</c:v>
                </c:pt>
                <c:pt idx="12">
                  <c:v>211727.19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B-4DBF-8FFA-CE67C44C39DB}"/>
            </c:ext>
          </c:extLst>
        </c:ser>
        <c:ser>
          <c:idx val="1"/>
          <c:order val="1"/>
          <c:tx>
            <c:strRef>
              <c:f>'Jun 4 - Jun 10'!$C$3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4 - Jun 10'!$A$4:$A$20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4 - Jun 10'!$C$4:$C$20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2318776.2455000002</c:v>
                </c:pt>
                <c:pt idx="1">
                  <c:v>249507.30050000001</c:v>
                </c:pt>
                <c:pt idx="2">
                  <c:v>203383.3075</c:v>
                </c:pt>
                <c:pt idx="3">
                  <c:v>119282.0825</c:v>
                </c:pt>
                <c:pt idx="4">
                  <c:v>374041.42149999988</c:v>
                </c:pt>
                <c:pt idx="5">
                  <c:v>148581.62150000001</c:v>
                </c:pt>
                <c:pt idx="6">
                  <c:v>362904.6605</c:v>
                </c:pt>
                <c:pt idx="7">
                  <c:v>128569.5745</c:v>
                </c:pt>
                <c:pt idx="8">
                  <c:v>225445.37899999999</c:v>
                </c:pt>
                <c:pt idx="9">
                  <c:v>47655.94249999999</c:v>
                </c:pt>
                <c:pt idx="10">
                  <c:v>123453.466</c:v>
                </c:pt>
                <c:pt idx="11">
                  <c:v>145407.89749999999</c:v>
                </c:pt>
                <c:pt idx="12">
                  <c:v>190543.592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B-4DBF-8FFA-CE67C44C39DB}"/>
            </c:ext>
          </c:extLst>
        </c:ser>
        <c:ser>
          <c:idx val="2"/>
          <c:order val="2"/>
          <c:tx>
            <c:strRef>
              <c:f>'Jun 4 - Jun 10'!$D$3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4 - Jun 10'!$A$4:$A$20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4 - Jun 10'!$D$4:$D$20</c:f>
              <c:numCache>
                <c:formatCode>#,##0.00</c:formatCode>
                <c:ptCount val="13"/>
                <c:pt idx="0" formatCode="_ * #\ ##0.00_ ;_ * \-#\ ##0.00_ ;_ * &quot;-&quot;??_ ;_ @_ ">
                  <c:v>1559877.1277999999</c:v>
                </c:pt>
                <c:pt idx="1">
                  <c:v>194546.7</c:v>
                </c:pt>
                <c:pt idx="2">
                  <c:v>168788.28599999999</c:v>
                </c:pt>
                <c:pt idx="3">
                  <c:v>108277.0404</c:v>
                </c:pt>
                <c:pt idx="4">
                  <c:v>292111.66200000001</c:v>
                </c:pt>
                <c:pt idx="5">
                  <c:v>152013.75599999999</c:v>
                </c:pt>
                <c:pt idx="6">
                  <c:v>344101.02</c:v>
                </c:pt>
                <c:pt idx="7">
                  <c:v>109126.3518</c:v>
                </c:pt>
                <c:pt idx="8">
                  <c:v>165258.96</c:v>
                </c:pt>
                <c:pt idx="9">
                  <c:v>25653.351599999991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B-4DBF-8FFA-CE67C44C3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'Jun 11 - Jun 17'!$B$3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11 - Jun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11 - Jun 17'!$B$4:$B$20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2312870.0064999997</c:v>
                </c:pt>
                <c:pt idx="1">
                  <c:v>252186.88099999999</c:v>
                </c:pt>
                <c:pt idx="2">
                  <c:v>251201.57249999998</c:v>
                </c:pt>
                <c:pt idx="3">
                  <c:v>117657.93749999999</c:v>
                </c:pt>
                <c:pt idx="4">
                  <c:v>302908.27499999997</c:v>
                </c:pt>
                <c:pt idx="5">
                  <c:v>160493.5055</c:v>
                </c:pt>
                <c:pt idx="6">
                  <c:v>335839.80149999994</c:v>
                </c:pt>
                <c:pt idx="7">
                  <c:v>122803.72749999999</c:v>
                </c:pt>
                <c:pt idx="8">
                  <c:v>219619.4215</c:v>
                </c:pt>
                <c:pt idx="9">
                  <c:v>50724.084999999999</c:v>
                </c:pt>
                <c:pt idx="10">
                  <c:v>148960.81099999999</c:v>
                </c:pt>
                <c:pt idx="11">
                  <c:v>131624.4345</c:v>
                </c:pt>
                <c:pt idx="12">
                  <c:v>218849.55399999997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D-4FB2-A765-60CFCC6798EC}"/>
            </c:ext>
          </c:extLst>
        </c:ser>
        <c:ser>
          <c:idx val="1"/>
          <c:order val="1"/>
          <c:tx>
            <c:strRef>
              <c:f>'Jun 11 - Jun 17'!$C$3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11 - Jun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11 - Jun 17'!$C$4:$C$20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2201735.4440000001</c:v>
                </c:pt>
                <c:pt idx="1">
                  <c:v>226121.10750000001</c:v>
                </c:pt>
                <c:pt idx="2">
                  <c:v>200063.48749999999</c:v>
                </c:pt>
                <c:pt idx="3">
                  <c:v>123465.1615</c:v>
                </c:pt>
                <c:pt idx="4">
                  <c:v>327882.72149999993</c:v>
                </c:pt>
                <c:pt idx="5">
                  <c:v>131483.98499999999</c:v>
                </c:pt>
                <c:pt idx="6">
                  <c:v>327159.68199999997</c:v>
                </c:pt>
                <c:pt idx="7">
                  <c:v>125528.7445</c:v>
                </c:pt>
                <c:pt idx="8">
                  <c:v>211024.48250000001</c:v>
                </c:pt>
                <c:pt idx="9">
                  <c:v>67894.010499999989</c:v>
                </c:pt>
                <c:pt idx="10">
                  <c:v>114671.2035</c:v>
                </c:pt>
                <c:pt idx="11">
                  <c:v>134713.66800000001</c:v>
                </c:pt>
                <c:pt idx="12">
                  <c:v>211727.19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D-4FB2-A765-60CFCC6798EC}"/>
            </c:ext>
          </c:extLst>
        </c:ser>
        <c:ser>
          <c:idx val="2"/>
          <c:order val="2"/>
          <c:tx>
            <c:strRef>
              <c:f>'Jun 11 - Jun 17'!$D$3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11 - Jun 17'!$A$4:$A$20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11 - Jun 17'!$D$4:$D$20</c:f>
              <c:numCache>
                <c:formatCode>#,##0.00</c:formatCode>
                <c:ptCount val="13"/>
                <c:pt idx="0" formatCode="_ * #\ ##0.00_ ;_ * \-#\ ##0.00_ ;_ * &quot;-&quot;??_ ;_ @_ ">
                  <c:v>1618146.9852</c:v>
                </c:pt>
                <c:pt idx="1">
                  <c:v>240390.546</c:v>
                </c:pt>
                <c:pt idx="2">
                  <c:v>188616.42</c:v>
                </c:pt>
                <c:pt idx="3">
                  <c:v>99364.953599999993</c:v>
                </c:pt>
                <c:pt idx="4">
                  <c:v>293901.91800000001</c:v>
                </c:pt>
                <c:pt idx="5">
                  <c:v>144357.74400000001</c:v>
                </c:pt>
                <c:pt idx="6">
                  <c:v>340284.18599999999</c:v>
                </c:pt>
                <c:pt idx="7">
                  <c:v>115199.622</c:v>
                </c:pt>
                <c:pt idx="8">
                  <c:v>135956.856</c:v>
                </c:pt>
                <c:pt idx="9">
                  <c:v>60074.739599999994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3D-4FB2-A765-60CFCC679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'Jun 18 - Jun 24'!$B$3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18 - Jun 24'!$A$4:$A$20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18 - Jun 24'!$B$4:$B$20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2176873.8125</c:v>
                </c:pt>
                <c:pt idx="1">
                  <c:v>255010.49899999998</c:v>
                </c:pt>
                <c:pt idx="2">
                  <c:v>300945.67349999998</c:v>
                </c:pt>
                <c:pt idx="3">
                  <c:v>113351.63599999998</c:v>
                </c:pt>
                <c:pt idx="4">
                  <c:v>294870.98249999998</c:v>
                </c:pt>
                <c:pt idx="5">
                  <c:v>153460.10550000001</c:v>
                </c:pt>
                <c:pt idx="6">
                  <c:v>255010.49899999998</c:v>
                </c:pt>
                <c:pt idx="7">
                  <c:v>109295.85049999999</c:v>
                </c:pt>
                <c:pt idx="8">
                  <c:v>198512.30999999997</c:v>
                </c:pt>
                <c:pt idx="9">
                  <c:v>41474.094499999999</c:v>
                </c:pt>
                <c:pt idx="10">
                  <c:v>139389.522</c:v>
                </c:pt>
                <c:pt idx="11">
                  <c:v>124161.62449999999</c:v>
                </c:pt>
                <c:pt idx="12">
                  <c:v>191391.01549999998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8-47A7-9402-ACA238B5B14F}"/>
            </c:ext>
          </c:extLst>
        </c:ser>
        <c:ser>
          <c:idx val="1"/>
          <c:order val="1"/>
          <c:tx>
            <c:strRef>
              <c:f>'Jun 18 - Jun 24'!$C$3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18 - Jun 24'!$A$4:$A$20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18 - Jun 24'!$C$4:$C$20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2312870.0065000001</c:v>
                </c:pt>
                <c:pt idx="1">
                  <c:v>252186.88099999999</c:v>
                </c:pt>
                <c:pt idx="2">
                  <c:v>251201.57250000001</c:v>
                </c:pt>
                <c:pt idx="3">
                  <c:v>117657.9375</c:v>
                </c:pt>
                <c:pt idx="4">
                  <c:v>302908.27500000002</c:v>
                </c:pt>
                <c:pt idx="5">
                  <c:v>160493.5055</c:v>
                </c:pt>
                <c:pt idx="6">
                  <c:v>335839.80149999988</c:v>
                </c:pt>
                <c:pt idx="7">
                  <c:v>122803.72749999999</c:v>
                </c:pt>
                <c:pt idx="8">
                  <c:v>219619.4215</c:v>
                </c:pt>
                <c:pt idx="9">
                  <c:v>50724.084999999999</c:v>
                </c:pt>
                <c:pt idx="10">
                  <c:v>148960.81099999999</c:v>
                </c:pt>
                <c:pt idx="11">
                  <c:v>131624.4345</c:v>
                </c:pt>
                <c:pt idx="12">
                  <c:v>218849.554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8-47A7-9402-ACA238B5B14F}"/>
            </c:ext>
          </c:extLst>
        </c:ser>
        <c:ser>
          <c:idx val="2"/>
          <c:order val="2"/>
          <c:tx>
            <c:strRef>
              <c:f>'Jun 18 - Jun 24'!$D$3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18 - Jun 24'!$A$4:$A$20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18 - Jun 24'!$D$4:$D$20</c:f>
              <c:numCache>
                <c:formatCode>#,##0.00</c:formatCode>
                <c:ptCount val="13"/>
                <c:pt idx="0" formatCode="_ * #\ ##0.00_ ;_ * \-#\ ##0.00_ ;_ * &quot;-&quot;??_ ;_ @_ ">
                  <c:v>1701687.3707999999</c:v>
                </c:pt>
                <c:pt idx="1">
                  <c:v>248213.34</c:v>
                </c:pt>
                <c:pt idx="2">
                  <c:v>206469.27600000001</c:v>
                </c:pt>
                <c:pt idx="3">
                  <c:v>107665.4304</c:v>
                </c:pt>
                <c:pt idx="4">
                  <c:v>309815.06400000001</c:v>
                </c:pt>
                <c:pt idx="5">
                  <c:v>148009.04999999999</c:v>
                </c:pt>
                <c:pt idx="6">
                  <c:v>339472.05</c:v>
                </c:pt>
                <c:pt idx="7">
                  <c:v>110395.5024</c:v>
                </c:pt>
                <c:pt idx="8">
                  <c:v>163999.37400000001</c:v>
                </c:pt>
                <c:pt idx="9">
                  <c:v>67648.284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8-47A7-9402-ACA238B5B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'Jun 25 - Jul 1'!$B$3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25 - Jul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25 - Jul 1'!$B$4:$B$20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2600622.8340000003</c:v>
                </c:pt>
                <c:pt idx="1">
                  <c:v>324420.17499999999</c:v>
                </c:pt>
                <c:pt idx="2">
                  <c:v>283167.83499999996</c:v>
                </c:pt>
                <c:pt idx="3">
                  <c:v>128034.09999999999</c:v>
                </c:pt>
                <c:pt idx="4">
                  <c:v>412261.08500000002</c:v>
                </c:pt>
                <c:pt idx="5">
                  <c:v>149924.465</c:v>
                </c:pt>
                <c:pt idx="6">
                  <c:v>372551.69999999995</c:v>
                </c:pt>
                <c:pt idx="7">
                  <c:v>121594.55999999998</c:v>
                </c:pt>
                <c:pt idx="8">
                  <c:v>227722.76999999996</c:v>
                </c:pt>
                <c:pt idx="9">
                  <c:v>45490.503999999994</c:v>
                </c:pt>
                <c:pt idx="10">
                  <c:v>206561.04499999998</c:v>
                </c:pt>
                <c:pt idx="11">
                  <c:v>138414.11499999999</c:v>
                </c:pt>
                <c:pt idx="12">
                  <c:v>190480.48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B-4786-AE8D-BAA2537BE489}"/>
            </c:ext>
          </c:extLst>
        </c:ser>
        <c:ser>
          <c:idx val="1"/>
          <c:order val="1"/>
          <c:tx>
            <c:strRef>
              <c:f>'Jun 25 - Jul 1'!$C$3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25 - Jul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25 - Jul 1'!$C$4:$C$20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2176873.8125</c:v>
                </c:pt>
                <c:pt idx="1">
                  <c:v>255010.49900000001</c:v>
                </c:pt>
                <c:pt idx="2">
                  <c:v>300945.67349999998</c:v>
                </c:pt>
                <c:pt idx="3">
                  <c:v>113351.636</c:v>
                </c:pt>
                <c:pt idx="4">
                  <c:v>294870.98249999998</c:v>
                </c:pt>
                <c:pt idx="5">
                  <c:v>153460.10550000001</c:v>
                </c:pt>
                <c:pt idx="6">
                  <c:v>255010.49900000001</c:v>
                </c:pt>
                <c:pt idx="7">
                  <c:v>109295.8505</c:v>
                </c:pt>
                <c:pt idx="8">
                  <c:v>198512.31</c:v>
                </c:pt>
                <c:pt idx="9">
                  <c:v>41474.094499999999</c:v>
                </c:pt>
                <c:pt idx="10">
                  <c:v>139389.522</c:v>
                </c:pt>
                <c:pt idx="11">
                  <c:v>124161.62450000001</c:v>
                </c:pt>
                <c:pt idx="12">
                  <c:v>191391.01550000001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B-4786-AE8D-BAA2537BE489}"/>
            </c:ext>
          </c:extLst>
        </c:ser>
        <c:ser>
          <c:idx val="2"/>
          <c:order val="2"/>
          <c:tx>
            <c:strRef>
              <c:f>'Jun 25 - Jul 1'!$D$3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'Jun 25 - Jul 1'!$A$4:$A$20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'Jun 25 - Jul 1'!$D$4:$D$20</c:f>
              <c:numCache>
                <c:formatCode>#,##0.00</c:formatCode>
                <c:ptCount val="13"/>
                <c:pt idx="0" formatCode="_ * #\ ##0.00_ ;_ * \-#\ ##0.00_ ;_ * &quot;-&quot;??_ ;_ @_ ">
                  <c:v>1909746.1488000001</c:v>
                </c:pt>
                <c:pt idx="1">
                  <c:v>276857.32199999999</c:v>
                </c:pt>
                <c:pt idx="2">
                  <c:v>227719.21799999999</c:v>
                </c:pt>
                <c:pt idx="3">
                  <c:v>114731.652</c:v>
                </c:pt>
                <c:pt idx="4">
                  <c:v>332015.42399999988</c:v>
                </c:pt>
                <c:pt idx="5">
                  <c:v>193661.49</c:v>
                </c:pt>
                <c:pt idx="6">
                  <c:v>376781.51400000002</c:v>
                </c:pt>
                <c:pt idx="7">
                  <c:v>128776.908</c:v>
                </c:pt>
                <c:pt idx="8">
                  <c:v>191629.78200000001</c:v>
                </c:pt>
                <c:pt idx="9">
                  <c:v>67572.838799999998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DB-4786-AE8D-BAA2537BE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'Jul 2 - Jul 8'!$B$3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2 - Jul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2 - Jul 8'!$B$4:$B$20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2388360.1809999994</c:v>
                </c:pt>
                <c:pt idx="1">
                  <c:v>282378.00349999999</c:v>
                </c:pt>
                <c:pt idx="2">
                  <c:v>241097.84499999997</c:v>
                </c:pt>
                <c:pt idx="3">
                  <c:v>109274.08099999999</c:v>
                </c:pt>
                <c:pt idx="4">
                  <c:v>328733.27299999999</c:v>
                </c:pt>
                <c:pt idx="5">
                  <c:v>154008</c:v>
                </c:pt>
                <c:pt idx="6">
                  <c:v>338962.03999999992</c:v>
                </c:pt>
                <c:pt idx="7">
                  <c:v>110776.7055</c:v>
                </c:pt>
                <c:pt idx="8">
                  <c:v>210470.34349999999</c:v>
                </c:pt>
                <c:pt idx="9">
                  <c:v>83916.546499999997</c:v>
                </c:pt>
                <c:pt idx="10">
                  <c:v>224616.758</c:v>
                </c:pt>
                <c:pt idx="11">
                  <c:v>116426.1495</c:v>
                </c:pt>
                <c:pt idx="12">
                  <c:v>187700.43549999996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9-4BA5-ABFF-A452F65980BF}"/>
            </c:ext>
          </c:extLst>
        </c:ser>
        <c:ser>
          <c:idx val="1"/>
          <c:order val="1"/>
          <c:tx>
            <c:strRef>
              <c:f>'Jul 2 - Jul 8'!$C$3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2 - Jul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2 - Jul 8'!$C$4:$C$20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2600622.8339999998</c:v>
                </c:pt>
                <c:pt idx="1">
                  <c:v>324420.17499999999</c:v>
                </c:pt>
                <c:pt idx="2">
                  <c:v>283167.83500000002</c:v>
                </c:pt>
                <c:pt idx="3">
                  <c:v>128034.1</c:v>
                </c:pt>
                <c:pt idx="4">
                  <c:v>412261.08500000002</c:v>
                </c:pt>
                <c:pt idx="5">
                  <c:v>149924.465</c:v>
                </c:pt>
                <c:pt idx="6">
                  <c:v>372551.7</c:v>
                </c:pt>
                <c:pt idx="7">
                  <c:v>121594.56</c:v>
                </c:pt>
                <c:pt idx="8">
                  <c:v>227722.77</c:v>
                </c:pt>
                <c:pt idx="9">
                  <c:v>45490.503999999994</c:v>
                </c:pt>
                <c:pt idx="10">
                  <c:v>206561.04500000001</c:v>
                </c:pt>
                <c:pt idx="11">
                  <c:v>138414.11499999999</c:v>
                </c:pt>
                <c:pt idx="12">
                  <c:v>190480.48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9-4BA5-ABFF-A452F65980BF}"/>
            </c:ext>
          </c:extLst>
        </c:ser>
        <c:ser>
          <c:idx val="2"/>
          <c:order val="2"/>
          <c:tx>
            <c:strRef>
              <c:f>'Jul 2 - Jul 8'!$D$3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2 - Jul 8'!$A$4:$A$20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2 - Jul 8'!$D$4:$D$20</c:f>
              <c:numCache>
                <c:formatCode>#,##0.00</c:formatCode>
                <c:ptCount val="13"/>
                <c:pt idx="0" formatCode="_ * #\ ##0.00_ ;_ * \-#\ ##0.00_ ;_ * &quot;-&quot;??_ ;_ @_ ">
                  <c:v>1730906.6651999999</c:v>
                </c:pt>
                <c:pt idx="1">
                  <c:v>290486.478</c:v>
                </c:pt>
                <c:pt idx="2">
                  <c:v>179896.10399999999</c:v>
                </c:pt>
                <c:pt idx="3">
                  <c:v>110253.4584</c:v>
                </c:pt>
                <c:pt idx="4">
                  <c:v>332856.67560000002</c:v>
                </c:pt>
                <c:pt idx="5">
                  <c:v>138932.94</c:v>
                </c:pt>
                <c:pt idx="6">
                  <c:v>338414.66580000002</c:v>
                </c:pt>
                <c:pt idx="7">
                  <c:v>106864.455</c:v>
                </c:pt>
                <c:pt idx="8">
                  <c:v>176645.052</c:v>
                </c:pt>
                <c:pt idx="9">
                  <c:v>56556.8364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9-4BA5-ABFF-A452F6598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'Jul 9 - Jul 15'!$B$3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9 - Jul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9 - Jul 15'!$B$4:$B$20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2428497.0324999997</c:v>
                </c:pt>
                <c:pt idx="1">
                  <c:v>295284.11999999994</c:v>
                </c:pt>
                <c:pt idx="2">
                  <c:v>242308.10499999998</c:v>
                </c:pt>
                <c:pt idx="3">
                  <c:v>103187.30349999999</c:v>
                </c:pt>
                <c:pt idx="4">
                  <c:v>347258.36999999994</c:v>
                </c:pt>
                <c:pt idx="5">
                  <c:v>168733.51999999996</c:v>
                </c:pt>
                <c:pt idx="6">
                  <c:v>322983.48</c:v>
                </c:pt>
                <c:pt idx="7">
                  <c:v>115153.52499999999</c:v>
                </c:pt>
                <c:pt idx="8">
                  <c:v>248501.31499999997</c:v>
                </c:pt>
                <c:pt idx="9">
                  <c:v>69580.289999999994</c:v>
                </c:pt>
                <c:pt idx="10">
                  <c:v>203570.12499999997</c:v>
                </c:pt>
                <c:pt idx="11">
                  <c:v>128252.82999999999</c:v>
                </c:pt>
                <c:pt idx="12">
                  <c:v>183684.049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F-46D5-831F-C3750A8CAA35}"/>
            </c:ext>
          </c:extLst>
        </c:ser>
        <c:ser>
          <c:idx val="1"/>
          <c:order val="1"/>
          <c:tx>
            <c:strRef>
              <c:f>'Jul 9 - Jul 15'!$C$3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9 - Jul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9 - Jul 15'!$C$4:$C$20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2388360.1809999989</c:v>
                </c:pt>
                <c:pt idx="1">
                  <c:v>282378.00349999999</c:v>
                </c:pt>
                <c:pt idx="2">
                  <c:v>241097.845</c:v>
                </c:pt>
                <c:pt idx="3">
                  <c:v>109274.08100000001</c:v>
                </c:pt>
                <c:pt idx="4">
                  <c:v>328733.27299999999</c:v>
                </c:pt>
                <c:pt idx="5">
                  <c:v>154008</c:v>
                </c:pt>
                <c:pt idx="6">
                  <c:v>338962.03999999992</c:v>
                </c:pt>
                <c:pt idx="7">
                  <c:v>110776.7055</c:v>
                </c:pt>
                <c:pt idx="8">
                  <c:v>210470.34349999999</c:v>
                </c:pt>
                <c:pt idx="9">
                  <c:v>83916.546499999997</c:v>
                </c:pt>
                <c:pt idx="10">
                  <c:v>224616.758</c:v>
                </c:pt>
                <c:pt idx="11">
                  <c:v>116426.1495</c:v>
                </c:pt>
                <c:pt idx="12">
                  <c:v>187700.43549999999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F-46D5-831F-C3750A8CAA35}"/>
            </c:ext>
          </c:extLst>
        </c:ser>
        <c:ser>
          <c:idx val="2"/>
          <c:order val="2"/>
          <c:tx>
            <c:strRef>
              <c:f>'Jul 9 - Jul 15'!$D$3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9 - Jul 15'!$A$4:$A$20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9 - Jul 15'!$D$4:$D$20</c:f>
              <c:numCache>
                <c:formatCode>#,##0.00</c:formatCode>
                <c:ptCount val="13"/>
                <c:pt idx="0" formatCode="_ * #\ ##0.00_ ;_ * \-#\ ##0.00_ ;_ * &quot;-&quot;??_ ;_ @_ ">
                  <c:v>1775345.6891999999</c:v>
                </c:pt>
                <c:pt idx="1">
                  <c:v>261492.97200000001</c:v>
                </c:pt>
                <c:pt idx="2">
                  <c:v>203673.084</c:v>
                </c:pt>
                <c:pt idx="3">
                  <c:v>98425.901399999988</c:v>
                </c:pt>
                <c:pt idx="4">
                  <c:v>325311.08399999997</c:v>
                </c:pt>
                <c:pt idx="5">
                  <c:v>156693.53580000001</c:v>
                </c:pt>
                <c:pt idx="6">
                  <c:v>361336.33799999999</c:v>
                </c:pt>
                <c:pt idx="7">
                  <c:v>124060.47719999999</c:v>
                </c:pt>
                <c:pt idx="8">
                  <c:v>181569.38459999999</c:v>
                </c:pt>
                <c:pt idx="9">
                  <c:v>62782.912199999999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0F-46D5-831F-C3750A8CA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'Jul 16 - Jul 22'!$B$3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16 - Jul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16 - Jul 22'!$B$4:$B$20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2360880.2524999999</c:v>
                </c:pt>
                <c:pt idx="1">
                  <c:v>250004.73300000001</c:v>
                </c:pt>
                <c:pt idx="2">
                  <c:v>236538.1985</c:v>
                </c:pt>
                <c:pt idx="3">
                  <c:v>99894.209499999997</c:v>
                </c:pt>
                <c:pt idx="4">
                  <c:v>360815.68550000002</c:v>
                </c:pt>
                <c:pt idx="5">
                  <c:v>158107.91099999999</c:v>
                </c:pt>
                <c:pt idx="6">
                  <c:v>384128.77299999999</c:v>
                </c:pt>
                <c:pt idx="7">
                  <c:v>125685.65049999999</c:v>
                </c:pt>
                <c:pt idx="8">
                  <c:v>215519.38399999999</c:v>
                </c:pt>
                <c:pt idx="9">
                  <c:v>78679.733999999997</c:v>
                </c:pt>
                <c:pt idx="10">
                  <c:v>151525.0465</c:v>
                </c:pt>
                <c:pt idx="11">
                  <c:v>115131.80149999999</c:v>
                </c:pt>
                <c:pt idx="12">
                  <c:v>184849.12549999999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07-4C85-8B2E-085691578A71}"/>
            </c:ext>
          </c:extLst>
        </c:ser>
        <c:ser>
          <c:idx val="1"/>
          <c:order val="1"/>
          <c:tx>
            <c:strRef>
              <c:f>'Jul 16 - Jul 22'!$C$3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16 - Jul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16 - Jul 22'!$C$4:$C$20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2428497.0325000002</c:v>
                </c:pt>
                <c:pt idx="1">
                  <c:v>295284.11999999988</c:v>
                </c:pt>
                <c:pt idx="2">
                  <c:v>242308.10500000001</c:v>
                </c:pt>
                <c:pt idx="3">
                  <c:v>103187.30349999999</c:v>
                </c:pt>
                <c:pt idx="4">
                  <c:v>347258.36999999988</c:v>
                </c:pt>
                <c:pt idx="5">
                  <c:v>168733.52</c:v>
                </c:pt>
                <c:pt idx="6">
                  <c:v>322983.48</c:v>
                </c:pt>
                <c:pt idx="7">
                  <c:v>115153.52499999999</c:v>
                </c:pt>
                <c:pt idx="8">
                  <c:v>248501.315</c:v>
                </c:pt>
                <c:pt idx="9">
                  <c:v>69580.289999999994</c:v>
                </c:pt>
                <c:pt idx="10">
                  <c:v>203570.125</c:v>
                </c:pt>
                <c:pt idx="11">
                  <c:v>128252.83</c:v>
                </c:pt>
                <c:pt idx="12">
                  <c:v>183684.049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07-4C85-8B2E-085691578A71}"/>
            </c:ext>
          </c:extLst>
        </c:ser>
        <c:ser>
          <c:idx val="2"/>
          <c:order val="2"/>
          <c:tx>
            <c:strRef>
              <c:f>'Jul 16 - Jul 22'!$D$3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16 - Jul 22'!$A$4:$A$20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16 - Jul 22'!$D$4:$D$20</c:f>
              <c:numCache>
                <c:formatCode>#,##0.00</c:formatCode>
                <c:ptCount val="13"/>
                <c:pt idx="0" formatCode="_ * #\ ##0.00_ ;_ * \-#\ ##0.00_ ;_ * &quot;-&quot;??_ ;_ @_ ">
                  <c:v>1814137.0619999999</c:v>
                </c:pt>
                <c:pt idx="1">
                  <c:v>251348.682</c:v>
                </c:pt>
                <c:pt idx="2">
                  <c:v>200063.84400000001</c:v>
                </c:pt>
                <c:pt idx="3">
                  <c:v>125206.542</c:v>
                </c:pt>
                <c:pt idx="4">
                  <c:v>364647.58199999988</c:v>
                </c:pt>
                <c:pt idx="5">
                  <c:v>159800.29800000001</c:v>
                </c:pt>
                <c:pt idx="6">
                  <c:v>334666.83600000001</c:v>
                </c:pt>
                <c:pt idx="7">
                  <c:v>135374.658</c:v>
                </c:pt>
                <c:pt idx="8">
                  <c:v>180191.364</c:v>
                </c:pt>
                <c:pt idx="9">
                  <c:v>62837.255999999987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07-4C85-8B2E-085691578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1519029711502069E-2"/>
          <c:y val="3.84183536917218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'Jul 23 - Jul 29'!$B$3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23 - Jul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23 - Jul 29'!$B$4:$B$20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2542468.4495000001</c:v>
                </c:pt>
                <c:pt idx="1">
                  <c:v>288124.44999999995</c:v>
                </c:pt>
                <c:pt idx="2">
                  <c:v>208364.86599999998</c:v>
                </c:pt>
                <c:pt idx="3">
                  <c:v>142163.46</c:v>
                </c:pt>
                <c:pt idx="4">
                  <c:v>387776.46949999995</c:v>
                </c:pt>
                <c:pt idx="5">
                  <c:v>183051.1465</c:v>
                </c:pt>
                <c:pt idx="6">
                  <c:v>412081.8</c:v>
                </c:pt>
                <c:pt idx="7">
                  <c:v>133113.21299999999</c:v>
                </c:pt>
                <c:pt idx="8">
                  <c:v>223734.8</c:v>
                </c:pt>
                <c:pt idx="9">
                  <c:v>76728.115000000005</c:v>
                </c:pt>
                <c:pt idx="10">
                  <c:v>144128.34999999998</c:v>
                </c:pt>
                <c:pt idx="11">
                  <c:v>129434.02949999999</c:v>
                </c:pt>
                <c:pt idx="12">
                  <c:v>213767.74999999997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B-42F5-B2AC-67522503DBE5}"/>
            </c:ext>
          </c:extLst>
        </c:ser>
        <c:ser>
          <c:idx val="1"/>
          <c:order val="1"/>
          <c:tx>
            <c:strRef>
              <c:f>'Jul 23 - Jul 29'!$C$3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23 - Jul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23 - Jul 29'!$C$4:$C$20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2360880.2524999999</c:v>
                </c:pt>
                <c:pt idx="1">
                  <c:v>250004.73300000001</c:v>
                </c:pt>
                <c:pt idx="2">
                  <c:v>236538.1985</c:v>
                </c:pt>
                <c:pt idx="3">
                  <c:v>99894.209499999997</c:v>
                </c:pt>
                <c:pt idx="4">
                  <c:v>360815.68550000002</c:v>
                </c:pt>
                <c:pt idx="5">
                  <c:v>158107.91099999999</c:v>
                </c:pt>
                <c:pt idx="6">
                  <c:v>384128.77299999999</c:v>
                </c:pt>
                <c:pt idx="7">
                  <c:v>125685.6505</c:v>
                </c:pt>
                <c:pt idx="8">
                  <c:v>215519.38399999999</c:v>
                </c:pt>
                <c:pt idx="9">
                  <c:v>78679.733999999997</c:v>
                </c:pt>
                <c:pt idx="10">
                  <c:v>151525.0465</c:v>
                </c:pt>
                <c:pt idx="11">
                  <c:v>115131.8015</c:v>
                </c:pt>
                <c:pt idx="12">
                  <c:v>184849.12549999999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B-42F5-B2AC-67522503DBE5}"/>
            </c:ext>
          </c:extLst>
        </c:ser>
        <c:ser>
          <c:idx val="2"/>
          <c:order val="2"/>
          <c:tx>
            <c:strRef>
              <c:f>'Jul 23 - Jul 29'!$D$3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23 - Jul 29'!$A$4:$A$20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23 - Jul 29'!$D$4:$D$20</c:f>
              <c:numCache>
                <c:formatCode>#,##0.00</c:formatCode>
                <c:ptCount val="13"/>
                <c:pt idx="0" formatCode="_ * #\ ##0.00_ ;_ * \-#\ ##0.00_ ;_ * &quot;-&quot;??_ ;_ @_ ">
                  <c:v>1814460.5484</c:v>
                </c:pt>
                <c:pt idx="1">
                  <c:v>227359.092</c:v>
                </c:pt>
                <c:pt idx="2">
                  <c:v>199465.91399999999</c:v>
                </c:pt>
                <c:pt idx="3">
                  <c:v>138165.15</c:v>
                </c:pt>
                <c:pt idx="4">
                  <c:v>349565.49599999998</c:v>
                </c:pt>
                <c:pt idx="5">
                  <c:v>159906.774</c:v>
                </c:pt>
                <c:pt idx="6">
                  <c:v>374137.96799999999</c:v>
                </c:pt>
                <c:pt idx="7">
                  <c:v>137934.29999999999</c:v>
                </c:pt>
                <c:pt idx="8">
                  <c:v>173729.16</c:v>
                </c:pt>
                <c:pt idx="9">
                  <c:v>54196.694399999993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B-42F5-B2AC-67522503D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'Jul 30 - Aug 5'!$B$3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30 - Aug 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30 - Aug 5'!$B$4:$B$20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2532568.3525</c:v>
                </c:pt>
                <c:pt idx="1">
                  <c:v>268907.35200000001</c:v>
                </c:pt>
                <c:pt idx="2">
                  <c:v>198892.05149999997</c:v>
                </c:pt>
                <c:pt idx="3">
                  <c:v>127879.43649999998</c:v>
                </c:pt>
                <c:pt idx="4">
                  <c:v>443807.9425</c:v>
                </c:pt>
                <c:pt idx="5">
                  <c:v>198263.35800000001</c:v>
                </c:pt>
                <c:pt idx="6">
                  <c:v>347478.30749999994</c:v>
                </c:pt>
                <c:pt idx="7">
                  <c:v>132900.47449999998</c:v>
                </c:pt>
                <c:pt idx="8">
                  <c:v>236788.30049999998</c:v>
                </c:pt>
                <c:pt idx="9">
                  <c:v>73249.951499999996</c:v>
                </c:pt>
                <c:pt idx="10">
                  <c:v>144312.63749999998</c:v>
                </c:pt>
                <c:pt idx="11">
                  <c:v>132394.22149999999</c:v>
                </c:pt>
                <c:pt idx="12">
                  <c:v>227694.31899999999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A-4370-AA49-FD294846314D}"/>
            </c:ext>
          </c:extLst>
        </c:ser>
        <c:ser>
          <c:idx val="1"/>
          <c:order val="1"/>
          <c:tx>
            <c:strRef>
              <c:f>'Jul 30 - Aug 5'!$C$3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30 - Aug 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30 - Aug 5'!$C$4:$C$20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2542468.4495000001</c:v>
                </c:pt>
                <c:pt idx="1">
                  <c:v>288124.45</c:v>
                </c:pt>
                <c:pt idx="2">
                  <c:v>208364.86600000001</c:v>
                </c:pt>
                <c:pt idx="3">
                  <c:v>142163.46</c:v>
                </c:pt>
                <c:pt idx="4">
                  <c:v>387776.46949999989</c:v>
                </c:pt>
                <c:pt idx="5">
                  <c:v>183051.1465</c:v>
                </c:pt>
                <c:pt idx="6">
                  <c:v>412081.8</c:v>
                </c:pt>
                <c:pt idx="7">
                  <c:v>133113.21299999999</c:v>
                </c:pt>
                <c:pt idx="8">
                  <c:v>223734.8</c:v>
                </c:pt>
                <c:pt idx="9">
                  <c:v>76728.115000000005</c:v>
                </c:pt>
                <c:pt idx="10">
                  <c:v>144128.35</c:v>
                </c:pt>
                <c:pt idx="11">
                  <c:v>129434.0295</c:v>
                </c:pt>
                <c:pt idx="12">
                  <c:v>213767.75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A-4370-AA49-FD294846314D}"/>
            </c:ext>
          </c:extLst>
        </c:ser>
        <c:ser>
          <c:idx val="2"/>
          <c:order val="2"/>
          <c:tx>
            <c:strRef>
              <c:f>'Jul 30 - Aug 5'!$D$3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'Jul 30 - Aug 5'!$A$4:$A$20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'Jul 30 - Aug 5'!$D$4:$D$20</c:f>
              <c:numCache>
                <c:formatCode>#,##0.00</c:formatCode>
                <c:ptCount val="13"/>
                <c:pt idx="0" formatCode="_ * #\ ##0.00_ ;_ * \-#\ ##0.00_ ;_ * &quot;-&quot;??_ ;_ @_ ">
                  <c:v>1740025.89</c:v>
                </c:pt>
                <c:pt idx="1">
                  <c:v>195643.00380000001</c:v>
                </c:pt>
                <c:pt idx="2">
                  <c:v>176425.48800000001</c:v>
                </c:pt>
                <c:pt idx="3">
                  <c:v>121027.758</c:v>
                </c:pt>
                <c:pt idx="4">
                  <c:v>437278.12199999997</c:v>
                </c:pt>
                <c:pt idx="5">
                  <c:v>142579.57199999999</c:v>
                </c:pt>
                <c:pt idx="6">
                  <c:v>332026.25400000002</c:v>
                </c:pt>
                <c:pt idx="7">
                  <c:v>112176.46739999999</c:v>
                </c:pt>
                <c:pt idx="8">
                  <c:v>164502.114</c:v>
                </c:pt>
                <c:pt idx="9">
                  <c:v>58367.110799999988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A-4370-AA49-FD2948463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'Aug 6 - Aug 12'!$B$3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6 - Aug 12'!$A$4:$A$20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6 - Aug 12'!$B$4:$B$20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2507940.5159999998</c:v>
                </c:pt>
                <c:pt idx="1">
                  <c:v>325090.73999999993</c:v>
                </c:pt>
                <c:pt idx="2">
                  <c:v>187993.49</c:v>
                </c:pt>
                <c:pt idx="3">
                  <c:v>148943.745</c:v>
                </c:pt>
                <c:pt idx="4">
                  <c:v>315484.44499999995</c:v>
                </c:pt>
                <c:pt idx="5">
                  <c:v>165803.31999999998</c:v>
                </c:pt>
                <c:pt idx="6">
                  <c:v>365933.33500000002</c:v>
                </c:pt>
                <c:pt idx="7">
                  <c:v>135906.30999999997</c:v>
                </c:pt>
                <c:pt idx="8">
                  <c:v>237098.94999999998</c:v>
                </c:pt>
                <c:pt idx="9">
                  <c:v>103859.99599999998</c:v>
                </c:pt>
                <c:pt idx="10">
                  <c:v>207232.75999999998</c:v>
                </c:pt>
                <c:pt idx="11">
                  <c:v>123234.80499999999</c:v>
                </c:pt>
                <c:pt idx="12">
                  <c:v>191358.61999999997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C-4254-80B1-D8FC8A18FE3F}"/>
            </c:ext>
          </c:extLst>
        </c:ser>
        <c:ser>
          <c:idx val="1"/>
          <c:order val="1"/>
          <c:tx>
            <c:strRef>
              <c:f>'Aug 6 - Aug 12'!$C$3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6 - Aug 12'!$A$4:$A$20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6 - Aug 12'!$C$4:$C$20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2532568.3525</c:v>
                </c:pt>
                <c:pt idx="1">
                  <c:v>268907.35200000001</c:v>
                </c:pt>
                <c:pt idx="2">
                  <c:v>198892.0515</c:v>
                </c:pt>
                <c:pt idx="3">
                  <c:v>127879.4365</c:v>
                </c:pt>
                <c:pt idx="4">
                  <c:v>443807.9425</c:v>
                </c:pt>
                <c:pt idx="5">
                  <c:v>198263.35800000001</c:v>
                </c:pt>
                <c:pt idx="6">
                  <c:v>347478.30749999988</c:v>
                </c:pt>
                <c:pt idx="7">
                  <c:v>132900.47450000001</c:v>
                </c:pt>
                <c:pt idx="8">
                  <c:v>236788.30050000001</c:v>
                </c:pt>
                <c:pt idx="9">
                  <c:v>73249.951499999996</c:v>
                </c:pt>
                <c:pt idx="10">
                  <c:v>144312.63750000001</c:v>
                </c:pt>
                <c:pt idx="11">
                  <c:v>132394.22150000001</c:v>
                </c:pt>
                <c:pt idx="12">
                  <c:v>227694.31899999999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C-4254-80B1-D8FC8A18FE3F}"/>
            </c:ext>
          </c:extLst>
        </c:ser>
        <c:ser>
          <c:idx val="2"/>
          <c:order val="2"/>
          <c:tx>
            <c:strRef>
              <c:f>'Aug 6 - Aug 12'!$D$3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6 - Aug 12'!$A$4:$A$20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6 - Aug 12'!$D$4:$D$20</c:f>
              <c:numCache>
                <c:formatCode>#,##0.00</c:formatCode>
                <c:ptCount val="13"/>
                <c:pt idx="0" formatCode="_ * #\ ##0.00_ ;_ * \-#\ ##0.00_ ;_ * &quot;-&quot;??_ ;_ @_ ">
                  <c:v>1877648.4798000001</c:v>
                </c:pt>
                <c:pt idx="1">
                  <c:v>254404.45199999999</c:v>
                </c:pt>
                <c:pt idx="2">
                  <c:v>216526.98300000001</c:v>
                </c:pt>
                <c:pt idx="3">
                  <c:v>116799.7602</c:v>
                </c:pt>
                <c:pt idx="4">
                  <c:v>343726.5528</c:v>
                </c:pt>
                <c:pt idx="5">
                  <c:v>156203.826</c:v>
                </c:pt>
                <c:pt idx="6">
                  <c:v>387803.60399999988</c:v>
                </c:pt>
                <c:pt idx="7">
                  <c:v>135093.99</c:v>
                </c:pt>
                <c:pt idx="8">
                  <c:v>190541.709</c:v>
                </c:pt>
                <c:pt idx="9">
                  <c:v>76547.602799999993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C-4254-80B1-D8FC8A18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'Aug 13 - Aug 19'!$B$3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13 - Aug 19'!$A$4:$A$20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13 - Aug 19'!$B$4:$B$20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2190352.2034999998</c:v>
                </c:pt>
                <c:pt idx="1">
                  <c:v>238375.21999999997</c:v>
                </c:pt>
                <c:pt idx="2">
                  <c:v>165547.87049999999</c:v>
                </c:pt>
                <c:pt idx="3">
                  <c:v>103053.89199999999</c:v>
                </c:pt>
                <c:pt idx="4">
                  <c:v>296968.98499999999</c:v>
                </c:pt>
                <c:pt idx="5">
                  <c:v>165386.353</c:v>
                </c:pt>
                <c:pt idx="6">
                  <c:v>341277.24299999996</c:v>
                </c:pt>
                <c:pt idx="7">
                  <c:v>131497.21</c:v>
                </c:pt>
                <c:pt idx="8">
                  <c:v>223230.40999999997</c:v>
                </c:pt>
                <c:pt idx="9">
                  <c:v>92458.010500000004</c:v>
                </c:pt>
                <c:pt idx="10">
                  <c:v>136141.37</c:v>
                </c:pt>
                <c:pt idx="11">
                  <c:v>107184.86449999998</c:v>
                </c:pt>
                <c:pt idx="12">
                  <c:v>189230.77499999999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C-4C61-BDF3-9F52BC602C86}"/>
            </c:ext>
          </c:extLst>
        </c:ser>
        <c:ser>
          <c:idx val="1"/>
          <c:order val="1"/>
          <c:tx>
            <c:strRef>
              <c:f>'Aug 13 - Aug 19'!$C$3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13 - Aug 19'!$A$4:$A$20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13 - Aug 19'!$C$4:$C$20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2507940.5159999998</c:v>
                </c:pt>
                <c:pt idx="1">
                  <c:v>325090.73999999987</c:v>
                </c:pt>
                <c:pt idx="2">
                  <c:v>187993.49</c:v>
                </c:pt>
                <c:pt idx="3">
                  <c:v>148943.745</c:v>
                </c:pt>
                <c:pt idx="4">
                  <c:v>315484.44499999989</c:v>
                </c:pt>
                <c:pt idx="5">
                  <c:v>165803.32</c:v>
                </c:pt>
                <c:pt idx="6">
                  <c:v>365933.33500000002</c:v>
                </c:pt>
                <c:pt idx="7">
                  <c:v>135906.31</c:v>
                </c:pt>
                <c:pt idx="8">
                  <c:v>237098.95</c:v>
                </c:pt>
                <c:pt idx="9">
                  <c:v>103859.996</c:v>
                </c:pt>
                <c:pt idx="10">
                  <c:v>207232.76</c:v>
                </c:pt>
                <c:pt idx="11">
                  <c:v>123234.80499999999</c:v>
                </c:pt>
                <c:pt idx="12">
                  <c:v>191358.62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C-4C61-BDF3-9F52BC602C86}"/>
            </c:ext>
          </c:extLst>
        </c:ser>
        <c:ser>
          <c:idx val="2"/>
          <c:order val="2"/>
          <c:tx>
            <c:strRef>
              <c:f>'Aug 13 - Aug 19'!$D$3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13 - Aug 19'!$A$4:$A$20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13 - Aug 19'!$D$4:$D$20</c:f>
              <c:numCache>
                <c:formatCode>#,##0.00</c:formatCode>
                <c:ptCount val="13"/>
                <c:pt idx="0" formatCode="_ * #\ ##0.00_ ;_ * \-#\ ##0.00_ ;_ * &quot;-&quot;??_ ;_ @_ ">
                  <c:v>1877648.4798000001</c:v>
                </c:pt>
                <c:pt idx="1">
                  <c:v>254404.45199999999</c:v>
                </c:pt>
                <c:pt idx="2">
                  <c:v>216526.98300000001</c:v>
                </c:pt>
                <c:pt idx="3">
                  <c:v>116799.7602</c:v>
                </c:pt>
                <c:pt idx="4">
                  <c:v>343726.5528</c:v>
                </c:pt>
                <c:pt idx="5">
                  <c:v>156203.826</c:v>
                </c:pt>
                <c:pt idx="6">
                  <c:v>387803.60399999988</c:v>
                </c:pt>
                <c:pt idx="7">
                  <c:v>135093.99</c:v>
                </c:pt>
                <c:pt idx="8">
                  <c:v>190541.709</c:v>
                </c:pt>
                <c:pt idx="9">
                  <c:v>76547.602799999993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FC-4C61-BDF3-9F52BC602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'Aug 20 - Aug 26'!$B$3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20 - Aug 26'!$A$4:$A$20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20 - Aug 26'!$B$4:$B$20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2270442.8265</c:v>
                </c:pt>
                <c:pt idx="1">
                  <c:v>240890.33899999998</c:v>
                </c:pt>
                <c:pt idx="2">
                  <c:v>208157.64749999996</c:v>
                </c:pt>
                <c:pt idx="3">
                  <c:v>121823.617</c:v>
                </c:pt>
                <c:pt idx="4">
                  <c:v>316279.46299999999</c:v>
                </c:pt>
                <c:pt idx="5">
                  <c:v>154529.60550000001</c:v>
                </c:pt>
                <c:pt idx="6">
                  <c:v>347351.33600000001</c:v>
                </c:pt>
                <c:pt idx="7">
                  <c:v>138667.66699999999</c:v>
                </c:pt>
                <c:pt idx="8">
                  <c:v>239492.652</c:v>
                </c:pt>
                <c:pt idx="9">
                  <c:v>58669.883499999996</c:v>
                </c:pt>
                <c:pt idx="10">
                  <c:v>130676.77699999999</c:v>
                </c:pt>
                <c:pt idx="11">
                  <c:v>129918.743</c:v>
                </c:pt>
                <c:pt idx="12">
                  <c:v>183985.09599999999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D-4560-98A8-8F63672B0F02}"/>
            </c:ext>
          </c:extLst>
        </c:ser>
        <c:ser>
          <c:idx val="1"/>
          <c:order val="1"/>
          <c:tx>
            <c:strRef>
              <c:f>'Aug 20 - Aug 26'!$C$3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20 - Aug 26'!$A$4:$A$20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20 - Aug 26'!$C$4:$C$20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2190352.2034999998</c:v>
                </c:pt>
                <c:pt idx="1">
                  <c:v>238375.22</c:v>
                </c:pt>
                <c:pt idx="2">
                  <c:v>165547.87049999999</c:v>
                </c:pt>
                <c:pt idx="3">
                  <c:v>103053.89200000001</c:v>
                </c:pt>
                <c:pt idx="4">
                  <c:v>296968.98499999999</c:v>
                </c:pt>
                <c:pt idx="5">
                  <c:v>165386.353</c:v>
                </c:pt>
                <c:pt idx="6">
                  <c:v>341277.24300000002</c:v>
                </c:pt>
                <c:pt idx="7">
                  <c:v>131497.21</c:v>
                </c:pt>
                <c:pt idx="8">
                  <c:v>223230.41</c:v>
                </c:pt>
                <c:pt idx="9">
                  <c:v>92458.010500000004</c:v>
                </c:pt>
                <c:pt idx="10">
                  <c:v>136141.37</c:v>
                </c:pt>
                <c:pt idx="11">
                  <c:v>107184.8645</c:v>
                </c:pt>
                <c:pt idx="12">
                  <c:v>189230.77499999999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D-4560-98A8-8F63672B0F02}"/>
            </c:ext>
          </c:extLst>
        </c:ser>
        <c:ser>
          <c:idx val="2"/>
          <c:order val="2"/>
          <c:tx>
            <c:strRef>
              <c:f>'Aug 20 - Aug 26'!$D$3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20 - Aug 26'!$A$4:$A$20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20 - Aug 26'!$D$4:$D$20</c:f>
              <c:numCache>
                <c:formatCode>#,##0.00</c:formatCode>
                <c:ptCount val="13"/>
                <c:pt idx="0" formatCode="_ * #\ ##0.00_ ;_ * \-#\ ##0.00_ ;_ * &quot;-&quot;??_ ;_ @_ ">
                  <c:v>1755569.1402</c:v>
                </c:pt>
                <c:pt idx="1">
                  <c:v>225656.73</c:v>
                </c:pt>
                <c:pt idx="2">
                  <c:v>194957.21400000001</c:v>
                </c:pt>
                <c:pt idx="3">
                  <c:v>110440.0536</c:v>
                </c:pt>
                <c:pt idx="4">
                  <c:v>302804.52</c:v>
                </c:pt>
                <c:pt idx="5">
                  <c:v>130993.296</c:v>
                </c:pt>
                <c:pt idx="6">
                  <c:v>362089.08</c:v>
                </c:pt>
                <c:pt idx="7">
                  <c:v>117634.9584</c:v>
                </c:pt>
                <c:pt idx="8">
                  <c:v>176240.0442</c:v>
                </c:pt>
                <c:pt idx="9">
                  <c:v>68763.796799999996</c:v>
                </c:pt>
                <c:pt idx="10">
                  <c:v>65989.447199999995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D-4560-98A8-8F63672B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'Aug 27 - Sept 2'!$B$3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27 - Sept 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27 - Sept 2'!$B$4:$B$20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2479259.1249999995</c:v>
                </c:pt>
                <c:pt idx="1">
                  <c:v>271124.41399999999</c:v>
                </c:pt>
                <c:pt idx="2">
                  <c:v>230646.84049999999</c:v>
                </c:pt>
                <c:pt idx="3">
                  <c:v>134190.625</c:v>
                </c:pt>
                <c:pt idx="4">
                  <c:v>313774.40649999998</c:v>
                </c:pt>
                <c:pt idx="5">
                  <c:v>164324.12099999998</c:v>
                </c:pt>
                <c:pt idx="6">
                  <c:v>393972.64649999992</c:v>
                </c:pt>
                <c:pt idx="7">
                  <c:v>134923.48549999998</c:v>
                </c:pt>
                <c:pt idx="8">
                  <c:v>264032.18</c:v>
                </c:pt>
                <c:pt idx="9">
                  <c:v>77253.710999999996</c:v>
                </c:pt>
                <c:pt idx="10">
                  <c:v>139809.98499999999</c:v>
                </c:pt>
                <c:pt idx="11">
                  <c:v>125212.92</c:v>
                </c:pt>
                <c:pt idx="12">
                  <c:v>229993.78999999998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67-4E25-B696-B195B86AA4F3}"/>
            </c:ext>
          </c:extLst>
        </c:ser>
        <c:ser>
          <c:idx val="1"/>
          <c:order val="1"/>
          <c:tx>
            <c:strRef>
              <c:f>'Aug 27 - Sept 2'!$C$3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27 - Sept 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27 - Sept 2'!$C$4:$C$20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2270442.8265</c:v>
                </c:pt>
                <c:pt idx="1">
                  <c:v>240890.33900000001</c:v>
                </c:pt>
                <c:pt idx="2">
                  <c:v>208157.64749999999</c:v>
                </c:pt>
                <c:pt idx="3">
                  <c:v>121823.617</c:v>
                </c:pt>
                <c:pt idx="4">
                  <c:v>316279.46299999999</c:v>
                </c:pt>
                <c:pt idx="5">
                  <c:v>154529.60550000001</c:v>
                </c:pt>
                <c:pt idx="6">
                  <c:v>347351.33600000001</c:v>
                </c:pt>
                <c:pt idx="7">
                  <c:v>138667.66699999999</c:v>
                </c:pt>
                <c:pt idx="8">
                  <c:v>239492.652</c:v>
                </c:pt>
                <c:pt idx="9">
                  <c:v>58669.883500000004</c:v>
                </c:pt>
                <c:pt idx="10">
                  <c:v>130676.777</c:v>
                </c:pt>
                <c:pt idx="11">
                  <c:v>129918.743</c:v>
                </c:pt>
                <c:pt idx="12">
                  <c:v>183985.09599999999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67-4E25-B696-B195B86AA4F3}"/>
            </c:ext>
          </c:extLst>
        </c:ser>
        <c:ser>
          <c:idx val="2"/>
          <c:order val="2"/>
          <c:tx>
            <c:strRef>
              <c:f>'Aug 27 - Sept 2'!$D$3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'Aug 27 - Sept 2'!$A$4:$A$20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'Aug 27 - Sept 2'!$D$4:$D$20</c:f>
              <c:numCache>
                <c:formatCode>#,##0.00</c:formatCode>
                <c:ptCount val="13"/>
                <c:pt idx="0" formatCode="_ * #\ ##0.00_ ;_ * \-#\ ##0.00_ ;_ * &quot;-&quot;??_ ;_ @_ ">
                  <c:v>1949129.0676</c:v>
                </c:pt>
                <c:pt idx="1">
                  <c:v>235360.63800000001</c:v>
                </c:pt>
                <c:pt idx="2">
                  <c:v>159578.568</c:v>
                </c:pt>
                <c:pt idx="3">
                  <c:v>126032.24400000001</c:v>
                </c:pt>
                <c:pt idx="4">
                  <c:v>322167.87599999999</c:v>
                </c:pt>
                <c:pt idx="5">
                  <c:v>141764.92800000001</c:v>
                </c:pt>
                <c:pt idx="6">
                  <c:v>368737.55999999988</c:v>
                </c:pt>
                <c:pt idx="7">
                  <c:v>120541.89</c:v>
                </c:pt>
                <c:pt idx="8">
                  <c:v>177892.098</c:v>
                </c:pt>
                <c:pt idx="9">
                  <c:v>76438.801200000002</c:v>
                </c:pt>
                <c:pt idx="10">
                  <c:v>133789.71599999999</c:v>
                </c:pt>
                <c:pt idx="11">
                  <c:v>86824.748399999997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67-4E25-B696-B195B86AA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'Sept 3 - Sept 9'!$B$3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3 - Sept 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3 - Sept 9'!$B$4:$B$20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2320090.2354999995</c:v>
                </c:pt>
                <c:pt idx="1">
                  <c:v>245547.64349999998</c:v>
                </c:pt>
                <c:pt idx="2">
                  <c:v>214721.78999999998</c:v>
                </c:pt>
                <c:pt idx="3">
                  <c:v>103442.12049999999</c:v>
                </c:pt>
                <c:pt idx="4">
                  <c:v>290044.1335</c:v>
                </c:pt>
                <c:pt idx="5">
                  <c:v>156273.61499999999</c:v>
                </c:pt>
                <c:pt idx="6">
                  <c:v>356770.23849999998</c:v>
                </c:pt>
                <c:pt idx="7">
                  <c:v>125667.6415</c:v>
                </c:pt>
                <c:pt idx="8">
                  <c:v>246727.22149999999</c:v>
                </c:pt>
                <c:pt idx="9">
                  <c:v>70449.367999999988</c:v>
                </c:pt>
                <c:pt idx="10">
                  <c:v>150119.64300000001</c:v>
                </c:pt>
                <c:pt idx="11">
                  <c:v>136332.37349999999</c:v>
                </c:pt>
                <c:pt idx="12">
                  <c:v>223994.44699999999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88-40F9-A9F0-5BD4F0CBB6B1}"/>
            </c:ext>
          </c:extLst>
        </c:ser>
        <c:ser>
          <c:idx val="1"/>
          <c:order val="1"/>
          <c:tx>
            <c:strRef>
              <c:f>'Sept 3 - Sept 9'!$C$3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3 - Sept 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3 - Sept 9'!$C$4:$C$20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2479259.125</c:v>
                </c:pt>
                <c:pt idx="1">
                  <c:v>271124.41399999999</c:v>
                </c:pt>
                <c:pt idx="2">
                  <c:v>230646.84049999999</c:v>
                </c:pt>
                <c:pt idx="3">
                  <c:v>134190.625</c:v>
                </c:pt>
                <c:pt idx="4">
                  <c:v>313774.40649999998</c:v>
                </c:pt>
                <c:pt idx="5">
                  <c:v>164324.12100000001</c:v>
                </c:pt>
                <c:pt idx="6">
                  <c:v>393972.64649999992</c:v>
                </c:pt>
                <c:pt idx="7">
                  <c:v>134923.48550000001</c:v>
                </c:pt>
                <c:pt idx="8">
                  <c:v>264032.18</c:v>
                </c:pt>
                <c:pt idx="9">
                  <c:v>77253.710999999996</c:v>
                </c:pt>
                <c:pt idx="10">
                  <c:v>139809.98499999999</c:v>
                </c:pt>
                <c:pt idx="11">
                  <c:v>125212.92</c:v>
                </c:pt>
                <c:pt idx="12">
                  <c:v>229993.79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8-40F9-A9F0-5BD4F0CBB6B1}"/>
            </c:ext>
          </c:extLst>
        </c:ser>
        <c:ser>
          <c:idx val="2"/>
          <c:order val="2"/>
          <c:tx>
            <c:strRef>
              <c:f>'Sept 3 - Sept 9'!$D$3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3 - Sept 9'!$A$4:$A$20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3 - Sept 9'!$D$4:$D$20</c:f>
              <c:numCache>
                <c:formatCode>#,##0.00</c:formatCode>
                <c:ptCount val="13"/>
                <c:pt idx="0" formatCode="_ * #\ ##0.00_ ;_ * \-#\ ##0.00_ ;_ * &quot;-&quot;??_ ;_ @_ ">
                  <c:v>1932598.5774000001</c:v>
                </c:pt>
                <c:pt idx="1">
                  <c:v>209429.05799999999</c:v>
                </c:pt>
                <c:pt idx="2">
                  <c:v>163422.53400000001</c:v>
                </c:pt>
                <c:pt idx="3">
                  <c:v>113596.67939999999</c:v>
                </c:pt>
                <c:pt idx="4">
                  <c:v>333070.83600000001</c:v>
                </c:pt>
                <c:pt idx="5">
                  <c:v>142713.864</c:v>
                </c:pt>
                <c:pt idx="6">
                  <c:v>352244.26799999998</c:v>
                </c:pt>
                <c:pt idx="7">
                  <c:v>128887.14599999999</c:v>
                </c:pt>
                <c:pt idx="8">
                  <c:v>171323.03039999999</c:v>
                </c:pt>
                <c:pt idx="9">
                  <c:v>63520.731599999999</c:v>
                </c:pt>
                <c:pt idx="10">
                  <c:v>142432.05600000001</c:v>
                </c:pt>
                <c:pt idx="11">
                  <c:v>111958.374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88-40F9-A9F0-5BD4F0CB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'Sept 10 - Sept 16'!$B$3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2349206.3725000001</c:v>
                </c:pt>
                <c:pt idx="1">
                  <c:v>249598.41499999998</c:v>
                </c:pt>
                <c:pt idx="2">
                  <c:v>199412.99</c:v>
                </c:pt>
                <c:pt idx="3">
                  <c:v>94781.263500000001</c:v>
                </c:pt>
                <c:pt idx="4">
                  <c:v>313350.505</c:v>
                </c:pt>
                <c:pt idx="5">
                  <c:v>165021.43499999997</c:v>
                </c:pt>
                <c:pt idx="6">
                  <c:v>365406.66949999996</c:v>
                </c:pt>
                <c:pt idx="7">
                  <c:v>136010.96</c:v>
                </c:pt>
                <c:pt idx="8">
                  <c:v>217504.905</c:v>
                </c:pt>
                <c:pt idx="9">
                  <c:v>72955.344499999992</c:v>
                </c:pt>
                <c:pt idx="10">
                  <c:v>163846.48000000001</c:v>
                </c:pt>
                <c:pt idx="11">
                  <c:v>131290.55499999999</c:v>
                </c:pt>
                <c:pt idx="12">
                  <c:v>240026.84999999998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2-47C0-A1A4-D4D1A2CFC5BE}"/>
            </c:ext>
          </c:extLst>
        </c:ser>
        <c:ser>
          <c:idx val="1"/>
          <c:order val="1"/>
          <c:tx>
            <c:strRef>
              <c:f>'Sept 10 - Sept 16'!$C$3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2320090.235499999</c:v>
                </c:pt>
                <c:pt idx="1">
                  <c:v>245547.64350000001</c:v>
                </c:pt>
                <c:pt idx="2">
                  <c:v>214721.79</c:v>
                </c:pt>
                <c:pt idx="3">
                  <c:v>103442.1205</c:v>
                </c:pt>
                <c:pt idx="4">
                  <c:v>290044.1335</c:v>
                </c:pt>
                <c:pt idx="5">
                  <c:v>156273.61499999999</c:v>
                </c:pt>
                <c:pt idx="6">
                  <c:v>356770.23849999998</c:v>
                </c:pt>
                <c:pt idx="7">
                  <c:v>125667.6415</c:v>
                </c:pt>
                <c:pt idx="8">
                  <c:v>246727.22150000001</c:v>
                </c:pt>
                <c:pt idx="9">
                  <c:v>70449.367999999988</c:v>
                </c:pt>
                <c:pt idx="10">
                  <c:v>150119.64300000001</c:v>
                </c:pt>
                <c:pt idx="11">
                  <c:v>136332.37349999999</c:v>
                </c:pt>
                <c:pt idx="12">
                  <c:v>223994.44699999999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2-47C0-A1A4-D4D1A2CFC5BE}"/>
            </c:ext>
          </c:extLst>
        </c:ser>
        <c:ser>
          <c:idx val="2"/>
          <c:order val="2"/>
          <c:tx>
            <c:strRef>
              <c:f>'Sept 10 - Sept 16'!$D$3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16'!$D$4:$D$20</c:f>
              <c:numCache>
                <c:formatCode>#,##0.00</c:formatCode>
                <c:ptCount val="13"/>
                <c:pt idx="0" formatCode="_ * #\ ##0.00_ ;_ * \-#\ ##0.00_ ;_ * &quot;-&quot;??_ ;_ @_ ">
                  <c:v>1950875.0802</c:v>
                </c:pt>
                <c:pt idx="1">
                  <c:v>229273.5624</c:v>
                </c:pt>
                <c:pt idx="2">
                  <c:v>175260.87539999999</c:v>
                </c:pt>
                <c:pt idx="3">
                  <c:v>108731.1024</c:v>
                </c:pt>
                <c:pt idx="4">
                  <c:v>347623.08419999998</c:v>
                </c:pt>
                <c:pt idx="5">
                  <c:v>128020.4838</c:v>
                </c:pt>
                <c:pt idx="6">
                  <c:v>319532.56079999992</c:v>
                </c:pt>
                <c:pt idx="7">
                  <c:v>111526.94100000001</c:v>
                </c:pt>
                <c:pt idx="8">
                  <c:v>177204.13080000001</c:v>
                </c:pt>
                <c:pt idx="9">
                  <c:v>64937.797200000001</c:v>
                </c:pt>
                <c:pt idx="10">
                  <c:v>157703.87220000001</c:v>
                </c:pt>
                <c:pt idx="11">
                  <c:v>131060.67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2-47C0-A1A4-D4D1A2CFC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2.1268327209860129E-2"/>
          <c:y val="4.45150060317916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'Sept 17 - Sept 23'!$B$3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17 - Sept 23'!$A$4:$A$20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17 - Sept 23'!$B$4:$B$20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2493208.5904999999</c:v>
                </c:pt>
                <c:pt idx="1">
                  <c:v>284829.93</c:v>
                </c:pt>
                <c:pt idx="2">
                  <c:v>193025.315</c:v>
                </c:pt>
                <c:pt idx="3">
                  <c:v>125649.92</c:v>
                </c:pt>
                <c:pt idx="4">
                  <c:v>333141.88999999996</c:v>
                </c:pt>
                <c:pt idx="5">
                  <c:v>140689.965</c:v>
                </c:pt>
                <c:pt idx="6">
                  <c:v>350342.43999999994</c:v>
                </c:pt>
                <c:pt idx="7">
                  <c:v>163829.91999999998</c:v>
                </c:pt>
                <c:pt idx="8">
                  <c:v>238601.655</c:v>
                </c:pt>
                <c:pt idx="9">
                  <c:v>100227.1805</c:v>
                </c:pt>
                <c:pt idx="10">
                  <c:v>196317.76499999998</c:v>
                </c:pt>
                <c:pt idx="11">
                  <c:v>132532.44</c:v>
                </c:pt>
                <c:pt idx="12">
                  <c:v>234020.16999999995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8-462F-8C27-BE2F044AF71F}"/>
            </c:ext>
          </c:extLst>
        </c:ser>
        <c:ser>
          <c:idx val="1"/>
          <c:order val="1"/>
          <c:tx>
            <c:strRef>
              <c:f>'Sept 10 - Sept 16'!$C$3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2320090.235499999</c:v>
                </c:pt>
                <c:pt idx="1">
                  <c:v>245547.64350000001</c:v>
                </c:pt>
                <c:pt idx="2">
                  <c:v>214721.79</c:v>
                </c:pt>
                <c:pt idx="3">
                  <c:v>103442.1205</c:v>
                </c:pt>
                <c:pt idx="4">
                  <c:v>290044.1335</c:v>
                </c:pt>
                <c:pt idx="5">
                  <c:v>156273.61499999999</c:v>
                </c:pt>
                <c:pt idx="6">
                  <c:v>356770.23849999998</c:v>
                </c:pt>
                <c:pt idx="7">
                  <c:v>125667.6415</c:v>
                </c:pt>
                <c:pt idx="8">
                  <c:v>246727.22150000001</c:v>
                </c:pt>
                <c:pt idx="9">
                  <c:v>70449.367999999988</c:v>
                </c:pt>
                <c:pt idx="10">
                  <c:v>150119.64300000001</c:v>
                </c:pt>
                <c:pt idx="11">
                  <c:v>136332.37349999999</c:v>
                </c:pt>
                <c:pt idx="12">
                  <c:v>223994.44699999999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8-462F-8C27-BE2F044AF71F}"/>
            </c:ext>
          </c:extLst>
        </c:ser>
        <c:ser>
          <c:idx val="2"/>
          <c:order val="2"/>
          <c:tx>
            <c:strRef>
              <c:f>'Sept 10 - Sept 16'!$D$3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16'!$D$4:$D$20</c:f>
              <c:numCache>
                <c:formatCode>#,##0.00</c:formatCode>
                <c:ptCount val="13"/>
                <c:pt idx="0" formatCode="_ * #\ ##0.00_ ;_ * \-#\ ##0.00_ ;_ * &quot;-&quot;??_ ;_ @_ ">
                  <c:v>1950875.0802</c:v>
                </c:pt>
                <c:pt idx="1">
                  <c:v>229273.5624</c:v>
                </c:pt>
                <c:pt idx="2">
                  <c:v>175260.87539999999</c:v>
                </c:pt>
                <c:pt idx="3">
                  <c:v>108731.1024</c:v>
                </c:pt>
                <c:pt idx="4">
                  <c:v>347623.08419999998</c:v>
                </c:pt>
                <c:pt idx="5">
                  <c:v>128020.4838</c:v>
                </c:pt>
                <c:pt idx="6">
                  <c:v>319532.56079999992</c:v>
                </c:pt>
                <c:pt idx="7">
                  <c:v>111526.94100000001</c:v>
                </c:pt>
                <c:pt idx="8">
                  <c:v>177204.13080000001</c:v>
                </c:pt>
                <c:pt idx="9">
                  <c:v>64937.797200000001</c:v>
                </c:pt>
                <c:pt idx="10">
                  <c:v>157703.87220000001</c:v>
                </c:pt>
                <c:pt idx="11">
                  <c:v>131060.67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58-462F-8C27-BE2F044A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 Gross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1.353245192069753E-2"/>
          <c:y val="2.6225212168809509E-2"/>
          <c:w val="0.96947747713104893"/>
          <c:h val="0.73647815501399483"/>
        </c:manualLayout>
      </c:layout>
      <c:lineChart>
        <c:grouping val="standard"/>
        <c:varyColors val="0"/>
        <c:ser>
          <c:idx val="0"/>
          <c:order val="0"/>
          <c:tx>
            <c:strRef>
              <c:f>'Sept 24 - Sept 30'!$B$3</c:f>
              <c:strCache>
                <c:ptCount val="1"/>
                <c:pt idx="0">
                  <c:v>Turnover Gross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24 - Sept 30'!$A$4:$A$20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24 - Sept 30'!$B$4:$B$20</c:f>
              <c:numCache>
                <c:formatCode>#\ ##0.00;\(#\ ##0.00\)</c:formatCode>
                <c:ptCount val="13"/>
                <c:pt idx="0" formatCode="_ * #\ ##0.00_ ;_ * \-#\ ##0.00_ ;_ * &quot;-&quot;??_ ;_ @_ ">
                  <c:v>2750452.3435</c:v>
                </c:pt>
                <c:pt idx="1">
                  <c:v>326694.32299999997</c:v>
                </c:pt>
                <c:pt idx="2">
                  <c:v>226348.51999999996</c:v>
                </c:pt>
                <c:pt idx="3">
                  <c:v>130222.52699999999</c:v>
                </c:pt>
                <c:pt idx="4">
                  <c:v>404283.75349999999</c:v>
                </c:pt>
                <c:pt idx="5">
                  <c:v>162458.19999999998</c:v>
                </c:pt>
                <c:pt idx="6">
                  <c:v>377915.52999999997</c:v>
                </c:pt>
                <c:pt idx="7">
                  <c:v>151287.55999999997</c:v>
                </c:pt>
                <c:pt idx="8">
                  <c:v>247739.55499999999</c:v>
                </c:pt>
                <c:pt idx="9">
                  <c:v>92254.161499999987</c:v>
                </c:pt>
                <c:pt idx="10">
                  <c:v>223466.04499999998</c:v>
                </c:pt>
                <c:pt idx="11">
                  <c:v>161381.45499999999</c:v>
                </c:pt>
                <c:pt idx="12">
                  <c:v>246400.71349999998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0-4B2D-A4AA-255EEF4C31FD}"/>
            </c:ext>
          </c:extLst>
        </c:ser>
        <c:ser>
          <c:idx val="1"/>
          <c:order val="1"/>
          <c:tx>
            <c:strRef>
              <c:f>'Sept 10 - Sept 16'!$C$3</c:f>
              <c:strCache>
                <c:ptCount val="1"/>
                <c:pt idx="0">
                  <c:v>LAST WEEK  (Gross)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16'!$C$4:$C$20</c:f>
              <c:numCache>
                <c:formatCode>#\ ##0.00;\(#\ ##0.00\)</c:formatCode>
                <c:ptCount val="13"/>
                <c:pt idx="0" formatCode="_ * #\ ##0.00_ ;_ * \-#\ ##0.00_ ;_ * &quot;-&quot;??_ ;_ @_ ">
                  <c:v>2320090.235499999</c:v>
                </c:pt>
                <c:pt idx="1">
                  <c:v>245547.64350000001</c:v>
                </c:pt>
                <c:pt idx="2">
                  <c:v>214721.79</c:v>
                </c:pt>
                <c:pt idx="3">
                  <c:v>103442.1205</c:v>
                </c:pt>
                <c:pt idx="4">
                  <c:v>290044.1335</c:v>
                </c:pt>
                <c:pt idx="5">
                  <c:v>156273.61499999999</c:v>
                </c:pt>
                <c:pt idx="6">
                  <c:v>356770.23849999998</c:v>
                </c:pt>
                <c:pt idx="7">
                  <c:v>125667.6415</c:v>
                </c:pt>
                <c:pt idx="8">
                  <c:v>246727.22150000001</c:v>
                </c:pt>
                <c:pt idx="9">
                  <c:v>70449.367999999988</c:v>
                </c:pt>
                <c:pt idx="10">
                  <c:v>150119.64300000001</c:v>
                </c:pt>
                <c:pt idx="11">
                  <c:v>136332.37349999999</c:v>
                </c:pt>
                <c:pt idx="12">
                  <c:v>223994.44699999999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0-4B2D-A4AA-255EEF4C31FD}"/>
            </c:ext>
          </c:extLst>
        </c:ser>
        <c:ser>
          <c:idx val="2"/>
          <c:order val="2"/>
          <c:tx>
            <c:strRef>
              <c:f>'Sept 10 - Sept 16'!$D$3</c:f>
              <c:strCache>
                <c:ptCount val="1"/>
                <c:pt idx="0">
                  <c:v>LAST YEAR (Gross)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'Sept 10 - Sept 16'!$A$4:$A$20</c:f>
              <c:strCache>
                <c:ptCount val="13"/>
                <c:pt idx="0">
                  <c:v> GROUP TOTAL </c:v>
                </c:pt>
                <c:pt idx="1">
                  <c:v>Irene Village</c:v>
                </c:pt>
                <c:pt idx="2">
                  <c:v>Melrose Arch</c:v>
                </c:pt>
                <c:pt idx="3">
                  <c:v>Melville</c:v>
                </c:pt>
                <c:pt idx="4">
                  <c:v>Rosebank</c:v>
                </c:pt>
                <c:pt idx="5">
                  <c:v>Waterkloof </c:v>
                </c:pt>
                <c:pt idx="6">
                  <c:v>Eagles Landing</c:v>
                </c:pt>
                <c:pt idx="7">
                  <c:v>Stellenbosch</c:v>
                </c:pt>
                <c:pt idx="8">
                  <c:v>Lynnwood</c:v>
                </c:pt>
                <c:pt idx="9">
                  <c:v>Wellington</c:v>
                </c:pt>
                <c:pt idx="10">
                  <c:v>Hartenbos</c:v>
                </c:pt>
                <c:pt idx="11">
                  <c:v>Kyalami Corner</c:v>
                </c:pt>
                <c:pt idx="12">
                  <c:v>Paulshof</c:v>
                </c:pt>
              </c:strCache>
            </c:strRef>
          </c:cat>
          <c:val>
            <c:numRef>
              <c:f>'Sept 10 - Sept 16'!$D$4:$D$20</c:f>
              <c:numCache>
                <c:formatCode>#,##0.00</c:formatCode>
                <c:ptCount val="13"/>
                <c:pt idx="0" formatCode="_ * #\ ##0.00_ ;_ * \-#\ ##0.00_ ;_ * &quot;-&quot;??_ ;_ @_ ">
                  <c:v>1950875.0802</c:v>
                </c:pt>
                <c:pt idx="1">
                  <c:v>229273.5624</c:v>
                </c:pt>
                <c:pt idx="2">
                  <c:v>175260.87539999999</c:v>
                </c:pt>
                <c:pt idx="3">
                  <c:v>108731.1024</c:v>
                </c:pt>
                <c:pt idx="4">
                  <c:v>347623.08419999998</c:v>
                </c:pt>
                <c:pt idx="5">
                  <c:v>128020.4838</c:v>
                </c:pt>
                <c:pt idx="6">
                  <c:v>319532.56079999992</c:v>
                </c:pt>
                <c:pt idx="7">
                  <c:v>111526.94100000001</c:v>
                </c:pt>
                <c:pt idx="8">
                  <c:v>177204.13080000001</c:v>
                </c:pt>
                <c:pt idx="9">
                  <c:v>64937.797200000001</c:v>
                </c:pt>
                <c:pt idx="10">
                  <c:v>157703.87220000001</c:v>
                </c:pt>
                <c:pt idx="11">
                  <c:v>131060.67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0-4B2D-A4AA-255EEF4C3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493272"/>
        <c:axId val="439493664"/>
      </c:lineChart>
      <c:catAx>
        <c:axId val="43949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_ * #\ ##0.00_ ;_ * \-#\ ##0.00_ ;_ * &quot;-&quot;??_ ;_ @_ 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'Oct 1 - Oct 7'!$D$4:$D$20</c:f>
              <c:strCache>
                <c:ptCount val="1"/>
                <c:pt idx="0">
                  <c:v> 1 932 686.17  267 137.07 156 197.63 98 441.26 318 589.14 116 675.57 301 916.12 103 319.24 166 104.99 55 646.70 208 517.65 140 140.80 0.00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FF20-4468-81EE-33554FD4B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'Oct 1 - Oct 7'!$D$3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'Oct 1 - Oct 7'!$A$5:$A$20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1 - Oct 7'!$D$5:$D$20</c:f>
              <c:numCache>
                <c:formatCode>#,##0.00</c:formatCode>
                <c:ptCount val="12"/>
                <c:pt idx="0">
                  <c:v>267137.07</c:v>
                </c:pt>
                <c:pt idx="1">
                  <c:v>156197.63</c:v>
                </c:pt>
                <c:pt idx="2">
                  <c:v>98441.26</c:v>
                </c:pt>
                <c:pt idx="3">
                  <c:v>318589.14</c:v>
                </c:pt>
                <c:pt idx="4">
                  <c:v>116675.57</c:v>
                </c:pt>
                <c:pt idx="5">
                  <c:v>301916.12</c:v>
                </c:pt>
                <c:pt idx="6">
                  <c:v>103319.24</c:v>
                </c:pt>
                <c:pt idx="7">
                  <c:v>166104.99</c:v>
                </c:pt>
                <c:pt idx="8">
                  <c:v>55646.7</c:v>
                </c:pt>
                <c:pt idx="9">
                  <c:v>208517.65</c:v>
                </c:pt>
                <c:pt idx="10">
                  <c:v>140140.79999999999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4-46BC-AF40-94DB69455160}"/>
            </c:ext>
          </c:extLst>
        </c:ser>
        <c:ser>
          <c:idx val="3"/>
          <c:order val="1"/>
          <c:tx>
            <c:strRef>
              <c:f>'Oct 1 - Oct 7'!$F$3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'Oct 1 - Oct 7'!$A$5:$A$20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1 - Oct 7'!$F$5:$F$20</c:f>
              <c:numCache>
                <c:formatCode>#,##0.00</c:formatCode>
                <c:ptCount val="12"/>
                <c:pt idx="0">
                  <c:v>264457.40000000002</c:v>
                </c:pt>
                <c:pt idx="1">
                  <c:v>192361</c:v>
                </c:pt>
                <c:pt idx="2">
                  <c:v>99034.45</c:v>
                </c:pt>
                <c:pt idx="3">
                  <c:v>341106.4</c:v>
                </c:pt>
                <c:pt idx="4">
                  <c:v>127538.2</c:v>
                </c:pt>
                <c:pt idx="5">
                  <c:v>314738.09999999998</c:v>
                </c:pt>
                <c:pt idx="6">
                  <c:v>122013.7</c:v>
                </c:pt>
                <c:pt idx="7">
                  <c:v>205792.4</c:v>
                </c:pt>
                <c:pt idx="8">
                  <c:v>110538.8</c:v>
                </c:pt>
                <c:pt idx="9">
                  <c:v>247604.5</c:v>
                </c:pt>
                <c:pt idx="10">
                  <c:v>137044.5</c:v>
                </c:pt>
                <c:pt idx="11">
                  <c:v>204294.8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4-46BC-AF40-94DB69455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'Oct 8 - Oct 14'!$D$4:$D$20</c:f>
              <c:strCache>
                <c:ptCount val="1"/>
                <c:pt idx="0">
                  <c:v> 1 780 522.41  183 776.70 147 168.41 107 836.00 332 973.77 146 403.07 308 858.84 103 558.72 156 513.94 50 011.70 124 352.66 119 068.60 0.00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14C5-4339-82B7-2AD1391C2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'Oct 8 - Oct 14'!$D$3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'Oct 8 - Oct 14'!$A$5:$A$20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8 - Oct 14'!$D$5:$D$20</c:f>
              <c:numCache>
                <c:formatCode>#,##0.00</c:formatCode>
                <c:ptCount val="12"/>
                <c:pt idx="0">
                  <c:v>183776.7</c:v>
                </c:pt>
                <c:pt idx="1">
                  <c:v>147168.41</c:v>
                </c:pt>
                <c:pt idx="2">
                  <c:v>107836</c:v>
                </c:pt>
                <c:pt idx="3">
                  <c:v>332973.77</c:v>
                </c:pt>
                <c:pt idx="4">
                  <c:v>146403.07</c:v>
                </c:pt>
                <c:pt idx="5">
                  <c:v>308858.84000000003</c:v>
                </c:pt>
                <c:pt idx="6">
                  <c:v>103558.72</c:v>
                </c:pt>
                <c:pt idx="7">
                  <c:v>156513.94</c:v>
                </c:pt>
                <c:pt idx="8">
                  <c:v>50011.7</c:v>
                </c:pt>
                <c:pt idx="9">
                  <c:v>124352.66</c:v>
                </c:pt>
                <c:pt idx="10">
                  <c:v>119068.6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B-447C-A4E7-8F7B4E4FEC8F}"/>
            </c:ext>
          </c:extLst>
        </c:ser>
        <c:ser>
          <c:idx val="3"/>
          <c:order val="1"/>
          <c:tx>
            <c:strRef>
              <c:f>'Oct 8 - Oct 14'!$F$3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'Oct 8 - Oct 14'!$A$5:$A$20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8 - Oct 14'!$F$5:$F$20</c:f>
              <c:numCache>
                <c:formatCode>#,##0.00</c:formatCode>
                <c:ptCount val="12"/>
                <c:pt idx="0">
                  <c:v>236866.46</c:v>
                </c:pt>
                <c:pt idx="1">
                  <c:v>144768.66</c:v>
                </c:pt>
                <c:pt idx="2">
                  <c:v>93938.69</c:v>
                </c:pt>
                <c:pt idx="3">
                  <c:v>294741.78000000003</c:v>
                </c:pt>
                <c:pt idx="4">
                  <c:v>143479.23000000001</c:v>
                </c:pt>
                <c:pt idx="5">
                  <c:v>320816.82</c:v>
                </c:pt>
                <c:pt idx="6">
                  <c:v>120710.17</c:v>
                </c:pt>
                <c:pt idx="7">
                  <c:v>212472.33</c:v>
                </c:pt>
                <c:pt idx="9">
                  <c:v>146937.32999999999</c:v>
                </c:pt>
                <c:pt idx="10">
                  <c:v>111304.3</c:v>
                </c:pt>
                <c:pt idx="11">
                  <c:v>190925.5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B-447C-A4E7-8F7B4E4FE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'Oct 15 - Oct 21'!$D$4:$D$20</c:f>
              <c:strCache>
                <c:ptCount val="1"/>
                <c:pt idx="0">
                  <c:v> 1 677 359.30  167 995.56 143 043.30 89 631.36 287 904.20 113 690.75 275 690.60 116 467.80 164 374.38 57 855.83 130 157.34 130 548.18 0.00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6675-4D33-B9A2-E091E338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'Oct 15 - Oct 21'!$D$3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'Oct 15 - Oct 21'!$A$5:$A$20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15 - Oct 21'!$D$5:$D$20</c:f>
              <c:numCache>
                <c:formatCode>#,##0.00</c:formatCode>
                <c:ptCount val="12"/>
                <c:pt idx="0">
                  <c:v>167995.56</c:v>
                </c:pt>
                <c:pt idx="1">
                  <c:v>143043.29999999999</c:v>
                </c:pt>
                <c:pt idx="2">
                  <c:v>89631.360000000001</c:v>
                </c:pt>
                <c:pt idx="3">
                  <c:v>287904.2</c:v>
                </c:pt>
                <c:pt idx="4">
                  <c:v>113690.75</c:v>
                </c:pt>
                <c:pt idx="5">
                  <c:v>275690.59999999998</c:v>
                </c:pt>
                <c:pt idx="6">
                  <c:v>116467.8</c:v>
                </c:pt>
                <c:pt idx="7">
                  <c:v>164374.38</c:v>
                </c:pt>
                <c:pt idx="8">
                  <c:v>57855.83</c:v>
                </c:pt>
                <c:pt idx="9">
                  <c:v>130157.34</c:v>
                </c:pt>
                <c:pt idx="10">
                  <c:v>130548.18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1-45ED-9252-02FFC36B748C}"/>
            </c:ext>
          </c:extLst>
        </c:ser>
        <c:ser>
          <c:idx val="3"/>
          <c:order val="1"/>
          <c:tx>
            <c:strRef>
              <c:f>'Oct 15 - Oct 21'!$F$3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'Oct 15 - Oct 21'!$A$5:$A$20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15 - Oct 21'!$F$5:$F$20</c:f>
              <c:numCache>
                <c:formatCode>#,##0.00</c:formatCode>
                <c:ptCount val="12"/>
                <c:pt idx="0">
                  <c:v>231844.3</c:v>
                </c:pt>
                <c:pt idx="1">
                  <c:v>0</c:v>
                </c:pt>
                <c:pt idx="2">
                  <c:v>80789.17</c:v>
                </c:pt>
                <c:pt idx="3">
                  <c:v>377913.2</c:v>
                </c:pt>
                <c:pt idx="4">
                  <c:v>129317.7</c:v>
                </c:pt>
                <c:pt idx="5">
                  <c:v>314124.40000000002</c:v>
                </c:pt>
                <c:pt idx="6">
                  <c:v>122918.1</c:v>
                </c:pt>
                <c:pt idx="7">
                  <c:v>200137</c:v>
                </c:pt>
                <c:pt idx="9">
                  <c:v>137169.71</c:v>
                </c:pt>
                <c:pt idx="10">
                  <c:v>110320.9</c:v>
                </c:pt>
                <c:pt idx="11">
                  <c:v>204905.5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1-45ED-9252-02FFC36B7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'Oct 22 - Oct 28'!$D$4:$D$20</c:f>
              <c:strCache>
                <c:ptCount val="1"/>
                <c:pt idx="0">
                  <c:v>1 919 517.55 206 852.71 180 079.74 97 166.76 343 316.43 157 623.12 307 699.22 131 664.33 163 399.93 70 398.48 135 240.21 126 076.62 0.00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517E-485D-B48A-EDE8E91F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'Oct 22 - Oct 28'!$D$3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'Oct 22 - Oct 28'!$A$5:$A$20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22 - Oct 28'!$D$5:$D$20</c:f>
              <c:numCache>
                <c:formatCode>#,##0.00</c:formatCode>
                <c:ptCount val="12"/>
                <c:pt idx="0">
                  <c:v>206852.71</c:v>
                </c:pt>
                <c:pt idx="1">
                  <c:v>180079.74</c:v>
                </c:pt>
                <c:pt idx="2">
                  <c:v>97166.76</c:v>
                </c:pt>
                <c:pt idx="3">
                  <c:v>343316.43</c:v>
                </c:pt>
                <c:pt idx="4">
                  <c:v>157623.12</c:v>
                </c:pt>
                <c:pt idx="5">
                  <c:v>307699.21999999997</c:v>
                </c:pt>
                <c:pt idx="6">
                  <c:v>131664.32999999999</c:v>
                </c:pt>
                <c:pt idx="7">
                  <c:v>163399.93</c:v>
                </c:pt>
                <c:pt idx="8">
                  <c:v>70398.48</c:v>
                </c:pt>
                <c:pt idx="9">
                  <c:v>135240.21</c:v>
                </c:pt>
                <c:pt idx="10">
                  <c:v>126076.62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1-48BF-AEA4-1FF2531E6718}"/>
            </c:ext>
          </c:extLst>
        </c:ser>
        <c:ser>
          <c:idx val="3"/>
          <c:order val="1"/>
          <c:tx>
            <c:strRef>
              <c:f>'Oct 22 - Oct 28'!$F$3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'Oct 22 - Oct 28'!$A$5:$A$20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22 - Oct 28'!$F$5:$F$20</c:f>
              <c:numCache>
                <c:formatCode>#,##0.00</c:formatCode>
                <c:ptCount val="12"/>
                <c:pt idx="0">
                  <c:v>232688.85</c:v>
                </c:pt>
                <c:pt idx="1">
                  <c:v>53942.16</c:v>
                </c:pt>
                <c:pt idx="2">
                  <c:v>112191.76</c:v>
                </c:pt>
                <c:pt idx="3">
                  <c:v>362627.37</c:v>
                </c:pt>
                <c:pt idx="4">
                  <c:v>139413.9</c:v>
                </c:pt>
                <c:pt idx="5">
                  <c:v>304811.65999999997</c:v>
                </c:pt>
                <c:pt idx="6">
                  <c:v>125171.07</c:v>
                </c:pt>
                <c:pt idx="7">
                  <c:v>228423.59</c:v>
                </c:pt>
                <c:pt idx="8">
                  <c:v>91370</c:v>
                </c:pt>
                <c:pt idx="9">
                  <c:v>158104.99</c:v>
                </c:pt>
                <c:pt idx="10">
                  <c:v>115349.58</c:v>
                </c:pt>
                <c:pt idx="11">
                  <c:v>216726.79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1-48BF-AEA4-1FF2531E6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'Oct 29 - Nov 4'!$D$4:$D$20</c:f>
              <c:strCache>
                <c:ptCount val="1"/>
                <c:pt idx="0">
                  <c:v>1 885 293.60 214 692.91 168 207.64 109 507.04 313 646.24 138 952.47 310 637.79 120 528.82 175 227.69 77 158.52 134 831.36 121 903.12 0.00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913B-4677-ADD2-74570BFB5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'Oct 29 - Nov 4'!$D$3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'Oct 29 - Nov 4'!$A$5:$A$20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29 - Nov 4'!$D$5:$D$20</c:f>
              <c:numCache>
                <c:formatCode>#,##0.00</c:formatCode>
                <c:ptCount val="12"/>
                <c:pt idx="0">
                  <c:v>214692.91</c:v>
                </c:pt>
                <c:pt idx="1">
                  <c:v>168207.64</c:v>
                </c:pt>
                <c:pt idx="2">
                  <c:v>109507.04</c:v>
                </c:pt>
                <c:pt idx="3">
                  <c:v>313646.24</c:v>
                </c:pt>
                <c:pt idx="4">
                  <c:v>138952.47</c:v>
                </c:pt>
                <c:pt idx="5">
                  <c:v>310637.78999999998</c:v>
                </c:pt>
                <c:pt idx="6">
                  <c:v>120528.82</c:v>
                </c:pt>
                <c:pt idx="7">
                  <c:v>175227.69</c:v>
                </c:pt>
                <c:pt idx="8">
                  <c:v>77158.52</c:v>
                </c:pt>
                <c:pt idx="9">
                  <c:v>134831.35999999999</c:v>
                </c:pt>
                <c:pt idx="10">
                  <c:v>121903.12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B-4440-820B-A5BB292A8AFD}"/>
            </c:ext>
          </c:extLst>
        </c:ser>
        <c:ser>
          <c:idx val="3"/>
          <c:order val="1"/>
          <c:tx>
            <c:strRef>
              <c:f>'Oct 29 - Nov 4'!$F$3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'Oct 29 - Nov 4'!$A$5:$A$20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'Oct 29 - Nov 4'!$F$5:$F$20</c:f>
              <c:numCache>
                <c:formatCode>#,##0.00</c:formatCode>
                <c:ptCount val="12"/>
                <c:pt idx="0">
                  <c:v>240216.2</c:v>
                </c:pt>
                <c:pt idx="1">
                  <c:v>149101.4</c:v>
                </c:pt>
                <c:pt idx="2">
                  <c:v>116744.1</c:v>
                </c:pt>
                <c:pt idx="3">
                  <c:v>308190.8</c:v>
                </c:pt>
                <c:pt idx="4">
                  <c:v>125359.7</c:v>
                </c:pt>
                <c:pt idx="5">
                  <c:v>357361.2</c:v>
                </c:pt>
                <c:pt idx="6">
                  <c:v>137659.5</c:v>
                </c:pt>
                <c:pt idx="7">
                  <c:v>219864.7</c:v>
                </c:pt>
                <c:pt idx="8">
                  <c:v>80509.119999999995</c:v>
                </c:pt>
                <c:pt idx="9">
                  <c:v>171766.3</c:v>
                </c:pt>
                <c:pt idx="10">
                  <c:v>113012.4</c:v>
                </c:pt>
                <c:pt idx="11">
                  <c:v>186727.7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B-4440-820B-A5BB292A8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'Nov 5 - Nov 11'!$D$4:$D$20</c:f>
              <c:strCache>
                <c:ptCount val="1"/>
                <c:pt idx="0">
                  <c:v>1 801 521.42 177 081.90 155 216.00 104 402.39 291 843.17 139 503.55 323 410.50 106 049.44 173 981.77 74 986.80 138 986.00 116 059.90 0.00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523B-4EEE-88BC-D65314CD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'Nov 5 - Nov 11'!$D$3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'Nov 5 - Nov 11'!$A$5:$A$20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5 - Nov 11'!$D$5:$D$20</c:f>
              <c:numCache>
                <c:formatCode>#,##0.00</c:formatCode>
                <c:ptCount val="12"/>
                <c:pt idx="0">
                  <c:v>177081.9</c:v>
                </c:pt>
                <c:pt idx="1">
                  <c:v>155216</c:v>
                </c:pt>
                <c:pt idx="2">
                  <c:v>104402.39</c:v>
                </c:pt>
                <c:pt idx="3">
                  <c:v>291843.17</c:v>
                </c:pt>
                <c:pt idx="4">
                  <c:v>139503.54999999999</c:v>
                </c:pt>
                <c:pt idx="5">
                  <c:v>323410.5</c:v>
                </c:pt>
                <c:pt idx="6">
                  <c:v>106049.44</c:v>
                </c:pt>
                <c:pt idx="7">
                  <c:v>173981.77</c:v>
                </c:pt>
                <c:pt idx="8">
                  <c:v>74986.8</c:v>
                </c:pt>
                <c:pt idx="9">
                  <c:v>138986</c:v>
                </c:pt>
                <c:pt idx="10">
                  <c:v>116059.9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D-408D-AD74-69B76335256A}"/>
            </c:ext>
          </c:extLst>
        </c:ser>
        <c:ser>
          <c:idx val="3"/>
          <c:order val="1"/>
          <c:tx>
            <c:strRef>
              <c:f>'Nov 5 - Nov 11'!$F$3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'Nov 5 - Nov 11'!$A$5:$A$20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5 - Nov 11'!$F$5:$F$20</c:f>
              <c:numCache>
                <c:formatCode>#,##0.00</c:formatCode>
                <c:ptCount val="12"/>
                <c:pt idx="0">
                  <c:v>230376.85</c:v>
                </c:pt>
                <c:pt idx="1">
                  <c:v>179981.9</c:v>
                </c:pt>
                <c:pt idx="2">
                  <c:v>116486.39999999999</c:v>
                </c:pt>
                <c:pt idx="3">
                  <c:v>322539.8</c:v>
                </c:pt>
                <c:pt idx="4">
                  <c:v>142319</c:v>
                </c:pt>
                <c:pt idx="5">
                  <c:v>325055.40000000002</c:v>
                </c:pt>
                <c:pt idx="6">
                  <c:v>128157.5</c:v>
                </c:pt>
                <c:pt idx="7">
                  <c:v>209425</c:v>
                </c:pt>
                <c:pt idx="8">
                  <c:v>98147.38</c:v>
                </c:pt>
                <c:pt idx="9">
                  <c:v>164453.70000000001</c:v>
                </c:pt>
                <c:pt idx="10">
                  <c:v>111401.3</c:v>
                </c:pt>
                <c:pt idx="11">
                  <c:v>242297.9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D-408D-AD74-69B76335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'Nov 12 - Nov 18'!$D$4:$D$20</c:f>
              <c:strCache>
                <c:ptCount val="1"/>
                <c:pt idx="0">
                  <c:v>1 847 434.61 202 857.50 183 476.04 102 243.30 275 301.94 133 657.30 310 506.40 105 931.30 190 299.10 85 948.17 131 313.10 125 900.46 0.00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8315-49C0-BFC8-0DBFB2B4E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'Nov 12 - Nov 18'!$D$3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'Nov 12 - Nov 18'!$A$5:$A$20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12 - Nov 18'!$D$5:$D$20</c:f>
              <c:numCache>
                <c:formatCode>#,##0.00</c:formatCode>
                <c:ptCount val="12"/>
                <c:pt idx="0">
                  <c:v>202857.5</c:v>
                </c:pt>
                <c:pt idx="1">
                  <c:v>183476.04</c:v>
                </c:pt>
                <c:pt idx="2">
                  <c:v>102243.3</c:v>
                </c:pt>
                <c:pt idx="3">
                  <c:v>275301.94</c:v>
                </c:pt>
                <c:pt idx="4">
                  <c:v>133657.29999999999</c:v>
                </c:pt>
                <c:pt idx="5">
                  <c:v>310506.40000000002</c:v>
                </c:pt>
                <c:pt idx="6">
                  <c:v>105931.3</c:v>
                </c:pt>
                <c:pt idx="7">
                  <c:v>190299.1</c:v>
                </c:pt>
                <c:pt idx="8">
                  <c:v>85948.17</c:v>
                </c:pt>
                <c:pt idx="9">
                  <c:v>131313.1</c:v>
                </c:pt>
                <c:pt idx="10">
                  <c:v>125900.46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7-4760-967C-D7A3E21BD677}"/>
            </c:ext>
          </c:extLst>
        </c:ser>
        <c:ser>
          <c:idx val="3"/>
          <c:order val="1"/>
          <c:tx>
            <c:strRef>
              <c:f>'Nov 12 - Nov 18'!$F$3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'Nov 12 - Nov 18'!$A$5:$A$20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12 - Nov 18'!$F$5:$F$20</c:f>
              <c:numCache>
                <c:formatCode>#,##0.00</c:formatCode>
                <c:ptCount val="12"/>
                <c:pt idx="0">
                  <c:v>230527.2</c:v>
                </c:pt>
                <c:pt idx="1">
                  <c:v>313293.7</c:v>
                </c:pt>
                <c:pt idx="2">
                  <c:v>121201.1</c:v>
                </c:pt>
                <c:pt idx="3">
                  <c:v>354340.7</c:v>
                </c:pt>
                <c:pt idx="4">
                  <c:v>133992.29999999999</c:v>
                </c:pt>
                <c:pt idx="5">
                  <c:v>309782.7</c:v>
                </c:pt>
                <c:pt idx="6">
                  <c:v>137174.29999999999</c:v>
                </c:pt>
                <c:pt idx="7">
                  <c:v>199894.3</c:v>
                </c:pt>
                <c:pt idx="8">
                  <c:v>89631.29</c:v>
                </c:pt>
                <c:pt idx="9">
                  <c:v>154493.5</c:v>
                </c:pt>
                <c:pt idx="10">
                  <c:v>128338.69</c:v>
                </c:pt>
                <c:pt idx="11">
                  <c:v>230025.60000000001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7-4760-967C-D7A3E21BD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'Nov 19 - Nov 25'!$D$4:$D$20</c:f>
              <c:strCache>
                <c:ptCount val="1"/>
                <c:pt idx="0">
                  <c:v>2 029 682.86 225 596.02 212 727.33 135 603.13 298 303.36 140 595.30 352 327.48 114 548.15 197 072.43 80 963.73 133 326.16 138 619.77 0.00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FF9E-410F-9FCC-EA5420309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'Nov 19 - Nov 25'!$D$3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'Nov 19 - Nov 25'!$A$5:$A$20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19 - Nov 25'!$D$5:$D$20</c:f>
              <c:numCache>
                <c:formatCode>#,##0.00</c:formatCode>
                <c:ptCount val="12"/>
                <c:pt idx="0">
                  <c:v>225596.02</c:v>
                </c:pt>
                <c:pt idx="1">
                  <c:v>212727.33</c:v>
                </c:pt>
                <c:pt idx="2">
                  <c:v>135603.13</c:v>
                </c:pt>
                <c:pt idx="3">
                  <c:v>298303.35999999999</c:v>
                </c:pt>
                <c:pt idx="4">
                  <c:v>140595.29999999999</c:v>
                </c:pt>
                <c:pt idx="5">
                  <c:v>352327.48</c:v>
                </c:pt>
                <c:pt idx="6">
                  <c:v>114548.15</c:v>
                </c:pt>
                <c:pt idx="7">
                  <c:v>197072.43</c:v>
                </c:pt>
                <c:pt idx="8">
                  <c:v>80963.73</c:v>
                </c:pt>
                <c:pt idx="9">
                  <c:v>133326.16</c:v>
                </c:pt>
                <c:pt idx="10">
                  <c:v>138619.76999999999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8-4E4B-BECB-8DDC5ED710C7}"/>
            </c:ext>
          </c:extLst>
        </c:ser>
        <c:ser>
          <c:idx val="3"/>
          <c:order val="1"/>
          <c:tx>
            <c:strRef>
              <c:f>'Nov 19 - Nov 25'!$F$3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'Nov 19 - Nov 25'!$A$5:$A$20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19 - Nov 25'!$F$5:$F$20</c:f>
              <c:numCache>
                <c:formatCode>#,##0.00</c:formatCode>
                <c:ptCount val="12"/>
                <c:pt idx="0">
                  <c:v>256902.53</c:v>
                </c:pt>
                <c:pt idx="1">
                  <c:v>245413.55</c:v>
                </c:pt>
                <c:pt idx="2">
                  <c:v>136957</c:v>
                </c:pt>
                <c:pt idx="3">
                  <c:v>358375.04</c:v>
                </c:pt>
                <c:pt idx="4">
                  <c:v>142236.65</c:v>
                </c:pt>
                <c:pt idx="5">
                  <c:v>318574.28000000003</c:v>
                </c:pt>
                <c:pt idx="6">
                  <c:v>128803.75</c:v>
                </c:pt>
                <c:pt idx="7">
                  <c:v>215499.76</c:v>
                </c:pt>
                <c:pt idx="8">
                  <c:v>109266.08</c:v>
                </c:pt>
                <c:pt idx="9">
                  <c:v>157729.49</c:v>
                </c:pt>
                <c:pt idx="10">
                  <c:v>125199.1</c:v>
                </c:pt>
                <c:pt idx="11">
                  <c:v>223473.37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8-4E4B-BECB-8DDC5ED71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'Nov 26 - Dec 2'!$D$4:$D$20</c:f>
              <c:strCache>
                <c:ptCount val="1"/>
                <c:pt idx="0">
                  <c:v>2 271 154.92 275 995.90 276 237.50 124 869.20 314 726.60 158 523.30 372 248.90 131 328.30 240 200.30 70 352.72 163 148.30 143 523.90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7A03-41CF-B040-75A03DDD0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'Nov 26 - Dec 2'!$D$3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'Nov 26 - Dec 2'!$A$5:$A$20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26 - Dec 2'!$D$5:$D$20</c:f>
              <c:numCache>
                <c:formatCode>#,##0.00</c:formatCode>
                <c:ptCount val="12"/>
                <c:pt idx="0">
                  <c:v>275995.90000000002</c:v>
                </c:pt>
                <c:pt idx="1">
                  <c:v>276237.5</c:v>
                </c:pt>
                <c:pt idx="2">
                  <c:v>124869.2</c:v>
                </c:pt>
                <c:pt idx="3">
                  <c:v>314726.59999999998</c:v>
                </c:pt>
                <c:pt idx="4">
                  <c:v>158523.29999999999</c:v>
                </c:pt>
                <c:pt idx="5">
                  <c:v>372248.9</c:v>
                </c:pt>
                <c:pt idx="6">
                  <c:v>131328.29999999999</c:v>
                </c:pt>
                <c:pt idx="7">
                  <c:v>240200.3</c:v>
                </c:pt>
                <c:pt idx="8">
                  <c:v>70352.72</c:v>
                </c:pt>
                <c:pt idx="9">
                  <c:v>163148.29999999999</c:v>
                </c:pt>
                <c:pt idx="10">
                  <c:v>143523.9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F-469A-AD9E-7D3CC0C526C7}"/>
            </c:ext>
          </c:extLst>
        </c:ser>
        <c:ser>
          <c:idx val="3"/>
          <c:order val="1"/>
          <c:tx>
            <c:strRef>
              <c:f>'Nov 26 - Dec 2'!$F$3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'Nov 26 - Dec 2'!$A$5:$A$20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'Nov 26 - Dec 2'!$F$5:$F$20</c:f>
              <c:numCache>
                <c:formatCode>#,##0.00</c:formatCode>
                <c:ptCount val="12"/>
                <c:pt idx="0">
                  <c:v>323437.12</c:v>
                </c:pt>
                <c:pt idx="1">
                  <c:v>338183.9</c:v>
                </c:pt>
                <c:pt idx="2">
                  <c:v>134962.79999999999</c:v>
                </c:pt>
                <c:pt idx="3">
                  <c:v>420853.2</c:v>
                </c:pt>
                <c:pt idx="4">
                  <c:v>170438.2</c:v>
                </c:pt>
                <c:pt idx="5">
                  <c:v>357727.6</c:v>
                </c:pt>
                <c:pt idx="6">
                  <c:v>145174.03</c:v>
                </c:pt>
                <c:pt idx="7">
                  <c:v>291527.74</c:v>
                </c:pt>
                <c:pt idx="8">
                  <c:v>110705.21</c:v>
                </c:pt>
                <c:pt idx="9">
                  <c:v>204683.2</c:v>
                </c:pt>
                <c:pt idx="10">
                  <c:v>160866.38</c:v>
                </c:pt>
                <c:pt idx="11">
                  <c:v>241469.2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1F-469A-AD9E-7D3CC0C52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'Dec 3 - Dec 9'!$D$4:$D$20</c:f>
              <c:strCache>
                <c:ptCount val="1"/>
                <c:pt idx="0">
                  <c:v>2 420 931.03 269 307.00 318 577.51 128 340.30 345 474.70 160 121.50 379 493.81 147 431.50 171 313.20 118 654.30 214 615.80 167 601.41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BE37-45E9-BBE6-965561C27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'Dec 3 - Dec 9'!$D$3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'Dec 3 - Dec 9'!$A$5:$A$20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3 - Dec 9'!$D$5:$D$20</c:f>
              <c:numCache>
                <c:formatCode>#,##0.00</c:formatCode>
                <c:ptCount val="12"/>
                <c:pt idx="0">
                  <c:v>269307</c:v>
                </c:pt>
                <c:pt idx="1">
                  <c:v>318577.51</c:v>
                </c:pt>
                <c:pt idx="2">
                  <c:v>128340.3</c:v>
                </c:pt>
                <c:pt idx="3">
                  <c:v>345474.7</c:v>
                </c:pt>
                <c:pt idx="4">
                  <c:v>160121.5</c:v>
                </c:pt>
                <c:pt idx="5">
                  <c:v>379493.81</c:v>
                </c:pt>
                <c:pt idx="6">
                  <c:v>147431.5</c:v>
                </c:pt>
                <c:pt idx="7">
                  <c:v>171313.2</c:v>
                </c:pt>
                <c:pt idx="8">
                  <c:v>118654.3</c:v>
                </c:pt>
                <c:pt idx="9">
                  <c:v>214615.8</c:v>
                </c:pt>
                <c:pt idx="10">
                  <c:v>167601.41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C-4C72-BD03-D1D5C225D98C}"/>
            </c:ext>
          </c:extLst>
        </c:ser>
        <c:ser>
          <c:idx val="3"/>
          <c:order val="1"/>
          <c:tx>
            <c:strRef>
              <c:f>'Dec 3 - Dec 9'!$F$3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'Dec 3 - Dec 9'!$A$5:$A$20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3 - Dec 9'!$F$5:$F$20</c:f>
              <c:numCache>
                <c:formatCode>#,##0.00</c:formatCode>
                <c:ptCount val="12"/>
                <c:pt idx="0">
                  <c:v>320822.5</c:v>
                </c:pt>
                <c:pt idx="1">
                  <c:v>391424.7</c:v>
                </c:pt>
                <c:pt idx="2">
                  <c:v>164133.6</c:v>
                </c:pt>
                <c:pt idx="3">
                  <c:v>447806</c:v>
                </c:pt>
                <c:pt idx="4">
                  <c:v>148868.29999999999</c:v>
                </c:pt>
                <c:pt idx="5">
                  <c:v>371134</c:v>
                </c:pt>
                <c:pt idx="6">
                  <c:v>150125.5</c:v>
                </c:pt>
                <c:pt idx="7">
                  <c:v>274465.5</c:v>
                </c:pt>
                <c:pt idx="9">
                  <c:v>271640.7</c:v>
                </c:pt>
                <c:pt idx="10">
                  <c:v>164090.6</c:v>
                </c:pt>
                <c:pt idx="11">
                  <c:v>227826.2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C-4C72-BD03-D1D5C225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'Dec 10 - Dec 16'!$D$4:$D$20</c:f>
              <c:strCache>
                <c:ptCount val="1"/>
                <c:pt idx="0">
                  <c:v>2 983 005.64 288 516.63 391 098.82 115 154.21 380 716.39 131 449.60 360 086.00 129 849.23 222 361.21 148 791.00 369 228.00 152 929.95 292 824.60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CFBD-429B-8D91-63E14F09E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'Dec 10 - Dec 16'!$D$3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'Dec 10 - Dec 16'!$A$5:$A$20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10 - Dec 16'!$D$5:$D$20</c:f>
              <c:numCache>
                <c:formatCode>#,##0.00</c:formatCode>
                <c:ptCount val="12"/>
                <c:pt idx="0">
                  <c:v>288516.63</c:v>
                </c:pt>
                <c:pt idx="1">
                  <c:v>391098.82</c:v>
                </c:pt>
                <c:pt idx="2">
                  <c:v>115154.21</c:v>
                </c:pt>
                <c:pt idx="3">
                  <c:v>380716.39</c:v>
                </c:pt>
                <c:pt idx="4">
                  <c:v>131449.60000000001</c:v>
                </c:pt>
                <c:pt idx="5">
                  <c:v>360086</c:v>
                </c:pt>
                <c:pt idx="6">
                  <c:v>129849.23</c:v>
                </c:pt>
                <c:pt idx="7">
                  <c:v>222361.21</c:v>
                </c:pt>
                <c:pt idx="8">
                  <c:v>148791</c:v>
                </c:pt>
                <c:pt idx="9">
                  <c:v>369228</c:v>
                </c:pt>
                <c:pt idx="10">
                  <c:v>152929.95000000001</c:v>
                </c:pt>
                <c:pt idx="11">
                  <c:v>292824.59999999998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F-4053-A0B9-315A0D03E402}"/>
            </c:ext>
          </c:extLst>
        </c:ser>
        <c:ser>
          <c:idx val="3"/>
          <c:order val="1"/>
          <c:tx>
            <c:strRef>
              <c:f>'Dec 10 - Dec 16'!$F$3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'Dec 10 - Dec 16'!$A$5:$A$20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10 - Dec 16'!$F$5:$F$20</c:f>
              <c:numCache>
                <c:formatCode>#,##0.00</c:formatCode>
                <c:ptCount val="12"/>
                <c:pt idx="0">
                  <c:v>347035.47</c:v>
                </c:pt>
                <c:pt idx="1">
                  <c:v>440642.84</c:v>
                </c:pt>
                <c:pt idx="2">
                  <c:v>139078.93</c:v>
                </c:pt>
                <c:pt idx="3">
                  <c:v>414897.03</c:v>
                </c:pt>
                <c:pt idx="4">
                  <c:v>131512.71</c:v>
                </c:pt>
                <c:pt idx="5">
                  <c:v>336899.8</c:v>
                </c:pt>
                <c:pt idx="6">
                  <c:v>165364.96</c:v>
                </c:pt>
                <c:pt idx="7">
                  <c:v>249921.32</c:v>
                </c:pt>
                <c:pt idx="9">
                  <c:v>413155.48</c:v>
                </c:pt>
                <c:pt idx="10">
                  <c:v>179982.05</c:v>
                </c:pt>
                <c:pt idx="11">
                  <c:v>232833.57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F-4053-A0B9-315A0D03E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'Dec 17 - Dec 23'!$D$4:$D$20</c:f>
              <c:strCache>
                <c:ptCount val="1"/>
                <c:pt idx="0">
                  <c:v>2 914 443.88 279 475.14 412 132.74 93 419.36 324 548.83 84 328.90 292 360.17 128 839.67 183 199.92 110 006.30 611 913.13 118 220.82 275 998.90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92DF-464D-B11C-2E2EA537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'Dec 17 - Dec 23'!$D$3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'Dec 17 - Dec 23'!$A$5:$A$20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17 - Dec 23'!$D$5:$D$20</c:f>
              <c:numCache>
                <c:formatCode>#,##0.00</c:formatCode>
                <c:ptCount val="12"/>
                <c:pt idx="0">
                  <c:v>279475.14</c:v>
                </c:pt>
                <c:pt idx="1">
                  <c:v>412132.74</c:v>
                </c:pt>
                <c:pt idx="2">
                  <c:v>93419.36</c:v>
                </c:pt>
                <c:pt idx="3">
                  <c:v>324548.83</c:v>
                </c:pt>
                <c:pt idx="4">
                  <c:v>84328.9</c:v>
                </c:pt>
                <c:pt idx="5">
                  <c:v>292360.17</c:v>
                </c:pt>
                <c:pt idx="6">
                  <c:v>128839.67</c:v>
                </c:pt>
                <c:pt idx="7">
                  <c:v>183199.92</c:v>
                </c:pt>
                <c:pt idx="8">
                  <c:v>110006.3</c:v>
                </c:pt>
                <c:pt idx="9">
                  <c:v>611913.13</c:v>
                </c:pt>
                <c:pt idx="10">
                  <c:v>118220.82</c:v>
                </c:pt>
                <c:pt idx="11">
                  <c:v>275998.90000000002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C0-4DF5-8C80-B02F1CB7EE9F}"/>
            </c:ext>
          </c:extLst>
        </c:ser>
        <c:ser>
          <c:idx val="3"/>
          <c:order val="1"/>
          <c:tx>
            <c:strRef>
              <c:f>'Dec 17 - Dec 23'!$F$3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'Dec 17 - Dec 23'!$A$5:$A$20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17 - Dec 23'!$F$5:$F$20</c:f>
              <c:numCache>
                <c:formatCode>#,##0.00</c:formatCode>
                <c:ptCount val="12"/>
                <c:pt idx="0">
                  <c:v>364522.63</c:v>
                </c:pt>
                <c:pt idx="1">
                  <c:v>425021.24</c:v>
                </c:pt>
                <c:pt idx="2">
                  <c:v>109671.37</c:v>
                </c:pt>
                <c:pt idx="3">
                  <c:v>351087.57</c:v>
                </c:pt>
                <c:pt idx="4">
                  <c:v>115237.01</c:v>
                </c:pt>
                <c:pt idx="5">
                  <c:v>312544.07</c:v>
                </c:pt>
                <c:pt idx="6">
                  <c:v>146411.35999999999</c:v>
                </c:pt>
                <c:pt idx="7">
                  <c:v>212746.47</c:v>
                </c:pt>
                <c:pt idx="9">
                  <c:v>735480.34</c:v>
                </c:pt>
                <c:pt idx="10">
                  <c:v>129028.04</c:v>
                </c:pt>
                <c:pt idx="11">
                  <c:v>230910.65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C0-4DF5-8C80-B02F1CB7E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'Dec 24 - Dec 30'!$D$4:$D$20</c:f>
              <c:strCache>
                <c:ptCount val="1"/>
                <c:pt idx="0">
                  <c:v>2 505 808.06 268 379.66 247 039.76 50 611.88 232 083.31 100 241.89 243 609.74 105 293.60 137 786.37 171 612.08 703 760.14 90 692.88  154 696.75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9EDD-44D7-84E9-1A473759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'Dec 24 - Dec 30'!$D$3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'Dec 24 - Dec 30'!$A$5:$A$20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24 - Dec 30'!$D$5:$D$20</c:f>
              <c:numCache>
                <c:formatCode>#,##0.00</c:formatCode>
                <c:ptCount val="12"/>
                <c:pt idx="0">
                  <c:v>268379.65999999997</c:v>
                </c:pt>
                <c:pt idx="1">
                  <c:v>247039.76</c:v>
                </c:pt>
                <c:pt idx="2">
                  <c:v>50611.88</c:v>
                </c:pt>
                <c:pt idx="3">
                  <c:v>232083.31</c:v>
                </c:pt>
                <c:pt idx="4">
                  <c:v>100241.89</c:v>
                </c:pt>
                <c:pt idx="5">
                  <c:v>243609.74</c:v>
                </c:pt>
                <c:pt idx="6">
                  <c:v>105293.6</c:v>
                </c:pt>
                <c:pt idx="7">
                  <c:v>137786.37</c:v>
                </c:pt>
                <c:pt idx="8">
                  <c:v>171612.08</c:v>
                </c:pt>
                <c:pt idx="9">
                  <c:v>703760.14</c:v>
                </c:pt>
                <c:pt idx="10">
                  <c:v>90692.88</c:v>
                </c:pt>
                <c:pt idx="11" formatCode="_ * #\ ##0.00_ ;_ * \-#\ ##0.00_ ;_ * &quot;-&quot;??_ ;_ @_ ">
                  <c:v>154696.75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5-4E95-897F-74F161F7D90F}"/>
            </c:ext>
          </c:extLst>
        </c:ser>
        <c:ser>
          <c:idx val="3"/>
          <c:order val="1"/>
          <c:tx>
            <c:strRef>
              <c:f>'Dec 24 - Dec 30'!$F$3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'Dec 24 - Dec 30'!$A$5:$A$20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24 - Dec 30'!$F$5:$F$20</c:f>
              <c:numCache>
                <c:formatCode>#,##0.00</c:formatCode>
                <c:ptCount val="12"/>
                <c:pt idx="0">
                  <c:v>315787.5</c:v>
                </c:pt>
                <c:pt idx="1">
                  <c:v>195208.5</c:v>
                </c:pt>
                <c:pt idx="2">
                  <c:v>67639.259999999995</c:v>
                </c:pt>
                <c:pt idx="3">
                  <c:v>251347.9</c:v>
                </c:pt>
                <c:pt idx="4">
                  <c:v>87101.46</c:v>
                </c:pt>
                <c:pt idx="5">
                  <c:v>231448.7</c:v>
                </c:pt>
                <c:pt idx="7">
                  <c:v>149304.70000000001</c:v>
                </c:pt>
                <c:pt idx="9">
                  <c:v>849629.2</c:v>
                </c:pt>
                <c:pt idx="10">
                  <c:v>88647.83</c:v>
                </c:pt>
                <c:pt idx="11">
                  <c:v>113962.7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5-4E95-897F-74F161F7D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'Dec 31 - Jan 6'!$D$4:$D$17</c:f>
              <c:strCache>
                <c:ptCount val="1"/>
                <c:pt idx="0">
                  <c:v> 2 979 026.76  344 966.83 255 007.07 81 571.47 328 490.91 116 016.19 302 047.15 132 438.38 185 942.44 164 385.90 687 439.07 121 726.27 258 995.08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C2C-4CAF-8335-6BC10D5E3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'Dec 31 - Jan 6'!$D$3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'Dec 31 - Jan 6'!$A$5:$A$17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31 - Jan 6'!$D$5:$D$17</c:f>
              <c:numCache>
                <c:formatCode>#,##0.00</c:formatCode>
                <c:ptCount val="12"/>
                <c:pt idx="0">
                  <c:v>344966.82719999994</c:v>
                </c:pt>
                <c:pt idx="1">
                  <c:v>255007.06739999997</c:v>
                </c:pt>
                <c:pt idx="2">
                  <c:v>81571.468799999988</c:v>
                </c:pt>
                <c:pt idx="3">
                  <c:v>328490.90879999998</c:v>
                </c:pt>
                <c:pt idx="4">
                  <c:v>116016.19259999998</c:v>
                </c:pt>
                <c:pt idx="5">
                  <c:v>302047.1496</c:v>
                </c:pt>
                <c:pt idx="6">
                  <c:v>132438.38279999999</c:v>
                </c:pt>
                <c:pt idx="7">
                  <c:v>185942.43599999999</c:v>
                </c:pt>
                <c:pt idx="8">
                  <c:v>164385.90239999999</c:v>
                </c:pt>
                <c:pt idx="9">
                  <c:v>687439.07219999994</c:v>
                </c:pt>
                <c:pt idx="10">
                  <c:v>121726.27019999998</c:v>
                </c:pt>
                <c:pt idx="11">
                  <c:v>258995.08379999999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5-4AD5-B47F-576ED78E6080}"/>
            </c:ext>
          </c:extLst>
        </c:ser>
        <c:ser>
          <c:idx val="3"/>
          <c:order val="1"/>
          <c:tx>
            <c:strRef>
              <c:f>'Dec 31 - Jan 6'!$F$3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'Dec 31 - Jan 6'!$A$5:$A$17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</c:strCache>
            </c:strRef>
          </c:cat>
          <c:val>
            <c:numRef>
              <c:f>'Dec 31 - Jan 6'!$F$5:$F$17</c:f>
              <c:numCache>
                <c:formatCode>#,##0.00</c:formatCode>
                <c:ptCount val="12"/>
                <c:pt idx="0">
                  <c:v>325096.33</c:v>
                </c:pt>
                <c:pt idx="1">
                  <c:v>157885.87</c:v>
                </c:pt>
                <c:pt idx="2">
                  <c:v>90111.4</c:v>
                </c:pt>
                <c:pt idx="3">
                  <c:v>329855.34999999998</c:v>
                </c:pt>
                <c:pt idx="4">
                  <c:v>114633.66</c:v>
                </c:pt>
                <c:pt idx="5">
                  <c:v>228406.1</c:v>
                </c:pt>
                <c:pt idx="6">
                  <c:v>133751.79</c:v>
                </c:pt>
                <c:pt idx="7">
                  <c:v>185171.07</c:v>
                </c:pt>
                <c:pt idx="8">
                  <c:v>0</c:v>
                </c:pt>
                <c:pt idx="9">
                  <c:v>730769.93</c:v>
                </c:pt>
                <c:pt idx="10">
                  <c:v>96083.839999999997</c:v>
                </c:pt>
                <c:pt idx="11">
                  <c:v>133382.21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5-4AD5-B47F-576ED78E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'Jan 7 - Jan 13'!$D$4:$D$17</c:f>
              <c:strCache>
                <c:ptCount val="1"/>
                <c:pt idx="0">
                  <c:v> 2 214 610.87  268 353.83 163 075.54 83 089.63 266 913.83 117 708.70 294 196.37 107 328.96 203 360.97 0.00 343 995.82 119 445.84 247 141.38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EB5F-480C-80BF-521DC76D4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'Jan 7 - Jan 13'!$D$3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('Jan 7 - Jan 13'!$A$5:$A$9,'Jan 7 - Jan 13'!$A$11:$A$17)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7 - Jan 13'!$D$5:$D$9,'Jan 7 - Jan 13'!$D$11:$D$17)</c:f>
              <c:numCache>
                <c:formatCode>#,##0.00</c:formatCode>
                <c:ptCount val="11"/>
                <c:pt idx="0">
                  <c:v>268353.83</c:v>
                </c:pt>
                <c:pt idx="1">
                  <c:v>163075.54</c:v>
                </c:pt>
                <c:pt idx="2">
                  <c:v>83089.63</c:v>
                </c:pt>
                <c:pt idx="3">
                  <c:v>266913.83</c:v>
                </c:pt>
                <c:pt idx="4">
                  <c:v>294196.37</c:v>
                </c:pt>
                <c:pt idx="5">
                  <c:v>107328.96000000001</c:v>
                </c:pt>
                <c:pt idx="6">
                  <c:v>203360.97</c:v>
                </c:pt>
                <c:pt idx="7">
                  <c:v>0</c:v>
                </c:pt>
                <c:pt idx="8">
                  <c:v>343995.82</c:v>
                </c:pt>
                <c:pt idx="9">
                  <c:v>119445.84</c:v>
                </c:pt>
                <c:pt idx="10">
                  <c:v>247141.38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4-4AFD-AC8F-4312CBE4F611}"/>
            </c:ext>
          </c:extLst>
        </c:ser>
        <c:ser>
          <c:idx val="3"/>
          <c:order val="1"/>
          <c:tx>
            <c:strRef>
              <c:f>'Jan 7 - Jan 13'!$F$3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('Jan 7 - Jan 13'!$A$5:$A$9,'Jan 7 - Jan 13'!$A$11:$A$17)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7 - Jan 13'!$F$5:$F$9,'Jan 7 - Jan 13'!$F$11:$F$17)</c:f>
              <c:numCache>
                <c:formatCode>#,##0.00</c:formatCode>
                <c:ptCount val="11"/>
                <c:pt idx="0">
                  <c:v>282462.92</c:v>
                </c:pt>
                <c:pt idx="1">
                  <c:v>142591.76</c:v>
                </c:pt>
                <c:pt idx="2">
                  <c:v>72948.710000000006</c:v>
                </c:pt>
                <c:pt idx="3">
                  <c:v>271188.76</c:v>
                </c:pt>
                <c:pt idx="4">
                  <c:v>320006.2</c:v>
                </c:pt>
                <c:pt idx="5">
                  <c:v>124091.17</c:v>
                </c:pt>
                <c:pt idx="6">
                  <c:v>219380.24</c:v>
                </c:pt>
                <c:pt idx="7">
                  <c:v>93753.47</c:v>
                </c:pt>
                <c:pt idx="8">
                  <c:v>260614.2</c:v>
                </c:pt>
                <c:pt idx="9">
                  <c:v>123295.01</c:v>
                </c:pt>
                <c:pt idx="10">
                  <c:v>189563.77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84-4AFD-AC8F-4312CBE4F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'Jan 14 - Jan 20'!$D$4:$D$17</c:f>
              <c:strCache>
                <c:ptCount val="1"/>
                <c:pt idx="0">
                  <c:v> 2 104 398.50  222 145.29 180 800.81 81 768.65 270 052.37 136 676.85 296 711.83 120 070.42 208 224.78 89 888.45 144 528.40 125 337.06 228 193.59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6208-4468-AEB7-3E8E2DFF0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'Jan 14 - Jan 20'!$D$3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('Jan 14 - Jan 20'!$A$5:$A$9,'Jan 14 - Jan 20'!$A$11:$A$17)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14 - Jan 20'!$D$5:$D$9,'Jan 14 - Jan 20'!$D$11:$D$17)</c:f>
              <c:numCache>
                <c:formatCode>#,##0.00</c:formatCode>
                <c:ptCount val="11"/>
                <c:pt idx="0">
                  <c:v>222145.29</c:v>
                </c:pt>
                <c:pt idx="1">
                  <c:v>180800.81</c:v>
                </c:pt>
                <c:pt idx="2">
                  <c:v>81768.649999999994</c:v>
                </c:pt>
                <c:pt idx="3">
                  <c:v>270052.37</c:v>
                </c:pt>
                <c:pt idx="4">
                  <c:v>296711.83</c:v>
                </c:pt>
                <c:pt idx="5">
                  <c:v>120070.42</c:v>
                </c:pt>
                <c:pt idx="6">
                  <c:v>208224.78</c:v>
                </c:pt>
                <c:pt idx="7">
                  <c:v>89888.45</c:v>
                </c:pt>
                <c:pt idx="8">
                  <c:v>144528.4</c:v>
                </c:pt>
                <c:pt idx="9">
                  <c:v>125337.06</c:v>
                </c:pt>
                <c:pt idx="10">
                  <c:v>228193.59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C5-4B78-81CE-DCF58E7B75BB}"/>
            </c:ext>
          </c:extLst>
        </c:ser>
        <c:ser>
          <c:idx val="3"/>
          <c:order val="1"/>
          <c:tx>
            <c:strRef>
              <c:f>'Jan 14 - Jan 20'!$F$3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('Jan 14 - Jan 20'!$A$5:$A$9,'Jan 14 - Jan 20'!$A$11:$A$17)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14 - Jan 20'!$F$5:$F$9,'Jan 14 - Jan 20'!$F$11:$F$17)</c:f>
              <c:numCache>
                <c:formatCode>#,##0.00</c:formatCode>
                <c:ptCount val="11"/>
                <c:pt idx="0">
                  <c:v>250408.15</c:v>
                </c:pt>
                <c:pt idx="1">
                  <c:v>200795.26</c:v>
                </c:pt>
                <c:pt idx="2">
                  <c:v>77975.73</c:v>
                </c:pt>
                <c:pt idx="3">
                  <c:v>287612.28999999998</c:v>
                </c:pt>
                <c:pt idx="4">
                  <c:v>313579.03000000003</c:v>
                </c:pt>
                <c:pt idx="5">
                  <c:v>139966.79999999999</c:v>
                </c:pt>
                <c:pt idx="6">
                  <c:v>198827.43</c:v>
                </c:pt>
                <c:pt idx="7">
                  <c:v>76824.78</c:v>
                </c:pt>
                <c:pt idx="8">
                  <c:v>189348.96</c:v>
                </c:pt>
                <c:pt idx="9">
                  <c:v>121824.18</c:v>
                </c:pt>
                <c:pt idx="10">
                  <c:v>198434.85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C5-4B78-81CE-DCF58E7B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'Jan 21 - Jan 27'!$D$4:$D$17</c:f>
              <c:strCache>
                <c:ptCount val="1"/>
                <c:pt idx="0">
                  <c:v> 2 244 663.34  219 701.61 194 235.30 103 193.47 314 312.23 144 422.10 328 278.32 137 551.10 191 786.00 80 519.56 136 549.79 135 663.90 258 449.96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E74B-4C09-835C-A7386F489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'Jan 21 - Jan 27'!$D$3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('Jan 21 - Jan 27'!$A$5:$A$9,'Jan 21 - Jan 27'!$A$11:$A$17)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21 - Jan 27'!$D$5:$D$9,'Jan 21 - Jan 27'!$D$11:$D$17)</c:f>
              <c:numCache>
                <c:formatCode>#,##0.00</c:formatCode>
                <c:ptCount val="11"/>
                <c:pt idx="0">
                  <c:v>219701.61</c:v>
                </c:pt>
                <c:pt idx="1">
                  <c:v>194235.3</c:v>
                </c:pt>
                <c:pt idx="2">
                  <c:v>103193.47</c:v>
                </c:pt>
                <c:pt idx="3">
                  <c:v>314312.23</c:v>
                </c:pt>
                <c:pt idx="4">
                  <c:v>328278.32</c:v>
                </c:pt>
                <c:pt idx="5">
                  <c:v>137551.1</c:v>
                </c:pt>
                <c:pt idx="6">
                  <c:v>191786</c:v>
                </c:pt>
                <c:pt idx="7">
                  <c:v>80519.56</c:v>
                </c:pt>
                <c:pt idx="8">
                  <c:v>136549.79</c:v>
                </c:pt>
                <c:pt idx="9">
                  <c:v>135663.9</c:v>
                </c:pt>
                <c:pt idx="10">
                  <c:v>258449.96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8-4BAC-A170-EDDF5535F363}"/>
            </c:ext>
          </c:extLst>
        </c:ser>
        <c:ser>
          <c:idx val="3"/>
          <c:order val="1"/>
          <c:tx>
            <c:strRef>
              <c:f>'Jan 21 - Jan 27'!$F$3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('Jan 21 - Jan 27'!$A$5:$A$9,'Jan 21 - Jan 27'!$A$11:$A$17)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('Jan 21 - Jan 27'!$F$5:$F$9,'Jan 21 - Jan 27'!$F$11:$F$17)</c:f>
              <c:numCache>
                <c:formatCode>#,##0.00</c:formatCode>
                <c:ptCount val="11"/>
                <c:pt idx="0">
                  <c:v>254835.6</c:v>
                </c:pt>
                <c:pt idx="1">
                  <c:v>191397.82</c:v>
                </c:pt>
                <c:pt idx="2">
                  <c:v>86713.33</c:v>
                </c:pt>
                <c:pt idx="3">
                  <c:v>328134.63</c:v>
                </c:pt>
                <c:pt idx="4">
                  <c:v>317233.91999999998</c:v>
                </c:pt>
                <c:pt idx="5">
                  <c:v>152846.04</c:v>
                </c:pt>
                <c:pt idx="6">
                  <c:v>243010.12</c:v>
                </c:pt>
                <c:pt idx="7">
                  <c:v>109903.9</c:v>
                </c:pt>
                <c:pt idx="8">
                  <c:v>166877.21</c:v>
                </c:pt>
                <c:pt idx="9">
                  <c:v>125945.97</c:v>
                </c:pt>
                <c:pt idx="10">
                  <c:v>206751.49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8-4BAC-A170-EDDF5535F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'28 Jan - 3 Feb'!$D$4:$D$17</c:f>
              <c:strCache>
                <c:ptCount val="1"/>
                <c:pt idx="0">
                  <c:v> 2 283 861.98  231 853.84 187 339.38 120 462.74 313 880.02 165 093.83 315 511.51 147 369.48 244 283.92 80 519.56 140 544.81 118 509.43 218 493.46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C9AC-4B17-A5CA-3E850385E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Jan - 3 Feb'!$D$3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('28 Jan - 3 Feb'!$A$5:$A$9,'28 Jan - 3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('28 Jan - 3 Feb'!$D$5:$D$9,'28 Jan - 3 Feb'!$D$11:$D$17)</c:f>
              <c:numCache>
                <c:formatCode>#,##0.00</c:formatCode>
                <c:ptCount val="11"/>
                <c:pt idx="0">
                  <c:v>231853.84</c:v>
                </c:pt>
                <c:pt idx="1">
                  <c:v>187339.38</c:v>
                </c:pt>
                <c:pt idx="2">
                  <c:v>120462.74</c:v>
                </c:pt>
                <c:pt idx="3">
                  <c:v>313880.02</c:v>
                </c:pt>
                <c:pt idx="4">
                  <c:v>315511.51</c:v>
                </c:pt>
                <c:pt idx="5">
                  <c:v>147369.48000000001</c:v>
                </c:pt>
                <c:pt idx="6">
                  <c:v>244283.92</c:v>
                </c:pt>
                <c:pt idx="7">
                  <c:v>80519.56</c:v>
                </c:pt>
                <c:pt idx="8">
                  <c:v>140544.81</c:v>
                </c:pt>
                <c:pt idx="9">
                  <c:v>118509.43</c:v>
                </c:pt>
                <c:pt idx="10">
                  <c:v>218493.46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A-4789-AC08-6F550E34849E}"/>
            </c:ext>
          </c:extLst>
        </c:ser>
        <c:ser>
          <c:idx val="3"/>
          <c:order val="1"/>
          <c:tx>
            <c:strRef>
              <c:f>'28 Jan - 3 Feb'!$E$3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('28 Jan - 3 Feb'!$A$5:$A$9,'28 Jan - 3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('28 Jan - 3 Feb'!$E$5:$E$9,'28 Jan - 3 Feb'!$E$11:$E$17)</c:f>
              <c:numCache>
                <c:formatCode>#,##0.00</c:formatCode>
                <c:ptCount val="11"/>
                <c:pt idx="0">
                  <c:v>234881.47</c:v>
                </c:pt>
                <c:pt idx="1">
                  <c:v>172917.81</c:v>
                </c:pt>
                <c:pt idx="2">
                  <c:v>100729.45</c:v>
                </c:pt>
                <c:pt idx="3">
                  <c:v>329808.99</c:v>
                </c:pt>
                <c:pt idx="4">
                  <c:v>335261.96999999997</c:v>
                </c:pt>
                <c:pt idx="5">
                  <c:v>154730.66</c:v>
                </c:pt>
                <c:pt idx="6">
                  <c:v>227584.22</c:v>
                </c:pt>
                <c:pt idx="7">
                  <c:v>67469.990000000005</c:v>
                </c:pt>
                <c:pt idx="8">
                  <c:v>165985.17000000001</c:v>
                </c:pt>
                <c:pt idx="9">
                  <c:v>126081.73</c:v>
                </c:pt>
                <c:pt idx="10">
                  <c:v>206209.12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A-4789-AC08-6F550E348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'4 Feb - 10 Feb'!$D$4:$D$17</c:f>
              <c:strCache>
                <c:ptCount val="1"/>
                <c:pt idx="0">
                  <c:v> 2 156 372.48  208 861.48 172 993.67 103 906.07 312 117.29 142 486.86 300 830.76 123 636.69 183 248.35 76 997.09 162 922.97 151 395.24 216 976.01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E26F-4C89-AA62-725E71640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Feb - 10 Feb'!$D$3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('4 Feb - 10 Feb'!$A$5:$A$9,'4 Feb - 10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('4 Feb - 10 Feb'!$D$5:$D$9,'4 Feb - 10 Feb'!$D$11:$D$17)</c:f>
              <c:numCache>
                <c:formatCode>#,##0.00</c:formatCode>
                <c:ptCount val="11"/>
                <c:pt idx="0">
                  <c:v>208861.48</c:v>
                </c:pt>
                <c:pt idx="1">
                  <c:v>172993.67</c:v>
                </c:pt>
                <c:pt idx="2">
                  <c:v>103906.07</c:v>
                </c:pt>
                <c:pt idx="3">
                  <c:v>312117.28999999998</c:v>
                </c:pt>
                <c:pt idx="4">
                  <c:v>300830.76</c:v>
                </c:pt>
                <c:pt idx="5">
                  <c:v>123636.69</c:v>
                </c:pt>
                <c:pt idx="6">
                  <c:v>183248.35</c:v>
                </c:pt>
                <c:pt idx="7">
                  <c:v>76997.09</c:v>
                </c:pt>
                <c:pt idx="8">
                  <c:v>162922.97</c:v>
                </c:pt>
                <c:pt idx="9">
                  <c:v>151395.24</c:v>
                </c:pt>
                <c:pt idx="10">
                  <c:v>216976.01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0-4849-8BD0-2786CF9C34C2}"/>
            </c:ext>
          </c:extLst>
        </c:ser>
        <c:ser>
          <c:idx val="3"/>
          <c:order val="1"/>
          <c:tx>
            <c:strRef>
              <c:f>'4 Feb - 10 Feb'!$E$3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('4 Feb - 10 Feb'!$A$5:$A$9,'4 Feb - 10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('4 Feb - 10 Feb'!$E$5:$E$9,'4 Feb - 10 Feb'!$E$11:$E$17)</c:f>
              <c:numCache>
                <c:formatCode>#,##0.00</c:formatCode>
                <c:ptCount val="11"/>
                <c:pt idx="0">
                  <c:v>243896.08</c:v>
                </c:pt>
                <c:pt idx="1">
                  <c:v>203529.46</c:v>
                </c:pt>
                <c:pt idx="2">
                  <c:v>83038.850000000006</c:v>
                </c:pt>
                <c:pt idx="3">
                  <c:v>313205.83</c:v>
                </c:pt>
                <c:pt idx="4">
                  <c:v>329753.61</c:v>
                </c:pt>
                <c:pt idx="5">
                  <c:v>144397.12</c:v>
                </c:pt>
                <c:pt idx="6">
                  <c:v>219176.66</c:v>
                </c:pt>
                <c:pt idx="7">
                  <c:v>92368.25</c:v>
                </c:pt>
                <c:pt idx="8">
                  <c:v>175807.47</c:v>
                </c:pt>
                <c:pt idx="9">
                  <c:v>146823.91</c:v>
                </c:pt>
                <c:pt idx="10">
                  <c:v>203176.33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0-4849-8BD0-2786CF9C3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'11 Feb - 17 Feb'!$B$4:$B$17</c:f>
              <c:strCache>
                <c:ptCount val="1"/>
                <c:pt idx="0">
                  <c:v> 2 354 116.94  242 378.88 207 544.97 114 390.05 324 147.25 180 292.29 295 932.86 129 246.81 218 657.19 117 903.36 159 684.51 142 406.29 221 532.48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70B2-40BC-851D-BCBD2CDB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Feb - 17 Feb'!$B$3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('11 Feb - 17 Feb'!$A$5:$A$9,'11 Feb - 17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('11 Feb - 17 Feb'!$B$5:$B$9,'11 Feb - 17 Feb'!$B$11:$B$17)</c:f>
              <c:numCache>
                <c:formatCode>#,##0.00</c:formatCode>
                <c:ptCount val="11"/>
                <c:pt idx="0">
                  <c:v>242378.88</c:v>
                </c:pt>
                <c:pt idx="1">
                  <c:v>207544.97</c:v>
                </c:pt>
                <c:pt idx="2">
                  <c:v>114390.05</c:v>
                </c:pt>
                <c:pt idx="3">
                  <c:v>324147.25</c:v>
                </c:pt>
                <c:pt idx="4">
                  <c:v>295932.86</c:v>
                </c:pt>
                <c:pt idx="5">
                  <c:v>129246.81</c:v>
                </c:pt>
                <c:pt idx="6">
                  <c:v>218657.19</c:v>
                </c:pt>
                <c:pt idx="7">
                  <c:v>117903.36</c:v>
                </c:pt>
                <c:pt idx="8">
                  <c:v>159684.51</c:v>
                </c:pt>
                <c:pt idx="9">
                  <c:v>142406.29</c:v>
                </c:pt>
                <c:pt idx="10">
                  <c:v>221532.48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5-4B33-934C-28FF856CECF7}"/>
            </c:ext>
          </c:extLst>
        </c:ser>
        <c:ser>
          <c:idx val="3"/>
          <c:order val="1"/>
          <c:tx>
            <c:strRef>
              <c:f>'11 Feb - 17 Feb'!$C$3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('11 Feb - 17 Feb'!$A$5:$A$9,'11 Feb - 17 Feb'!$A$11:$A$17)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Wellington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</c:strCache>
            </c:strRef>
          </c:cat>
          <c:val>
            <c:numRef>
              <c:f>('11 Feb - 17 Feb'!$C$5:$C$9,'11 Feb - 17 Feb'!$C$11:$C$17)</c:f>
              <c:numCache>
                <c:formatCode>#,##0.00</c:formatCode>
                <c:ptCount val="11"/>
                <c:pt idx="0">
                  <c:v>266174.90000000002</c:v>
                </c:pt>
                <c:pt idx="1">
                  <c:v>242108.65</c:v>
                </c:pt>
                <c:pt idx="2">
                  <c:v>118438.43</c:v>
                </c:pt>
                <c:pt idx="3">
                  <c:v>342968.68</c:v>
                </c:pt>
                <c:pt idx="4">
                  <c:v>344555.3</c:v>
                </c:pt>
                <c:pt idx="5">
                  <c:v>150132.07999999999</c:v>
                </c:pt>
                <c:pt idx="6">
                  <c:v>239284.36</c:v>
                </c:pt>
                <c:pt idx="7">
                  <c:v>98380.86</c:v>
                </c:pt>
                <c:pt idx="8">
                  <c:v>201421.91</c:v>
                </c:pt>
                <c:pt idx="9">
                  <c:v>194132.08</c:v>
                </c:pt>
                <c:pt idx="10">
                  <c:v>207863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5-4B33-934C-28FF856CE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'18 Feb - 24 Feb'!$B$4:$B$17</c:f>
              <c:strCache>
                <c:ptCount val="1"/>
                <c:pt idx="0">
                  <c:v> 2 350 523.95  234 617.82 196 295.06 106 518.63 362 222.69 141 629.58 301 960.55 116 587.85 196 761.76 110 413.04 150 054.22 182 551.64 250 911.11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F1F5-4F4C-ADDE-6C4E98973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Feb - 24 Feb'!$B$3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Feb - 24 Feb'!$A$5:$A$18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'18 Feb - 24 Feb'!$B$5:$B$18</c:f>
              <c:numCache>
                <c:formatCode>#,##0.00</c:formatCode>
                <c:ptCount val="13"/>
                <c:pt idx="0">
                  <c:v>234617.82</c:v>
                </c:pt>
                <c:pt idx="1">
                  <c:v>196295.06</c:v>
                </c:pt>
                <c:pt idx="2">
                  <c:v>106518.63</c:v>
                </c:pt>
                <c:pt idx="3">
                  <c:v>362222.69</c:v>
                </c:pt>
                <c:pt idx="4">
                  <c:v>141629.57999999999</c:v>
                </c:pt>
                <c:pt idx="5">
                  <c:v>301960.55</c:v>
                </c:pt>
                <c:pt idx="6">
                  <c:v>116587.85</c:v>
                </c:pt>
                <c:pt idx="7">
                  <c:v>196761.76</c:v>
                </c:pt>
                <c:pt idx="8">
                  <c:v>110413.04</c:v>
                </c:pt>
                <c:pt idx="9">
                  <c:v>150054.22</c:v>
                </c:pt>
                <c:pt idx="10">
                  <c:v>182551.64</c:v>
                </c:pt>
                <c:pt idx="11">
                  <c:v>250911.11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5-4D75-86C7-66FCF271E16D}"/>
            </c:ext>
          </c:extLst>
        </c:ser>
        <c:ser>
          <c:idx val="3"/>
          <c:order val="1"/>
          <c:tx>
            <c:strRef>
              <c:f>'18 Feb - 24 Feb'!$C$3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Feb - 24 Feb'!$A$5:$A$18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'18 Feb - 24 Feb'!$C$5:$C$18</c:f>
              <c:numCache>
                <c:formatCode>#,##0.00</c:formatCode>
                <c:ptCount val="13"/>
                <c:pt idx="0">
                  <c:v>255478.47</c:v>
                </c:pt>
                <c:pt idx="1">
                  <c:v>179311.69</c:v>
                </c:pt>
                <c:pt idx="2">
                  <c:v>106132.06</c:v>
                </c:pt>
                <c:pt idx="3">
                  <c:v>325053.89</c:v>
                </c:pt>
                <c:pt idx="4">
                  <c:v>146907.45000000001</c:v>
                </c:pt>
                <c:pt idx="5">
                  <c:v>346076.98</c:v>
                </c:pt>
                <c:pt idx="6">
                  <c:v>148820.94</c:v>
                </c:pt>
                <c:pt idx="7">
                  <c:v>227627.23</c:v>
                </c:pt>
                <c:pt idx="8">
                  <c:v>93224.78</c:v>
                </c:pt>
                <c:pt idx="9">
                  <c:v>159531.37</c:v>
                </c:pt>
                <c:pt idx="10">
                  <c:v>135434.34</c:v>
                </c:pt>
                <c:pt idx="11">
                  <c:v>215582.54</c:v>
                </c:pt>
                <c:pt idx="12">
                  <c:v>169417.62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5-4D75-86C7-66FCF271E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'25 Feb - 3 Mar'!$C$4:$C$17</c:f>
              <c:strCache>
                <c:ptCount val="1"/>
                <c:pt idx="0">
                  <c:v> 2 328 725.35  249 192.95 207 663.59 106 257.80 362 249.26 152 808.71 318 588.43 132 072.93 222 558.66 94 394.88 134 408.08 127 687.22 220 842.84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EA8-45B9-913D-F6450E720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Feb - 3 Mar'!$C$3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Feb - 3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'25 Feb - 3 Mar'!$C$5:$C$18</c:f>
              <c:numCache>
                <c:formatCode>#,##0.00</c:formatCode>
                <c:ptCount val="13"/>
                <c:pt idx="0">
                  <c:v>249192.95</c:v>
                </c:pt>
                <c:pt idx="1">
                  <c:v>207663.59</c:v>
                </c:pt>
                <c:pt idx="2">
                  <c:v>106257.8</c:v>
                </c:pt>
                <c:pt idx="3">
                  <c:v>362249.26</c:v>
                </c:pt>
                <c:pt idx="4">
                  <c:v>152808.71</c:v>
                </c:pt>
                <c:pt idx="5">
                  <c:v>318588.43</c:v>
                </c:pt>
                <c:pt idx="6">
                  <c:v>132072.93</c:v>
                </c:pt>
                <c:pt idx="7">
                  <c:v>222558.66</c:v>
                </c:pt>
                <c:pt idx="8">
                  <c:v>94394.880000000005</c:v>
                </c:pt>
                <c:pt idx="9">
                  <c:v>134408.07999999999</c:v>
                </c:pt>
                <c:pt idx="10">
                  <c:v>127687.22</c:v>
                </c:pt>
                <c:pt idx="11">
                  <c:v>220842.84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E-4908-9909-47AF6A366BE1}"/>
            </c:ext>
          </c:extLst>
        </c:ser>
        <c:ser>
          <c:idx val="3"/>
          <c:order val="1"/>
          <c:tx>
            <c:strRef>
              <c:f>'25 Feb - 3 Mar'!$D$3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Feb - 3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'25 Feb - 3 Mar'!$D$5:$D$18</c:f>
              <c:numCache>
                <c:formatCode>#,##0.00</c:formatCode>
                <c:ptCount val="13"/>
                <c:pt idx="0">
                  <c:v>251748.71</c:v>
                </c:pt>
                <c:pt idx="1">
                  <c:v>224533.36</c:v>
                </c:pt>
                <c:pt idx="2">
                  <c:v>118837.36</c:v>
                </c:pt>
                <c:pt idx="3">
                  <c:v>354530.54</c:v>
                </c:pt>
                <c:pt idx="4">
                  <c:v>162768.13</c:v>
                </c:pt>
                <c:pt idx="5">
                  <c:v>337802.42</c:v>
                </c:pt>
                <c:pt idx="6">
                  <c:v>176295.37</c:v>
                </c:pt>
                <c:pt idx="7">
                  <c:v>222836.31</c:v>
                </c:pt>
                <c:pt idx="8">
                  <c:v>90297.38</c:v>
                </c:pt>
                <c:pt idx="9">
                  <c:v>167255.37</c:v>
                </c:pt>
                <c:pt idx="10">
                  <c:v>151388.79999999999</c:v>
                </c:pt>
                <c:pt idx="11">
                  <c:v>250174.74</c:v>
                </c:pt>
                <c:pt idx="12">
                  <c:v>190318.77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E-4908-9909-47AF6A366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'4 Mar- 10 Mar'!$C$4:$C$17</c:f>
              <c:strCache>
                <c:ptCount val="1"/>
                <c:pt idx="0">
                  <c:v> 2 202 129.93  222 516.75 176 573.90 98 720.22 327 754.26 146 985.57 314 568.71 144 748.49 209 138.95 74 134.00 133 439.17 134 873.74 218 676.17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9E50-4509-A8E3-CF91FDE65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Mar- 10 Mar'!$C$3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Mar- 10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'4 Mar- 10 Mar'!$C$5:$C$18</c:f>
              <c:numCache>
                <c:formatCode>#,##0.00</c:formatCode>
                <c:ptCount val="13"/>
                <c:pt idx="0">
                  <c:v>222516.75</c:v>
                </c:pt>
                <c:pt idx="1">
                  <c:v>176573.9</c:v>
                </c:pt>
                <c:pt idx="2">
                  <c:v>98720.22</c:v>
                </c:pt>
                <c:pt idx="3">
                  <c:v>327754.26</c:v>
                </c:pt>
                <c:pt idx="4">
                  <c:v>146985.57</c:v>
                </c:pt>
                <c:pt idx="5">
                  <c:v>314568.71000000002</c:v>
                </c:pt>
                <c:pt idx="6">
                  <c:v>144748.49</c:v>
                </c:pt>
                <c:pt idx="7">
                  <c:v>209138.95</c:v>
                </c:pt>
                <c:pt idx="8">
                  <c:v>74134</c:v>
                </c:pt>
                <c:pt idx="9">
                  <c:v>133439.17000000001</c:v>
                </c:pt>
                <c:pt idx="10">
                  <c:v>134873.74</c:v>
                </c:pt>
                <c:pt idx="11">
                  <c:v>218676.17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5-454D-AFC8-DDDF6F98B498}"/>
            </c:ext>
          </c:extLst>
        </c:ser>
        <c:ser>
          <c:idx val="3"/>
          <c:order val="1"/>
          <c:tx>
            <c:strRef>
              <c:f>'4 Mar- 10 Mar'!$D$3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Mar- 10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'4 Mar- 10 Mar'!$D$5:$D$18</c:f>
              <c:numCache>
                <c:formatCode>#,##0.00</c:formatCode>
                <c:ptCount val="13"/>
                <c:pt idx="0">
                  <c:v>237319.79</c:v>
                </c:pt>
                <c:pt idx="1">
                  <c:v>233007.56</c:v>
                </c:pt>
                <c:pt idx="2">
                  <c:v>127072.32000000001</c:v>
                </c:pt>
                <c:pt idx="3">
                  <c:v>354792.07</c:v>
                </c:pt>
                <c:pt idx="4">
                  <c:v>162214.98000000001</c:v>
                </c:pt>
                <c:pt idx="5">
                  <c:v>339050.03</c:v>
                </c:pt>
                <c:pt idx="6">
                  <c:v>164881.56</c:v>
                </c:pt>
                <c:pt idx="7">
                  <c:v>220450.34</c:v>
                </c:pt>
                <c:pt idx="8">
                  <c:v>70723.91</c:v>
                </c:pt>
                <c:pt idx="9">
                  <c:v>156695.26999999999</c:v>
                </c:pt>
                <c:pt idx="10">
                  <c:v>139497.94</c:v>
                </c:pt>
                <c:pt idx="11">
                  <c:v>227810.49</c:v>
                </c:pt>
                <c:pt idx="12">
                  <c:v>195684.66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C5-454D-AFC8-DDDF6F98B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'11 Mar- 17 Mar'!$C$4:$C$17</c:f>
              <c:strCache>
                <c:ptCount val="1"/>
                <c:pt idx="0">
                  <c:v> 2 176 346.00  215 211.27 163 238.90 92 237.47 322 540.00 146 854.80 329 307.73 112 539.35 207 590.85 76 807.19 141 484.38 125 999.04 242 535.02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DEDE-4881-8690-31EB4BA9F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Mar- 17 Mar'!$C$3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Mar- 17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'11 Mar- 17 Mar'!$C$5:$C$18</c:f>
              <c:numCache>
                <c:formatCode>#,##0.00</c:formatCode>
                <c:ptCount val="13"/>
                <c:pt idx="0">
                  <c:v>215211.27</c:v>
                </c:pt>
                <c:pt idx="1">
                  <c:v>163238.9</c:v>
                </c:pt>
                <c:pt idx="2">
                  <c:v>92237.47</c:v>
                </c:pt>
                <c:pt idx="3">
                  <c:v>322540</c:v>
                </c:pt>
                <c:pt idx="4">
                  <c:v>146854.79999999999</c:v>
                </c:pt>
                <c:pt idx="5">
                  <c:v>329307.73</c:v>
                </c:pt>
                <c:pt idx="6">
                  <c:v>112539.35</c:v>
                </c:pt>
                <c:pt idx="7">
                  <c:v>207590.85</c:v>
                </c:pt>
                <c:pt idx="8">
                  <c:v>76807.19</c:v>
                </c:pt>
                <c:pt idx="9">
                  <c:v>141484.38</c:v>
                </c:pt>
                <c:pt idx="10">
                  <c:v>125999.03999999999</c:v>
                </c:pt>
                <c:pt idx="11">
                  <c:v>242535.02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8-4865-B93B-36FDB3124B99}"/>
            </c:ext>
          </c:extLst>
        </c:ser>
        <c:ser>
          <c:idx val="3"/>
          <c:order val="1"/>
          <c:tx>
            <c:strRef>
              <c:f>'11 Mar- 17 Mar'!$D$3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Mar- 17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'11 Mar- 17 Mar'!$D$5:$D$18</c:f>
              <c:numCache>
                <c:formatCode>#,##0.00</c:formatCode>
                <c:ptCount val="13"/>
                <c:pt idx="0">
                  <c:v>268849.73</c:v>
                </c:pt>
                <c:pt idx="1">
                  <c:v>247782.44</c:v>
                </c:pt>
                <c:pt idx="2">
                  <c:v>112508.16</c:v>
                </c:pt>
                <c:pt idx="3">
                  <c:v>355321</c:v>
                </c:pt>
                <c:pt idx="4">
                  <c:v>153600.97</c:v>
                </c:pt>
                <c:pt idx="5">
                  <c:v>339268.89</c:v>
                </c:pt>
                <c:pt idx="6">
                  <c:v>151174.76</c:v>
                </c:pt>
                <c:pt idx="7">
                  <c:v>230113.69</c:v>
                </c:pt>
                <c:pt idx="8">
                  <c:v>91086.52</c:v>
                </c:pt>
                <c:pt idx="9">
                  <c:v>223622.64</c:v>
                </c:pt>
                <c:pt idx="10">
                  <c:v>152677.41</c:v>
                </c:pt>
                <c:pt idx="11">
                  <c:v>217932.85</c:v>
                </c:pt>
                <c:pt idx="12">
                  <c:v>189463.02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8-4865-B93B-36FDB3124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'18 Mar- 24 Mar'!$C$4:$C$17</c:f>
              <c:strCache>
                <c:ptCount val="1"/>
                <c:pt idx="0">
                  <c:v> 2 438 571.23  263 381.39 210 661.12 100 413.54 358 813.66 157 515.75 338 439.21 124 684.00 210 553.62 110 413.04 171 625.98 162 972.82 229 097.10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2B8B-4E05-A957-9B0F0486A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Mar- 24 Mar'!$C$3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Mar- 24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'18 Mar- 24 Mar'!$C$5:$C$18</c:f>
              <c:numCache>
                <c:formatCode>#,##0.00</c:formatCode>
                <c:ptCount val="13"/>
                <c:pt idx="0">
                  <c:v>263381.39</c:v>
                </c:pt>
                <c:pt idx="1">
                  <c:v>210661.12</c:v>
                </c:pt>
                <c:pt idx="2">
                  <c:v>100413.54</c:v>
                </c:pt>
                <c:pt idx="3">
                  <c:v>358813.66</c:v>
                </c:pt>
                <c:pt idx="4">
                  <c:v>157515.75</c:v>
                </c:pt>
                <c:pt idx="5">
                  <c:v>338439.21</c:v>
                </c:pt>
                <c:pt idx="6">
                  <c:v>124684</c:v>
                </c:pt>
                <c:pt idx="7">
                  <c:v>210553.62</c:v>
                </c:pt>
                <c:pt idx="8">
                  <c:v>110413.04</c:v>
                </c:pt>
                <c:pt idx="9">
                  <c:v>171625.98</c:v>
                </c:pt>
                <c:pt idx="10">
                  <c:v>162972.82</c:v>
                </c:pt>
                <c:pt idx="11">
                  <c:v>229097.1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6-488C-9813-EAE8AAC0E1FA}"/>
            </c:ext>
          </c:extLst>
        </c:ser>
        <c:ser>
          <c:idx val="3"/>
          <c:order val="1"/>
          <c:tx>
            <c:strRef>
              <c:f>'18 Mar- 24 Mar'!$D$3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Mar- 24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'18 Mar- 24 Mar'!$D$5:$D$18</c:f>
              <c:numCache>
                <c:formatCode>#,##0.00</c:formatCode>
                <c:ptCount val="13"/>
                <c:pt idx="0">
                  <c:v>339552.82</c:v>
                </c:pt>
                <c:pt idx="1">
                  <c:v>237354.06</c:v>
                </c:pt>
                <c:pt idx="2">
                  <c:v>127846.77</c:v>
                </c:pt>
                <c:pt idx="3">
                  <c:v>394259.89</c:v>
                </c:pt>
                <c:pt idx="4">
                  <c:v>134544.66</c:v>
                </c:pt>
                <c:pt idx="5">
                  <c:v>369279.11</c:v>
                </c:pt>
                <c:pt idx="6">
                  <c:v>166773.71</c:v>
                </c:pt>
                <c:pt idx="7">
                  <c:v>231068.59</c:v>
                </c:pt>
                <c:pt idx="8">
                  <c:v>109167.39</c:v>
                </c:pt>
                <c:pt idx="9">
                  <c:v>407133.91</c:v>
                </c:pt>
                <c:pt idx="10">
                  <c:v>164652.97</c:v>
                </c:pt>
                <c:pt idx="11">
                  <c:v>250243.46</c:v>
                </c:pt>
                <c:pt idx="12">
                  <c:v>196899.77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6-488C-9813-EAE8AAC0E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'25 Mar- 31 Mar'!$C$4:$C$17</c:f>
              <c:strCache>
                <c:ptCount val="1"/>
                <c:pt idx="0">
                  <c:v> 2 594 767.57  266 247.30 223 509.00 107 411.50 373 097.40 133 152.70 331 751.30 117 570.60 216 182.30 92 989.97 333 749.00 156 551.90 242 554.60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B72A-49E4-9CBD-FA7EBD67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Mar- 31 Mar'!$C$3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Mar- 31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'25 Mar- 31 Mar'!$C$5:$C$18</c:f>
              <c:numCache>
                <c:formatCode>#,##0.00</c:formatCode>
                <c:ptCount val="13"/>
                <c:pt idx="0">
                  <c:v>266247.3</c:v>
                </c:pt>
                <c:pt idx="1">
                  <c:v>223509</c:v>
                </c:pt>
                <c:pt idx="2">
                  <c:v>107411.5</c:v>
                </c:pt>
                <c:pt idx="3">
                  <c:v>373097.4</c:v>
                </c:pt>
                <c:pt idx="4">
                  <c:v>133152.70000000001</c:v>
                </c:pt>
                <c:pt idx="5">
                  <c:v>331751.3</c:v>
                </c:pt>
                <c:pt idx="6">
                  <c:v>117570.6</c:v>
                </c:pt>
                <c:pt idx="7">
                  <c:v>216182.3</c:v>
                </c:pt>
                <c:pt idx="8">
                  <c:v>92989.97</c:v>
                </c:pt>
                <c:pt idx="9">
                  <c:v>333749</c:v>
                </c:pt>
                <c:pt idx="10">
                  <c:v>156551.9</c:v>
                </c:pt>
                <c:pt idx="11">
                  <c:v>242554.6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9-4E8F-A908-BDA52ABC24C6}"/>
            </c:ext>
          </c:extLst>
        </c:ser>
        <c:ser>
          <c:idx val="3"/>
          <c:order val="1"/>
          <c:tx>
            <c:strRef>
              <c:f>'25 Mar- 31 Mar'!$D$3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Mar- 31 Mar'!$A$5:$A$18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'25 Mar- 31 Mar'!$D$5:$D$18</c:f>
              <c:numCache>
                <c:formatCode>#,##0.00</c:formatCode>
                <c:ptCount val="13"/>
                <c:pt idx="0">
                  <c:v>302665.28999999998</c:v>
                </c:pt>
                <c:pt idx="1">
                  <c:v>258147.93</c:v>
                </c:pt>
                <c:pt idx="2">
                  <c:v>136569.38</c:v>
                </c:pt>
                <c:pt idx="3">
                  <c:v>373516.14</c:v>
                </c:pt>
                <c:pt idx="4">
                  <c:v>160533.82</c:v>
                </c:pt>
                <c:pt idx="5">
                  <c:v>390104.3</c:v>
                </c:pt>
                <c:pt idx="6">
                  <c:v>145176.81</c:v>
                </c:pt>
                <c:pt idx="7">
                  <c:v>248268.47</c:v>
                </c:pt>
                <c:pt idx="8">
                  <c:v>111265.86</c:v>
                </c:pt>
                <c:pt idx="9">
                  <c:v>374034.67</c:v>
                </c:pt>
                <c:pt idx="10">
                  <c:v>163350.70000000001</c:v>
                </c:pt>
                <c:pt idx="11">
                  <c:v>228911.17</c:v>
                </c:pt>
                <c:pt idx="12">
                  <c:v>184896.66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9-4E8F-A908-BDA52ABC2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 Apr- 7 Apr'!$C$4:$C$17</c:f>
              <c:strCache>
                <c:ptCount val="1"/>
                <c:pt idx="0">
                  <c:v> 2 503 480.12  280 351.31 203 342.33 93 084.27 395 704.53 125 229.44 307 505.66 103 713.22 203 812.72 94 763.50 347 847.61 139 422.32 208 703.21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E1D8-4607-908E-163F9A570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Apr- 7 Apr'!$C$3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Apr- 7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 Apr- 7 Apr'!$C$5:$C$18</c:f>
              <c:numCache>
                <c:formatCode>#,##0.00</c:formatCode>
                <c:ptCount val="13"/>
                <c:pt idx="0">
                  <c:v>280351.31</c:v>
                </c:pt>
                <c:pt idx="1">
                  <c:v>203342.33</c:v>
                </c:pt>
                <c:pt idx="2">
                  <c:v>93084.27</c:v>
                </c:pt>
                <c:pt idx="3">
                  <c:v>395704.53</c:v>
                </c:pt>
                <c:pt idx="4">
                  <c:v>125229.44</c:v>
                </c:pt>
                <c:pt idx="5">
                  <c:v>307505.65999999997</c:v>
                </c:pt>
                <c:pt idx="6">
                  <c:v>103713.22</c:v>
                </c:pt>
                <c:pt idx="7">
                  <c:v>203812.72</c:v>
                </c:pt>
                <c:pt idx="8">
                  <c:v>94763.5</c:v>
                </c:pt>
                <c:pt idx="9">
                  <c:v>347847.61</c:v>
                </c:pt>
                <c:pt idx="10">
                  <c:v>139422.32</c:v>
                </c:pt>
                <c:pt idx="11">
                  <c:v>208703.21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8-438C-A00E-2FF8FC217133}"/>
            </c:ext>
          </c:extLst>
        </c:ser>
        <c:ser>
          <c:idx val="3"/>
          <c:order val="1"/>
          <c:tx>
            <c:strRef>
              <c:f>'1 Apr- 7 Apr'!$D$3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Apr- 7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 Apr- 7 Apr'!$D$5:$D$18</c:f>
              <c:numCache>
                <c:formatCode>#,##0.00</c:formatCode>
                <c:ptCount val="13"/>
                <c:pt idx="0">
                  <c:v>248530.67</c:v>
                </c:pt>
                <c:pt idx="1">
                  <c:v>176666.07</c:v>
                </c:pt>
                <c:pt idx="2">
                  <c:v>123407.79</c:v>
                </c:pt>
                <c:pt idx="3">
                  <c:v>295821.73</c:v>
                </c:pt>
                <c:pt idx="4">
                  <c:v>142866.03</c:v>
                </c:pt>
                <c:pt idx="5">
                  <c:v>308766.37</c:v>
                </c:pt>
                <c:pt idx="6">
                  <c:v>157205.84</c:v>
                </c:pt>
                <c:pt idx="7">
                  <c:v>205429.98</c:v>
                </c:pt>
                <c:pt idx="8">
                  <c:v>75249.56</c:v>
                </c:pt>
                <c:pt idx="9">
                  <c:v>162507.67000000001</c:v>
                </c:pt>
                <c:pt idx="10">
                  <c:v>128214.39</c:v>
                </c:pt>
                <c:pt idx="11">
                  <c:v>207963.92</c:v>
                </c:pt>
                <c:pt idx="12">
                  <c:v>178583.35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8-438C-A00E-2FF8FC217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'8 Apr- 14 Apr'!$C$4:$C$17</c:f>
              <c:strCache>
                <c:ptCount val="1"/>
                <c:pt idx="0">
                  <c:v> 2 055 708.69  207 061.90 190 952.05 105 168.35 306 308.54 123 497.04 298 329.57 120 383.09 192 172.76 73 416.01 143 309.31 116 441.78 178 668.29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C506-4068-B3D8-BABA9104A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Apr- 14 Apr'!$C$3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Apr- 14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'8 Apr- 14 Apr'!$C$5:$C$18</c:f>
              <c:numCache>
                <c:formatCode>#,##0.00</c:formatCode>
                <c:ptCount val="13"/>
                <c:pt idx="0">
                  <c:v>207061.9</c:v>
                </c:pt>
                <c:pt idx="1">
                  <c:v>190952.05</c:v>
                </c:pt>
                <c:pt idx="2">
                  <c:v>105168.35</c:v>
                </c:pt>
                <c:pt idx="3">
                  <c:v>306308.53999999998</c:v>
                </c:pt>
                <c:pt idx="4">
                  <c:v>123497.04</c:v>
                </c:pt>
                <c:pt idx="5">
                  <c:v>298329.57</c:v>
                </c:pt>
                <c:pt idx="6">
                  <c:v>120383.09</c:v>
                </c:pt>
                <c:pt idx="7">
                  <c:v>192172.76</c:v>
                </c:pt>
                <c:pt idx="8">
                  <c:v>73416.009999999995</c:v>
                </c:pt>
                <c:pt idx="9">
                  <c:v>143309.31</c:v>
                </c:pt>
                <c:pt idx="10">
                  <c:v>116441.78</c:v>
                </c:pt>
                <c:pt idx="11">
                  <c:v>178668.29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3-4FF7-AFC1-7F4E5BF83E64}"/>
            </c:ext>
          </c:extLst>
        </c:ser>
        <c:ser>
          <c:idx val="3"/>
          <c:order val="1"/>
          <c:tx>
            <c:strRef>
              <c:f>'8 Apr- 14 Apr'!$D$3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Apr- 14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'8 Apr- 14 Apr'!$D$5:$D$18</c:f>
              <c:numCache>
                <c:formatCode>#,##0.00</c:formatCode>
                <c:ptCount val="13"/>
                <c:pt idx="0">
                  <c:v>201679.88</c:v>
                </c:pt>
                <c:pt idx="1">
                  <c:v>184805.59</c:v>
                </c:pt>
                <c:pt idx="2">
                  <c:v>128771.64</c:v>
                </c:pt>
                <c:pt idx="3">
                  <c:v>287782.46000000002</c:v>
                </c:pt>
                <c:pt idx="4">
                  <c:v>139046.1</c:v>
                </c:pt>
                <c:pt idx="5">
                  <c:v>339715.46</c:v>
                </c:pt>
                <c:pt idx="6">
                  <c:v>151603.94</c:v>
                </c:pt>
                <c:pt idx="7">
                  <c:v>204317.08</c:v>
                </c:pt>
                <c:pt idx="8">
                  <c:v>54770.8675</c:v>
                </c:pt>
                <c:pt idx="9">
                  <c:v>170092.54</c:v>
                </c:pt>
                <c:pt idx="10">
                  <c:v>112828.63</c:v>
                </c:pt>
                <c:pt idx="11">
                  <c:v>212238.52</c:v>
                </c:pt>
                <c:pt idx="12">
                  <c:v>183791.17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3-4FF7-AFC1-7F4E5BF8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'15 Apr- 21 Apr'!$C$4:$C$17</c:f>
              <c:strCache>
                <c:ptCount val="1"/>
                <c:pt idx="0">
                  <c:v> 2 036 262.83  197 929.61 171 542.20 103 915.13 299 662.40 150 364.32 305 149.49 126 708.44 201 732.63 57 445.66 121 351.35 106 714.27 193 747.33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D274-49F3-BC1D-542CB934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Apr- 21 Apr'!$C$3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Apr- 21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'15 Apr- 21 Apr'!$C$5:$C$18</c:f>
              <c:numCache>
                <c:formatCode>#,##0.00</c:formatCode>
                <c:ptCount val="13"/>
                <c:pt idx="0">
                  <c:v>197929.61</c:v>
                </c:pt>
                <c:pt idx="1">
                  <c:v>171542.2</c:v>
                </c:pt>
                <c:pt idx="2">
                  <c:v>103915.13</c:v>
                </c:pt>
                <c:pt idx="3">
                  <c:v>299662.40000000002</c:v>
                </c:pt>
                <c:pt idx="4">
                  <c:v>150364.32</c:v>
                </c:pt>
                <c:pt idx="5">
                  <c:v>305149.49</c:v>
                </c:pt>
                <c:pt idx="6">
                  <c:v>126708.44</c:v>
                </c:pt>
                <c:pt idx="7">
                  <c:v>201732.63</c:v>
                </c:pt>
                <c:pt idx="8">
                  <c:v>57445.66</c:v>
                </c:pt>
                <c:pt idx="9">
                  <c:v>121351.35</c:v>
                </c:pt>
                <c:pt idx="10">
                  <c:v>106714.27</c:v>
                </c:pt>
                <c:pt idx="11">
                  <c:v>193747.33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2-47D3-89A8-A8BBE0BA3A75}"/>
            </c:ext>
          </c:extLst>
        </c:ser>
        <c:ser>
          <c:idx val="3"/>
          <c:order val="1"/>
          <c:tx>
            <c:strRef>
              <c:f>'15 Apr- 21 Apr'!$D$3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Apr- 21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'15 Apr- 21 Apr'!$D$5:$D$18</c:f>
              <c:numCache>
                <c:formatCode>#,##0.00</c:formatCode>
                <c:ptCount val="13"/>
                <c:pt idx="0">
                  <c:v>230488.04</c:v>
                </c:pt>
                <c:pt idx="1">
                  <c:v>184585.22</c:v>
                </c:pt>
                <c:pt idx="2">
                  <c:v>114183.99</c:v>
                </c:pt>
                <c:pt idx="3">
                  <c:v>300470.18</c:v>
                </c:pt>
                <c:pt idx="4">
                  <c:v>128193.73</c:v>
                </c:pt>
                <c:pt idx="5">
                  <c:v>308450.45</c:v>
                </c:pt>
                <c:pt idx="6">
                  <c:v>140833.69</c:v>
                </c:pt>
                <c:pt idx="7">
                  <c:v>194170.35</c:v>
                </c:pt>
                <c:pt idx="8">
                  <c:v>66499.56</c:v>
                </c:pt>
                <c:pt idx="9">
                  <c:v>269262.96999999997</c:v>
                </c:pt>
                <c:pt idx="10">
                  <c:v>133685.73000000001</c:v>
                </c:pt>
                <c:pt idx="11">
                  <c:v>201945.52</c:v>
                </c:pt>
                <c:pt idx="12">
                  <c:v>172115.51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52-47D3-89A8-A8BBE0BA3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'22 Apr- 28 Apr'!$C$4:$C$17</c:f>
              <c:strCache>
                <c:ptCount val="1"/>
                <c:pt idx="0">
                  <c:v> 2 229 325.57  256 698.91 181 356.98 109 660.70 331 693.38 128 841.50 305 554.94 100 037.08 205 831.62 77 817.57 232 094.91 112 202.87 187 535.11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DC26-4D8E-BF59-A1589E6AC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Apr- 28 Apr'!$C$3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Apr- 28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'22 Apr- 28 Apr'!$C$5:$C$18</c:f>
              <c:numCache>
                <c:formatCode>#,##0.00</c:formatCode>
                <c:ptCount val="13"/>
                <c:pt idx="0">
                  <c:v>256698.91</c:v>
                </c:pt>
                <c:pt idx="1">
                  <c:v>181356.98</c:v>
                </c:pt>
                <c:pt idx="2">
                  <c:v>109660.7</c:v>
                </c:pt>
                <c:pt idx="3">
                  <c:v>331693.38</c:v>
                </c:pt>
                <c:pt idx="4">
                  <c:v>128841.5</c:v>
                </c:pt>
                <c:pt idx="5">
                  <c:v>305554.94</c:v>
                </c:pt>
                <c:pt idx="6">
                  <c:v>100037.08</c:v>
                </c:pt>
                <c:pt idx="7">
                  <c:v>205831.62</c:v>
                </c:pt>
                <c:pt idx="8">
                  <c:v>77817.570000000007</c:v>
                </c:pt>
                <c:pt idx="9">
                  <c:v>232094.91</c:v>
                </c:pt>
                <c:pt idx="10">
                  <c:v>112202.87</c:v>
                </c:pt>
                <c:pt idx="11">
                  <c:v>187535.11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B-42DF-9BAB-AFE4C19E350F}"/>
            </c:ext>
          </c:extLst>
        </c:ser>
        <c:ser>
          <c:idx val="3"/>
          <c:order val="1"/>
          <c:tx>
            <c:strRef>
              <c:f>'22 Apr- 28 Apr'!$D$3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Apr- 28 Apr'!$A$5:$A$18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'22 Apr- 28 Apr'!$D$5:$D$18</c:f>
              <c:numCache>
                <c:formatCode>#,##0.00</c:formatCode>
                <c:ptCount val="13"/>
                <c:pt idx="0">
                  <c:v>278639.64</c:v>
                </c:pt>
                <c:pt idx="1">
                  <c:v>205425.47</c:v>
                </c:pt>
                <c:pt idx="2">
                  <c:v>125462.37</c:v>
                </c:pt>
                <c:pt idx="3">
                  <c:v>341411.74</c:v>
                </c:pt>
                <c:pt idx="4">
                  <c:v>137627.16</c:v>
                </c:pt>
                <c:pt idx="5">
                  <c:v>342630.09</c:v>
                </c:pt>
                <c:pt idx="6">
                  <c:v>163242.43</c:v>
                </c:pt>
                <c:pt idx="7">
                  <c:v>206365.41</c:v>
                </c:pt>
                <c:pt idx="8">
                  <c:v>95538.26</c:v>
                </c:pt>
                <c:pt idx="9">
                  <c:v>212160.14</c:v>
                </c:pt>
                <c:pt idx="10">
                  <c:v>122313.92</c:v>
                </c:pt>
                <c:pt idx="11">
                  <c:v>213194.65</c:v>
                </c:pt>
                <c:pt idx="12">
                  <c:v>178200.51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B-42DF-9BAB-AFE4C19E3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'29 Apr- 5 May'!$C$4:$C$17</c:f>
              <c:strCache>
                <c:ptCount val="1"/>
                <c:pt idx="0">
                  <c:v> 2 278 705.14  269 324.95 187 990.20 97 703.48 320 185.65 170 280.71 327 846.33 106 938.02 221 834.60 86 372.31 167 993.44 125 951.95 196 283.50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180-4D7F-A170-CC5F185D6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Apr- 5 May'!$C$3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Apr- 5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'29 Apr- 5 May'!$C$5:$C$18</c:f>
              <c:numCache>
                <c:formatCode>#,##0.00</c:formatCode>
                <c:ptCount val="13"/>
                <c:pt idx="0">
                  <c:v>269324.95</c:v>
                </c:pt>
                <c:pt idx="1">
                  <c:v>187990.2</c:v>
                </c:pt>
                <c:pt idx="2">
                  <c:v>97703.48</c:v>
                </c:pt>
                <c:pt idx="3">
                  <c:v>320185.65000000002</c:v>
                </c:pt>
                <c:pt idx="4">
                  <c:v>170280.71</c:v>
                </c:pt>
                <c:pt idx="5">
                  <c:v>327846.33</c:v>
                </c:pt>
                <c:pt idx="6">
                  <c:v>106938.02</c:v>
                </c:pt>
                <c:pt idx="7">
                  <c:v>221834.6</c:v>
                </c:pt>
                <c:pt idx="8">
                  <c:v>86372.31</c:v>
                </c:pt>
                <c:pt idx="9">
                  <c:v>167993.44</c:v>
                </c:pt>
                <c:pt idx="10">
                  <c:v>125951.95</c:v>
                </c:pt>
                <c:pt idx="11">
                  <c:v>196283.5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6-40EA-BB37-CA47463D25F0}"/>
            </c:ext>
          </c:extLst>
        </c:ser>
        <c:ser>
          <c:idx val="3"/>
          <c:order val="1"/>
          <c:tx>
            <c:strRef>
              <c:f>'29 Apr- 5 May'!$D$3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Apr- 5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'29 Apr- 5 May'!$D$5:$D$18</c:f>
              <c:numCache>
                <c:formatCode>#,##0.00</c:formatCode>
                <c:ptCount val="13"/>
                <c:pt idx="0">
                  <c:v>302080.89</c:v>
                </c:pt>
                <c:pt idx="1">
                  <c:v>255815.43</c:v>
                </c:pt>
                <c:pt idx="2">
                  <c:v>126931.31</c:v>
                </c:pt>
                <c:pt idx="3">
                  <c:v>342635.31</c:v>
                </c:pt>
                <c:pt idx="4">
                  <c:v>140870.71</c:v>
                </c:pt>
                <c:pt idx="5">
                  <c:v>390245.8</c:v>
                </c:pt>
                <c:pt idx="6">
                  <c:v>136510.79999999999</c:v>
                </c:pt>
                <c:pt idx="7">
                  <c:v>233608.46</c:v>
                </c:pt>
                <c:pt idx="8">
                  <c:v>86615.65</c:v>
                </c:pt>
                <c:pt idx="9">
                  <c:v>157667.46</c:v>
                </c:pt>
                <c:pt idx="10">
                  <c:v>127075.46</c:v>
                </c:pt>
                <c:pt idx="11">
                  <c:v>217907.37</c:v>
                </c:pt>
                <c:pt idx="12">
                  <c:v>195997.67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16-40EA-BB37-CA47463D2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449943633184286E-2"/>
          <c:y val="6.280479989477368E-2"/>
          <c:w val="0.96947747713104893"/>
          <c:h val="0.7364781550139948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'6 May - 12 May'!$C$4:$C$17</c:f>
              <c:strCache>
                <c:ptCount val="1"/>
                <c:pt idx="0">
                  <c:v> 2 143 531.19  237 445.42 185 846.50 106 888.40 310 891.80 144 208.29 298 867.60 111 772.07 206 376.85 63 275.65 110 917.10 143 298.11 223 743.40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prstDash val="solid"/>
              <a:round/>
            </a:ln>
          </c:spPr>
          <c:invertIfNegative val="0"/>
          <c:val>
            <c:numLit>
              <c:formatCode>General</c:formatCode>
              <c:ptCount val="1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934B-46C4-A3AD-BB35830B1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9493272"/>
        <c:axId val="439493664"/>
      </c:barChart>
      <c:catAx>
        <c:axId val="439493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9493664"/>
        <c:crosses val="autoZero"/>
        <c:auto val="1"/>
        <c:lblAlgn val="ctr"/>
        <c:lblOffset val="100"/>
        <c:noMultiLvlLbl val="0"/>
      </c:catAx>
      <c:valAx>
        <c:axId val="439493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39493272"/>
        <c:crosses val="autoZero"/>
        <c:crossBetween val="between"/>
      </c:valAx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May - 12 May'!$C$3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May - 12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'6 May - 12 May'!$C$5:$C$18</c:f>
              <c:numCache>
                <c:formatCode>#,##0.00</c:formatCode>
                <c:ptCount val="13"/>
                <c:pt idx="0">
                  <c:v>237445.42</c:v>
                </c:pt>
                <c:pt idx="1">
                  <c:v>185846.5</c:v>
                </c:pt>
                <c:pt idx="2">
                  <c:v>106888.4</c:v>
                </c:pt>
                <c:pt idx="3">
                  <c:v>310891.8</c:v>
                </c:pt>
                <c:pt idx="4">
                  <c:v>144208.29</c:v>
                </c:pt>
                <c:pt idx="5">
                  <c:v>298867.59999999998</c:v>
                </c:pt>
                <c:pt idx="6">
                  <c:v>111772.07</c:v>
                </c:pt>
                <c:pt idx="7">
                  <c:v>206376.85</c:v>
                </c:pt>
                <c:pt idx="8">
                  <c:v>63275.65</c:v>
                </c:pt>
                <c:pt idx="9">
                  <c:v>110917.1</c:v>
                </c:pt>
                <c:pt idx="10">
                  <c:v>143298.10999999999</c:v>
                </c:pt>
                <c:pt idx="11">
                  <c:v>223743.4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A-4AB0-8C42-5085EEDD216B}"/>
            </c:ext>
          </c:extLst>
        </c:ser>
        <c:ser>
          <c:idx val="3"/>
          <c:order val="1"/>
          <c:tx>
            <c:strRef>
              <c:f>'6 May - 12 May'!$D$3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May - 12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'6 May - 12 May'!$D$5:$D$18</c:f>
              <c:numCache>
                <c:formatCode>#,##0.00</c:formatCode>
                <c:ptCount val="13"/>
                <c:pt idx="0">
                  <c:v>277850.46999999997</c:v>
                </c:pt>
                <c:pt idx="1">
                  <c:v>255721.48</c:v>
                </c:pt>
                <c:pt idx="2">
                  <c:v>149467.35999999999</c:v>
                </c:pt>
                <c:pt idx="3">
                  <c:v>314671.8</c:v>
                </c:pt>
                <c:pt idx="4">
                  <c:v>146819.43</c:v>
                </c:pt>
                <c:pt idx="5">
                  <c:v>382519.05</c:v>
                </c:pt>
                <c:pt idx="6">
                  <c:v>144817.99</c:v>
                </c:pt>
                <c:pt idx="7">
                  <c:v>233865.68</c:v>
                </c:pt>
                <c:pt idx="8">
                  <c:v>0</c:v>
                </c:pt>
                <c:pt idx="9">
                  <c:v>163941.60999999999</c:v>
                </c:pt>
                <c:pt idx="10">
                  <c:v>156915.53</c:v>
                </c:pt>
                <c:pt idx="11">
                  <c:v>204319.37</c:v>
                </c:pt>
                <c:pt idx="12">
                  <c:v>197506.48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A-4AB0-8C42-5085EEDD2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May - 19 May'!$C$3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May - 19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'13 May - 19 May'!$C$5:$C$18</c:f>
              <c:numCache>
                <c:formatCode>#,##0.00</c:formatCode>
                <c:ptCount val="13"/>
                <c:pt idx="0">
                  <c:v>185743.3</c:v>
                </c:pt>
                <c:pt idx="1">
                  <c:v>170395.84</c:v>
                </c:pt>
                <c:pt idx="2">
                  <c:v>79754.94</c:v>
                </c:pt>
                <c:pt idx="3">
                  <c:v>259836.52</c:v>
                </c:pt>
                <c:pt idx="4">
                  <c:v>129346.78</c:v>
                </c:pt>
                <c:pt idx="5">
                  <c:v>287710.11</c:v>
                </c:pt>
                <c:pt idx="6">
                  <c:v>103691.4</c:v>
                </c:pt>
                <c:pt idx="7">
                  <c:v>169358.35</c:v>
                </c:pt>
                <c:pt idx="8">
                  <c:v>41410.68</c:v>
                </c:pt>
                <c:pt idx="9">
                  <c:v>94936.65</c:v>
                </c:pt>
                <c:pt idx="10">
                  <c:v>105933.05</c:v>
                </c:pt>
                <c:pt idx="11">
                  <c:v>155721.71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C-440B-B717-6EEC689E446B}"/>
            </c:ext>
          </c:extLst>
        </c:ser>
        <c:ser>
          <c:idx val="3"/>
          <c:order val="1"/>
          <c:tx>
            <c:strRef>
              <c:f>'13 May - 19 May'!$D$3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May - 19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'13 May - 19 May'!$D$5:$D$18</c:f>
              <c:numCache>
                <c:formatCode>#,##0.00</c:formatCode>
                <c:ptCount val="13"/>
                <c:pt idx="0">
                  <c:v>217085.03</c:v>
                </c:pt>
                <c:pt idx="1">
                  <c:v>208131.03</c:v>
                </c:pt>
                <c:pt idx="2">
                  <c:v>98960.8</c:v>
                </c:pt>
                <c:pt idx="3">
                  <c:v>271779.21999999997</c:v>
                </c:pt>
                <c:pt idx="4">
                  <c:v>130430.39999999999</c:v>
                </c:pt>
                <c:pt idx="5">
                  <c:v>321781.94</c:v>
                </c:pt>
                <c:pt idx="6">
                  <c:v>126268.32</c:v>
                </c:pt>
                <c:pt idx="7">
                  <c:v>195027.05</c:v>
                </c:pt>
                <c:pt idx="8">
                  <c:v>0</c:v>
                </c:pt>
                <c:pt idx="9">
                  <c:v>127940.31</c:v>
                </c:pt>
                <c:pt idx="10">
                  <c:v>125341.75</c:v>
                </c:pt>
                <c:pt idx="11">
                  <c:v>194146.4</c:v>
                </c:pt>
                <c:pt idx="12">
                  <c:v>151423.45000000001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C-440B-B717-6EEC689E4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May - 26 May'!$C$3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May - 26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'20 May - 26 May'!$C$5:$C$18</c:f>
              <c:numCache>
                <c:formatCode>#,##0.00</c:formatCode>
                <c:ptCount val="13"/>
                <c:pt idx="0">
                  <c:v>221825.67</c:v>
                </c:pt>
                <c:pt idx="1">
                  <c:v>186639.79</c:v>
                </c:pt>
                <c:pt idx="2">
                  <c:v>88432.89</c:v>
                </c:pt>
                <c:pt idx="3">
                  <c:v>299724.59000000003</c:v>
                </c:pt>
                <c:pt idx="4">
                  <c:v>168223.03</c:v>
                </c:pt>
                <c:pt idx="5">
                  <c:v>305095.51</c:v>
                </c:pt>
                <c:pt idx="6">
                  <c:v>111686.16</c:v>
                </c:pt>
                <c:pt idx="7">
                  <c:v>200143.4</c:v>
                </c:pt>
                <c:pt idx="8">
                  <c:v>53164.57</c:v>
                </c:pt>
                <c:pt idx="9">
                  <c:v>109316.15</c:v>
                </c:pt>
                <c:pt idx="10">
                  <c:v>125748.07</c:v>
                </c:pt>
                <c:pt idx="11">
                  <c:v>184789.68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6C-46E7-A020-608B3D7DDE7B}"/>
            </c:ext>
          </c:extLst>
        </c:ser>
        <c:ser>
          <c:idx val="3"/>
          <c:order val="1"/>
          <c:tx>
            <c:strRef>
              <c:f>'20 May - 26 May'!$D$3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May - 26 May'!$A$5:$A$18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'20 May - 26 May'!$D$5:$D$18</c:f>
              <c:numCache>
                <c:formatCode>#,##0.00</c:formatCode>
                <c:ptCount val="13"/>
                <c:pt idx="0">
                  <c:v>221316.49</c:v>
                </c:pt>
                <c:pt idx="1">
                  <c:v>230507.03</c:v>
                </c:pt>
                <c:pt idx="2">
                  <c:v>105221.78</c:v>
                </c:pt>
                <c:pt idx="3">
                  <c:v>287415.07</c:v>
                </c:pt>
                <c:pt idx="4">
                  <c:v>144417.04</c:v>
                </c:pt>
                <c:pt idx="5">
                  <c:v>330106.03000000003</c:v>
                </c:pt>
                <c:pt idx="6">
                  <c:v>129133.4</c:v>
                </c:pt>
                <c:pt idx="7">
                  <c:v>222565.67</c:v>
                </c:pt>
                <c:pt idx="8">
                  <c:v>0</c:v>
                </c:pt>
                <c:pt idx="9">
                  <c:v>119331.58</c:v>
                </c:pt>
                <c:pt idx="10">
                  <c:v>120194.62</c:v>
                </c:pt>
                <c:pt idx="11">
                  <c:v>199724.82</c:v>
                </c:pt>
                <c:pt idx="12">
                  <c:v>147605.69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C-46E7-A020-608B3D7DD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May - 2 June'!$C$3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May - 2 June'!$A$5:$A$18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'27 May - 2 June'!$C$5:$C$18</c:f>
              <c:numCache>
                <c:formatCode>#,##0.00</c:formatCode>
                <c:ptCount val="13"/>
                <c:pt idx="0">
                  <c:v>216962</c:v>
                </c:pt>
                <c:pt idx="1">
                  <c:v>176855</c:v>
                </c:pt>
                <c:pt idx="2">
                  <c:v>103723</c:v>
                </c:pt>
                <c:pt idx="3">
                  <c:v>325253</c:v>
                </c:pt>
                <c:pt idx="4">
                  <c:v>129201</c:v>
                </c:pt>
                <c:pt idx="5">
                  <c:v>315569</c:v>
                </c:pt>
                <c:pt idx="6">
                  <c:v>111799</c:v>
                </c:pt>
                <c:pt idx="7">
                  <c:v>196039</c:v>
                </c:pt>
                <c:pt idx="8">
                  <c:v>41440</c:v>
                </c:pt>
                <c:pt idx="9">
                  <c:v>107350</c:v>
                </c:pt>
                <c:pt idx="10">
                  <c:v>126441</c:v>
                </c:pt>
                <c:pt idx="11">
                  <c:v>165690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3-4336-87C2-266EFF83A83A}"/>
            </c:ext>
          </c:extLst>
        </c:ser>
        <c:ser>
          <c:idx val="3"/>
          <c:order val="1"/>
          <c:tx>
            <c:strRef>
              <c:f>'27 May - 2 June'!$D$3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May - 2 June'!$A$5:$A$18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Wellington</c:v>
                </c:pt>
                <c:pt idx="9">
                  <c:v>Hartenbos</c:v>
                </c:pt>
                <c:pt idx="10">
                  <c:v>Kyalami Corner</c:v>
                </c:pt>
                <c:pt idx="11">
                  <c:v>Paulshof</c:v>
                </c:pt>
                <c:pt idx="12">
                  <c:v>Queenswood</c:v>
                </c:pt>
              </c:strCache>
            </c:strRef>
          </c:cat>
          <c:val>
            <c:numRef>
              <c:f>'27 May - 2 June'!$D$5:$D$18</c:f>
              <c:numCache>
                <c:formatCode>#,##0.00</c:formatCode>
                <c:ptCount val="13"/>
                <c:pt idx="0">
                  <c:v>228906</c:v>
                </c:pt>
                <c:pt idx="1">
                  <c:v>291098</c:v>
                </c:pt>
                <c:pt idx="2">
                  <c:v>129833</c:v>
                </c:pt>
                <c:pt idx="3">
                  <c:v>300962</c:v>
                </c:pt>
                <c:pt idx="4">
                  <c:v>163214</c:v>
                </c:pt>
                <c:pt idx="5">
                  <c:v>346283</c:v>
                </c:pt>
                <c:pt idx="6">
                  <c:v>146968</c:v>
                </c:pt>
                <c:pt idx="7">
                  <c:v>236376</c:v>
                </c:pt>
                <c:pt idx="8">
                  <c:v>0</c:v>
                </c:pt>
                <c:pt idx="9">
                  <c:v>132890</c:v>
                </c:pt>
                <c:pt idx="10">
                  <c:v>132344</c:v>
                </c:pt>
                <c:pt idx="11">
                  <c:v>191675</c:v>
                </c:pt>
                <c:pt idx="12">
                  <c:v>173995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B3-4336-87C2-266EFF83A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 June - 9 June'!$C$3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 June - 9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 June - 9 June'!$C$5:$C$18</c:f>
              <c:numCache>
                <c:formatCode>#,##0.00</c:formatCode>
                <c:ptCount val="12"/>
                <c:pt idx="0">
                  <c:v>196627.05</c:v>
                </c:pt>
                <c:pt idx="1">
                  <c:v>173968.25</c:v>
                </c:pt>
                <c:pt idx="2">
                  <c:v>107361.01</c:v>
                </c:pt>
                <c:pt idx="3">
                  <c:v>285115.40999999997</c:v>
                </c:pt>
                <c:pt idx="4">
                  <c:v>114333.9</c:v>
                </c:pt>
                <c:pt idx="5">
                  <c:v>284486.68</c:v>
                </c:pt>
                <c:pt idx="6">
                  <c:v>109155.43</c:v>
                </c:pt>
                <c:pt idx="7">
                  <c:v>183499.55</c:v>
                </c:pt>
                <c:pt idx="8">
                  <c:v>99714.09</c:v>
                </c:pt>
                <c:pt idx="9">
                  <c:v>117142.32</c:v>
                </c:pt>
                <c:pt idx="10">
                  <c:v>184110.6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1-4354-AB70-E20A0453B725}"/>
            </c:ext>
          </c:extLst>
        </c:ser>
        <c:ser>
          <c:idx val="3"/>
          <c:order val="1"/>
          <c:tx>
            <c:strRef>
              <c:f>'3 June - 9 June'!$D$3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 June - 9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 June - 9 June'!$D$5:$D$18</c:f>
              <c:numCache>
                <c:formatCode>#,##0.00</c:formatCode>
                <c:ptCount val="12"/>
                <c:pt idx="0">
                  <c:v>245311.38</c:v>
                </c:pt>
                <c:pt idx="1">
                  <c:v>262809.21000000002</c:v>
                </c:pt>
                <c:pt idx="2">
                  <c:v>109264.66</c:v>
                </c:pt>
                <c:pt idx="3">
                  <c:v>308917.94</c:v>
                </c:pt>
                <c:pt idx="4">
                  <c:v>137777</c:v>
                </c:pt>
                <c:pt idx="5">
                  <c:v>317888.62</c:v>
                </c:pt>
                <c:pt idx="6">
                  <c:v>132072.19</c:v>
                </c:pt>
                <c:pt idx="7">
                  <c:v>205934.81</c:v>
                </c:pt>
                <c:pt idx="8">
                  <c:v>129751.08</c:v>
                </c:pt>
                <c:pt idx="9">
                  <c:v>113756.77</c:v>
                </c:pt>
                <c:pt idx="10">
                  <c:v>192169.17</c:v>
                </c:pt>
                <c:pt idx="11">
                  <c:v>152760.03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1-4354-AB70-E20A0453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June - 16 June'!$C$3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June - 16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'10 June - 16 June'!$C$5:$C$18</c:f>
              <c:numCache>
                <c:formatCode>#,##0.00</c:formatCode>
                <c:ptCount val="12"/>
                <c:pt idx="0">
                  <c:v>219292.94</c:v>
                </c:pt>
                <c:pt idx="1">
                  <c:v>218436.81</c:v>
                </c:pt>
                <c:pt idx="2">
                  <c:v>102311.05</c:v>
                </c:pt>
                <c:pt idx="3">
                  <c:v>263398.5</c:v>
                </c:pt>
                <c:pt idx="4">
                  <c:v>139559.57</c:v>
                </c:pt>
                <c:pt idx="5">
                  <c:v>292034.61</c:v>
                </c:pt>
                <c:pt idx="6">
                  <c:v>106785.85</c:v>
                </c:pt>
                <c:pt idx="7">
                  <c:v>190973.41</c:v>
                </c:pt>
                <c:pt idx="8">
                  <c:v>125931.14</c:v>
                </c:pt>
                <c:pt idx="9">
                  <c:v>114456.03</c:v>
                </c:pt>
                <c:pt idx="10">
                  <c:v>190303.96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B-4D08-AF6B-E633504525CD}"/>
            </c:ext>
          </c:extLst>
        </c:ser>
        <c:ser>
          <c:idx val="3"/>
          <c:order val="1"/>
          <c:tx>
            <c:strRef>
              <c:f>'10 June - 16 June'!$D$3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June - 16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'10 June - 16 June'!$D$5:$D$18</c:f>
              <c:numCache>
                <c:formatCode>#,##0.00</c:formatCode>
                <c:ptCount val="12"/>
                <c:pt idx="0">
                  <c:v>236155.67</c:v>
                </c:pt>
                <c:pt idx="1">
                  <c:v>218653.28</c:v>
                </c:pt>
                <c:pt idx="2">
                  <c:v>110836.84</c:v>
                </c:pt>
                <c:pt idx="3">
                  <c:v>274238.71999999997</c:v>
                </c:pt>
                <c:pt idx="4">
                  <c:v>143400.20000000001</c:v>
                </c:pt>
                <c:pt idx="5">
                  <c:v>345738.87</c:v>
                </c:pt>
                <c:pt idx="6">
                  <c:v>139419.04999999999</c:v>
                </c:pt>
                <c:pt idx="7">
                  <c:v>208358.17</c:v>
                </c:pt>
                <c:pt idx="8">
                  <c:v>170108.44</c:v>
                </c:pt>
                <c:pt idx="9">
                  <c:v>115659.7</c:v>
                </c:pt>
                <c:pt idx="10">
                  <c:v>183813.79</c:v>
                </c:pt>
                <c:pt idx="11">
                  <c:v>169068.42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B-4D08-AF6B-E63350452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June - 23 June'!$C$3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June - 23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'17 June - 23 June'!$C$5:$C$18</c:f>
              <c:numCache>
                <c:formatCode>#,##0.00</c:formatCode>
                <c:ptCount val="12"/>
                <c:pt idx="0">
                  <c:v>221748.26</c:v>
                </c:pt>
                <c:pt idx="1">
                  <c:v>261691.89</c:v>
                </c:pt>
                <c:pt idx="2">
                  <c:v>98566.64</c:v>
                </c:pt>
                <c:pt idx="3">
                  <c:v>256409.55</c:v>
                </c:pt>
                <c:pt idx="4">
                  <c:v>133443.57</c:v>
                </c:pt>
                <c:pt idx="5">
                  <c:v>332604.81</c:v>
                </c:pt>
                <c:pt idx="6">
                  <c:v>95039.87</c:v>
                </c:pt>
                <c:pt idx="7">
                  <c:v>172619.4</c:v>
                </c:pt>
                <c:pt idx="8">
                  <c:v>121208.28</c:v>
                </c:pt>
                <c:pt idx="9">
                  <c:v>107966.63</c:v>
                </c:pt>
                <c:pt idx="10">
                  <c:v>166426.97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3-4C12-BB2C-11CC824B6A1A}"/>
            </c:ext>
          </c:extLst>
        </c:ser>
        <c:ser>
          <c:idx val="3"/>
          <c:order val="1"/>
          <c:tx>
            <c:strRef>
              <c:f>'17 June - 23 June'!$D$3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June - 23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'17 June - 23 June'!$D$5:$D$18</c:f>
              <c:numCache>
                <c:formatCode>#,##0.00</c:formatCode>
                <c:ptCount val="12"/>
                <c:pt idx="0">
                  <c:v>250573.07</c:v>
                </c:pt>
                <c:pt idx="1">
                  <c:v>248168.49</c:v>
                </c:pt>
                <c:pt idx="2">
                  <c:v>99413.99</c:v>
                </c:pt>
                <c:pt idx="3">
                  <c:v>303531.06</c:v>
                </c:pt>
                <c:pt idx="4">
                  <c:v>148386.35999999999</c:v>
                </c:pt>
                <c:pt idx="5">
                  <c:v>350406.82</c:v>
                </c:pt>
                <c:pt idx="6">
                  <c:v>137174.82</c:v>
                </c:pt>
                <c:pt idx="7">
                  <c:v>203275.18</c:v>
                </c:pt>
                <c:pt idx="8">
                  <c:v>204166.38</c:v>
                </c:pt>
                <c:pt idx="9">
                  <c:v>119243.42</c:v>
                </c:pt>
                <c:pt idx="10">
                  <c:v>193070.24</c:v>
                </c:pt>
                <c:pt idx="11">
                  <c:v>145702.12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3-4C12-BB2C-11CC824B6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June - 30 June'!$C$3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June - 30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'24 June - 30 June'!$C$5:$C$18</c:f>
              <c:numCache>
                <c:formatCode>#,##0.00</c:formatCode>
                <c:ptCount val="12"/>
                <c:pt idx="0">
                  <c:v>282104.45</c:v>
                </c:pt>
                <c:pt idx="1">
                  <c:v>246232.93</c:v>
                </c:pt>
                <c:pt idx="2">
                  <c:v>111333.96</c:v>
                </c:pt>
                <c:pt idx="3">
                  <c:v>358487.91</c:v>
                </c:pt>
                <c:pt idx="4">
                  <c:v>130369.13</c:v>
                </c:pt>
                <c:pt idx="5">
                  <c:v>323957.95</c:v>
                </c:pt>
                <c:pt idx="6">
                  <c:v>105734.37</c:v>
                </c:pt>
                <c:pt idx="7">
                  <c:v>198019.77</c:v>
                </c:pt>
                <c:pt idx="8">
                  <c:v>179618.33</c:v>
                </c:pt>
                <c:pt idx="9">
                  <c:v>120360.07</c:v>
                </c:pt>
                <c:pt idx="10">
                  <c:v>165635.18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A-40A5-A6EA-BC558916E859}"/>
            </c:ext>
          </c:extLst>
        </c:ser>
        <c:ser>
          <c:idx val="3"/>
          <c:order val="1"/>
          <c:tx>
            <c:strRef>
              <c:f>'24 June - 30 June'!$D$3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June - 30 June'!$A$5:$A$18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'24 June - 30 June'!$D$5:$D$18</c:f>
              <c:numCache>
                <c:formatCode>#,##0.00</c:formatCode>
                <c:ptCount val="12"/>
                <c:pt idx="0">
                  <c:v>271223.01</c:v>
                </c:pt>
                <c:pt idx="1">
                  <c:v>268311.86</c:v>
                </c:pt>
                <c:pt idx="2">
                  <c:v>110389.7</c:v>
                </c:pt>
                <c:pt idx="3">
                  <c:v>345874.43</c:v>
                </c:pt>
                <c:pt idx="4">
                  <c:v>153229.93</c:v>
                </c:pt>
                <c:pt idx="5">
                  <c:v>385707.8</c:v>
                </c:pt>
                <c:pt idx="6">
                  <c:v>124310.04</c:v>
                </c:pt>
                <c:pt idx="7">
                  <c:v>223653.62</c:v>
                </c:pt>
                <c:pt idx="8">
                  <c:v>233344.84</c:v>
                </c:pt>
                <c:pt idx="9">
                  <c:v>126934.85</c:v>
                </c:pt>
                <c:pt idx="10">
                  <c:v>212563.92</c:v>
                </c:pt>
                <c:pt idx="11">
                  <c:v>174527.99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A-40A5-A6EA-BC558916E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July - 7 July'!$C$3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July - 7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 July - 7 July'!$C$5:$C$18</c:f>
              <c:numCache>
                <c:formatCode>#,##0.00</c:formatCode>
                <c:ptCount val="12"/>
                <c:pt idx="0">
                  <c:v>245546.09</c:v>
                </c:pt>
                <c:pt idx="1">
                  <c:v>209650.3</c:v>
                </c:pt>
                <c:pt idx="2">
                  <c:v>101240.13</c:v>
                </c:pt>
                <c:pt idx="3">
                  <c:v>285855.02</c:v>
                </c:pt>
                <c:pt idx="4">
                  <c:v>133920</c:v>
                </c:pt>
                <c:pt idx="5">
                  <c:v>294749.59999999998</c:v>
                </c:pt>
                <c:pt idx="6">
                  <c:v>96327.57</c:v>
                </c:pt>
                <c:pt idx="7">
                  <c:v>183017.69</c:v>
                </c:pt>
                <c:pt idx="8">
                  <c:v>195318.92</c:v>
                </c:pt>
                <c:pt idx="9">
                  <c:v>95020.94</c:v>
                </c:pt>
                <c:pt idx="10">
                  <c:v>163217.76999999999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0-4BDB-A2A8-7638DFF2F197}"/>
            </c:ext>
          </c:extLst>
        </c:ser>
        <c:ser>
          <c:idx val="3"/>
          <c:order val="1"/>
          <c:tx>
            <c:strRef>
              <c:f>'1 July - 7 July'!$D$3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July - 7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 July - 7 July'!$D$5:$D$18</c:f>
              <c:numCache>
                <c:formatCode>#,##0.00</c:formatCode>
                <c:ptCount val="12"/>
                <c:pt idx="0">
                  <c:v>289905.34999999998</c:v>
                </c:pt>
                <c:pt idx="1">
                  <c:v>262280.90999999997</c:v>
                </c:pt>
                <c:pt idx="2">
                  <c:v>99818.07</c:v>
                </c:pt>
                <c:pt idx="3">
                  <c:v>285273.64</c:v>
                </c:pt>
                <c:pt idx="4">
                  <c:v>151033.79</c:v>
                </c:pt>
                <c:pt idx="5">
                  <c:v>388755.04</c:v>
                </c:pt>
                <c:pt idx="6">
                  <c:v>130753.32</c:v>
                </c:pt>
                <c:pt idx="7">
                  <c:v>216356.41</c:v>
                </c:pt>
                <c:pt idx="8">
                  <c:v>216202.84</c:v>
                </c:pt>
                <c:pt idx="9">
                  <c:v>133866.99</c:v>
                </c:pt>
                <c:pt idx="10">
                  <c:v>204115.87</c:v>
                </c:pt>
                <c:pt idx="11">
                  <c:v>171677.33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0-4BDB-A2A8-7638DFF2F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July - 14 July'!$C$3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July - 14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'8 July - 14 July'!$C$5:$C$18</c:f>
              <c:numCache>
                <c:formatCode>#,##0.00</c:formatCode>
                <c:ptCount val="12"/>
                <c:pt idx="0">
                  <c:v>256768.79</c:v>
                </c:pt>
                <c:pt idx="1">
                  <c:v>210702.68</c:v>
                </c:pt>
                <c:pt idx="2">
                  <c:v>89728.09</c:v>
                </c:pt>
                <c:pt idx="3">
                  <c:v>301963.78000000003</c:v>
                </c:pt>
                <c:pt idx="4">
                  <c:v>146724.76</c:v>
                </c:pt>
                <c:pt idx="5">
                  <c:v>280855.2</c:v>
                </c:pt>
                <c:pt idx="6">
                  <c:v>100133.45</c:v>
                </c:pt>
                <c:pt idx="7">
                  <c:v>216088.13</c:v>
                </c:pt>
                <c:pt idx="8">
                  <c:v>177017.51</c:v>
                </c:pt>
                <c:pt idx="9">
                  <c:v>111524.18</c:v>
                </c:pt>
                <c:pt idx="10">
                  <c:v>159725.26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7E-4060-90E4-C8B763DE12B7}"/>
            </c:ext>
          </c:extLst>
        </c:ser>
        <c:ser>
          <c:idx val="3"/>
          <c:order val="1"/>
          <c:tx>
            <c:strRef>
              <c:f>'8 July - 14 July'!$D$3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July - 14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'8 July - 14 July'!$D$5:$D$18</c:f>
              <c:numCache>
                <c:formatCode>#,##0.00</c:formatCode>
                <c:ptCount val="12"/>
                <c:pt idx="0">
                  <c:v>226514.71</c:v>
                </c:pt>
                <c:pt idx="1">
                  <c:v>204794.67</c:v>
                </c:pt>
                <c:pt idx="2">
                  <c:v>95007.83</c:v>
                </c:pt>
                <c:pt idx="3">
                  <c:v>279254.78000000003</c:v>
                </c:pt>
                <c:pt idx="4">
                  <c:v>131503.14000000001</c:v>
                </c:pt>
                <c:pt idx="5">
                  <c:v>326039.56</c:v>
                </c:pt>
                <c:pt idx="6">
                  <c:v>125918.89</c:v>
                </c:pt>
                <c:pt idx="7">
                  <c:v>197895.08</c:v>
                </c:pt>
                <c:pt idx="8">
                  <c:v>157538.72</c:v>
                </c:pt>
                <c:pt idx="9">
                  <c:v>107345.47</c:v>
                </c:pt>
                <c:pt idx="10">
                  <c:v>190547.85</c:v>
                </c:pt>
                <c:pt idx="11">
                  <c:v>159732.85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7E-4060-90E4-C8B763DE1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July - 21 July'!$C$3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July - 21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'15 July - 21 July'!$C$5:$C$18</c:f>
              <c:numCache>
                <c:formatCode>#,##0.00</c:formatCode>
                <c:ptCount val="12"/>
                <c:pt idx="0">
                  <c:v>217395.42</c:v>
                </c:pt>
                <c:pt idx="1">
                  <c:v>205685.39</c:v>
                </c:pt>
                <c:pt idx="2">
                  <c:v>86864.53</c:v>
                </c:pt>
                <c:pt idx="3">
                  <c:v>313752.77</c:v>
                </c:pt>
                <c:pt idx="4">
                  <c:v>137485.14000000001</c:v>
                </c:pt>
                <c:pt idx="5">
                  <c:v>334025.02</c:v>
                </c:pt>
                <c:pt idx="6">
                  <c:v>109291.87</c:v>
                </c:pt>
                <c:pt idx="7">
                  <c:v>187408.16</c:v>
                </c:pt>
                <c:pt idx="8">
                  <c:v>131760.91</c:v>
                </c:pt>
                <c:pt idx="9">
                  <c:v>100114.61</c:v>
                </c:pt>
                <c:pt idx="10">
                  <c:v>160738.37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3-4B8D-B6A2-188E99F45969}"/>
            </c:ext>
          </c:extLst>
        </c:ser>
        <c:ser>
          <c:idx val="3"/>
          <c:order val="1"/>
          <c:tx>
            <c:strRef>
              <c:f>'15 July - 21 July'!$D$3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July - 21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'15 July - 21 July'!$D$5:$D$18</c:f>
              <c:numCache>
                <c:formatCode>#,##0.00</c:formatCode>
                <c:ptCount val="12"/>
                <c:pt idx="0">
                  <c:v>246778</c:v>
                </c:pt>
                <c:pt idx="1">
                  <c:v>191381.89</c:v>
                </c:pt>
                <c:pt idx="2">
                  <c:v>97633.12</c:v>
                </c:pt>
                <c:pt idx="3">
                  <c:v>304596.21000000002</c:v>
                </c:pt>
                <c:pt idx="4">
                  <c:v>142718.31</c:v>
                </c:pt>
                <c:pt idx="5">
                  <c:v>312926.61</c:v>
                </c:pt>
                <c:pt idx="6">
                  <c:v>130704.49</c:v>
                </c:pt>
                <c:pt idx="7">
                  <c:v>187064.58</c:v>
                </c:pt>
                <c:pt idx="8">
                  <c:v>151349.99</c:v>
                </c:pt>
                <c:pt idx="9">
                  <c:v>115444.65</c:v>
                </c:pt>
                <c:pt idx="10">
                  <c:v>188856.74</c:v>
                </c:pt>
                <c:pt idx="11">
                  <c:v>136175.84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3-4B8D-B6A2-188E99F45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July - 28 July'!$C$3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July - 28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'22 July - 28 July'!$C$5:$C$18</c:f>
              <c:numCache>
                <c:formatCode>#,##0.00</c:formatCode>
                <c:ptCount val="12"/>
                <c:pt idx="0">
                  <c:v>250543.24</c:v>
                </c:pt>
                <c:pt idx="1">
                  <c:v>181186.84</c:v>
                </c:pt>
                <c:pt idx="2">
                  <c:v>123620.4</c:v>
                </c:pt>
                <c:pt idx="3">
                  <c:v>337196.93</c:v>
                </c:pt>
                <c:pt idx="4">
                  <c:v>159174.91</c:v>
                </c:pt>
                <c:pt idx="5">
                  <c:v>358331.75</c:v>
                </c:pt>
                <c:pt idx="6">
                  <c:v>115750.62</c:v>
                </c:pt>
                <c:pt idx="7">
                  <c:v>194552.15</c:v>
                </c:pt>
                <c:pt idx="8">
                  <c:v>125329.08</c:v>
                </c:pt>
                <c:pt idx="9">
                  <c:v>112551.33</c:v>
                </c:pt>
                <c:pt idx="10">
                  <c:v>185885.17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D9D-A582-6495D2988183}"/>
            </c:ext>
          </c:extLst>
        </c:ser>
        <c:ser>
          <c:idx val="3"/>
          <c:order val="1"/>
          <c:tx>
            <c:strRef>
              <c:f>'22 July - 28 July'!$D$3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July - 28 July'!$A$5:$A$18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'22 July - 28 July'!$D$5:$D$18</c:f>
              <c:numCache>
                <c:formatCode>#,##0.00</c:formatCode>
                <c:ptCount val="12"/>
                <c:pt idx="0" formatCode="General">
                  <c:v>271945.84000000003</c:v>
                </c:pt>
                <c:pt idx="1">
                  <c:v>260258.72</c:v>
                </c:pt>
                <c:pt idx="2">
                  <c:v>125957.48</c:v>
                </c:pt>
                <c:pt idx="3">
                  <c:v>342049.35</c:v>
                </c:pt>
                <c:pt idx="4">
                  <c:v>164093.67000000001</c:v>
                </c:pt>
                <c:pt idx="5">
                  <c:v>353967.18</c:v>
                </c:pt>
                <c:pt idx="6">
                  <c:v>130324.87</c:v>
                </c:pt>
                <c:pt idx="7">
                  <c:v>212060.52</c:v>
                </c:pt>
                <c:pt idx="8">
                  <c:v>129536.18</c:v>
                </c:pt>
                <c:pt idx="9">
                  <c:v>113373.11</c:v>
                </c:pt>
                <c:pt idx="10">
                  <c:v>198530.03</c:v>
                </c:pt>
                <c:pt idx="11">
                  <c:v>162511.62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3-4D9D-A582-6495D2988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July - 4 August'!$C$3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July - 4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'29 July - 4 August'!$C$5:$C$18</c:f>
              <c:numCache>
                <c:formatCode>#,##0.00</c:formatCode>
                <c:ptCount val="12"/>
                <c:pt idx="0">
                  <c:v>233832.48</c:v>
                </c:pt>
                <c:pt idx="1">
                  <c:v>172949.61</c:v>
                </c:pt>
                <c:pt idx="2">
                  <c:v>111199.51</c:v>
                </c:pt>
                <c:pt idx="3">
                  <c:v>385919.95</c:v>
                </c:pt>
                <c:pt idx="4">
                  <c:v>172402.92</c:v>
                </c:pt>
                <c:pt idx="5">
                  <c:v>302155.05</c:v>
                </c:pt>
                <c:pt idx="6">
                  <c:v>115565.63</c:v>
                </c:pt>
                <c:pt idx="7">
                  <c:v>205902.87</c:v>
                </c:pt>
                <c:pt idx="8">
                  <c:v>125489.25</c:v>
                </c:pt>
                <c:pt idx="9">
                  <c:v>115125.41</c:v>
                </c:pt>
                <c:pt idx="10">
                  <c:v>197995.06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7-44B4-858F-79FF9CA1A365}"/>
            </c:ext>
          </c:extLst>
        </c:ser>
        <c:ser>
          <c:idx val="3"/>
          <c:order val="1"/>
          <c:tx>
            <c:strRef>
              <c:f>'29 July - 4 August'!$D$3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July - 4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'29 July - 4 August'!$D$5:$D$18</c:f>
              <c:numCache>
                <c:formatCode>#,##0.00</c:formatCode>
                <c:ptCount val="12"/>
                <c:pt idx="0" formatCode="General">
                  <c:v>261957.32</c:v>
                </c:pt>
                <c:pt idx="1">
                  <c:v>212110.67</c:v>
                </c:pt>
                <c:pt idx="2">
                  <c:v>132507.6</c:v>
                </c:pt>
                <c:pt idx="3">
                  <c:v>347205.66</c:v>
                </c:pt>
                <c:pt idx="4">
                  <c:v>139006.44</c:v>
                </c:pt>
                <c:pt idx="5">
                  <c:v>363089.93</c:v>
                </c:pt>
                <c:pt idx="6">
                  <c:v>157461.4</c:v>
                </c:pt>
                <c:pt idx="7">
                  <c:v>216093.02</c:v>
                </c:pt>
                <c:pt idx="8">
                  <c:v>138311.25</c:v>
                </c:pt>
                <c:pt idx="9">
                  <c:v>126564.93</c:v>
                </c:pt>
                <c:pt idx="10">
                  <c:v>214731.95</c:v>
                </c:pt>
                <c:pt idx="11">
                  <c:v>162603.09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7-44B4-858F-79FF9CA1A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August - 11 August'!$C$3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August - 11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'5 August - 11 August'!$C$5:$C$18</c:f>
              <c:numCache>
                <c:formatCode>#,##0.00</c:formatCode>
                <c:ptCount val="12"/>
                <c:pt idx="0">
                  <c:v>282687.59999999998</c:v>
                </c:pt>
                <c:pt idx="1">
                  <c:v>163472.63</c:v>
                </c:pt>
                <c:pt idx="2">
                  <c:v>129516.34</c:v>
                </c:pt>
                <c:pt idx="3">
                  <c:v>274334.31</c:v>
                </c:pt>
                <c:pt idx="4">
                  <c:v>144176.82999999999</c:v>
                </c:pt>
                <c:pt idx="5">
                  <c:v>318202.90000000002</c:v>
                </c:pt>
                <c:pt idx="6">
                  <c:v>118179.37</c:v>
                </c:pt>
                <c:pt idx="7">
                  <c:v>206172.99</c:v>
                </c:pt>
                <c:pt idx="8">
                  <c:v>180202.37</c:v>
                </c:pt>
                <c:pt idx="9">
                  <c:v>107160.67</c:v>
                </c:pt>
                <c:pt idx="10">
                  <c:v>166398.82999999999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19-4205-8E91-DAE3C3D12C37}"/>
            </c:ext>
          </c:extLst>
        </c:ser>
        <c:ser>
          <c:idx val="3"/>
          <c:order val="1"/>
          <c:tx>
            <c:strRef>
              <c:f>'5 August - 11 August'!$D$3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August - 11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'5 August - 11 August'!$D$5:$D$18</c:f>
              <c:numCache>
                <c:formatCode>#,##0.00</c:formatCode>
                <c:ptCount val="12"/>
                <c:pt idx="0" formatCode="General">
                  <c:v>267972.63</c:v>
                </c:pt>
                <c:pt idx="1">
                  <c:v>215626.05</c:v>
                </c:pt>
                <c:pt idx="2">
                  <c:v>103484.13</c:v>
                </c:pt>
                <c:pt idx="3">
                  <c:v>317143.52</c:v>
                </c:pt>
                <c:pt idx="4">
                  <c:v>126339</c:v>
                </c:pt>
                <c:pt idx="5">
                  <c:v>313954.43</c:v>
                </c:pt>
                <c:pt idx="6">
                  <c:v>120679.88</c:v>
                </c:pt>
                <c:pt idx="7">
                  <c:v>210396.93</c:v>
                </c:pt>
                <c:pt idx="8">
                  <c:v>182706.98</c:v>
                </c:pt>
                <c:pt idx="9">
                  <c:v>123420.75</c:v>
                </c:pt>
                <c:pt idx="10">
                  <c:v>198462.73</c:v>
                </c:pt>
                <c:pt idx="11">
                  <c:v>143407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19-4205-8E91-DAE3C3D1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August - 18 August'!$C$3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August - 18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'12 August - 18 August'!$C$5:$C$18</c:f>
              <c:numCache>
                <c:formatCode>#,##0.00</c:formatCode>
                <c:ptCount val="12"/>
                <c:pt idx="0">
                  <c:v>207282.75</c:v>
                </c:pt>
                <c:pt idx="1">
                  <c:v>143954.67000000001</c:v>
                </c:pt>
                <c:pt idx="2">
                  <c:v>89612.08</c:v>
                </c:pt>
                <c:pt idx="3">
                  <c:v>258233.9</c:v>
                </c:pt>
                <c:pt idx="4">
                  <c:v>143814.22</c:v>
                </c:pt>
                <c:pt idx="5">
                  <c:v>296762.82</c:v>
                </c:pt>
                <c:pt idx="6">
                  <c:v>114345.39</c:v>
                </c:pt>
                <c:pt idx="7">
                  <c:v>194113.41</c:v>
                </c:pt>
                <c:pt idx="8">
                  <c:v>118383.8</c:v>
                </c:pt>
                <c:pt idx="9">
                  <c:v>93204.23</c:v>
                </c:pt>
                <c:pt idx="10">
                  <c:v>164548.48000000001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D-4BF6-AEC1-1B971AF4ED2B}"/>
            </c:ext>
          </c:extLst>
        </c:ser>
        <c:ser>
          <c:idx val="3"/>
          <c:order val="1"/>
          <c:tx>
            <c:strRef>
              <c:f>'12 August - 18 August'!$D$3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August - 18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'12 August - 18 August'!$D$5:$D$18</c:f>
              <c:numCache>
                <c:formatCode>#,##0.00</c:formatCode>
                <c:ptCount val="12"/>
                <c:pt idx="0">
                  <c:v>222616.58</c:v>
                </c:pt>
                <c:pt idx="1">
                  <c:v>197449.78</c:v>
                </c:pt>
                <c:pt idx="2">
                  <c:v>78509.75</c:v>
                </c:pt>
                <c:pt idx="3">
                  <c:v>311549.81</c:v>
                </c:pt>
                <c:pt idx="4">
                  <c:v>154333.15</c:v>
                </c:pt>
                <c:pt idx="5">
                  <c:v>351899.09</c:v>
                </c:pt>
                <c:pt idx="6">
                  <c:v>158515.24</c:v>
                </c:pt>
                <c:pt idx="7">
                  <c:v>217294.07999999999</c:v>
                </c:pt>
                <c:pt idx="8">
                  <c:v>149035.45000000001</c:v>
                </c:pt>
                <c:pt idx="9">
                  <c:v>119169.43</c:v>
                </c:pt>
                <c:pt idx="10">
                  <c:v>209337.65</c:v>
                </c:pt>
                <c:pt idx="11">
                  <c:v>147869.29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FD-4BF6-AEC1-1B971AF4E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August - 25 August'!$C$3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August - 25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'19 August - 25 August'!$C$5:$C$18</c:f>
              <c:numCache>
                <c:formatCode>#,##0.00</c:formatCode>
                <c:ptCount val="12"/>
                <c:pt idx="0">
                  <c:v>209469.86</c:v>
                </c:pt>
                <c:pt idx="1">
                  <c:v>181006.65</c:v>
                </c:pt>
                <c:pt idx="2">
                  <c:v>105933.58</c:v>
                </c:pt>
                <c:pt idx="3">
                  <c:v>275025.62</c:v>
                </c:pt>
                <c:pt idx="4">
                  <c:v>134373.57</c:v>
                </c:pt>
                <c:pt idx="5">
                  <c:v>302044.64</c:v>
                </c:pt>
                <c:pt idx="6">
                  <c:v>120580.58</c:v>
                </c:pt>
                <c:pt idx="7">
                  <c:v>208254.48</c:v>
                </c:pt>
                <c:pt idx="8">
                  <c:v>113631.98</c:v>
                </c:pt>
                <c:pt idx="9">
                  <c:v>112972.82</c:v>
                </c:pt>
                <c:pt idx="10">
                  <c:v>159987.04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7-457A-B917-AF649D756DFB}"/>
            </c:ext>
          </c:extLst>
        </c:ser>
        <c:ser>
          <c:idx val="3"/>
          <c:order val="1"/>
          <c:tx>
            <c:strRef>
              <c:f>'19 August - 25 August'!$D$3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August - 25 August'!$A$5:$A$18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'19 August - 25 August'!$D$5:$D$18</c:f>
              <c:numCache>
                <c:formatCode>#,##0.00</c:formatCode>
                <c:ptCount val="12"/>
                <c:pt idx="0">
                  <c:v>231767.72</c:v>
                </c:pt>
                <c:pt idx="1">
                  <c:v>221483.49</c:v>
                </c:pt>
                <c:pt idx="2">
                  <c:v>108339.36</c:v>
                </c:pt>
                <c:pt idx="3">
                  <c:v>318980.90000000002</c:v>
                </c:pt>
                <c:pt idx="4">
                  <c:v>146426.01999999999</c:v>
                </c:pt>
                <c:pt idx="5">
                  <c:v>360091.79</c:v>
                </c:pt>
                <c:pt idx="6">
                  <c:v>140341.66</c:v>
                </c:pt>
                <c:pt idx="7">
                  <c:v>198305.39</c:v>
                </c:pt>
                <c:pt idx="8">
                  <c:v>144589.57</c:v>
                </c:pt>
                <c:pt idx="9">
                  <c:v>132180.87</c:v>
                </c:pt>
                <c:pt idx="10">
                  <c:v>198741.03</c:v>
                </c:pt>
                <c:pt idx="11">
                  <c:v>159131.38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7-457A-B917-AF649D756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August - 1 September'!$C$3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August - 1 September'!$A$5:$A$18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'26 August - 1 September'!$C$5:$C$18</c:f>
              <c:numCache>
                <c:formatCode>#,##0.00</c:formatCode>
                <c:ptCount val="12"/>
                <c:pt idx="0">
                  <c:v>235760.36</c:v>
                </c:pt>
                <c:pt idx="1">
                  <c:v>200562.47</c:v>
                </c:pt>
                <c:pt idx="2">
                  <c:v>116687.5</c:v>
                </c:pt>
                <c:pt idx="3">
                  <c:v>272847.31</c:v>
                </c:pt>
                <c:pt idx="4">
                  <c:v>142890.54</c:v>
                </c:pt>
                <c:pt idx="5">
                  <c:v>342584.91</c:v>
                </c:pt>
                <c:pt idx="6">
                  <c:v>117324.77</c:v>
                </c:pt>
                <c:pt idx="7">
                  <c:v>229593.2</c:v>
                </c:pt>
                <c:pt idx="8">
                  <c:v>121573.93</c:v>
                </c:pt>
                <c:pt idx="9">
                  <c:v>108880.84</c:v>
                </c:pt>
                <c:pt idx="10">
                  <c:v>199994.64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5B-4CAB-B06D-13C909D7407A}"/>
            </c:ext>
          </c:extLst>
        </c:ser>
        <c:ser>
          <c:idx val="3"/>
          <c:order val="1"/>
          <c:tx>
            <c:strRef>
              <c:f>'26 August - 1 September'!$D$3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August - 1 September'!$A$5:$A$18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'26 August - 1 September'!$D$5:$D$18</c:f>
              <c:numCache>
                <c:formatCode>#,##0.00</c:formatCode>
                <c:ptCount val="12"/>
                <c:pt idx="0">
                  <c:v>248696.5</c:v>
                </c:pt>
                <c:pt idx="1">
                  <c:v>252827.21</c:v>
                </c:pt>
                <c:pt idx="2">
                  <c:v>100438.88</c:v>
                </c:pt>
                <c:pt idx="3">
                  <c:v>336182.19</c:v>
                </c:pt>
                <c:pt idx="4">
                  <c:v>152135.32999999999</c:v>
                </c:pt>
                <c:pt idx="5">
                  <c:v>359955.15</c:v>
                </c:pt>
                <c:pt idx="6">
                  <c:v>142994.71</c:v>
                </c:pt>
                <c:pt idx="7">
                  <c:v>200652.94</c:v>
                </c:pt>
                <c:pt idx="8">
                  <c:v>149768.1</c:v>
                </c:pt>
                <c:pt idx="9">
                  <c:v>139344.51999999999</c:v>
                </c:pt>
                <c:pt idx="10">
                  <c:v>190535.34</c:v>
                </c:pt>
                <c:pt idx="11">
                  <c:v>171996.21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5B-4CAB-B06D-13C909D74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Sept - 8 Sept'!$C$3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Sept - 8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Sept - 8 Sept'!$C$5:$C$18</c:f>
              <c:numCache>
                <c:formatCode>#,##0.00</c:formatCode>
                <c:ptCount val="12"/>
                <c:pt idx="0">
                  <c:v>213519.69</c:v>
                </c:pt>
                <c:pt idx="1">
                  <c:v>186714.6</c:v>
                </c:pt>
                <c:pt idx="2">
                  <c:v>89849.67</c:v>
                </c:pt>
                <c:pt idx="3">
                  <c:v>252212.29</c:v>
                </c:pt>
                <c:pt idx="4">
                  <c:v>135890.1</c:v>
                </c:pt>
                <c:pt idx="5">
                  <c:v>310234.06</c:v>
                </c:pt>
                <c:pt idx="6">
                  <c:v>109276.21</c:v>
                </c:pt>
                <c:pt idx="7">
                  <c:v>214545.41</c:v>
                </c:pt>
                <c:pt idx="8">
                  <c:v>130538.82</c:v>
                </c:pt>
                <c:pt idx="9">
                  <c:v>118549.89</c:v>
                </c:pt>
                <c:pt idx="10">
                  <c:v>194777.78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2-42AC-90C2-EBD24497C5F0}"/>
            </c:ext>
          </c:extLst>
        </c:ser>
        <c:ser>
          <c:idx val="3"/>
          <c:order val="1"/>
          <c:tx>
            <c:strRef>
              <c:f>'2 Sept - 8 Sept'!$D$3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Sept - 8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Sept - 8 Sept'!$D$5:$D$18</c:f>
              <c:numCache>
                <c:formatCode>#,##0.00</c:formatCode>
                <c:ptCount val="12"/>
                <c:pt idx="0">
                  <c:v>239676.58</c:v>
                </c:pt>
                <c:pt idx="1">
                  <c:v>216653.28</c:v>
                </c:pt>
                <c:pt idx="2">
                  <c:v>120525.49</c:v>
                </c:pt>
                <c:pt idx="3">
                  <c:v>320270.55</c:v>
                </c:pt>
                <c:pt idx="4">
                  <c:v>146999.51</c:v>
                </c:pt>
                <c:pt idx="5">
                  <c:v>328209.32</c:v>
                </c:pt>
                <c:pt idx="6">
                  <c:v>145518.20000000001</c:v>
                </c:pt>
                <c:pt idx="7">
                  <c:v>208795.8</c:v>
                </c:pt>
                <c:pt idx="8">
                  <c:v>154810.43</c:v>
                </c:pt>
                <c:pt idx="9">
                  <c:v>112130.31</c:v>
                </c:pt>
                <c:pt idx="10">
                  <c:v>179173.79</c:v>
                </c:pt>
                <c:pt idx="11">
                  <c:v>161486.17000000001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2-42AC-90C2-EBD24497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Sept - 15 Sept'!$C$3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Sept - 15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Sept - 15 Sept'!$C$5:$C$18</c:f>
              <c:numCache>
                <c:formatCode>#,##0.00</c:formatCode>
                <c:ptCount val="12"/>
                <c:pt idx="0">
                  <c:v>217042.11</c:v>
                </c:pt>
                <c:pt idx="1">
                  <c:v>173402.6</c:v>
                </c:pt>
                <c:pt idx="2">
                  <c:v>82418.490000000005</c:v>
                </c:pt>
                <c:pt idx="3">
                  <c:v>272478.73</c:v>
                </c:pt>
                <c:pt idx="4">
                  <c:v>143496.9</c:v>
                </c:pt>
                <c:pt idx="5">
                  <c:v>317744.93</c:v>
                </c:pt>
                <c:pt idx="6">
                  <c:v>118270.43</c:v>
                </c:pt>
                <c:pt idx="7">
                  <c:v>189134.68</c:v>
                </c:pt>
                <c:pt idx="8">
                  <c:v>142475.23000000001</c:v>
                </c:pt>
                <c:pt idx="9">
                  <c:v>114165.74</c:v>
                </c:pt>
                <c:pt idx="10">
                  <c:v>208719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B-4741-9471-8555C60F2E6E}"/>
            </c:ext>
          </c:extLst>
        </c:ser>
        <c:ser>
          <c:idx val="3"/>
          <c:order val="1"/>
          <c:tx>
            <c:strRef>
              <c:f>'9 Sept - 15 Sept'!$D$3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Sept - 15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Sept - 15 Sept'!$D$5:$D$18</c:f>
              <c:numCache>
                <c:formatCode>#,##0.00</c:formatCode>
                <c:ptCount val="12"/>
                <c:pt idx="0">
                  <c:v>239200.57</c:v>
                </c:pt>
                <c:pt idx="1">
                  <c:v>229551.86</c:v>
                </c:pt>
                <c:pt idx="2">
                  <c:v>100323.41</c:v>
                </c:pt>
                <c:pt idx="3">
                  <c:v>313819.25</c:v>
                </c:pt>
                <c:pt idx="4">
                  <c:v>143750.60999999999</c:v>
                </c:pt>
                <c:pt idx="5">
                  <c:v>326839.88</c:v>
                </c:pt>
                <c:pt idx="6">
                  <c:v>125103.86</c:v>
                </c:pt>
                <c:pt idx="7">
                  <c:v>193711.92</c:v>
                </c:pt>
                <c:pt idx="8">
                  <c:v>146744.19</c:v>
                </c:pt>
                <c:pt idx="9">
                  <c:v>124313.82</c:v>
                </c:pt>
                <c:pt idx="10">
                  <c:v>218690.87</c:v>
                </c:pt>
                <c:pt idx="11">
                  <c:v>154325.20000000001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B-4741-9471-8555C60F2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Sept - 22 Sept'!$C$3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Sept - 22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Sept - 22 Sept'!$C$5:$C$18</c:f>
              <c:numCache>
                <c:formatCode>#,##0.00</c:formatCode>
                <c:ptCount val="12"/>
                <c:pt idx="0">
                  <c:v>247678.19</c:v>
                </c:pt>
                <c:pt idx="1">
                  <c:v>167848.11</c:v>
                </c:pt>
                <c:pt idx="2">
                  <c:v>109260.78</c:v>
                </c:pt>
                <c:pt idx="3">
                  <c:v>289688.55</c:v>
                </c:pt>
                <c:pt idx="4">
                  <c:v>122339.05</c:v>
                </c:pt>
                <c:pt idx="5">
                  <c:v>304645.56</c:v>
                </c:pt>
                <c:pt idx="6">
                  <c:v>142460.76</c:v>
                </c:pt>
                <c:pt idx="7">
                  <c:v>207479.69</c:v>
                </c:pt>
                <c:pt idx="8">
                  <c:v>170711.07</c:v>
                </c:pt>
                <c:pt idx="9">
                  <c:v>115245.6</c:v>
                </c:pt>
                <c:pt idx="10">
                  <c:v>203495.83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E-484B-AE33-176A7BDD1758}"/>
            </c:ext>
          </c:extLst>
        </c:ser>
        <c:ser>
          <c:idx val="3"/>
          <c:order val="1"/>
          <c:tx>
            <c:strRef>
              <c:f>'16 Sept - 22 Sept'!$D$3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Sept - 22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Sept - 22 Sept'!$D$5:$D$18</c:f>
              <c:numCache>
                <c:formatCode>#,##0.00</c:formatCode>
                <c:ptCount val="12"/>
                <c:pt idx="0">
                  <c:v>225559.84</c:v>
                </c:pt>
                <c:pt idx="1">
                  <c:v>224151.46</c:v>
                </c:pt>
                <c:pt idx="2">
                  <c:v>96532.63</c:v>
                </c:pt>
                <c:pt idx="3">
                  <c:v>319714.43</c:v>
                </c:pt>
                <c:pt idx="4">
                  <c:v>139152.81</c:v>
                </c:pt>
                <c:pt idx="5">
                  <c:v>285384</c:v>
                </c:pt>
                <c:pt idx="6">
                  <c:v>131916.09</c:v>
                </c:pt>
                <c:pt idx="7">
                  <c:v>171225.27</c:v>
                </c:pt>
                <c:pt idx="8">
                  <c:v>243243.69</c:v>
                </c:pt>
                <c:pt idx="9">
                  <c:v>115075.28</c:v>
                </c:pt>
                <c:pt idx="10">
                  <c:v>213804.3</c:v>
                </c:pt>
                <c:pt idx="11">
                  <c:v>155970.38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E-484B-AE33-176A7BDD1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Sept - 29 Sept'!$C$3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Sept - 29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'23 Sept - 29 Sept'!$C$5:$C$18</c:f>
              <c:numCache>
                <c:formatCode>#,##0.00</c:formatCode>
                <c:ptCount val="12"/>
                <c:pt idx="0">
                  <c:v>284082.02</c:v>
                </c:pt>
                <c:pt idx="1">
                  <c:v>196824.83</c:v>
                </c:pt>
                <c:pt idx="2">
                  <c:v>113236.98</c:v>
                </c:pt>
                <c:pt idx="3">
                  <c:v>351551.09</c:v>
                </c:pt>
                <c:pt idx="4">
                  <c:v>141268.01999999999</c:v>
                </c:pt>
                <c:pt idx="5">
                  <c:v>328622.21999999997</c:v>
                </c:pt>
                <c:pt idx="6">
                  <c:v>131554.38</c:v>
                </c:pt>
                <c:pt idx="7">
                  <c:v>215425.73</c:v>
                </c:pt>
                <c:pt idx="8">
                  <c:v>194318.28</c:v>
                </c:pt>
                <c:pt idx="9">
                  <c:v>140331.74</c:v>
                </c:pt>
                <c:pt idx="10">
                  <c:v>214261.49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F-4AA2-AEAC-BB34E8EB7543}"/>
            </c:ext>
          </c:extLst>
        </c:ser>
        <c:ser>
          <c:idx val="3"/>
          <c:order val="1"/>
          <c:tx>
            <c:strRef>
              <c:f>'23 Sept - 29 Sept'!$D$3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Sept - 29 Sept'!$A$5:$A$18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'23 Sept - 29 Sept'!$D$5:$D$18</c:f>
              <c:numCache>
                <c:formatCode>#,##0.00</c:formatCode>
                <c:ptCount val="12"/>
                <c:pt idx="0">
                  <c:v>313795.07</c:v>
                </c:pt>
                <c:pt idx="1">
                  <c:v>220920.76</c:v>
                </c:pt>
                <c:pt idx="2">
                  <c:v>112847.78</c:v>
                </c:pt>
                <c:pt idx="3">
                  <c:v>363369.98</c:v>
                </c:pt>
                <c:pt idx="4">
                  <c:v>149468.42000000001</c:v>
                </c:pt>
                <c:pt idx="5">
                  <c:v>371983.14</c:v>
                </c:pt>
                <c:pt idx="6">
                  <c:v>158117.67000000001</c:v>
                </c:pt>
                <c:pt idx="7">
                  <c:v>214469.54</c:v>
                </c:pt>
                <c:pt idx="8">
                  <c:v>275297.55</c:v>
                </c:pt>
                <c:pt idx="9">
                  <c:v>136655.46</c:v>
                </c:pt>
                <c:pt idx="10">
                  <c:v>243291.29</c:v>
                </c:pt>
                <c:pt idx="11">
                  <c:v>178728.72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F-4AA2-AEAC-BB34E8EB7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Sept - 6 Oct'!$C$3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Sept - 6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'30 Sept - 6 Oct'!$C$5:$C$18</c:f>
              <c:numCache>
                <c:formatCode>#,##0.00</c:formatCode>
                <c:ptCount val="12"/>
                <c:pt idx="0">
                  <c:v>264457.42</c:v>
                </c:pt>
                <c:pt idx="1">
                  <c:v>192360.95</c:v>
                </c:pt>
                <c:pt idx="2">
                  <c:v>99034.45</c:v>
                </c:pt>
                <c:pt idx="3">
                  <c:v>341106.39</c:v>
                </c:pt>
                <c:pt idx="4">
                  <c:v>127538.21</c:v>
                </c:pt>
                <c:pt idx="5">
                  <c:v>314738.09999999998</c:v>
                </c:pt>
                <c:pt idx="6">
                  <c:v>122013.69</c:v>
                </c:pt>
                <c:pt idx="7">
                  <c:v>205792.41</c:v>
                </c:pt>
                <c:pt idx="8">
                  <c:v>247604.51</c:v>
                </c:pt>
                <c:pt idx="9">
                  <c:v>137044.49</c:v>
                </c:pt>
                <c:pt idx="10">
                  <c:v>204294.75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6-4D91-9AB1-5764A7CE314F}"/>
            </c:ext>
          </c:extLst>
        </c:ser>
        <c:ser>
          <c:idx val="3"/>
          <c:order val="1"/>
          <c:tx>
            <c:strRef>
              <c:f>'30 Sept - 6 Oct'!$D$3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Sept - 6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'30 Sept - 6 Oct'!$D$5:$D$18</c:f>
              <c:numCache>
                <c:formatCode>#,##0.00</c:formatCode>
                <c:ptCount val="12"/>
                <c:pt idx="0">
                  <c:v>247392.33</c:v>
                </c:pt>
                <c:pt idx="1">
                  <c:v>220441.59</c:v>
                </c:pt>
                <c:pt idx="2">
                  <c:v>107107.59</c:v>
                </c:pt>
                <c:pt idx="3">
                  <c:v>310781.21999999997</c:v>
                </c:pt>
                <c:pt idx="4">
                  <c:v>147789.66</c:v>
                </c:pt>
                <c:pt idx="5">
                  <c:v>310363.95</c:v>
                </c:pt>
                <c:pt idx="6">
                  <c:v>145869.65</c:v>
                </c:pt>
                <c:pt idx="7">
                  <c:v>203625.52</c:v>
                </c:pt>
                <c:pt idx="8">
                  <c:v>146491.63</c:v>
                </c:pt>
                <c:pt idx="9">
                  <c:v>124737.19</c:v>
                </c:pt>
                <c:pt idx="10">
                  <c:v>187465.36</c:v>
                </c:pt>
                <c:pt idx="11">
                  <c:v>161171.99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6-4D91-9AB1-5764A7CE3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Oct - 13 Oct'!$C$3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Oct - 13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'7 Oct - 13 Oct'!$C$5:$C$18</c:f>
              <c:numCache>
                <c:formatCode>#,##0.00</c:formatCode>
                <c:ptCount val="12"/>
                <c:pt idx="0">
                  <c:v>236866.46</c:v>
                </c:pt>
                <c:pt idx="1">
                  <c:v>144768.66</c:v>
                </c:pt>
                <c:pt idx="2">
                  <c:v>93938.69</c:v>
                </c:pt>
                <c:pt idx="3">
                  <c:v>294741.78000000003</c:v>
                </c:pt>
                <c:pt idx="4">
                  <c:v>143479.23000000001</c:v>
                </c:pt>
                <c:pt idx="5">
                  <c:v>320816.82</c:v>
                </c:pt>
                <c:pt idx="6">
                  <c:v>120710.17</c:v>
                </c:pt>
                <c:pt idx="7">
                  <c:v>212472.33</c:v>
                </c:pt>
                <c:pt idx="8">
                  <c:v>146937.32999999999</c:v>
                </c:pt>
                <c:pt idx="9">
                  <c:v>111304.27</c:v>
                </c:pt>
                <c:pt idx="10">
                  <c:v>190925.54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8-49E4-A8F5-06FD645BCE55}"/>
            </c:ext>
          </c:extLst>
        </c:ser>
        <c:ser>
          <c:idx val="3"/>
          <c:order val="1"/>
          <c:tx>
            <c:strRef>
              <c:f>'7 Oct - 13 Oct'!$D$3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Oct - 13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'7 Oct - 13 Oct'!$D$5:$D$18</c:f>
              <c:numCache>
                <c:formatCode>#,##0.00</c:formatCode>
                <c:ptCount val="12"/>
                <c:pt idx="0">
                  <c:v>234693.29</c:v>
                </c:pt>
                <c:pt idx="1">
                  <c:v>178156.7</c:v>
                </c:pt>
                <c:pt idx="2">
                  <c:v>104958.15</c:v>
                </c:pt>
                <c:pt idx="3">
                  <c:v>307459.09000000003</c:v>
                </c:pt>
                <c:pt idx="4">
                  <c:v>152374.91</c:v>
                </c:pt>
                <c:pt idx="5">
                  <c:v>330816.71999999997</c:v>
                </c:pt>
                <c:pt idx="6">
                  <c:v>132859.35999999999</c:v>
                </c:pt>
                <c:pt idx="7">
                  <c:v>196053.8</c:v>
                </c:pt>
                <c:pt idx="8">
                  <c:v>163134.85999999999</c:v>
                </c:pt>
                <c:pt idx="9">
                  <c:v>113246.57</c:v>
                </c:pt>
                <c:pt idx="10">
                  <c:v>201796.54</c:v>
                </c:pt>
                <c:pt idx="11">
                  <c:v>148910.85999999999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8-49E4-A8F5-06FD645B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Oct - 20 Oct'!$C$3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Oct - 20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'14 Oct - 20 Oct'!$C$5:$C$18</c:f>
              <c:numCache>
                <c:formatCode>#,##0.00</c:formatCode>
                <c:ptCount val="12"/>
                <c:pt idx="0">
                  <c:v>231844.33</c:v>
                </c:pt>
                <c:pt idx="2">
                  <c:v>80789.17</c:v>
                </c:pt>
                <c:pt idx="3">
                  <c:v>377913.24</c:v>
                </c:pt>
                <c:pt idx="4">
                  <c:v>129317.66</c:v>
                </c:pt>
                <c:pt idx="5">
                  <c:v>314124.37</c:v>
                </c:pt>
                <c:pt idx="6">
                  <c:v>122918.08</c:v>
                </c:pt>
                <c:pt idx="7">
                  <c:v>200136.97</c:v>
                </c:pt>
                <c:pt idx="8">
                  <c:v>137169.71</c:v>
                </c:pt>
                <c:pt idx="9">
                  <c:v>110320.85</c:v>
                </c:pt>
                <c:pt idx="10">
                  <c:v>204905.51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2-4299-8471-6FFD2CAED9A3}"/>
            </c:ext>
          </c:extLst>
        </c:ser>
        <c:ser>
          <c:idx val="3"/>
          <c:order val="1"/>
          <c:tx>
            <c:strRef>
              <c:f>'14 Oct - 20 Oct'!$D$3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Oct - 20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'14 Oct - 20 Oct'!$D$5:$D$18</c:f>
              <c:numCache>
                <c:formatCode>#,##0.00</c:formatCode>
                <c:ptCount val="12"/>
                <c:pt idx="0">
                  <c:v>220957.5</c:v>
                </c:pt>
                <c:pt idx="1">
                  <c:v>212391.65</c:v>
                </c:pt>
                <c:pt idx="2">
                  <c:v>108340.48</c:v>
                </c:pt>
                <c:pt idx="3">
                  <c:v>321762.17</c:v>
                </c:pt>
                <c:pt idx="4">
                  <c:v>138165.29</c:v>
                </c:pt>
                <c:pt idx="5">
                  <c:v>325751.75</c:v>
                </c:pt>
                <c:pt idx="6">
                  <c:v>144094.25</c:v>
                </c:pt>
                <c:pt idx="7">
                  <c:v>204599.91</c:v>
                </c:pt>
                <c:pt idx="8">
                  <c:v>180048.8</c:v>
                </c:pt>
                <c:pt idx="9">
                  <c:v>117277.55</c:v>
                </c:pt>
                <c:pt idx="10">
                  <c:v>219205.08</c:v>
                </c:pt>
                <c:pt idx="11">
                  <c:v>152946.78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2-4299-8471-6FFD2CAED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Oct - 27 Oct'!$C$3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Oct - 27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'21 Oct - 27 Oct'!$C$5:$C$18</c:f>
              <c:numCache>
                <c:formatCode>#,##0.00</c:formatCode>
                <c:ptCount val="12"/>
                <c:pt idx="0">
                  <c:v>232688.85</c:v>
                </c:pt>
                <c:pt idx="1">
                  <c:v>53942.16</c:v>
                </c:pt>
                <c:pt idx="2">
                  <c:v>112191.76</c:v>
                </c:pt>
                <c:pt idx="3">
                  <c:v>362627.37</c:v>
                </c:pt>
                <c:pt idx="4">
                  <c:v>139413.9</c:v>
                </c:pt>
                <c:pt idx="5">
                  <c:v>304811.65999999997</c:v>
                </c:pt>
                <c:pt idx="6">
                  <c:v>125171.07</c:v>
                </c:pt>
                <c:pt idx="7">
                  <c:v>228423.59</c:v>
                </c:pt>
                <c:pt idx="8">
                  <c:v>158104.99</c:v>
                </c:pt>
                <c:pt idx="9">
                  <c:v>115349.58</c:v>
                </c:pt>
                <c:pt idx="10">
                  <c:v>216726.79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E-42D1-857D-F0B1FE0B472B}"/>
            </c:ext>
          </c:extLst>
        </c:ser>
        <c:ser>
          <c:idx val="3"/>
          <c:order val="1"/>
          <c:tx>
            <c:strRef>
              <c:f>'21 Oct - 27 Oct'!$D$3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Oct - 27 Oct'!$A$5:$A$18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'21 Oct - 27 Oct'!$D$5:$D$18</c:f>
              <c:numCache>
                <c:formatCode>#,##0.00</c:formatCode>
                <c:ptCount val="12"/>
                <c:pt idx="0">
                  <c:v>235865.33</c:v>
                </c:pt>
                <c:pt idx="1">
                  <c:v>214438.21</c:v>
                </c:pt>
                <c:pt idx="2">
                  <c:v>120214.26</c:v>
                </c:pt>
                <c:pt idx="3">
                  <c:v>310997.36</c:v>
                </c:pt>
                <c:pt idx="4">
                  <c:v>136515.1</c:v>
                </c:pt>
                <c:pt idx="5">
                  <c:v>315240.34999999998</c:v>
                </c:pt>
                <c:pt idx="6">
                  <c:v>141945</c:v>
                </c:pt>
                <c:pt idx="7">
                  <c:v>194970.43</c:v>
                </c:pt>
                <c:pt idx="8">
                  <c:v>142533.66</c:v>
                </c:pt>
                <c:pt idx="9">
                  <c:v>120179.35</c:v>
                </c:pt>
                <c:pt idx="10">
                  <c:v>227123.11</c:v>
                </c:pt>
                <c:pt idx="11">
                  <c:v>161595.07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E-42D1-857D-F0B1FE0B4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Oct - 3 Nov'!$C$3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Oct - 3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'28 Oct - 3 Nov'!$C$5:$C$18</c:f>
              <c:numCache>
                <c:formatCode>#,##0.00</c:formatCode>
                <c:ptCount val="12"/>
                <c:pt idx="0">
                  <c:v>240216.24</c:v>
                </c:pt>
                <c:pt idx="1">
                  <c:v>149101.42000000001</c:v>
                </c:pt>
                <c:pt idx="2">
                  <c:v>116744.06</c:v>
                </c:pt>
                <c:pt idx="3">
                  <c:v>308190.77</c:v>
                </c:pt>
                <c:pt idx="4">
                  <c:v>125359.7</c:v>
                </c:pt>
                <c:pt idx="5">
                  <c:v>357361.2</c:v>
                </c:pt>
                <c:pt idx="6">
                  <c:v>137659.51</c:v>
                </c:pt>
                <c:pt idx="7">
                  <c:v>219864.65</c:v>
                </c:pt>
                <c:pt idx="8">
                  <c:v>171766.33</c:v>
                </c:pt>
                <c:pt idx="9">
                  <c:v>113012.36</c:v>
                </c:pt>
                <c:pt idx="10">
                  <c:v>186727.67999999999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5-4DCB-B3F5-B05AB9CD0A51}"/>
            </c:ext>
          </c:extLst>
        </c:ser>
        <c:ser>
          <c:idx val="3"/>
          <c:order val="1"/>
          <c:tx>
            <c:strRef>
              <c:f>'28 Oct - 3 Nov'!$D$3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Oct - 3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'28 Oct - 3 Nov'!$D$5:$D$18</c:f>
              <c:numCache>
                <c:formatCode>#,##0.00</c:formatCode>
                <c:ptCount val="12"/>
                <c:pt idx="0">
                  <c:v>230483.57</c:v>
                </c:pt>
                <c:pt idx="1">
                  <c:v>291263.90000000002</c:v>
                </c:pt>
                <c:pt idx="2">
                  <c:v>105575.36</c:v>
                </c:pt>
                <c:pt idx="3">
                  <c:v>333384.38</c:v>
                </c:pt>
                <c:pt idx="4">
                  <c:v>143482.10999999999</c:v>
                </c:pt>
                <c:pt idx="5">
                  <c:v>341926.5</c:v>
                </c:pt>
                <c:pt idx="6">
                  <c:v>142162.88</c:v>
                </c:pt>
                <c:pt idx="7">
                  <c:v>153888.89000000001</c:v>
                </c:pt>
                <c:pt idx="8">
                  <c:v>161616.66</c:v>
                </c:pt>
                <c:pt idx="9">
                  <c:v>119031.85</c:v>
                </c:pt>
                <c:pt idx="10">
                  <c:v>214868.45</c:v>
                </c:pt>
                <c:pt idx="11">
                  <c:v>185238.67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5-4DCB-B3F5-B05AB9CD0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Nov - 10 Nov'!$C$3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Nov - 10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'4 Nov - 10 Nov'!$C$5:$C$18</c:f>
              <c:numCache>
                <c:formatCode>#,##0.00</c:formatCode>
                <c:ptCount val="12"/>
                <c:pt idx="0">
                  <c:v>230376.85</c:v>
                </c:pt>
                <c:pt idx="1">
                  <c:v>179981.92</c:v>
                </c:pt>
                <c:pt idx="2">
                  <c:v>116486.35</c:v>
                </c:pt>
                <c:pt idx="3">
                  <c:v>322539.8</c:v>
                </c:pt>
                <c:pt idx="4">
                  <c:v>142319</c:v>
                </c:pt>
                <c:pt idx="5">
                  <c:v>325055.40999999997</c:v>
                </c:pt>
                <c:pt idx="6">
                  <c:v>128157.48</c:v>
                </c:pt>
                <c:pt idx="7">
                  <c:v>209424.97</c:v>
                </c:pt>
                <c:pt idx="8">
                  <c:v>164453.70000000001</c:v>
                </c:pt>
                <c:pt idx="9">
                  <c:v>111401.27</c:v>
                </c:pt>
                <c:pt idx="10">
                  <c:v>242297.86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D-4DD2-A639-8C80A3887007}"/>
            </c:ext>
          </c:extLst>
        </c:ser>
        <c:ser>
          <c:idx val="3"/>
          <c:order val="1"/>
          <c:tx>
            <c:strRef>
              <c:f>'4 Nov - 10 Nov'!$D$3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Nov - 10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'4 Nov - 10 Nov'!$D$5:$D$18</c:f>
              <c:numCache>
                <c:formatCode>#,##0.00</c:formatCode>
                <c:ptCount val="12"/>
                <c:pt idx="0">
                  <c:v>228976.77</c:v>
                </c:pt>
                <c:pt idx="1">
                  <c:v>203728.44</c:v>
                </c:pt>
                <c:pt idx="2">
                  <c:v>108699.37</c:v>
                </c:pt>
                <c:pt idx="3">
                  <c:v>318828.79999999999</c:v>
                </c:pt>
                <c:pt idx="4">
                  <c:v>132983.03</c:v>
                </c:pt>
                <c:pt idx="5">
                  <c:v>308365.96000000002</c:v>
                </c:pt>
                <c:pt idx="6">
                  <c:v>146753.75</c:v>
                </c:pt>
                <c:pt idx="7">
                  <c:v>215493.07</c:v>
                </c:pt>
                <c:pt idx="8">
                  <c:v>165767.19</c:v>
                </c:pt>
                <c:pt idx="9">
                  <c:v>122700.03</c:v>
                </c:pt>
                <c:pt idx="10">
                  <c:v>201597.1</c:v>
                </c:pt>
                <c:pt idx="11">
                  <c:v>164475.29999999999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D-4DD2-A639-8C80A3887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Nov - 17 Nov'!$C$3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Nov - 17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'11 Nov - 17 Nov'!$C$5:$C$18</c:f>
              <c:numCache>
                <c:formatCode>#,##0.00</c:formatCode>
                <c:ptCount val="12"/>
                <c:pt idx="0">
                  <c:v>230527.2</c:v>
                </c:pt>
                <c:pt idx="1">
                  <c:v>313293.68</c:v>
                </c:pt>
                <c:pt idx="2">
                  <c:v>121201.12</c:v>
                </c:pt>
                <c:pt idx="3">
                  <c:v>354340.71</c:v>
                </c:pt>
                <c:pt idx="4">
                  <c:v>133992.31</c:v>
                </c:pt>
                <c:pt idx="5">
                  <c:v>309782.65999999997</c:v>
                </c:pt>
                <c:pt idx="6">
                  <c:v>137174.29</c:v>
                </c:pt>
                <c:pt idx="7">
                  <c:v>199894.33</c:v>
                </c:pt>
                <c:pt idx="8">
                  <c:v>154493.53</c:v>
                </c:pt>
                <c:pt idx="9">
                  <c:v>128338.69</c:v>
                </c:pt>
                <c:pt idx="10">
                  <c:v>230025.58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E3-4EAB-8A89-B070831FA4EA}"/>
            </c:ext>
          </c:extLst>
        </c:ser>
        <c:ser>
          <c:idx val="3"/>
          <c:order val="1"/>
          <c:tx>
            <c:strRef>
              <c:f>'11 Nov - 17 Nov'!$D$3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Nov - 17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'11 Nov - 17 Nov'!$D$5:$D$18</c:f>
              <c:numCache>
                <c:formatCode>#,##0.00</c:formatCode>
                <c:ptCount val="12"/>
                <c:pt idx="0">
                  <c:v>259568.58</c:v>
                </c:pt>
                <c:pt idx="1">
                  <c:v>209028.31</c:v>
                </c:pt>
                <c:pt idx="2">
                  <c:v>101423.55</c:v>
                </c:pt>
                <c:pt idx="3">
                  <c:v>300109.68</c:v>
                </c:pt>
                <c:pt idx="4">
                  <c:v>137768.23000000001</c:v>
                </c:pt>
                <c:pt idx="5">
                  <c:v>311032.46000000002</c:v>
                </c:pt>
                <c:pt idx="6">
                  <c:v>143951.47</c:v>
                </c:pt>
                <c:pt idx="7">
                  <c:v>202568.82</c:v>
                </c:pt>
                <c:pt idx="8">
                  <c:v>187730.76</c:v>
                </c:pt>
                <c:pt idx="9">
                  <c:v>117265.60000000001</c:v>
                </c:pt>
                <c:pt idx="10">
                  <c:v>210361.95</c:v>
                </c:pt>
                <c:pt idx="11">
                  <c:v>165084.29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E3-4EAB-8A89-B070831F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Nov - 24 Nov'!$C$3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Nov - 24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'18 Nov - 24 Nov'!$C$5:$C$18</c:f>
              <c:numCache>
                <c:formatCode>#,##0.00</c:formatCode>
                <c:ptCount val="12"/>
                <c:pt idx="0">
                  <c:v>256902.53</c:v>
                </c:pt>
                <c:pt idx="1">
                  <c:v>245413.55</c:v>
                </c:pt>
                <c:pt idx="2">
                  <c:v>136957</c:v>
                </c:pt>
                <c:pt idx="3">
                  <c:v>358375.04</c:v>
                </c:pt>
                <c:pt idx="4">
                  <c:v>142236.65</c:v>
                </c:pt>
                <c:pt idx="5">
                  <c:v>318574.28000000003</c:v>
                </c:pt>
                <c:pt idx="6">
                  <c:v>128803.75</c:v>
                </c:pt>
                <c:pt idx="7">
                  <c:v>215499.76</c:v>
                </c:pt>
                <c:pt idx="8">
                  <c:v>157729.49</c:v>
                </c:pt>
                <c:pt idx="9">
                  <c:v>125199.1</c:v>
                </c:pt>
                <c:pt idx="10">
                  <c:v>223473.37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C-4878-8568-9295FCA8CC21}"/>
            </c:ext>
          </c:extLst>
        </c:ser>
        <c:ser>
          <c:idx val="3"/>
          <c:order val="1"/>
          <c:tx>
            <c:strRef>
              <c:f>'18 Nov - 24 Nov'!$D$3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Nov - 24 Nov'!$A$5:$A$18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'18 Nov - 24 Nov'!$D$5:$D$18</c:f>
              <c:numCache>
                <c:formatCode>#,##0.00</c:formatCode>
                <c:ptCount val="12"/>
                <c:pt idx="0">
                  <c:v>249420.07</c:v>
                </c:pt>
                <c:pt idx="1">
                  <c:v>277083.59000000003</c:v>
                </c:pt>
                <c:pt idx="2">
                  <c:v>126423.17</c:v>
                </c:pt>
                <c:pt idx="3">
                  <c:v>334792.28000000003</c:v>
                </c:pt>
                <c:pt idx="4">
                  <c:v>151772.76999999999</c:v>
                </c:pt>
                <c:pt idx="5">
                  <c:v>372731.86</c:v>
                </c:pt>
                <c:pt idx="6">
                  <c:v>143504.95999999999</c:v>
                </c:pt>
                <c:pt idx="7">
                  <c:v>218108.55</c:v>
                </c:pt>
                <c:pt idx="8">
                  <c:v>203493.11</c:v>
                </c:pt>
                <c:pt idx="9">
                  <c:v>130233.66</c:v>
                </c:pt>
                <c:pt idx="10">
                  <c:v>214348.71</c:v>
                </c:pt>
                <c:pt idx="11">
                  <c:v>167548.26999999999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C-4878-8568-9295FCA8C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Nov - 1 Dec'!$C$3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Nov - 1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'25 Nov - 1 Dec'!$C$5:$C$18</c:f>
              <c:numCache>
                <c:formatCode>#,##0.00</c:formatCode>
                <c:ptCount val="12"/>
                <c:pt idx="0">
                  <c:v>323437.12</c:v>
                </c:pt>
                <c:pt idx="1">
                  <c:v>338183.88</c:v>
                </c:pt>
                <c:pt idx="2">
                  <c:v>134962.82999999999</c:v>
                </c:pt>
                <c:pt idx="3">
                  <c:v>420853.22</c:v>
                </c:pt>
                <c:pt idx="4">
                  <c:v>170438.21</c:v>
                </c:pt>
                <c:pt idx="5">
                  <c:v>357727.57</c:v>
                </c:pt>
                <c:pt idx="6">
                  <c:v>145174.03</c:v>
                </c:pt>
                <c:pt idx="7">
                  <c:v>291527.74</c:v>
                </c:pt>
                <c:pt idx="8">
                  <c:v>204683.15</c:v>
                </c:pt>
                <c:pt idx="9">
                  <c:v>160866.38</c:v>
                </c:pt>
                <c:pt idx="10">
                  <c:v>241469.15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8-4EF2-B713-48DF167F0CE1}"/>
            </c:ext>
          </c:extLst>
        </c:ser>
        <c:ser>
          <c:idx val="3"/>
          <c:order val="1"/>
          <c:tx>
            <c:strRef>
              <c:f>'25 Nov - 1 Dec'!$D$3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Nov - 1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'25 Nov - 1 Dec'!$D$5:$D$18</c:f>
              <c:numCache>
                <c:formatCode>#,##0.00</c:formatCode>
                <c:ptCount val="12"/>
                <c:pt idx="0">
                  <c:v>296557.98</c:v>
                </c:pt>
                <c:pt idx="1">
                  <c:v>384641.91</c:v>
                </c:pt>
                <c:pt idx="2">
                  <c:v>127269.54</c:v>
                </c:pt>
                <c:pt idx="3">
                  <c:v>344599.74</c:v>
                </c:pt>
                <c:pt idx="4">
                  <c:v>191019.57</c:v>
                </c:pt>
                <c:pt idx="5">
                  <c:v>383307.6</c:v>
                </c:pt>
                <c:pt idx="6">
                  <c:v>162809.35999999999</c:v>
                </c:pt>
                <c:pt idx="7">
                  <c:v>242832.81</c:v>
                </c:pt>
                <c:pt idx="8">
                  <c:v>234804.6</c:v>
                </c:pt>
                <c:pt idx="9">
                  <c:v>133257.29999999999</c:v>
                </c:pt>
                <c:pt idx="10">
                  <c:v>225430.06</c:v>
                </c:pt>
                <c:pt idx="11">
                  <c:v>234073.41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58-4EF2-B713-48DF167F0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Dec - 8 Dec'!$C$3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Dec - 8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Dec - 8 Dec'!$C$5:$C$18</c:f>
              <c:numCache>
                <c:formatCode>#,##0.00</c:formatCode>
                <c:ptCount val="12"/>
                <c:pt idx="0">
                  <c:v>320822.53999999998</c:v>
                </c:pt>
                <c:pt idx="1">
                  <c:v>391424.66</c:v>
                </c:pt>
                <c:pt idx="2">
                  <c:v>164133.56</c:v>
                </c:pt>
                <c:pt idx="3">
                  <c:v>447805.95</c:v>
                </c:pt>
                <c:pt idx="4">
                  <c:v>148868.28</c:v>
                </c:pt>
                <c:pt idx="5">
                  <c:v>371133.97</c:v>
                </c:pt>
                <c:pt idx="6">
                  <c:v>150125.48000000001</c:v>
                </c:pt>
                <c:pt idx="7">
                  <c:v>274465.48</c:v>
                </c:pt>
                <c:pt idx="8">
                  <c:v>271640.67</c:v>
                </c:pt>
                <c:pt idx="9">
                  <c:v>164090.57</c:v>
                </c:pt>
                <c:pt idx="10">
                  <c:v>227826.22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A9-453A-91F4-6FD7CC11D31C}"/>
            </c:ext>
          </c:extLst>
        </c:ser>
        <c:ser>
          <c:idx val="3"/>
          <c:order val="1"/>
          <c:tx>
            <c:strRef>
              <c:f>'2 Dec - 8 Dec'!$D$3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Dec - 8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Dec - 8 Dec'!$D$5:$D$18</c:f>
              <c:numCache>
                <c:formatCode>#,##0.00</c:formatCode>
                <c:ptCount val="12"/>
                <c:pt idx="0">
                  <c:v>312733.53000000003</c:v>
                </c:pt>
                <c:pt idx="1">
                  <c:v>341167.2</c:v>
                </c:pt>
                <c:pt idx="2">
                  <c:v>134327.28</c:v>
                </c:pt>
                <c:pt idx="3">
                  <c:v>403789.74</c:v>
                </c:pt>
                <c:pt idx="4">
                  <c:v>198366.18</c:v>
                </c:pt>
                <c:pt idx="5">
                  <c:v>390457.33</c:v>
                </c:pt>
                <c:pt idx="6">
                  <c:v>171682.03</c:v>
                </c:pt>
                <c:pt idx="7">
                  <c:v>235871.29</c:v>
                </c:pt>
                <c:pt idx="8">
                  <c:v>316293.24</c:v>
                </c:pt>
                <c:pt idx="9">
                  <c:v>190910.89</c:v>
                </c:pt>
                <c:pt idx="10">
                  <c:v>221661.96</c:v>
                </c:pt>
                <c:pt idx="11">
                  <c:v>208582.53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A9-453A-91F4-6FD7CC11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Dec - 15 Dec'!$C$3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Dec - 15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Dec - 15 Dec'!$C$5:$C$18</c:f>
              <c:numCache>
                <c:formatCode>#,##0.00</c:formatCode>
                <c:ptCount val="12"/>
                <c:pt idx="0">
                  <c:v>347035.47</c:v>
                </c:pt>
                <c:pt idx="1">
                  <c:v>440642.84</c:v>
                </c:pt>
                <c:pt idx="2">
                  <c:v>139078.93</c:v>
                </c:pt>
                <c:pt idx="3">
                  <c:v>463412.55</c:v>
                </c:pt>
                <c:pt idx="4">
                  <c:v>131512.71</c:v>
                </c:pt>
                <c:pt idx="5">
                  <c:v>336899.8</c:v>
                </c:pt>
                <c:pt idx="6">
                  <c:v>165364.96</c:v>
                </c:pt>
                <c:pt idx="7">
                  <c:v>249921.32</c:v>
                </c:pt>
                <c:pt idx="8">
                  <c:v>413155.48</c:v>
                </c:pt>
                <c:pt idx="9">
                  <c:v>197982.05</c:v>
                </c:pt>
                <c:pt idx="10">
                  <c:v>232833.57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9-490B-9CF3-88E8B452786C}"/>
            </c:ext>
          </c:extLst>
        </c:ser>
        <c:ser>
          <c:idx val="3"/>
          <c:order val="1"/>
          <c:tx>
            <c:strRef>
              <c:f>'9 Dec - 15 Dec'!$D$3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Dec - 15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Dec - 15 Dec'!$D$5:$D$18</c:f>
              <c:numCache>
                <c:formatCode>#,##0.00</c:formatCode>
                <c:ptCount val="12"/>
                <c:pt idx="0">
                  <c:v>316187.89</c:v>
                </c:pt>
                <c:pt idx="1">
                  <c:v>537525.52</c:v>
                </c:pt>
                <c:pt idx="2">
                  <c:v>129151.53</c:v>
                </c:pt>
                <c:pt idx="3">
                  <c:v>461868.74</c:v>
                </c:pt>
                <c:pt idx="4">
                  <c:v>140709.13</c:v>
                </c:pt>
                <c:pt idx="5">
                  <c:v>423448.09</c:v>
                </c:pt>
                <c:pt idx="6">
                  <c:v>163386.12</c:v>
                </c:pt>
                <c:pt idx="7">
                  <c:v>219828.87</c:v>
                </c:pt>
                <c:pt idx="8">
                  <c:v>423907.22</c:v>
                </c:pt>
                <c:pt idx="9">
                  <c:v>171875.61</c:v>
                </c:pt>
                <c:pt idx="10">
                  <c:v>248340.4</c:v>
                </c:pt>
                <c:pt idx="11">
                  <c:v>189552.3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9-490B-9CF3-88E8B4527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Dec - 22 Dec'!$C$3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Dec - 22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Dec - 22 Dec'!$C$5:$C$18</c:f>
              <c:numCache>
                <c:formatCode>#,##0.00</c:formatCode>
                <c:ptCount val="12"/>
                <c:pt idx="0">
                  <c:v>364522.63</c:v>
                </c:pt>
                <c:pt idx="1">
                  <c:v>425021.24</c:v>
                </c:pt>
                <c:pt idx="2">
                  <c:v>109671.37</c:v>
                </c:pt>
                <c:pt idx="3">
                  <c:v>351087.57</c:v>
                </c:pt>
                <c:pt idx="4">
                  <c:v>115237.01</c:v>
                </c:pt>
                <c:pt idx="5">
                  <c:v>312544.07</c:v>
                </c:pt>
                <c:pt idx="6">
                  <c:v>146411.35999999999</c:v>
                </c:pt>
                <c:pt idx="7">
                  <c:v>212746.47</c:v>
                </c:pt>
                <c:pt idx="8">
                  <c:v>735480.34</c:v>
                </c:pt>
                <c:pt idx="9">
                  <c:v>129028.04</c:v>
                </c:pt>
                <c:pt idx="10">
                  <c:v>230910.65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3-49F1-9A89-EE16DAE6AE0D}"/>
            </c:ext>
          </c:extLst>
        </c:ser>
        <c:ser>
          <c:idx val="3"/>
          <c:order val="1"/>
          <c:tx>
            <c:strRef>
              <c:f>'16 Dec - 22 Dec'!$D$3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Dec - 22 Dec'!$A$5:$A$18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Dec - 22 Dec'!$D$5:$D$18</c:f>
              <c:numCache>
                <c:formatCode>#,##0.00</c:formatCode>
                <c:ptCount val="12"/>
                <c:pt idx="0">
                  <c:v>332934.52</c:v>
                </c:pt>
                <c:pt idx="1">
                  <c:v>503613.1</c:v>
                </c:pt>
                <c:pt idx="2">
                  <c:v>105968.29</c:v>
                </c:pt>
                <c:pt idx="3">
                  <c:v>376764.91</c:v>
                </c:pt>
                <c:pt idx="4">
                  <c:v>115192.67</c:v>
                </c:pt>
                <c:pt idx="5">
                  <c:v>311404.3</c:v>
                </c:pt>
                <c:pt idx="6">
                  <c:v>149883.34</c:v>
                </c:pt>
                <c:pt idx="7">
                  <c:v>199187.93</c:v>
                </c:pt>
                <c:pt idx="8">
                  <c:v>721819.17</c:v>
                </c:pt>
                <c:pt idx="9">
                  <c:v>121137.18</c:v>
                </c:pt>
                <c:pt idx="10">
                  <c:v>210622.19</c:v>
                </c:pt>
                <c:pt idx="11">
                  <c:v>157671.4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3-49F1-9A89-EE16DAE6A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Dec - 29 Dec'!$C$3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Dec - 29 Dec'!$A$5:$A$19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'23 Dec - 29 Dec'!$C$5:$C$19</c:f>
              <c:numCache>
                <c:formatCode>#,##0.00</c:formatCode>
                <c:ptCount val="13"/>
                <c:pt idx="0">
                  <c:v>315787.46000000002</c:v>
                </c:pt>
                <c:pt idx="1">
                  <c:v>195208.54</c:v>
                </c:pt>
                <c:pt idx="2">
                  <c:v>67639.259999999995</c:v>
                </c:pt>
                <c:pt idx="3">
                  <c:v>251347.92</c:v>
                </c:pt>
                <c:pt idx="4">
                  <c:v>87101.46</c:v>
                </c:pt>
                <c:pt idx="5">
                  <c:v>231448.73</c:v>
                </c:pt>
                <c:pt idx="6">
                  <c:v>108709.47</c:v>
                </c:pt>
                <c:pt idx="7">
                  <c:v>149304.72</c:v>
                </c:pt>
                <c:pt idx="8">
                  <c:v>849629.22</c:v>
                </c:pt>
                <c:pt idx="9">
                  <c:v>88647.83</c:v>
                </c:pt>
                <c:pt idx="10">
                  <c:v>113962.71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B-45CC-80DB-769C92EA20E5}"/>
            </c:ext>
          </c:extLst>
        </c:ser>
        <c:ser>
          <c:idx val="3"/>
          <c:order val="1"/>
          <c:tx>
            <c:strRef>
              <c:f>'23 Dec - 29 Dec'!$D$3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Dec - 29 Dec'!$A$5:$A$19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'23 Dec - 29 Dec'!$D$5:$D$19</c:f>
              <c:numCache>
                <c:formatCode>#,##0.00</c:formatCode>
                <c:ptCount val="13"/>
                <c:pt idx="0">
                  <c:v>251356.61</c:v>
                </c:pt>
                <c:pt idx="1">
                  <c:v>285024.23</c:v>
                </c:pt>
                <c:pt idx="2">
                  <c:v>47067.040000000001</c:v>
                </c:pt>
                <c:pt idx="3">
                  <c:v>252630.01</c:v>
                </c:pt>
                <c:pt idx="4">
                  <c:v>89635.6</c:v>
                </c:pt>
                <c:pt idx="5">
                  <c:v>234511.26</c:v>
                </c:pt>
                <c:pt idx="6">
                  <c:v>128991.96</c:v>
                </c:pt>
                <c:pt idx="7">
                  <c:v>128106.28</c:v>
                </c:pt>
                <c:pt idx="8">
                  <c:v>845642.47</c:v>
                </c:pt>
                <c:pt idx="9">
                  <c:v>72195.61</c:v>
                </c:pt>
                <c:pt idx="10">
                  <c:v>123472.58</c:v>
                </c:pt>
                <c:pt idx="11">
                  <c:v>133520.31</c:v>
                </c:pt>
                <c:pt idx="12">
                  <c:v>86742.74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B-45CC-80DB-769C92EA2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Dec - 5 Jan'!$C$3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Dec - 5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'30 Dec - 5 Jan'!$C$5:$C$19</c:f>
              <c:numCache>
                <c:formatCode>#,##0.00</c:formatCode>
                <c:ptCount val="13"/>
                <c:pt idx="0">
                  <c:v>325096.33</c:v>
                </c:pt>
                <c:pt idx="1">
                  <c:v>157885.87</c:v>
                </c:pt>
                <c:pt idx="2">
                  <c:v>90111.4</c:v>
                </c:pt>
                <c:pt idx="3">
                  <c:v>329855.34999999998</c:v>
                </c:pt>
                <c:pt idx="4">
                  <c:v>114633.65</c:v>
                </c:pt>
                <c:pt idx="5">
                  <c:v>228405.1</c:v>
                </c:pt>
                <c:pt idx="6">
                  <c:v>133751.79</c:v>
                </c:pt>
                <c:pt idx="7">
                  <c:v>185171.07</c:v>
                </c:pt>
                <c:pt idx="8">
                  <c:v>730769.93</c:v>
                </c:pt>
                <c:pt idx="9">
                  <c:v>96083.839999999997</c:v>
                </c:pt>
                <c:pt idx="10">
                  <c:v>133382.21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E-4843-A9ED-EC7ACFE0B2B8}"/>
            </c:ext>
          </c:extLst>
        </c:ser>
        <c:ser>
          <c:idx val="3"/>
          <c:order val="1"/>
          <c:tx>
            <c:strRef>
              <c:f>'30 Dec - 5 Jan'!$D$3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Dec - 5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'30 Dec - 5 Jan'!$D$5:$D$19</c:f>
              <c:numCache>
                <c:formatCode>#,##0.00</c:formatCode>
                <c:ptCount val="13"/>
                <c:pt idx="0">
                  <c:v>276666.88</c:v>
                </c:pt>
                <c:pt idx="1">
                  <c:v>266740.18</c:v>
                </c:pt>
                <c:pt idx="2">
                  <c:v>67999.53</c:v>
                </c:pt>
                <c:pt idx="3">
                  <c:v>305260.75</c:v>
                </c:pt>
                <c:pt idx="4">
                  <c:v>112210.71</c:v>
                </c:pt>
                <c:pt idx="5">
                  <c:v>259688.15</c:v>
                </c:pt>
                <c:pt idx="6">
                  <c:v>172759.05</c:v>
                </c:pt>
                <c:pt idx="7">
                  <c:v>155712.35</c:v>
                </c:pt>
                <c:pt idx="8">
                  <c:v>877892.31</c:v>
                </c:pt>
                <c:pt idx="9">
                  <c:v>104178.02</c:v>
                </c:pt>
                <c:pt idx="10">
                  <c:v>153893.73000000001</c:v>
                </c:pt>
                <c:pt idx="11">
                  <c:v>194529.92000000001</c:v>
                </c:pt>
                <c:pt idx="12">
                  <c:v>101456.16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E-4843-A9ED-EC7ACFE0B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Jan - 12 Jan'!$C$3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Jan - 12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'6 Jan - 12 Jan'!$C$5:$C$19</c:f>
              <c:numCache>
                <c:formatCode>#,##0.00</c:formatCode>
                <c:ptCount val="13"/>
                <c:pt idx="0">
                  <c:v>282462.92</c:v>
                </c:pt>
                <c:pt idx="1">
                  <c:v>167793.48</c:v>
                </c:pt>
                <c:pt idx="2">
                  <c:v>82899.22</c:v>
                </c:pt>
                <c:pt idx="3">
                  <c:v>317910.26</c:v>
                </c:pt>
                <c:pt idx="4">
                  <c:v>135753.01999999999</c:v>
                </c:pt>
                <c:pt idx="5">
                  <c:v>320006.2</c:v>
                </c:pt>
                <c:pt idx="6">
                  <c:v>138417.91</c:v>
                </c:pt>
                <c:pt idx="7">
                  <c:v>219380.24</c:v>
                </c:pt>
                <c:pt idx="8">
                  <c:v>260614.2</c:v>
                </c:pt>
                <c:pt idx="9">
                  <c:v>123295.01</c:v>
                </c:pt>
                <c:pt idx="10">
                  <c:v>189563.77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D-4DBC-8E61-05A29B296619}"/>
            </c:ext>
          </c:extLst>
        </c:ser>
        <c:ser>
          <c:idx val="3"/>
          <c:order val="1"/>
          <c:tx>
            <c:strRef>
              <c:f>'6 Jan - 12 Jan'!$D$3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Jan - 12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'6 Jan - 12 Jan'!$D$5:$D$19</c:f>
              <c:numCache>
                <c:formatCode>#,##0.00</c:formatCode>
                <c:ptCount val="13"/>
                <c:pt idx="0">
                  <c:v>296675.38</c:v>
                </c:pt>
                <c:pt idx="1">
                  <c:v>198130.76</c:v>
                </c:pt>
                <c:pt idx="2">
                  <c:v>81968.13</c:v>
                </c:pt>
                <c:pt idx="3">
                  <c:v>287972.86</c:v>
                </c:pt>
                <c:pt idx="4">
                  <c:v>132580.56</c:v>
                </c:pt>
                <c:pt idx="5">
                  <c:v>330215.89</c:v>
                </c:pt>
                <c:pt idx="6">
                  <c:v>132864.84</c:v>
                </c:pt>
                <c:pt idx="7">
                  <c:v>219689.71</c:v>
                </c:pt>
                <c:pt idx="8">
                  <c:v>440887.85</c:v>
                </c:pt>
                <c:pt idx="9">
                  <c:v>115805.88</c:v>
                </c:pt>
                <c:pt idx="10">
                  <c:v>192938.39</c:v>
                </c:pt>
                <c:pt idx="11">
                  <c:v>176711.97</c:v>
                </c:pt>
                <c:pt idx="12">
                  <c:v>107899.57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D-4DBC-8E61-05A29B296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Jan - 19 Jan'!$C$3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Jan - 19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'13 Jan - 19 Jan'!$C$5:$C$19</c:f>
              <c:numCache>
                <c:formatCode>#,##0.00</c:formatCode>
                <c:ptCount val="13"/>
                <c:pt idx="0">
                  <c:v>250408.15</c:v>
                </c:pt>
                <c:pt idx="1">
                  <c:v>200795.26</c:v>
                </c:pt>
                <c:pt idx="2">
                  <c:v>77975.73</c:v>
                </c:pt>
                <c:pt idx="3">
                  <c:v>287612.28999999998</c:v>
                </c:pt>
                <c:pt idx="4">
                  <c:v>132398.45000000001</c:v>
                </c:pt>
                <c:pt idx="5">
                  <c:v>313579.03000000003</c:v>
                </c:pt>
                <c:pt idx="6">
                  <c:v>139966.79999999999</c:v>
                </c:pt>
                <c:pt idx="7">
                  <c:v>198827.43</c:v>
                </c:pt>
                <c:pt idx="8">
                  <c:v>189348.96</c:v>
                </c:pt>
                <c:pt idx="9">
                  <c:v>121824.18</c:v>
                </c:pt>
                <c:pt idx="10">
                  <c:v>198434.85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1-4E3C-B163-003585B344EE}"/>
            </c:ext>
          </c:extLst>
        </c:ser>
        <c:ser>
          <c:idx val="3"/>
          <c:order val="1"/>
          <c:tx>
            <c:strRef>
              <c:f>'13 Jan - 19 Jan'!$D$3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Jan - 19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'13 Jan - 19 Jan'!$D$5:$D$19</c:f>
              <c:numCache>
                <c:formatCode>#,##0.00</c:formatCode>
                <c:ptCount val="13"/>
                <c:pt idx="0">
                  <c:v>249678.67</c:v>
                </c:pt>
                <c:pt idx="1">
                  <c:v>184174.36</c:v>
                </c:pt>
                <c:pt idx="2">
                  <c:v>92094.41</c:v>
                </c:pt>
                <c:pt idx="3">
                  <c:v>282534.18</c:v>
                </c:pt>
                <c:pt idx="4">
                  <c:v>160577.06</c:v>
                </c:pt>
                <c:pt idx="5">
                  <c:v>287900.99</c:v>
                </c:pt>
                <c:pt idx="6">
                  <c:v>167794.96</c:v>
                </c:pt>
                <c:pt idx="7">
                  <c:v>173601.74</c:v>
                </c:pt>
                <c:pt idx="8">
                  <c:v>187166.99</c:v>
                </c:pt>
                <c:pt idx="9">
                  <c:v>114412.28</c:v>
                </c:pt>
                <c:pt idx="10">
                  <c:v>173816.25</c:v>
                </c:pt>
                <c:pt idx="11">
                  <c:v>172665.54</c:v>
                </c:pt>
                <c:pt idx="12">
                  <c:v>118955.12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1-4E3C-B163-003585B34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Jan - 26 Jan'!$C$3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Jan - 26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'20 Jan - 26 Jan'!$C$5:$C$19</c:f>
              <c:numCache>
                <c:formatCode>#,##0.00</c:formatCode>
                <c:ptCount val="13"/>
                <c:pt idx="0">
                  <c:v>254835.6</c:v>
                </c:pt>
                <c:pt idx="1">
                  <c:v>191397.82</c:v>
                </c:pt>
                <c:pt idx="2">
                  <c:v>86713.33</c:v>
                </c:pt>
                <c:pt idx="3">
                  <c:v>328134.63</c:v>
                </c:pt>
                <c:pt idx="4">
                  <c:v>144600.03</c:v>
                </c:pt>
                <c:pt idx="5">
                  <c:v>317233.91999999998</c:v>
                </c:pt>
                <c:pt idx="6">
                  <c:v>152846.04</c:v>
                </c:pt>
                <c:pt idx="7">
                  <c:v>243010.12</c:v>
                </c:pt>
                <c:pt idx="8">
                  <c:v>166877.21</c:v>
                </c:pt>
                <c:pt idx="9">
                  <c:v>125945.97</c:v>
                </c:pt>
                <c:pt idx="10">
                  <c:v>206751.49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9-4A07-94CE-888B3618B6D8}"/>
            </c:ext>
          </c:extLst>
        </c:ser>
        <c:ser>
          <c:idx val="3"/>
          <c:order val="1"/>
          <c:tx>
            <c:strRef>
              <c:f>'20 Jan - 26 Jan'!$D$3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Jan - 26 Jan'!$A$5:$A$19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'20 Jan - 26 Jan'!$D$5:$D$19</c:f>
              <c:numCache>
                <c:formatCode>#,##0.00</c:formatCode>
                <c:ptCount val="13"/>
                <c:pt idx="0">
                  <c:v>244971.94</c:v>
                </c:pt>
                <c:pt idx="1">
                  <c:v>212211.86</c:v>
                </c:pt>
                <c:pt idx="2">
                  <c:v>104090</c:v>
                </c:pt>
                <c:pt idx="3">
                  <c:v>326457.8</c:v>
                </c:pt>
                <c:pt idx="4">
                  <c:v>168531.62</c:v>
                </c:pt>
                <c:pt idx="5">
                  <c:v>291680.28999999998</c:v>
                </c:pt>
                <c:pt idx="6">
                  <c:v>156281.82</c:v>
                </c:pt>
                <c:pt idx="7">
                  <c:v>195672.15</c:v>
                </c:pt>
                <c:pt idx="8">
                  <c:v>177959.61</c:v>
                </c:pt>
                <c:pt idx="9">
                  <c:v>127667.08</c:v>
                </c:pt>
                <c:pt idx="10">
                  <c:v>217452</c:v>
                </c:pt>
                <c:pt idx="11">
                  <c:v>198718.15</c:v>
                </c:pt>
                <c:pt idx="12">
                  <c:v>126018.06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69-4A07-94CE-888B3618B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Jan - 2 Feb'!$C$3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Jan - 2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'27 Jan - 2 Feb'!$C$5:$C$19</c:f>
              <c:numCache>
                <c:formatCode>#,##0.00</c:formatCode>
                <c:ptCount val="13"/>
                <c:pt idx="0">
                  <c:v>234881.47</c:v>
                </c:pt>
                <c:pt idx="1">
                  <c:v>200131.3</c:v>
                </c:pt>
                <c:pt idx="2">
                  <c:v>100729.45</c:v>
                </c:pt>
                <c:pt idx="3">
                  <c:v>329808.99</c:v>
                </c:pt>
                <c:pt idx="4">
                  <c:v>149771.03</c:v>
                </c:pt>
                <c:pt idx="5">
                  <c:v>335261.96999999997</c:v>
                </c:pt>
                <c:pt idx="6">
                  <c:v>154730.66</c:v>
                </c:pt>
                <c:pt idx="7">
                  <c:v>227584.22</c:v>
                </c:pt>
                <c:pt idx="8">
                  <c:v>165985.17000000001</c:v>
                </c:pt>
                <c:pt idx="9">
                  <c:v>126081.73</c:v>
                </c:pt>
                <c:pt idx="10">
                  <c:v>206209.12</c:v>
                </c:pt>
                <c:pt idx="11">
                  <c:v>51408.800000000003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8-46C9-98E5-86953A6EF110}"/>
            </c:ext>
          </c:extLst>
        </c:ser>
        <c:ser>
          <c:idx val="3"/>
          <c:order val="1"/>
          <c:tx>
            <c:strRef>
              <c:f>'27 Jan - 2 Feb'!$D$3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Jan - 2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'27 Jan - 2 Feb'!$D$5:$D$19</c:f>
              <c:numCache>
                <c:formatCode>#,##0.00</c:formatCode>
                <c:ptCount val="13"/>
                <c:pt idx="0">
                  <c:v>253886.48</c:v>
                </c:pt>
                <c:pt idx="1">
                  <c:v>219670.06</c:v>
                </c:pt>
                <c:pt idx="2">
                  <c:v>108989.56</c:v>
                </c:pt>
                <c:pt idx="3">
                  <c:v>304035.96000000002</c:v>
                </c:pt>
                <c:pt idx="4">
                  <c:v>157218.01</c:v>
                </c:pt>
                <c:pt idx="5">
                  <c:v>317481.25</c:v>
                </c:pt>
                <c:pt idx="6">
                  <c:v>171217.16</c:v>
                </c:pt>
                <c:pt idx="7">
                  <c:v>252185.47</c:v>
                </c:pt>
                <c:pt idx="8">
                  <c:v>177284.39</c:v>
                </c:pt>
                <c:pt idx="9">
                  <c:v>129067.81</c:v>
                </c:pt>
                <c:pt idx="10">
                  <c:v>226675.96</c:v>
                </c:pt>
                <c:pt idx="11">
                  <c:v>189390.06</c:v>
                </c:pt>
                <c:pt idx="12">
                  <c:v>126973.02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8-46C9-98E5-86953A6EF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 Feb - 9 Feb'!$C$3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 Feb - 9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Feb - 9 Feb'!$C$5:$C$19</c:f>
              <c:numCache>
                <c:formatCode>#,##0.00</c:formatCode>
                <c:ptCount val="13"/>
                <c:pt idx="0">
                  <c:v>243896.08</c:v>
                </c:pt>
                <c:pt idx="1">
                  <c:v>203529.46</c:v>
                </c:pt>
                <c:pt idx="2">
                  <c:v>83038.850000000006</c:v>
                </c:pt>
                <c:pt idx="3">
                  <c:v>313205.83</c:v>
                </c:pt>
                <c:pt idx="4">
                  <c:v>149072.21</c:v>
                </c:pt>
                <c:pt idx="5">
                  <c:v>329753.61</c:v>
                </c:pt>
                <c:pt idx="6">
                  <c:v>144397.12</c:v>
                </c:pt>
                <c:pt idx="7">
                  <c:v>219176.66</c:v>
                </c:pt>
                <c:pt idx="8">
                  <c:v>175807.47</c:v>
                </c:pt>
                <c:pt idx="9">
                  <c:v>146823.91</c:v>
                </c:pt>
                <c:pt idx="10">
                  <c:v>203176.33</c:v>
                </c:pt>
                <c:pt idx="11">
                  <c:v>188936.11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FD-472B-B163-F6F339FBC9B3}"/>
            </c:ext>
          </c:extLst>
        </c:ser>
        <c:ser>
          <c:idx val="3"/>
          <c:order val="1"/>
          <c:tx>
            <c:strRef>
              <c:f>'3 Feb - 9 Feb'!$D$3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 Feb - 9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Feb - 9 Feb'!$D$5:$D$19</c:f>
              <c:numCache>
                <c:formatCode>#,##0.00</c:formatCode>
                <c:ptCount val="13"/>
                <c:pt idx="0">
                  <c:v>237293.22</c:v>
                </c:pt>
                <c:pt idx="1">
                  <c:v>220030.82</c:v>
                </c:pt>
                <c:pt idx="2">
                  <c:v>109046.25</c:v>
                </c:pt>
                <c:pt idx="3">
                  <c:v>0</c:v>
                </c:pt>
                <c:pt idx="4">
                  <c:v>162465.92000000001</c:v>
                </c:pt>
                <c:pt idx="5">
                  <c:v>296440.63</c:v>
                </c:pt>
                <c:pt idx="6">
                  <c:v>153633.79999999999</c:v>
                </c:pt>
                <c:pt idx="7">
                  <c:v>206977.96</c:v>
                </c:pt>
                <c:pt idx="8">
                  <c:v>184245.92</c:v>
                </c:pt>
                <c:pt idx="9">
                  <c:v>136872.09</c:v>
                </c:pt>
                <c:pt idx="10">
                  <c:v>183593.77</c:v>
                </c:pt>
                <c:pt idx="11">
                  <c:v>176775.06</c:v>
                </c:pt>
                <c:pt idx="12">
                  <c:v>119677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FD-472B-B163-F6F339FB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Feb - 16 Feb'!$C$3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Feb - 16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Feb - 16 Feb'!$C$5:$C$19</c:f>
              <c:numCache>
                <c:formatCode>#,##0.00</c:formatCode>
                <c:ptCount val="13"/>
                <c:pt idx="0">
                  <c:v>266174.90000000002</c:v>
                </c:pt>
                <c:pt idx="1">
                  <c:v>242108.65</c:v>
                </c:pt>
                <c:pt idx="2">
                  <c:v>118438.43</c:v>
                </c:pt>
                <c:pt idx="3">
                  <c:v>342968.68</c:v>
                </c:pt>
                <c:pt idx="4">
                  <c:v>165657.87</c:v>
                </c:pt>
                <c:pt idx="5">
                  <c:v>344555.3</c:v>
                </c:pt>
                <c:pt idx="6">
                  <c:v>150132.07999999999</c:v>
                </c:pt>
                <c:pt idx="7">
                  <c:v>239264.36</c:v>
                </c:pt>
                <c:pt idx="8">
                  <c:v>201421.91</c:v>
                </c:pt>
                <c:pt idx="9">
                  <c:v>194132.08</c:v>
                </c:pt>
                <c:pt idx="10">
                  <c:v>207863</c:v>
                </c:pt>
                <c:pt idx="11">
                  <c:v>179661.94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4-4B3C-BE3E-1EAEE39B4739}"/>
            </c:ext>
          </c:extLst>
        </c:ser>
        <c:ser>
          <c:idx val="3"/>
          <c:order val="1"/>
          <c:tx>
            <c:strRef>
              <c:f>'10 Feb - 16 Feb'!$D$3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Feb - 16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Feb - 16 Feb'!$D$5:$D$19</c:f>
              <c:numCache>
                <c:formatCode>#,##0.00</c:formatCode>
                <c:ptCount val="13"/>
                <c:pt idx="0">
                  <c:v>280895.78000000003</c:v>
                </c:pt>
                <c:pt idx="1">
                  <c:v>224075.5</c:v>
                </c:pt>
                <c:pt idx="2">
                  <c:v>133786.9</c:v>
                </c:pt>
                <c:pt idx="3">
                  <c:v>0</c:v>
                </c:pt>
                <c:pt idx="4">
                  <c:v>182605.54</c:v>
                </c:pt>
                <c:pt idx="5">
                  <c:v>308009.71999999997</c:v>
                </c:pt>
                <c:pt idx="6">
                  <c:v>160405.70000000001</c:v>
                </c:pt>
                <c:pt idx="7">
                  <c:v>212599.32</c:v>
                </c:pt>
                <c:pt idx="8">
                  <c:v>209317.26</c:v>
                </c:pt>
                <c:pt idx="9">
                  <c:v>180239.49</c:v>
                </c:pt>
                <c:pt idx="10">
                  <c:v>209714.26</c:v>
                </c:pt>
                <c:pt idx="11">
                  <c:v>175278.96</c:v>
                </c:pt>
                <c:pt idx="12">
                  <c:v>136835.4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4-4B3C-BE3E-1EAEE39B4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Feb - 23 Feb'!$C$3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Feb - 23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Feb - 23 Feb'!$C$5:$C$19</c:f>
              <c:numCache>
                <c:formatCode>#,##0.00</c:formatCode>
                <c:ptCount val="13"/>
                <c:pt idx="0">
                  <c:v>255478.47</c:v>
                </c:pt>
                <c:pt idx="1">
                  <c:v>179311.69</c:v>
                </c:pt>
                <c:pt idx="2">
                  <c:v>106132.06</c:v>
                </c:pt>
                <c:pt idx="3">
                  <c:v>325053.89</c:v>
                </c:pt>
                <c:pt idx="4">
                  <c:v>146907.45000000001</c:v>
                </c:pt>
                <c:pt idx="5">
                  <c:v>346076.98</c:v>
                </c:pt>
                <c:pt idx="6">
                  <c:v>148820.94</c:v>
                </c:pt>
                <c:pt idx="7">
                  <c:v>227627.23</c:v>
                </c:pt>
                <c:pt idx="8">
                  <c:v>159531.37</c:v>
                </c:pt>
                <c:pt idx="9">
                  <c:v>135434.34</c:v>
                </c:pt>
                <c:pt idx="10">
                  <c:v>215582.54</c:v>
                </c:pt>
                <c:pt idx="11">
                  <c:v>169417.62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D-4789-80CF-77AEB1336C4C}"/>
            </c:ext>
          </c:extLst>
        </c:ser>
        <c:ser>
          <c:idx val="3"/>
          <c:order val="1"/>
          <c:tx>
            <c:strRef>
              <c:f>'17 Feb - 23 Feb'!$D$3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Feb - 23 Feb'!$A$5:$A$19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Feb - 23 Feb'!$D$5:$D$19</c:f>
              <c:numCache>
                <c:formatCode>#,##0.00</c:formatCode>
                <c:ptCount val="13"/>
                <c:pt idx="0">
                  <c:v>222785.95</c:v>
                </c:pt>
                <c:pt idx="1">
                  <c:v>232321.08</c:v>
                </c:pt>
                <c:pt idx="2">
                  <c:v>89875.17</c:v>
                </c:pt>
                <c:pt idx="3">
                  <c:v>0</c:v>
                </c:pt>
                <c:pt idx="4">
                  <c:v>172889.65</c:v>
                </c:pt>
                <c:pt idx="5">
                  <c:v>295782.3</c:v>
                </c:pt>
                <c:pt idx="6">
                  <c:v>155166.48000000001</c:v>
                </c:pt>
                <c:pt idx="7">
                  <c:v>207016.53</c:v>
                </c:pt>
                <c:pt idx="8">
                  <c:v>186665.69</c:v>
                </c:pt>
                <c:pt idx="9">
                  <c:v>120536.7</c:v>
                </c:pt>
                <c:pt idx="10">
                  <c:v>194445.82</c:v>
                </c:pt>
                <c:pt idx="11">
                  <c:v>165432.56</c:v>
                </c:pt>
                <c:pt idx="12">
                  <c:v>112652.14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D-4789-80CF-77AEB1336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Feb - 1 March'!$C$3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Feb - 1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Feb - 1 March'!$C$5:$C$19</c:f>
              <c:numCache>
                <c:formatCode>#,##0.00</c:formatCode>
                <c:ptCount val="13"/>
                <c:pt idx="0">
                  <c:v>251748.71</c:v>
                </c:pt>
                <c:pt idx="1">
                  <c:v>224533.36</c:v>
                </c:pt>
                <c:pt idx="2">
                  <c:v>118837.36</c:v>
                </c:pt>
                <c:pt idx="3">
                  <c:v>354530.54</c:v>
                </c:pt>
                <c:pt idx="4">
                  <c:v>162768.13</c:v>
                </c:pt>
                <c:pt idx="5">
                  <c:v>337802.42</c:v>
                </c:pt>
                <c:pt idx="6">
                  <c:v>176295.37</c:v>
                </c:pt>
                <c:pt idx="7">
                  <c:v>222836.31</c:v>
                </c:pt>
                <c:pt idx="8">
                  <c:v>167255.37</c:v>
                </c:pt>
                <c:pt idx="9">
                  <c:v>151388.79999999999</c:v>
                </c:pt>
                <c:pt idx="10">
                  <c:v>250174.74</c:v>
                </c:pt>
                <c:pt idx="11">
                  <c:v>190318.77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3-4309-9EC2-81FE333D0E90}"/>
            </c:ext>
          </c:extLst>
        </c:ser>
        <c:ser>
          <c:idx val="3"/>
          <c:order val="1"/>
          <c:tx>
            <c:strRef>
              <c:f>'24 Feb - 1 March'!$D$3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Feb - 1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Feb - 1 March'!$D$5:$D$19</c:f>
              <c:numCache>
                <c:formatCode>#,##0.00</c:formatCode>
                <c:ptCount val="13"/>
                <c:pt idx="0">
                  <c:v>230798.84</c:v>
                </c:pt>
                <c:pt idx="1">
                  <c:v>228520.15</c:v>
                </c:pt>
                <c:pt idx="2">
                  <c:v>118987.48</c:v>
                </c:pt>
                <c:pt idx="3">
                  <c:v>0</c:v>
                </c:pt>
                <c:pt idx="4">
                  <c:v>180376.85</c:v>
                </c:pt>
                <c:pt idx="5">
                  <c:v>300655.83</c:v>
                </c:pt>
                <c:pt idx="6">
                  <c:v>152782.65</c:v>
                </c:pt>
                <c:pt idx="7">
                  <c:v>243304.13</c:v>
                </c:pt>
                <c:pt idx="8">
                  <c:v>176302.74</c:v>
                </c:pt>
                <c:pt idx="9">
                  <c:v>133954.56</c:v>
                </c:pt>
                <c:pt idx="10">
                  <c:v>200596.96</c:v>
                </c:pt>
                <c:pt idx="11">
                  <c:v>186259.82</c:v>
                </c:pt>
                <c:pt idx="12">
                  <c:v>129094.15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13-4309-9EC2-81FE333D0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March - 8 March'!$C$3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March - 8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 March - 8 March'!$C$5:$C$19</c:f>
              <c:numCache>
                <c:formatCode>#,##0.00</c:formatCode>
                <c:ptCount val="13"/>
                <c:pt idx="0">
                  <c:v>237319.79</c:v>
                </c:pt>
                <c:pt idx="1">
                  <c:v>233007.56</c:v>
                </c:pt>
                <c:pt idx="2">
                  <c:v>127072.32000000001</c:v>
                </c:pt>
                <c:pt idx="3">
                  <c:v>354792.07</c:v>
                </c:pt>
                <c:pt idx="4">
                  <c:v>162214.98000000001</c:v>
                </c:pt>
                <c:pt idx="5">
                  <c:v>339050.03</c:v>
                </c:pt>
                <c:pt idx="6">
                  <c:v>164881.56</c:v>
                </c:pt>
                <c:pt idx="7">
                  <c:v>220450.34</c:v>
                </c:pt>
                <c:pt idx="8">
                  <c:v>156695.26999999999</c:v>
                </c:pt>
                <c:pt idx="9">
                  <c:v>139497.94</c:v>
                </c:pt>
                <c:pt idx="10">
                  <c:v>227810.49</c:v>
                </c:pt>
                <c:pt idx="11">
                  <c:v>195684.66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8-461D-AD0D-CFDF61D620E4}"/>
            </c:ext>
          </c:extLst>
        </c:ser>
        <c:ser>
          <c:idx val="3"/>
          <c:order val="1"/>
          <c:tx>
            <c:strRef>
              <c:f>'2 March - 8 March'!$D$3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March - 8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 March - 8 March'!$D$5:$D$19</c:f>
              <c:numCache>
                <c:formatCode>#,##0.00</c:formatCode>
                <c:ptCount val="13"/>
                <c:pt idx="0">
                  <c:v>224764.48</c:v>
                </c:pt>
                <c:pt idx="1">
                  <c:v>216682.01</c:v>
                </c:pt>
                <c:pt idx="2">
                  <c:v>106995.52</c:v>
                </c:pt>
                <c:pt idx="3">
                  <c:v>242061.31</c:v>
                </c:pt>
                <c:pt idx="4">
                  <c:v>159016.18</c:v>
                </c:pt>
                <c:pt idx="5">
                  <c:v>270331.87</c:v>
                </c:pt>
                <c:pt idx="6">
                  <c:v>157839.24</c:v>
                </c:pt>
                <c:pt idx="7">
                  <c:v>217934.76</c:v>
                </c:pt>
                <c:pt idx="8">
                  <c:v>183776.76</c:v>
                </c:pt>
                <c:pt idx="9">
                  <c:v>127255.26</c:v>
                </c:pt>
                <c:pt idx="10">
                  <c:v>208721.29</c:v>
                </c:pt>
                <c:pt idx="11">
                  <c:v>169228.51</c:v>
                </c:pt>
                <c:pt idx="12">
                  <c:v>116693.24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8-461D-AD0D-CFDF61D62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March - 15 March'!$C$3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March - 15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'9 March - 15 March'!$C$5:$C$19</c:f>
              <c:numCache>
                <c:formatCode>#,##0.00</c:formatCode>
                <c:ptCount val="13"/>
                <c:pt idx="0">
                  <c:v>268849.73</c:v>
                </c:pt>
                <c:pt idx="1">
                  <c:v>247782.44</c:v>
                </c:pt>
                <c:pt idx="2">
                  <c:v>112508.16</c:v>
                </c:pt>
                <c:pt idx="3">
                  <c:v>355321</c:v>
                </c:pt>
                <c:pt idx="4">
                  <c:v>153600.97</c:v>
                </c:pt>
                <c:pt idx="5">
                  <c:v>339268.89</c:v>
                </c:pt>
                <c:pt idx="6">
                  <c:v>151174.76</c:v>
                </c:pt>
                <c:pt idx="7">
                  <c:v>230113.69</c:v>
                </c:pt>
                <c:pt idx="8">
                  <c:v>223622.64</c:v>
                </c:pt>
                <c:pt idx="9">
                  <c:v>152677.41</c:v>
                </c:pt>
                <c:pt idx="10">
                  <c:v>218932.85</c:v>
                </c:pt>
                <c:pt idx="11">
                  <c:v>189463.05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1-44F4-9A9E-25B909AA16DC}"/>
            </c:ext>
          </c:extLst>
        </c:ser>
        <c:ser>
          <c:idx val="3"/>
          <c:order val="1"/>
          <c:tx>
            <c:strRef>
              <c:f>'9 March - 15 March'!$D$3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March - 15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'9 March - 15 March'!$D$5:$D$19</c:f>
              <c:numCache>
                <c:formatCode>#,##0.00</c:formatCode>
                <c:ptCount val="13"/>
                <c:pt idx="0">
                  <c:v>228544.88</c:v>
                </c:pt>
                <c:pt idx="1">
                  <c:v>171162.7</c:v>
                </c:pt>
                <c:pt idx="2">
                  <c:v>111287.99</c:v>
                </c:pt>
                <c:pt idx="3">
                  <c:v>273777</c:v>
                </c:pt>
                <c:pt idx="4">
                  <c:v>157896.94</c:v>
                </c:pt>
                <c:pt idx="5">
                  <c:v>316971.75</c:v>
                </c:pt>
                <c:pt idx="6">
                  <c:v>142886.70000000001</c:v>
                </c:pt>
                <c:pt idx="7">
                  <c:v>227804.08</c:v>
                </c:pt>
                <c:pt idx="8">
                  <c:v>199136.28</c:v>
                </c:pt>
                <c:pt idx="9">
                  <c:v>138626.42000000001</c:v>
                </c:pt>
                <c:pt idx="10">
                  <c:v>218588.98</c:v>
                </c:pt>
                <c:pt idx="11">
                  <c:v>185708.58</c:v>
                </c:pt>
                <c:pt idx="12">
                  <c:v>112331.54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C1-44F4-9A9E-25B909AA1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March - 22 March'!$C$3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March - 22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'16 March - 22 March'!$C$5:$C$19</c:f>
              <c:numCache>
                <c:formatCode>#,##0.00</c:formatCode>
                <c:ptCount val="13"/>
                <c:pt idx="0">
                  <c:v>339552.82</c:v>
                </c:pt>
                <c:pt idx="1">
                  <c:v>237354.06</c:v>
                </c:pt>
                <c:pt idx="2">
                  <c:v>127846.77</c:v>
                </c:pt>
                <c:pt idx="3">
                  <c:v>394259.89</c:v>
                </c:pt>
                <c:pt idx="4">
                  <c:v>134544.66</c:v>
                </c:pt>
                <c:pt idx="5">
                  <c:v>369279.11</c:v>
                </c:pt>
                <c:pt idx="6">
                  <c:v>166773.71</c:v>
                </c:pt>
                <c:pt idx="7">
                  <c:v>231068.59</c:v>
                </c:pt>
                <c:pt idx="8">
                  <c:v>407133.91</c:v>
                </c:pt>
                <c:pt idx="9">
                  <c:v>164652.97</c:v>
                </c:pt>
                <c:pt idx="10">
                  <c:v>250243.46</c:v>
                </c:pt>
                <c:pt idx="11">
                  <c:v>198899.77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6-4133-B0E9-F6D031EAA5DC}"/>
            </c:ext>
          </c:extLst>
        </c:ser>
        <c:ser>
          <c:idx val="3"/>
          <c:order val="1"/>
          <c:tx>
            <c:strRef>
              <c:f>'16 March - 22 March'!$D$3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March - 22 March'!$A$5:$A$19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'16 March - 22 March'!$D$5:$D$19</c:f>
              <c:numCache>
                <c:formatCode>#,##0.00</c:formatCode>
                <c:ptCount val="13"/>
                <c:pt idx="0">
                  <c:v>111844.41</c:v>
                </c:pt>
                <c:pt idx="1">
                  <c:v>25855.03</c:v>
                </c:pt>
                <c:pt idx="2">
                  <c:v>63417.32</c:v>
                </c:pt>
                <c:pt idx="3">
                  <c:v>100528.78</c:v>
                </c:pt>
                <c:pt idx="4">
                  <c:v>92887.66</c:v>
                </c:pt>
                <c:pt idx="5">
                  <c:v>136221.63</c:v>
                </c:pt>
                <c:pt idx="6">
                  <c:v>70519.100000000006</c:v>
                </c:pt>
                <c:pt idx="7">
                  <c:v>128530.38</c:v>
                </c:pt>
                <c:pt idx="8">
                  <c:v>137714.01999999999</c:v>
                </c:pt>
                <c:pt idx="9">
                  <c:v>63130.559999999998</c:v>
                </c:pt>
                <c:pt idx="10">
                  <c:v>99672.75</c:v>
                </c:pt>
                <c:pt idx="11">
                  <c:v>112201.62</c:v>
                </c:pt>
                <c:pt idx="12">
                  <c:v>54419.61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6-4133-B0E9-F6D031EAA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May - 3 May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May - 3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May - 3 May 2020'!$C$5:$C$19</c:f>
              <c:numCache>
                <c:formatCode>#,##0.00</c:formatCode>
                <c:ptCount val="13"/>
                <c:pt idx="0">
                  <c:v>156678.20000000001</c:v>
                </c:pt>
                <c:pt idx="1">
                  <c:v>0</c:v>
                </c:pt>
                <c:pt idx="2">
                  <c:v>35394.35</c:v>
                </c:pt>
                <c:pt idx="3">
                  <c:v>0</c:v>
                </c:pt>
                <c:pt idx="4">
                  <c:v>36702.57</c:v>
                </c:pt>
                <c:pt idx="5">
                  <c:v>0</c:v>
                </c:pt>
                <c:pt idx="6">
                  <c:v>0</c:v>
                </c:pt>
                <c:pt idx="7">
                  <c:v>107741.9</c:v>
                </c:pt>
                <c:pt idx="8">
                  <c:v>74337.429999999993</c:v>
                </c:pt>
                <c:pt idx="9">
                  <c:v>0</c:v>
                </c:pt>
                <c:pt idx="10">
                  <c:v>0</c:v>
                </c:pt>
                <c:pt idx="11">
                  <c:v>90888.43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4-42A2-A220-1A54A57787B0}"/>
            </c:ext>
          </c:extLst>
        </c:ser>
        <c:ser>
          <c:idx val="3"/>
          <c:order val="1"/>
          <c:tx>
            <c:strRef>
              <c:f>'1 May - 3 May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May - 3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May - 3 May 2020'!$D$5:$D$19</c:f>
              <c:numCache>
                <c:formatCode>#,##0.00</c:formatCode>
                <c:ptCount val="13"/>
                <c:pt idx="0">
                  <c:v>84130.96</c:v>
                </c:pt>
                <c:pt idx="1">
                  <c:v>0</c:v>
                </c:pt>
                <c:pt idx="2">
                  <c:v>18197.53</c:v>
                </c:pt>
                <c:pt idx="3">
                  <c:v>0</c:v>
                </c:pt>
                <c:pt idx="4">
                  <c:v>43503.64</c:v>
                </c:pt>
                <c:pt idx="5">
                  <c:v>0</c:v>
                </c:pt>
                <c:pt idx="6">
                  <c:v>0</c:v>
                </c:pt>
                <c:pt idx="7">
                  <c:v>67555.83</c:v>
                </c:pt>
                <c:pt idx="8">
                  <c:v>16693.68</c:v>
                </c:pt>
                <c:pt idx="9">
                  <c:v>0</c:v>
                </c:pt>
                <c:pt idx="10">
                  <c:v>0</c:v>
                </c:pt>
                <c:pt idx="11">
                  <c:v>65693.759999999995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4-42A2-A220-1A54A5778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May - 10 May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May - 10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'4 May - 10 May 2020'!$C$5:$C$19</c:f>
              <c:numCache>
                <c:formatCode>#,##0.00</c:formatCode>
                <c:ptCount val="13"/>
                <c:pt idx="0">
                  <c:v>277850.46999999997</c:v>
                </c:pt>
                <c:pt idx="1">
                  <c:v>0</c:v>
                </c:pt>
                <c:pt idx="2">
                  <c:v>149467.35999999999</c:v>
                </c:pt>
                <c:pt idx="3">
                  <c:v>0</c:v>
                </c:pt>
                <c:pt idx="4">
                  <c:v>146819.43</c:v>
                </c:pt>
                <c:pt idx="5">
                  <c:v>382519.5</c:v>
                </c:pt>
                <c:pt idx="6">
                  <c:v>144817.99</c:v>
                </c:pt>
                <c:pt idx="7">
                  <c:v>233865.68</c:v>
                </c:pt>
                <c:pt idx="8">
                  <c:v>163941.60999999999</c:v>
                </c:pt>
                <c:pt idx="9">
                  <c:v>0</c:v>
                </c:pt>
                <c:pt idx="10">
                  <c:v>0</c:v>
                </c:pt>
                <c:pt idx="11">
                  <c:v>197506.48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83-41A8-92FB-81C4C0E0E648}"/>
            </c:ext>
          </c:extLst>
        </c:ser>
        <c:ser>
          <c:idx val="3"/>
          <c:order val="1"/>
          <c:tx>
            <c:strRef>
              <c:f>'4 May - 10 May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May - 10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'4 May - 10 May 2020'!$D$5:$D$19</c:f>
              <c:numCache>
                <c:formatCode>#,##0.00</c:formatCode>
                <c:ptCount val="13"/>
                <c:pt idx="0">
                  <c:v>78719.350000000006</c:v>
                </c:pt>
                <c:pt idx="1">
                  <c:v>0</c:v>
                </c:pt>
                <c:pt idx="2">
                  <c:v>38542.589999999997</c:v>
                </c:pt>
                <c:pt idx="3">
                  <c:v>0</c:v>
                </c:pt>
                <c:pt idx="4">
                  <c:v>89492.23</c:v>
                </c:pt>
                <c:pt idx="5">
                  <c:v>57987.75</c:v>
                </c:pt>
                <c:pt idx="6">
                  <c:v>19321.62</c:v>
                </c:pt>
                <c:pt idx="7">
                  <c:v>107050.12</c:v>
                </c:pt>
                <c:pt idx="8">
                  <c:v>21734.69</c:v>
                </c:pt>
                <c:pt idx="9">
                  <c:v>0</c:v>
                </c:pt>
                <c:pt idx="10">
                  <c:v>0</c:v>
                </c:pt>
                <c:pt idx="11">
                  <c:v>77459.94</c:v>
                </c:pt>
                <c:pt idx="12">
                  <c:v>24503.279999999999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83-41A8-92FB-81C4C0E0E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May - 17 May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May - 17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'11 May - 17 May 2020'!$C$5:$C$19</c:f>
              <c:numCache>
                <c:formatCode>#,##0.00</c:formatCode>
                <c:ptCount val="13"/>
                <c:pt idx="0">
                  <c:v>217085.03</c:v>
                </c:pt>
                <c:pt idx="1">
                  <c:v>0</c:v>
                </c:pt>
                <c:pt idx="2">
                  <c:v>98960.8</c:v>
                </c:pt>
                <c:pt idx="3">
                  <c:v>0</c:v>
                </c:pt>
                <c:pt idx="4">
                  <c:v>130423.4</c:v>
                </c:pt>
                <c:pt idx="5">
                  <c:v>321781.94</c:v>
                </c:pt>
                <c:pt idx="6">
                  <c:v>126268.32</c:v>
                </c:pt>
                <c:pt idx="7">
                  <c:v>195027.05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151423.45000000001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E-40D5-9C01-A2A1C8A460F2}"/>
            </c:ext>
          </c:extLst>
        </c:ser>
        <c:ser>
          <c:idx val="3"/>
          <c:order val="1"/>
          <c:tx>
            <c:strRef>
              <c:f>'11 May - 17 May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May - 17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'11 May - 17 May 2020'!$D$5:$D$19</c:f>
              <c:numCache>
                <c:formatCode>#,##0.00</c:formatCode>
                <c:ptCount val="13"/>
                <c:pt idx="0">
                  <c:v>47094.04</c:v>
                </c:pt>
                <c:pt idx="1">
                  <c:v>0</c:v>
                </c:pt>
                <c:pt idx="2">
                  <c:v>32529.48</c:v>
                </c:pt>
                <c:pt idx="3">
                  <c:v>0</c:v>
                </c:pt>
                <c:pt idx="4">
                  <c:v>65139.06</c:v>
                </c:pt>
                <c:pt idx="5">
                  <c:v>73753.5</c:v>
                </c:pt>
                <c:pt idx="6">
                  <c:v>26049.29</c:v>
                </c:pt>
                <c:pt idx="7">
                  <c:v>63028.93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58245.63</c:v>
                </c:pt>
                <c:pt idx="12">
                  <c:v>33527.379999999997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E-40D5-9C01-A2A1C8A46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May - 24 May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May - 24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'18 May - 24 May 2020'!$C$5:$C$19</c:f>
              <c:numCache>
                <c:formatCode>#,##0.00</c:formatCode>
                <c:ptCount val="13"/>
                <c:pt idx="0">
                  <c:v>221316.49</c:v>
                </c:pt>
                <c:pt idx="2">
                  <c:v>105221.78</c:v>
                </c:pt>
                <c:pt idx="3">
                  <c:v>287415.07</c:v>
                </c:pt>
                <c:pt idx="4">
                  <c:v>144417.04</c:v>
                </c:pt>
                <c:pt idx="5">
                  <c:v>330106.03000000003</c:v>
                </c:pt>
                <c:pt idx="6">
                  <c:v>129133.4</c:v>
                </c:pt>
                <c:pt idx="7">
                  <c:v>222565.67</c:v>
                </c:pt>
                <c:pt idx="11">
                  <c:v>173318.51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B-49D5-A5DC-DF2903D59AC6}"/>
            </c:ext>
          </c:extLst>
        </c:ser>
        <c:ser>
          <c:idx val="3"/>
          <c:order val="1"/>
          <c:tx>
            <c:strRef>
              <c:f>'18 May - 24 May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May - 24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'18 May - 24 May 2020'!$D$5:$D$19</c:f>
              <c:numCache>
                <c:formatCode>#,##0.00</c:formatCode>
                <c:ptCount val="13"/>
                <c:pt idx="0">
                  <c:v>52335.75</c:v>
                </c:pt>
                <c:pt idx="1">
                  <c:v>0</c:v>
                </c:pt>
                <c:pt idx="2">
                  <c:v>27845.47</c:v>
                </c:pt>
                <c:pt idx="3">
                  <c:v>23884.54</c:v>
                </c:pt>
                <c:pt idx="4">
                  <c:v>59348.93</c:v>
                </c:pt>
                <c:pt idx="5">
                  <c:v>84377.53</c:v>
                </c:pt>
                <c:pt idx="6">
                  <c:v>28728.92</c:v>
                </c:pt>
                <c:pt idx="7">
                  <c:v>75291.31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56302.6</c:v>
                </c:pt>
                <c:pt idx="12">
                  <c:v>33777.31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CB-49D5-A5DC-DF2903D59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May - 31 May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May - 31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'25 May - 31 May 2020'!$C$5:$C$19</c:f>
              <c:numCache>
                <c:formatCode>#,##0.00</c:formatCode>
                <c:ptCount val="13"/>
                <c:pt idx="0">
                  <c:v>228906.34</c:v>
                </c:pt>
                <c:pt idx="2">
                  <c:v>129833.28</c:v>
                </c:pt>
                <c:pt idx="3">
                  <c:v>300962.43</c:v>
                </c:pt>
                <c:pt idx="4">
                  <c:v>163214.69</c:v>
                </c:pt>
                <c:pt idx="5">
                  <c:v>346283.66</c:v>
                </c:pt>
                <c:pt idx="6">
                  <c:v>146968.32999999999</c:v>
                </c:pt>
                <c:pt idx="7">
                  <c:v>236376.68</c:v>
                </c:pt>
                <c:pt idx="10">
                  <c:v>191675.07</c:v>
                </c:pt>
                <c:pt idx="11">
                  <c:v>173995.83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410B-BDB5-96F86BCDA2B4}"/>
            </c:ext>
          </c:extLst>
        </c:ser>
        <c:ser>
          <c:idx val="3"/>
          <c:order val="1"/>
          <c:tx>
            <c:strRef>
              <c:f>'25 May - 31 May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May - 31 May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'25 May - 31 May 2020'!$D$5:$D$19</c:f>
              <c:numCache>
                <c:formatCode>#,##0.00</c:formatCode>
                <c:ptCount val="13"/>
                <c:pt idx="0">
                  <c:v>47618.63</c:v>
                </c:pt>
                <c:pt idx="1">
                  <c:v>0</c:v>
                </c:pt>
                <c:pt idx="2">
                  <c:v>29007.919999999998</c:v>
                </c:pt>
                <c:pt idx="3">
                  <c:v>37946.370000000003</c:v>
                </c:pt>
                <c:pt idx="4">
                  <c:v>62349.08</c:v>
                </c:pt>
                <c:pt idx="5">
                  <c:v>70295.8</c:v>
                </c:pt>
                <c:pt idx="6">
                  <c:v>26701.09</c:v>
                </c:pt>
                <c:pt idx="7">
                  <c:v>70380.06</c:v>
                </c:pt>
                <c:pt idx="8">
                  <c:v>0</c:v>
                </c:pt>
                <c:pt idx="9">
                  <c:v>0</c:v>
                </c:pt>
                <c:pt idx="10">
                  <c:v>46544.63</c:v>
                </c:pt>
                <c:pt idx="11">
                  <c:v>65277.120000000003</c:v>
                </c:pt>
                <c:pt idx="12">
                  <c:v>33073.74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410B-BDB5-96F86BCDA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June - 7 June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June - 7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June - 7 June 2020'!$C$5:$C$19</c:f>
              <c:numCache>
                <c:formatCode>#,##0.00</c:formatCode>
                <c:ptCount val="13"/>
                <c:pt idx="0">
                  <c:v>245133.38</c:v>
                </c:pt>
                <c:pt idx="2">
                  <c:v>109274.66</c:v>
                </c:pt>
                <c:pt idx="3">
                  <c:v>308917.94</c:v>
                </c:pt>
                <c:pt idx="4">
                  <c:v>137777</c:v>
                </c:pt>
                <c:pt idx="5">
                  <c:v>317888.62</c:v>
                </c:pt>
                <c:pt idx="6">
                  <c:v>132072.19</c:v>
                </c:pt>
                <c:pt idx="7">
                  <c:v>205934.81</c:v>
                </c:pt>
                <c:pt idx="10">
                  <c:v>192169.17</c:v>
                </c:pt>
                <c:pt idx="11">
                  <c:v>152760.03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2-4AE8-85F1-B13E6BF8ED3E}"/>
            </c:ext>
          </c:extLst>
        </c:ser>
        <c:ser>
          <c:idx val="3"/>
          <c:order val="1"/>
          <c:tx>
            <c:strRef>
              <c:f>'1 June - 7 June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June - 7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June - 7 June 2020'!$D$5:$D$19</c:f>
              <c:numCache>
                <c:formatCode>#,##0.00</c:formatCode>
                <c:ptCount val="13"/>
                <c:pt idx="0">
                  <c:v>65734.070000000007</c:v>
                </c:pt>
                <c:pt idx="1">
                  <c:v>0</c:v>
                </c:pt>
                <c:pt idx="2">
                  <c:v>34958.22</c:v>
                </c:pt>
                <c:pt idx="3">
                  <c:v>44040.15</c:v>
                </c:pt>
                <c:pt idx="4">
                  <c:v>56514.59</c:v>
                </c:pt>
                <c:pt idx="5">
                  <c:v>83837.66</c:v>
                </c:pt>
                <c:pt idx="6">
                  <c:v>26524.1</c:v>
                </c:pt>
                <c:pt idx="7">
                  <c:v>82779.45</c:v>
                </c:pt>
                <c:pt idx="8">
                  <c:v>0</c:v>
                </c:pt>
                <c:pt idx="9">
                  <c:v>0</c:v>
                </c:pt>
                <c:pt idx="10">
                  <c:v>59929.96</c:v>
                </c:pt>
                <c:pt idx="11">
                  <c:v>53835.4</c:v>
                </c:pt>
                <c:pt idx="12">
                  <c:v>34332.6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2-4AE8-85F1-B13E6BF8E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June - 14 June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June - 14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June - 14 June 2020'!$C$5:$C$19</c:f>
              <c:numCache>
                <c:formatCode>#,##0.00</c:formatCode>
                <c:ptCount val="13"/>
                <c:pt idx="0">
                  <c:v>236155.67</c:v>
                </c:pt>
                <c:pt idx="2">
                  <c:v>110836.84</c:v>
                </c:pt>
                <c:pt idx="4">
                  <c:v>143400.20000000001</c:v>
                </c:pt>
                <c:pt idx="5">
                  <c:v>345738.87</c:v>
                </c:pt>
                <c:pt idx="6">
                  <c:v>139419.04999999999</c:v>
                </c:pt>
                <c:pt idx="7">
                  <c:v>208358.17</c:v>
                </c:pt>
                <c:pt idx="10">
                  <c:v>183813.79</c:v>
                </c:pt>
                <c:pt idx="11">
                  <c:v>169068.42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3-4B6C-B445-9EAB14700A17}"/>
            </c:ext>
          </c:extLst>
        </c:ser>
        <c:ser>
          <c:idx val="3"/>
          <c:order val="1"/>
          <c:tx>
            <c:strRef>
              <c:f>'8 June - 14 June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June - 14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June - 14 June 2020'!$D$5:$D$19</c:f>
              <c:numCache>
                <c:formatCode>#,##0.00</c:formatCode>
                <c:ptCount val="13"/>
                <c:pt idx="0">
                  <c:v>54499.07</c:v>
                </c:pt>
                <c:pt idx="1">
                  <c:v>0</c:v>
                </c:pt>
                <c:pt idx="2">
                  <c:v>41408.870000000003</c:v>
                </c:pt>
                <c:pt idx="3">
                  <c:v>0</c:v>
                </c:pt>
                <c:pt idx="4">
                  <c:v>71904.740000000005</c:v>
                </c:pt>
                <c:pt idx="5">
                  <c:v>76161.41</c:v>
                </c:pt>
                <c:pt idx="6">
                  <c:v>3660.53</c:v>
                </c:pt>
                <c:pt idx="7">
                  <c:v>63627.839999999997</c:v>
                </c:pt>
                <c:pt idx="8">
                  <c:v>0</c:v>
                </c:pt>
                <c:pt idx="9">
                  <c:v>0</c:v>
                </c:pt>
                <c:pt idx="10">
                  <c:v>44564.7</c:v>
                </c:pt>
                <c:pt idx="11">
                  <c:v>43845.19</c:v>
                </c:pt>
                <c:pt idx="12">
                  <c:v>32477.56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3-4B6C-B445-9EAB1470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June - 21 June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June - 21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June - 21 June 2020'!$C$5:$C$19</c:f>
              <c:numCache>
                <c:formatCode>#,##0.00</c:formatCode>
                <c:ptCount val="13"/>
                <c:pt idx="0">
                  <c:v>250573.07</c:v>
                </c:pt>
                <c:pt idx="2">
                  <c:v>99413.99</c:v>
                </c:pt>
                <c:pt idx="4">
                  <c:v>148386.35999999999</c:v>
                </c:pt>
                <c:pt idx="5">
                  <c:v>350406.82</c:v>
                </c:pt>
                <c:pt idx="6">
                  <c:v>137174.82</c:v>
                </c:pt>
                <c:pt idx="7">
                  <c:v>203275.18</c:v>
                </c:pt>
                <c:pt idx="10">
                  <c:v>193070.24</c:v>
                </c:pt>
                <c:pt idx="11">
                  <c:v>145702.12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A-4A05-AEA0-F50C3CB23012}"/>
            </c:ext>
          </c:extLst>
        </c:ser>
        <c:ser>
          <c:idx val="3"/>
          <c:order val="1"/>
          <c:tx>
            <c:strRef>
              <c:f>'15 June - 21 June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June - 21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June - 21 June 2020'!$D$5:$D$19</c:f>
              <c:numCache>
                <c:formatCode>#,##0.00</c:formatCode>
                <c:ptCount val="13"/>
                <c:pt idx="0">
                  <c:v>56336.17</c:v>
                </c:pt>
                <c:pt idx="1">
                  <c:v>0</c:v>
                </c:pt>
                <c:pt idx="2">
                  <c:v>43799.66</c:v>
                </c:pt>
                <c:pt idx="3">
                  <c:v>0</c:v>
                </c:pt>
                <c:pt idx="4">
                  <c:v>92601.51</c:v>
                </c:pt>
                <c:pt idx="5">
                  <c:v>91590.78</c:v>
                </c:pt>
                <c:pt idx="6">
                  <c:v>19728.52</c:v>
                </c:pt>
                <c:pt idx="7">
                  <c:v>70875.87</c:v>
                </c:pt>
                <c:pt idx="8">
                  <c:v>0</c:v>
                </c:pt>
                <c:pt idx="9">
                  <c:v>0</c:v>
                </c:pt>
                <c:pt idx="10">
                  <c:v>56047.11</c:v>
                </c:pt>
                <c:pt idx="11">
                  <c:v>40339.19</c:v>
                </c:pt>
                <c:pt idx="12">
                  <c:v>37827.839999999997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1A-4A05-AEA0-F50C3CB23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June - 28 June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June - 28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June - 28 June 2020'!$C$5:$C$19</c:f>
              <c:numCache>
                <c:formatCode>#,##0.00</c:formatCode>
                <c:ptCount val="13"/>
                <c:pt idx="0">
                  <c:v>271223.01</c:v>
                </c:pt>
                <c:pt idx="2">
                  <c:v>110389.7</c:v>
                </c:pt>
                <c:pt idx="4">
                  <c:v>153229.93</c:v>
                </c:pt>
                <c:pt idx="5">
                  <c:v>385707.8</c:v>
                </c:pt>
                <c:pt idx="6">
                  <c:v>124310.04</c:v>
                </c:pt>
                <c:pt idx="7">
                  <c:v>223653.62</c:v>
                </c:pt>
                <c:pt idx="9">
                  <c:v>126934.85</c:v>
                </c:pt>
                <c:pt idx="10">
                  <c:v>212563.92</c:v>
                </c:pt>
                <c:pt idx="11">
                  <c:v>174527.99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6-4CF6-A52B-4EC967AC1EE1}"/>
            </c:ext>
          </c:extLst>
        </c:ser>
        <c:ser>
          <c:idx val="3"/>
          <c:order val="1"/>
          <c:tx>
            <c:strRef>
              <c:f>'22 June - 28 June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June - 28 June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June - 28 June 2020'!$D$5:$D$19</c:f>
              <c:numCache>
                <c:formatCode>#,##0.00</c:formatCode>
                <c:ptCount val="13"/>
                <c:pt idx="0">
                  <c:v>52216.160000000003</c:v>
                </c:pt>
                <c:pt idx="1">
                  <c:v>0</c:v>
                </c:pt>
                <c:pt idx="2">
                  <c:v>40317.99</c:v>
                </c:pt>
                <c:pt idx="3">
                  <c:v>0</c:v>
                </c:pt>
                <c:pt idx="4">
                  <c:v>88545.89</c:v>
                </c:pt>
                <c:pt idx="5">
                  <c:v>102239.35</c:v>
                </c:pt>
                <c:pt idx="6">
                  <c:v>33440.19</c:v>
                </c:pt>
                <c:pt idx="7">
                  <c:v>76478.66</c:v>
                </c:pt>
                <c:pt idx="8">
                  <c:v>0</c:v>
                </c:pt>
                <c:pt idx="9">
                  <c:v>27768.3</c:v>
                </c:pt>
                <c:pt idx="10">
                  <c:v>57267.01</c:v>
                </c:pt>
                <c:pt idx="11">
                  <c:v>48313.77</c:v>
                </c:pt>
                <c:pt idx="12">
                  <c:v>35850.35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6-4CF6-A52B-4EC967AC1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June - 5 July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June - 5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'29 June - 5 July 2020'!$C$5:$C$19</c:f>
              <c:numCache>
                <c:formatCode>#,##0.00</c:formatCode>
                <c:ptCount val="13"/>
                <c:pt idx="0">
                  <c:v>289905.34999999998</c:v>
                </c:pt>
                <c:pt idx="1">
                  <c:v>262280.90999999997</c:v>
                </c:pt>
                <c:pt idx="2">
                  <c:v>99818.07</c:v>
                </c:pt>
                <c:pt idx="4">
                  <c:v>151033.79</c:v>
                </c:pt>
                <c:pt idx="5">
                  <c:v>338755.04</c:v>
                </c:pt>
                <c:pt idx="6">
                  <c:v>130753.32</c:v>
                </c:pt>
                <c:pt idx="7">
                  <c:v>216356.41</c:v>
                </c:pt>
                <c:pt idx="8">
                  <c:v>216202.84</c:v>
                </c:pt>
                <c:pt idx="9">
                  <c:v>133866.99</c:v>
                </c:pt>
                <c:pt idx="10">
                  <c:v>204115.87</c:v>
                </c:pt>
                <c:pt idx="11">
                  <c:v>171677.33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C-449C-93F7-1BFEBE2A1C7C}"/>
            </c:ext>
          </c:extLst>
        </c:ser>
        <c:ser>
          <c:idx val="3"/>
          <c:order val="1"/>
          <c:tx>
            <c:strRef>
              <c:f>'29 June - 5 July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June - 5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'29 June - 5 July 2020'!$D$5:$D$19</c:f>
              <c:numCache>
                <c:formatCode>#,##0.00</c:formatCode>
                <c:ptCount val="13"/>
                <c:pt idx="0">
                  <c:v>76842.63</c:v>
                </c:pt>
                <c:pt idx="1">
                  <c:v>50110.12</c:v>
                </c:pt>
                <c:pt idx="2">
                  <c:v>43962.61</c:v>
                </c:pt>
                <c:pt idx="3">
                  <c:v>0</c:v>
                </c:pt>
                <c:pt idx="4">
                  <c:v>93462.3</c:v>
                </c:pt>
                <c:pt idx="5">
                  <c:v>101159.93</c:v>
                </c:pt>
                <c:pt idx="6">
                  <c:v>43792.43</c:v>
                </c:pt>
                <c:pt idx="7">
                  <c:v>85690.84</c:v>
                </c:pt>
                <c:pt idx="8">
                  <c:v>47775.05</c:v>
                </c:pt>
                <c:pt idx="9">
                  <c:v>34549.61</c:v>
                </c:pt>
                <c:pt idx="10">
                  <c:v>70811.86</c:v>
                </c:pt>
                <c:pt idx="11">
                  <c:v>72728.73</c:v>
                </c:pt>
                <c:pt idx="12">
                  <c:v>40314.31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DC-449C-93F7-1BFEBE2A1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July - 12 July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July - 12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'6 July - 12 July 2020'!$C$5:$C$19</c:f>
              <c:numCache>
                <c:formatCode>#,##0.00</c:formatCode>
                <c:ptCount val="13"/>
                <c:pt idx="0">
                  <c:v>226514.71</c:v>
                </c:pt>
                <c:pt idx="1">
                  <c:v>204794.67</c:v>
                </c:pt>
                <c:pt idx="2">
                  <c:v>95007.63</c:v>
                </c:pt>
                <c:pt idx="3">
                  <c:v>0</c:v>
                </c:pt>
                <c:pt idx="4">
                  <c:v>131503.14000000001</c:v>
                </c:pt>
                <c:pt idx="5">
                  <c:v>326039.56</c:v>
                </c:pt>
                <c:pt idx="6">
                  <c:v>125918.89</c:v>
                </c:pt>
                <c:pt idx="7">
                  <c:v>197895.08</c:v>
                </c:pt>
                <c:pt idx="8">
                  <c:v>157538.72</c:v>
                </c:pt>
                <c:pt idx="9">
                  <c:v>107345.47</c:v>
                </c:pt>
                <c:pt idx="10">
                  <c:v>190547.85</c:v>
                </c:pt>
                <c:pt idx="11">
                  <c:v>159732.85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99-496F-8C7E-E6BD2ADE0951}"/>
            </c:ext>
          </c:extLst>
        </c:ser>
        <c:ser>
          <c:idx val="3"/>
          <c:order val="1"/>
          <c:tx>
            <c:strRef>
              <c:f>'6 July - 12 July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July - 12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'6 July - 12 July 2020'!$D$5:$D$19</c:f>
              <c:numCache>
                <c:formatCode>#,##0.00</c:formatCode>
                <c:ptCount val="13"/>
                <c:pt idx="0">
                  <c:v>80792.570000000007</c:v>
                </c:pt>
                <c:pt idx="1">
                  <c:v>51345.599999999999</c:v>
                </c:pt>
                <c:pt idx="2">
                  <c:v>46298.73</c:v>
                </c:pt>
                <c:pt idx="3">
                  <c:v>0</c:v>
                </c:pt>
                <c:pt idx="4">
                  <c:v>81602.67</c:v>
                </c:pt>
                <c:pt idx="5">
                  <c:v>108225.4</c:v>
                </c:pt>
                <c:pt idx="6">
                  <c:v>43519.28</c:v>
                </c:pt>
                <c:pt idx="7">
                  <c:v>86048.79</c:v>
                </c:pt>
                <c:pt idx="8">
                  <c:v>53938.79</c:v>
                </c:pt>
                <c:pt idx="9">
                  <c:v>47187.09</c:v>
                </c:pt>
                <c:pt idx="10">
                  <c:v>63047.6</c:v>
                </c:pt>
                <c:pt idx="11">
                  <c:v>56017.279999999999</c:v>
                </c:pt>
                <c:pt idx="12">
                  <c:v>41469.71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9-496F-8C7E-E6BD2ADE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July - 19 July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July - 19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'13 July - 19 July 2020'!$C$5:$C$19</c:f>
              <c:numCache>
                <c:formatCode>#,##0.00</c:formatCode>
                <c:ptCount val="13"/>
                <c:pt idx="0">
                  <c:v>246778.34</c:v>
                </c:pt>
                <c:pt idx="1">
                  <c:v>191381.89</c:v>
                </c:pt>
                <c:pt idx="2">
                  <c:v>97633.12</c:v>
                </c:pt>
                <c:pt idx="3">
                  <c:v>0</c:v>
                </c:pt>
                <c:pt idx="4">
                  <c:v>142718.31</c:v>
                </c:pt>
                <c:pt idx="5">
                  <c:v>312926.61</c:v>
                </c:pt>
                <c:pt idx="6">
                  <c:v>130704.49</c:v>
                </c:pt>
                <c:pt idx="7">
                  <c:v>187064.58</c:v>
                </c:pt>
                <c:pt idx="8">
                  <c:v>151349.99</c:v>
                </c:pt>
                <c:pt idx="9">
                  <c:v>115444.65</c:v>
                </c:pt>
                <c:pt idx="10">
                  <c:v>188856.74</c:v>
                </c:pt>
                <c:pt idx="11">
                  <c:v>160386.38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A-4FFA-BD3B-DEB72ABD5E16}"/>
            </c:ext>
          </c:extLst>
        </c:ser>
        <c:ser>
          <c:idx val="3"/>
          <c:order val="1"/>
          <c:tx>
            <c:strRef>
              <c:f>'13 July - 19 July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July - 19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'13 July - 19 July 2020'!$D$5:$D$19</c:f>
              <c:numCache>
                <c:formatCode>#,##0.00</c:formatCode>
                <c:ptCount val="13"/>
                <c:pt idx="0">
                  <c:v>72545.98</c:v>
                </c:pt>
                <c:pt idx="1">
                  <c:v>58282.09</c:v>
                </c:pt>
                <c:pt idx="2">
                  <c:v>48298.25</c:v>
                </c:pt>
                <c:pt idx="3">
                  <c:v>0</c:v>
                </c:pt>
                <c:pt idx="4">
                  <c:v>74387.09</c:v>
                </c:pt>
                <c:pt idx="5">
                  <c:v>92576.49</c:v>
                </c:pt>
                <c:pt idx="6">
                  <c:v>41476.379999999997</c:v>
                </c:pt>
                <c:pt idx="7">
                  <c:v>91864.47</c:v>
                </c:pt>
                <c:pt idx="8">
                  <c:v>57907.26</c:v>
                </c:pt>
                <c:pt idx="9">
                  <c:v>46581.21</c:v>
                </c:pt>
                <c:pt idx="10">
                  <c:v>71145.759999999995</c:v>
                </c:pt>
                <c:pt idx="11">
                  <c:v>60684.03</c:v>
                </c:pt>
                <c:pt idx="12">
                  <c:v>34887.11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A-4FFA-BD3B-DEB72ABD5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July - 26 July 2020'!$C$3</c:f>
              <c:strCache>
                <c:ptCount val="1"/>
                <c:pt idx="0">
                  <c:v>LAST YEAR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July - 26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'20 July - 26 July 2020'!$C$5:$C$19</c:f>
              <c:numCache>
                <c:formatCode>#,##0.00</c:formatCode>
                <c:ptCount val="13"/>
                <c:pt idx="0">
                  <c:v>271945.84000000003</c:v>
                </c:pt>
                <c:pt idx="1">
                  <c:v>260258.72</c:v>
                </c:pt>
                <c:pt idx="2">
                  <c:v>125957.48</c:v>
                </c:pt>
                <c:pt idx="4">
                  <c:v>164093.67000000001</c:v>
                </c:pt>
                <c:pt idx="5">
                  <c:v>353967.18</c:v>
                </c:pt>
                <c:pt idx="6">
                  <c:v>130324.87</c:v>
                </c:pt>
                <c:pt idx="7">
                  <c:v>212060.52</c:v>
                </c:pt>
                <c:pt idx="8">
                  <c:v>129536.18</c:v>
                </c:pt>
                <c:pt idx="9">
                  <c:v>113373.11</c:v>
                </c:pt>
                <c:pt idx="10">
                  <c:v>198530.03</c:v>
                </c:pt>
                <c:pt idx="11">
                  <c:v>162511.62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C7-49C4-88F0-576741D23E64}"/>
            </c:ext>
          </c:extLst>
        </c:ser>
        <c:ser>
          <c:idx val="3"/>
          <c:order val="1"/>
          <c:tx>
            <c:strRef>
              <c:f>'20 July - 26 July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July - 26 July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'20 July - 26 July 2020'!$D$5:$D$19</c:f>
              <c:numCache>
                <c:formatCode>#,##0.00</c:formatCode>
                <c:ptCount val="13"/>
                <c:pt idx="0">
                  <c:v>94828.28</c:v>
                </c:pt>
                <c:pt idx="1">
                  <c:v>70362.240000000005</c:v>
                </c:pt>
                <c:pt idx="2">
                  <c:v>58768.38</c:v>
                </c:pt>
                <c:pt idx="3">
                  <c:v>0</c:v>
                </c:pt>
                <c:pt idx="4">
                  <c:v>74596.09</c:v>
                </c:pt>
                <c:pt idx="5">
                  <c:v>116729.46</c:v>
                </c:pt>
                <c:pt idx="6">
                  <c:v>49044.45</c:v>
                </c:pt>
                <c:pt idx="7">
                  <c:v>92021.6</c:v>
                </c:pt>
                <c:pt idx="8">
                  <c:v>60590.68</c:v>
                </c:pt>
                <c:pt idx="9">
                  <c:v>45783.199999999997</c:v>
                </c:pt>
                <c:pt idx="10">
                  <c:v>67673.73</c:v>
                </c:pt>
                <c:pt idx="11">
                  <c:v>75274.81</c:v>
                </c:pt>
                <c:pt idx="12">
                  <c:v>39302.01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C7-49C4-88F0-576741D23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July - 2 August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July - 2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'27 July - 2 August 2020'!$B$5:$B$19</c:f>
              <c:numCache>
                <c:formatCode>#,##0.00</c:formatCode>
                <c:ptCount val="13"/>
                <c:pt idx="0">
                  <c:v>94828.28</c:v>
                </c:pt>
                <c:pt idx="1">
                  <c:v>70362.240000000005</c:v>
                </c:pt>
                <c:pt idx="2">
                  <c:v>58768.38</c:v>
                </c:pt>
                <c:pt idx="3">
                  <c:v>0</c:v>
                </c:pt>
                <c:pt idx="4">
                  <c:v>74596.09</c:v>
                </c:pt>
                <c:pt idx="5">
                  <c:v>116729.46</c:v>
                </c:pt>
                <c:pt idx="6">
                  <c:v>49044.45</c:v>
                </c:pt>
                <c:pt idx="7">
                  <c:v>92021.6</c:v>
                </c:pt>
                <c:pt idx="8">
                  <c:v>60590.68</c:v>
                </c:pt>
                <c:pt idx="9">
                  <c:v>45783.199999999997</c:v>
                </c:pt>
                <c:pt idx="10">
                  <c:v>67673.73</c:v>
                </c:pt>
                <c:pt idx="11">
                  <c:v>75274.81</c:v>
                </c:pt>
                <c:pt idx="12">
                  <c:v>39302.01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EB-4440-B015-6F925CCA24E0}"/>
            </c:ext>
          </c:extLst>
        </c:ser>
        <c:ser>
          <c:idx val="3"/>
          <c:order val="1"/>
          <c:tx>
            <c:strRef>
              <c:f>'27 July - 2 August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July - 2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'27 July - 2 August 2020'!$D$5:$D$19</c:f>
              <c:numCache>
                <c:formatCode>#,##0.00</c:formatCode>
                <c:ptCount val="13"/>
                <c:pt idx="0">
                  <c:v>113180.17</c:v>
                </c:pt>
                <c:pt idx="1">
                  <c:v>95683.98</c:v>
                </c:pt>
                <c:pt idx="2">
                  <c:v>73006.92</c:v>
                </c:pt>
                <c:pt idx="3">
                  <c:v>0</c:v>
                </c:pt>
                <c:pt idx="4">
                  <c:v>99765.32</c:v>
                </c:pt>
                <c:pt idx="5">
                  <c:v>124064.25</c:v>
                </c:pt>
                <c:pt idx="6">
                  <c:v>55893.07</c:v>
                </c:pt>
                <c:pt idx="7">
                  <c:v>115238.2</c:v>
                </c:pt>
                <c:pt idx="8">
                  <c:v>79999.16</c:v>
                </c:pt>
                <c:pt idx="9">
                  <c:v>62056.69</c:v>
                </c:pt>
                <c:pt idx="10">
                  <c:v>92644.31</c:v>
                </c:pt>
                <c:pt idx="11">
                  <c:v>75120.53</c:v>
                </c:pt>
                <c:pt idx="12">
                  <c:v>62483.34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EB-4440-B015-6F925CCA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 August - 9 August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 August - 9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August - 9 August 2020'!$B$5:$B$19</c:f>
              <c:numCache>
                <c:formatCode>#,##0.00</c:formatCode>
                <c:ptCount val="13"/>
                <c:pt idx="0">
                  <c:v>113180.17</c:v>
                </c:pt>
                <c:pt idx="1">
                  <c:v>95683.98</c:v>
                </c:pt>
                <c:pt idx="2">
                  <c:v>73006.92</c:v>
                </c:pt>
                <c:pt idx="3">
                  <c:v>0</c:v>
                </c:pt>
                <c:pt idx="4">
                  <c:v>99765.32</c:v>
                </c:pt>
                <c:pt idx="5">
                  <c:v>124064.25</c:v>
                </c:pt>
                <c:pt idx="6">
                  <c:v>55893.07</c:v>
                </c:pt>
                <c:pt idx="7">
                  <c:v>115238.2</c:v>
                </c:pt>
                <c:pt idx="8">
                  <c:v>79999.16</c:v>
                </c:pt>
                <c:pt idx="9">
                  <c:v>62056.69</c:v>
                </c:pt>
                <c:pt idx="10">
                  <c:v>92644.31</c:v>
                </c:pt>
                <c:pt idx="11">
                  <c:v>75120.53</c:v>
                </c:pt>
                <c:pt idx="12">
                  <c:v>62483.34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9-421B-ABB7-C0EE4D3BB535}"/>
            </c:ext>
          </c:extLst>
        </c:ser>
        <c:ser>
          <c:idx val="3"/>
          <c:order val="1"/>
          <c:tx>
            <c:strRef>
              <c:f>'3 August - 9 August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 August - 9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August - 9 August 2020'!$D$5:$D$19</c:f>
              <c:numCache>
                <c:formatCode>#,##0.00</c:formatCode>
                <c:ptCount val="13"/>
                <c:pt idx="0">
                  <c:v>112106.32</c:v>
                </c:pt>
                <c:pt idx="1">
                  <c:v>88114</c:v>
                </c:pt>
                <c:pt idx="2">
                  <c:v>61802.85</c:v>
                </c:pt>
                <c:pt idx="3">
                  <c:v>0</c:v>
                </c:pt>
                <c:pt idx="4">
                  <c:v>97609.38</c:v>
                </c:pt>
                <c:pt idx="5">
                  <c:v>140006.54999999999</c:v>
                </c:pt>
                <c:pt idx="6">
                  <c:v>55535.83</c:v>
                </c:pt>
                <c:pt idx="7">
                  <c:v>98860.87</c:v>
                </c:pt>
                <c:pt idx="8">
                  <c:v>107151.8</c:v>
                </c:pt>
                <c:pt idx="9">
                  <c:v>56624.28</c:v>
                </c:pt>
                <c:pt idx="10">
                  <c:v>83224.039999999994</c:v>
                </c:pt>
                <c:pt idx="11">
                  <c:v>69905.84</c:v>
                </c:pt>
                <c:pt idx="12">
                  <c:v>50010.15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9-421B-ABB7-C0EE4D3BB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August - 16 August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August - 16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August - 16 August 2020'!$B$5:$B$19</c:f>
              <c:numCache>
                <c:formatCode>#,##0.00</c:formatCode>
                <c:ptCount val="13"/>
                <c:pt idx="0">
                  <c:v>112106.32</c:v>
                </c:pt>
                <c:pt idx="1">
                  <c:v>88114</c:v>
                </c:pt>
                <c:pt idx="2">
                  <c:v>61802.85</c:v>
                </c:pt>
                <c:pt idx="3">
                  <c:v>0</c:v>
                </c:pt>
                <c:pt idx="4">
                  <c:v>97609.38</c:v>
                </c:pt>
                <c:pt idx="5">
                  <c:v>140006.54999999999</c:v>
                </c:pt>
                <c:pt idx="6">
                  <c:v>55535.83</c:v>
                </c:pt>
                <c:pt idx="7">
                  <c:v>98860.87</c:v>
                </c:pt>
                <c:pt idx="8">
                  <c:v>107151.8</c:v>
                </c:pt>
                <c:pt idx="9">
                  <c:v>56624.28</c:v>
                </c:pt>
                <c:pt idx="10">
                  <c:v>83224.039999999994</c:v>
                </c:pt>
                <c:pt idx="11">
                  <c:v>69905.84</c:v>
                </c:pt>
                <c:pt idx="12">
                  <c:v>50010.15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1-435D-88A6-6FE2610B4086}"/>
            </c:ext>
          </c:extLst>
        </c:ser>
        <c:ser>
          <c:idx val="3"/>
          <c:order val="1"/>
          <c:tx>
            <c:strRef>
              <c:f>'10 August - 16 August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August - 16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August - 16 August 2020'!$D$5:$D$19</c:f>
              <c:numCache>
                <c:formatCode>#,##0.00</c:formatCode>
                <c:ptCount val="13"/>
                <c:pt idx="0">
                  <c:v>145715.87</c:v>
                </c:pt>
                <c:pt idx="1">
                  <c:v>95568.74</c:v>
                </c:pt>
                <c:pt idx="2">
                  <c:v>70400.77</c:v>
                </c:pt>
                <c:pt idx="3">
                  <c:v>0</c:v>
                </c:pt>
                <c:pt idx="4">
                  <c:v>110791.55</c:v>
                </c:pt>
                <c:pt idx="5">
                  <c:v>149185.19</c:v>
                </c:pt>
                <c:pt idx="6">
                  <c:v>58499.72</c:v>
                </c:pt>
                <c:pt idx="7">
                  <c:v>114003.83</c:v>
                </c:pt>
                <c:pt idx="8">
                  <c:v>81421.259999999995</c:v>
                </c:pt>
                <c:pt idx="9">
                  <c:v>81736.92</c:v>
                </c:pt>
                <c:pt idx="10">
                  <c:v>98739.67</c:v>
                </c:pt>
                <c:pt idx="11">
                  <c:v>90858.2</c:v>
                </c:pt>
                <c:pt idx="12">
                  <c:v>65624.5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51-435D-88A6-6FE2610B4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August - 23 August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August - 23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August - 23 August 2020'!$B$5:$B$19</c:f>
              <c:numCache>
                <c:formatCode>#,##0.00</c:formatCode>
                <c:ptCount val="13"/>
                <c:pt idx="0">
                  <c:v>145715.87</c:v>
                </c:pt>
                <c:pt idx="1">
                  <c:v>95568.74</c:v>
                </c:pt>
                <c:pt idx="2">
                  <c:v>70400.77</c:v>
                </c:pt>
                <c:pt idx="3">
                  <c:v>0</c:v>
                </c:pt>
                <c:pt idx="4">
                  <c:v>110791.55</c:v>
                </c:pt>
                <c:pt idx="5">
                  <c:v>149185.19</c:v>
                </c:pt>
                <c:pt idx="6">
                  <c:v>58499.72</c:v>
                </c:pt>
                <c:pt idx="7">
                  <c:v>114003.83</c:v>
                </c:pt>
                <c:pt idx="8">
                  <c:v>81421.259999999995</c:v>
                </c:pt>
                <c:pt idx="9">
                  <c:v>81736.92</c:v>
                </c:pt>
                <c:pt idx="10">
                  <c:v>98739.67</c:v>
                </c:pt>
                <c:pt idx="11">
                  <c:v>90858.2</c:v>
                </c:pt>
                <c:pt idx="12">
                  <c:v>65624.5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C-4038-A5F1-92EA487D97DE}"/>
            </c:ext>
          </c:extLst>
        </c:ser>
        <c:ser>
          <c:idx val="3"/>
          <c:order val="1"/>
          <c:tx>
            <c:strRef>
              <c:f>'17 August - 23 August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August - 23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August - 23 August 2020'!$D$5:$D$19</c:f>
              <c:numCache>
                <c:formatCode>#,##0.00</c:formatCode>
                <c:ptCount val="13"/>
                <c:pt idx="0">
                  <c:v>148267.9</c:v>
                </c:pt>
                <c:pt idx="1">
                  <c:v>148887.1</c:v>
                </c:pt>
                <c:pt idx="2">
                  <c:v>97802.64</c:v>
                </c:pt>
                <c:pt idx="3">
                  <c:v>0</c:v>
                </c:pt>
                <c:pt idx="4">
                  <c:v>133499.70000000001</c:v>
                </c:pt>
                <c:pt idx="5">
                  <c:v>217481.9</c:v>
                </c:pt>
                <c:pt idx="6">
                  <c:v>97296.56</c:v>
                </c:pt>
                <c:pt idx="7">
                  <c:v>159754.29999999999</c:v>
                </c:pt>
                <c:pt idx="8">
                  <c:v>127454.9</c:v>
                </c:pt>
                <c:pt idx="9">
                  <c:v>98588.4</c:v>
                </c:pt>
                <c:pt idx="10">
                  <c:v>156661</c:v>
                </c:pt>
                <c:pt idx="11">
                  <c:v>97925.73</c:v>
                </c:pt>
                <c:pt idx="12">
                  <c:v>59201.27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C-4038-A5F1-92EA487D9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August - 30 August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August - 30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August - 30 August 2020'!$B$5:$B$19</c:f>
              <c:numCache>
                <c:formatCode>#,##0.00</c:formatCode>
                <c:ptCount val="13"/>
                <c:pt idx="0">
                  <c:v>148267.9</c:v>
                </c:pt>
                <c:pt idx="1">
                  <c:v>148887.1</c:v>
                </c:pt>
                <c:pt idx="2">
                  <c:v>97802.64</c:v>
                </c:pt>
                <c:pt idx="3">
                  <c:v>0</c:v>
                </c:pt>
                <c:pt idx="4">
                  <c:v>133499.70000000001</c:v>
                </c:pt>
                <c:pt idx="5">
                  <c:v>217481.9</c:v>
                </c:pt>
                <c:pt idx="6">
                  <c:v>97296.56</c:v>
                </c:pt>
                <c:pt idx="7">
                  <c:v>159754.29999999999</c:v>
                </c:pt>
                <c:pt idx="8">
                  <c:v>127454.9</c:v>
                </c:pt>
                <c:pt idx="9">
                  <c:v>98588.4</c:v>
                </c:pt>
                <c:pt idx="10">
                  <c:v>156661</c:v>
                </c:pt>
                <c:pt idx="11">
                  <c:v>97925.73</c:v>
                </c:pt>
                <c:pt idx="12">
                  <c:v>59201.27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E-4B1C-B02B-EC9E90314096}"/>
            </c:ext>
          </c:extLst>
        </c:ser>
        <c:ser>
          <c:idx val="3"/>
          <c:order val="1"/>
          <c:tx>
            <c:strRef>
              <c:f>'24 August - 30 August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August - 30 August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August - 30 August 2020'!$D$5:$D$19</c:f>
              <c:numCache>
                <c:formatCode>#,##0.00</c:formatCode>
                <c:ptCount val="13"/>
                <c:pt idx="0">
                  <c:v>159546.92000000001</c:v>
                </c:pt>
                <c:pt idx="1">
                  <c:v>159359.63</c:v>
                </c:pt>
                <c:pt idx="2">
                  <c:v>89576.67</c:v>
                </c:pt>
                <c:pt idx="3">
                  <c:v>167047.18</c:v>
                </c:pt>
                <c:pt idx="4">
                  <c:v>125718.07</c:v>
                </c:pt>
                <c:pt idx="5">
                  <c:v>225625.91</c:v>
                </c:pt>
                <c:pt idx="6">
                  <c:v>87304.83</c:v>
                </c:pt>
                <c:pt idx="7">
                  <c:v>157305.47</c:v>
                </c:pt>
                <c:pt idx="8">
                  <c:v>143641.04999999999</c:v>
                </c:pt>
                <c:pt idx="9">
                  <c:v>102765.68</c:v>
                </c:pt>
                <c:pt idx="10">
                  <c:v>159701.51</c:v>
                </c:pt>
                <c:pt idx="11">
                  <c:v>122016.15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E-4B1C-B02B-EC9E9031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'31 August - 6 Sept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'31 August - 6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'31 August - 6 Sept 2020'!$B$5:$B$19</c:f>
              <c:numCache>
                <c:formatCode>#,##0.00</c:formatCode>
                <c:ptCount val="13"/>
                <c:pt idx="0">
                  <c:v>159546.92000000001</c:v>
                </c:pt>
                <c:pt idx="1">
                  <c:v>159359.63</c:v>
                </c:pt>
                <c:pt idx="2">
                  <c:v>89576.67</c:v>
                </c:pt>
                <c:pt idx="3">
                  <c:v>167047.18</c:v>
                </c:pt>
                <c:pt idx="4">
                  <c:v>125718.07</c:v>
                </c:pt>
                <c:pt idx="5">
                  <c:v>225625.91</c:v>
                </c:pt>
                <c:pt idx="6">
                  <c:v>87304.83</c:v>
                </c:pt>
                <c:pt idx="7">
                  <c:v>157305.47</c:v>
                </c:pt>
                <c:pt idx="8">
                  <c:v>143641.04999999999</c:v>
                </c:pt>
                <c:pt idx="9">
                  <c:v>102765.68</c:v>
                </c:pt>
                <c:pt idx="10">
                  <c:v>159701.51</c:v>
                </c:pt>
                <c:pt idx="11">
                  <c:v>122016.15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88-4647-8A43-4F5F296D181B}"/>
            </c:ext>
          </c:extLst>
        </c:ser>
        <c:ser>
          <c:idx val="3"/>
          <c:order val="1"/>
          <c:tx>
            <c:strRef>
              <c:f>'31 August - 6 Sept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'31 August - 6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'31 August - 6 Sept 2020'!$D$5:$D$19</c:f>
              <c:numCache>
                <c:formatCode>#,##0.00</c:formatCode>
                <c:ptCount val="13"/>
                <c:pt idx="0">
                  <c:v>182984.25</c:v>
                </c:pt>
                <c:pt idx="1">
                  <c:v>157601.76</c:v>
                </c:pt>
                <c:pt idx="2">
                  <c:v>105575.56</c:v>
                </c:pt>
                <c:pt idx="3">
                  <c:v>192741.92</c:v>
                </c:pt>
                <c:pt idx="4">
                  <c:v>118272</c:v>
                </c:pt>
                <c:pt idx="5">
                  <c:v>257820.21</c:v>
                </c:pt>
                <c:pt idx="6">
                  <c:v>104337.88</c:v>
                </c:pt>
                <c:pt idx="7">
                  <c:v>160475.67000000001</c:v>
                </c:pt>
                <c:pt idx="8">
                  <c:v>148414.68</c:v>
                </c:pt>
                <c:pt idx="9">
                  <c:v>102976.22</c:v>
                </c:pt>
                <c:pt idx="10">
                  <c:v>145847.21</c:v>
                </c:pt>
                <c:pt idx="11">
                  <c:v>119750.29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88-4647-8A43-4F5F296D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Sept - 13 Sept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Sept - 13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Sept - 13 Sept 2020'!$B$5:$B$19</c:f>
              <c:numCache>
                <c:formatCode>#,##0.00</c:formatCode>
                <c:ptCount val="13"/>
                <c:pt idx="0">
                  <c:v>182984.25</c:v>
                </c:pt>
                <c:pt idx="1">
                  <c:v>157601.76</c:v>
                </c:pt>
                <c:pt idx="2">
                  <c:v>105575.56</c:v>
                </c:pt>
                <c:pt idx="3">
                  <c:v>192741.92</c:v>
                </c:pt>
                <c:pt idx="4">
                  <c:v>118272</c:v>
                </c:pt>
                <c:pt idx="5">
                  <c:v>257820.21</c:v>
                </c:pt>
                <c:pt idx="6">
                  <c:v>104337.88</c:v>
                </c:pt>
                <c:pt idx="7">
                  <c:v>160475.67000000001</c:v>
                </c:pt>
                <c:pt idx="8">
                  <c:v>148414.68</c:v>
                </c:pt>
                <c:pt idx="9">
                  <c:v>102976.22</c:v>
                </c:pt>
                <c:pt idx="10">
                  <c:v>145847.21</c:v>
                </c:pt>
                <c:pt idx="11">
                  <c:v>119750.29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6-4653-9FBD-381647E6D55C}"/>
            </c:ext>
          </c:extLst>
        </c:ser>
        <c:ser>
          <c:idx val="3"/>
          <c:order val="1"/>
          <c:tx>
            <c:strRef>
              <c:f>'7 Sept - 13 Sept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Sept - 13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Sept - 13 Sept 2020'!$D$5:$D$19</c:f>
              <c:numCache>
                <c:formatCode>#,##0.00</c:formatCode>
                <c:ptCount val="13"/>
                <c:pt idx="0">
                  <c:v>172765.9</c:v>
                </c:pt>
                <c:pt idx="1">
                  <c:v>143196.01</c:v>
                </c:pt>
                <c:pt idx="2">
                  <c:v>90991.77</c:v>
                </c:pt>
                <c:pt idx="3">
                  <c:v>168420.84</c:v>
                </c:pt>
                <c:pt idx="4">
                  <c:v>107290.46</c:v>
                </c:pt>
                <c:pt idx="5">
                  <c:v>235120.91</c:v>
                </c:pt>
                <c:pt idx="6">
                  <c:v>86007.75</c:v>
                </c:pt>
                <c:pt idx="7">
                  <c:v>151321.60999999999</c:v>
                </c:pt>
                <c:pt idx="8">
                  <c:v>141895.69</c:v>
                </c:pt>
                <c:pt idx="9">
                  <c:v>99944.92</c:v>
                </c:pt>
                <c:pt idx="10">
                  <c:v>166839.26</c:v>
                </c:pt>
                <c:pt idx="11">
                  <c:v>102846.8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6-4653-9FBD-381647E6D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Sept - 20 Sept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Sept - 20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Sept - 20 Sept 2020'!$B$5:$B$19</c:f>
              <c:numCache>
                <c:formatCode>#,##0.00</c:formatCode>
                <c:ptCount val="13"/>
                <c:pt idx="0">
                  <c:v>172765.9</c:v>
                </c:pt>
                <c:pt idx="1">
                  <c:v>143196.01</c:v>
                </c:pt>
                <c:pt idx="2">
                  <c:v>90991.77</c:v>
                </c:pt>
                <c:pt idx="3">
                  <c:v>168420.84</c:v>
                </c:pt>
                <c:pt idx="4">
                  <c:v>107290.46</c:v>
                </c:pt>
                <c:pt idx="5">
                  <c:v>235120.91</c:v>
                </c:pt>
                <c:pt idx="6">
                  <c:v>86007.75</c:v>
                </c:pt>
                <c:pt idx="7">
                  <c:v>151321.60999999999</c:v>
                </c:pt>
                <c:pt idx="8">
                  <c:v>141895.69</c:v>
                </c:pt>
                <c:pt idx="9">
                  <c:v>99944.92</c:v>
                </c:pt>
                <c:pt idx="10">
                  <c:v>166839.26</c:v>
                </c:pt>
                <c:pt idx="11">
                  <c:v>102846.8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B-49B3-BC5D-72E3FD54BBDF}"/>
            </c:ext>
          </c:extLst>
        </c:ser>
        <c:ser>
          <c:idx val="3"/>
          <c:order val="1"/>
          <c:tx>
            <c:strRef>
              <c:f>'14 Sept - 20 Sept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Sept - 20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Sept - 20 Sept 2020'!$D$5:$D$19</c:f>
              <c:numCache>
                <c:formatCode>#,##0.00</c:formatCode>
                <c:ptCount val="13"/>
                <c:pt idx="0">
                  <c:v>186396.77</c:v>
                </c:pt>
                <c:pt idx="1">
                  <c:v>147411.68</c:v>
                </c:pt>
                <c:pt idx="2">
                  <c:v>98204.57</c:v>
                </c:pt>
                <c:pt idx="3">
                  <c:v>191314.49</c:v>
                </c:pt>
                <c:pt idx="4">
                  <c:v>119965.3</c:v>
                </c:pt>
                <c:pt idx="5">
                  <c:v>214047.72</c:v>
                </c:pt>
                <c:pt idx="6">
                  <c:v>81184.59</c:v>
                </c:pt>
                <c:pt idx="7">
                  <c:v>167682.76999999999</c:v>
                </c:pt>
                <c:pt idx="8">
                  <c:v>163505.59</c:v>
                </c:pt>
                <c:pt idx="9">
                  <c:v>102940.88</c:v>
                </c:pt>
                <c:pt idx="10">
                  <c:v>174633.4</c:v>
                </c:pt>
                <c:pt idx="11">
                  <c:v>146391.43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8B-49B3-BC5D-72E3FD54B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Sept - 27 Sept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Sept - 27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Sept - 27 Sept 2020'!$B$5:$B$19</c:f>
              <c:numCache>
                <c:formatCode>#,##0.00</c:formatCode>
                <c:ptCount val="13"/>
                <c:pt idx="0">
                  <c:v>186396.77</c:v>
                </c:pt>
                <c:pt idx="1">
                  <c:v>147411.68</c:v>
                </c:pt>
                <c:pt idx="2">
                  <c:v>98204.57</c:v>
                </c:pt>
                <c:pt idx="3">
                  <c:v>191314.49</c:v>
                </c:pt>
                <c:pt idx="4">
                  <c:v>119965.3</c:v>
                </c:pt>
                <c:pt idx="5">
                  <c:v>214047.72</c:v>
                </c:pt>
                <c:pt idx="6">
                  <c:v>81184.59</c:v>
                </c:pt>
                <c:pt idx="7">
                  <c:v>167682.76999999999</c:v>
                </c:pt>
                <c:pt idx="8">
                  <c:v>163505.59</c:v>
                </c:pt>
                <c:pt idx="9">
                  <c:v>102940.88</c:v>
                </c:pt>
                <c:pt idx="10">
                  <c:v>174633.4</c:v>
                </c:pt>
                <c:pt idx="11">
                  <c:v>146391.43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4-4D2E-94C2-79027E9136E6}"/>
            </c:ext>
          </c:extLst>
        </c:ser>
        <c:ser>
          <c:idx val="3"/>
          <c:order val="1"/>
          <c:tx>
            <c:strRef>
              <c:f>'21 Sept - 27 Sept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Sept - 27 Sept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Sept - 27 Sept 2020'!$D$5:$D$19</c:f>
              <c:numCache>
                <c:formatCode>#,##0.00</c:formatCode>
                <c:ptCount val="13"/>
                <c:pt idx="0">
                  <c:v>193260.1</c:v>
                </c:pt>
                <c:pt idx="1">
                  <c:v>188913.6</c:v>
                </c:pt>
                <c:pt idx="2">
                  <c:v>89530.68</c:v>
                </c:pt>
                <c:pt idx="3">
                  <c:v>200774.8</c:v>
                </c:pt>
                <c:pt idx="4">
                  <c:v>103165.87</c:v>
                </c:pt>
                <c:pt idx="5">
                  <c:v>228682.9</c:v>
                </c:pt>
                <c:pt idx="6">
                  <c:v>81582.960000000006</c:v>
                </c:pt>
                <c:pt idx="7">
                  <c:v>137655.6</c:v>
                </c:pt>
                <c:pt idx="8">
                  <c:v>291679.7</c:v>
                </c:pt>
                <c:pt idx="9">
                  <c:v>96179.65</c:v>
                </c:pt>
                <c:pt idx="10">
                  <c:v>167831.4</c:v>
                </c:pt>
                <c:pt idx="11">
                  <c:v>121073.1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4-4D2E-94C2-79027E913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Sept - 4 Oct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Sept - 4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Sept - 4 Oct 2020'!$B$5:$B$19</c:f>
              <c:numCache>
                <c:formatCode>#,##0.00</c:formatCode>
                <c:ptCount val="13"/>
                <c:pt idx="0">
                  <c:v>193260.1</c:v>
                </c:pt>
                <c:pt idx="1">
                  <c:v>188913.6</c:v>
                </c:pt>
                <c:pt idx="2">
                  <c:v>89530.68</c:v>
                </c:pt>
                <c:pt idx="3">
                  <c:v>200774.8</c:v>
                </c:pt>
                <c:pt idx="4">
                  <c:v>103165.87</c:v>
                </c:pt>
                <c:pt idx="5">
                  <c:v>228682.9</c:v>
                </c:pt>
                <c:pt idx="6">
                  <c:v>81582.960000000006</c:v>
                </c:pt>
                <c:pt idx="7">
                  <c:v>137655.6</c:v>
                </c:pt>
                <c:pt idx="8">
                  <c:v>291679.7</c:v>
                </c:pt>
                <c:pt idx="9">
                  <c:v>96179.65</c:v>
                </c:pt>
                <c:pt idx="10">
                  <c:v>167831.4</c:v>
                </c:pt>
                <c:pt idx="11">
                  <c:v>121073.1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8-4730-87B9-688235258A8F}"/>
            </c:ext>
          </c:extLst>
        </c:ser>
        <c:ser>
          <c:idx val="3"/>
          <c:order val="1"/>
          <c:tx>
            <c:strRef>
              <c:f>'28 Sept - 4 Oct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Sept - 4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Sept - 4 Oct 2020'!$D$5:$D$19</c:f>
              <c:numCache>
                <c:formatCode>#,##0.00</c:formatCode>
                <c:ptCount val="13"/>
                <c:pt idx="0">
                  <c:v>192931.3</c:v>
                </c:pt>
                <c:pt idx="1">
                  <c:v>164012.6</c:v>
                </c:pt>
                <c:pt idx="2">
                  <c:v>97836.06</c:v>
                </c:pt>
                <c:pt idx="3">
                  <c:v>207464.7</c:v>
                </c:pt>
                <c:pt idx="4">
                  <c:v>122448.05</c:v>
                </c:pt>
                <c:pt idx="5">
                  <c:v>246009.2</c:v>
                </c:pt>
                <c:pt idx="6">
                  <c:v>89526.53</c:v>
                </c:pt>
                <c:pt idx="7">
                  <c:v>174284.5</c:v>
                </c:pt>
                <c:pt idx="8">
                  <c:v>154450.5</c:v>
                </c:pt>
                <c:pt idx="9">
                  <c:v>122050.93</c:v>
                </c:pt>
                <c:pt idx="10">
                  <c:v>170350.2</c:v>
                </c:pt>
                <c:pt idx="11">
                  <c:v>134288.29999999999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8-4730-87B9-688235258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Oct - 11 Oct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Oct - 11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'5 Oct - 11 Oct 2020'!$B$5:$B$19</c:f>
              <c:numCache>
                <c:formatCode>#,##0.00</c:formatCode>
                <c:ptCount val="13"/>
                <c:pt idx="0">
                  <c:v>192931.3</c:v>
                </c:pt>
                <c:pt idx="1">
                  <c:v>164012.6</c:v>
                </c:pt>
                <c:pt idx="2">
                  <c:v>97836.06</c:v>
                </c:pt>
                <c:pt idx="3">
                  <c:v>207464.7</c:v>
                </c:pt>
                <c:pt idx="4">
                  <c:v>122448.05</c:v>
                </c:pt>
                <c:pt idx="5">
                  <c:v>246009.2</c:v>
                </c:pt>
                <c:pt idx="6">
                  <c:v>89526.53</c:v>
                </c:pt>
                <c:pt idx="7">
                  <c:v>174284.5</c:v>
                </c:pt>
                <c:pt idx="8">
                  <c:v>154450.5</c:v>
                </c:pt>
                <c:pt idx="9">
                  <c:v>122050.93</c:v>
                </c:pt>
                <c:pt idx="10">
                  <c:v>170350.2</c:v>
                </c:pt>
                <c:pt idx="11">
                  <c:v>134288.29999999999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9-4BD4-A4AD-64ECD42D9942}"/>
            </c:ext>
          </c:extLst>
        </c:ser>
        <c:ser>
          <c:idx val="3"/>
          <c:order val="1"/>
          <c:tx>
            <c:strRef>
              <c:f>'5 Oct - 11 Oct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Oct - 11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'5 Oct - 11 Oct 2020'!$D$5:$D$19</c:f>
              <c:numCache>
                <c:formatCode>#,##0.00</c:formatCode>
                <c:ptCount val="13"/>
                <c:pt idx="0">
                  <c:v>177764.4</c:v>
                </c:pt>
                <c:pt idx="1">
                  <c:v>151403.29999999999</c:v>
                </c:pt>
                <c:pt idx="2">
                  <c:v>87382.74</c:v>
                </c:pt>
                <c:pt idx="3">
                  <c:v>215845.3</c:v>
                </c:pt>
                <c:pt idx="4">
                  <c:v>131049.9</c:v>
                </c:pt>
                <c:pt idx="5">
                  <c:v>275216.7</c:v>
                </c:pt>
                <c:pt idx="6">
                  <c:v>87023.79</c:v>
                </c:pt>
                <c:pt idx="7">
                  <c:v>172397.2</c:v>
                </c:pt>
                <c:pt idx="8">
                  <c:v>163420.6</c:v>
                </c:pt>
                <c:pt idx="9">
                  <c:v>95734.88</c:v>
                </c:pt>
                <c:pt idx="10">
                  <c:v>164050.76</c:v>
                </c:pt>
                <c:pt idx="11">
                  <c:v>128300.32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09-4BD4-A4AD-64ECD42D9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Oct - 18 Oct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Oct - 18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'12 Oct - 18 Oct 2020'!$B$5:$B$19</c:f>
              <c:numCache>
                <c:formatCode>#,##0.00</c:formatCode>
                <c:ptCount val="13"/>
                <c:pt idx="0">
                  <c:v>177764.4</c:v>
                </c:pt>
                <c:pt idx="1">
                  <c:v>151403.29999999999</c:v>
                </c:pt>
                <c:pt idx="2">
                  <c:v>87382.74</c:v>
                </c:pt>
                <c:pt idx="3">
                  <c:v>215845.3</c:v>
                </c:pt>
                <c:pt idx="4">
                  <c:v>131049.9</c:v>
                </c:pt>
                <c:pt idx="5">
                  <c:v>275216.7</c:v>
                </c:pt>
                <c:pt idx="6">
                  <c:v>87023.79</c:v>
                </c:pt>
                <c:pt idx="7">
                  <c:v>172397.2</c:v>
                </c:pt>
                <c:pt idx="8">
                  <c:v>163420.6</c:v>
                </c:pt>
                <c:pt idx="9">
                  <c:v>95734.88</c:v>
                </c:pt>
                <c:pt idx="10">
                  <c:v>164050.76</c:v>
                </c:pt>
                <c:pt idx="11">
                  <c:v>128300.32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08-43C3-8FCA-06361EA088F2}"/>
            </c:ext>
          </c:extLst>
        </c:ser>
        <c:ser>
          <c:idx val="3"/>
          <c:order val="1"/>
          <c:tx>
            <c:strRef>
              <c:f>'12 Oct - 18 Oct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Oct - 18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'12 Oct - 18 Oct 2020'!$D$5:$D$19</c:f>
              <c:numCache>
                <c:formatCode>#,##0.00</c:formatCode>
                <c:ptCount val="13"/>
                <c:pt idx="0">
                  <c:v>202092.61</c:v>
                </c:pt>
                <c:pt idx="1">
                  <c:v>144428.65</c:v>
                </c:pt>
                <c:pt idx="2">
                  <c:v>96801.22</c:v>
                </c:pt>
                <c:pt idx="3">
                  <c:v>220338.1</c:v>
                </c:pt>
                <c:pt idx="4">
                  <c:v>115678.41</c:v>
                </c:pt>
                <c:pt idx="5">
                  <c:v>229531.73</c:v>
                </c:pt>
                <c:pt idx="6">
                  <c:v>93061.9</c:v>
                </c:pt>
                <c:pt idx="7">
                  <c:v>160602.72</c:v>
                </c:pt>
                <c:pt idx="8">
                  <c:v>178044.11</c:v>
                </c:pt>
                <c:pt idx="9">
                  <c:v>108945.64</c:v>
                </c:pt>
                <c:pt idx="10">
                  <c:v>186599.06</c:v>
                </c:pt>
                <c:pt idx="11">
                  <c:v>134728.09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08-43C3-8FCA-06361EA08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Oct - 25 Oct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Oct - 25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'19 Oct - 25 Oct 2020'!$B$5:$B$19</c:f>
              <c:numCache>
                <c:formatCode>#,##0.00</c:formatCode>
                <c:ptCount val="13"/>
                <c:pt idx="0">
                  <c:v>202092.61</c:v>
                </c:pt>
                <c:pt idx="1">
                  <c:v>144428.65</c:v>
                </c:pt>
                <c:pt idx="2">
                  <c:v>96801.22</c:v>
                </c:pt>
                <c:pt idx="3">
                  <c:v>220338.1</c:v>
                </c:pt>
                <c:pt idx="4">
                  <c:v>115678.41</c:v>
                </c:pt>
                <c:pt idx="5">
                  <c:v>229531.73</c:v>
                </c:pt>
                <c:pt idx="6">
                  <c:v>93061.9</c:v>
                </c:pt>
                <c:pt idx="7">
                  <c:v>160602.72</c:v>
                </c:pt>
                <c:pt idx="8">
                  <c:v>178044.11</c:v>
                </c:pt>
                <c:pt idx="9">
                  <c:v>108945.64</c:v>
                </c:pt>
                <c:pt idx="10">
                  <c:v>186599.06</c:v>
                </c:pt>
                <c:pt idx="11">
                  <c:v>134728.09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76-484F-ABC8-203C77590134}"/>
            </c:ext>
          </c:extLst>
        </c:ser>
        <c:ser>
          <c:idx val="3"/>
          <c:order val="1"/>
          <c:tx>
            <c:strRef>
              <c:f>'19 Oct - 25 Oct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Oct - 25 Oct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'19 Oct - 25 Oct 2020'!$D$5:$D$19</c:f>
              <c:numCache>
                <c:formatCode>#,##0.00</c:formatCode>
                <c:ptCount val="13"/>
                <c:pt idx="0">
                  <c:v>214564.31</c:v>
                </c:pt>
                <c:pt idx="1">
                  <c:v>126698.91</c:v>
                </c:pt>
                <c:pt idx="2">
                  <c:v>106467.28</c:v>
                </c:pt>
                <c:pt idx="3">
                  <c:v>208535.73</c:v>
                </c:pt>
                <c:pt idx="4">
                  <c:v>137760.54999999999</c:v>
                </c:pt>
                <c:pt idx="5">
                  <c:v>250462.33</c:v>
                </c:pt>
                <c:pt idx="6">
                  <c:v>95623.24</c:v>
                </c:pt>
                <c:pt idx="7">
                  <c:v>175444.48000000001</c:v>
                </c:pt>
                <c:pt idx="8">
                  <c:v>200931.58</c:v>
                </c:pt>
                <c:pt idx="9">
                  <c:v>107591.84</c:v>
                </c:pt>
                <c:pt idx="10">
                  <c:v>179614.8</c:v>
                </c:pt>
                <c:pt idx="11">
                  <c:v>155614.62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76-484F-ABC8-203C7759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Oct - 1 Nov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Oct - 1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'26 Oct - 1 Nov 2020'!$B$5:$B$19</c:f>
              <c:numCache>
                <c:formatCode>#,##0.00</c:formatCode>
                <c:ptCount val="13"/>
                <c:pt idx="0">
                  <c:v>214564.31</c:v>
                </c:pt>
                <c:pt idx="1">
                  <c:v>126698.91</c:v>
                </c:pt>
                <c:pt idx="2">
                  <c:v>106467.28</c:v>
                </c:pt>
                <c:pt idx="3">
                  <c:v>208535.73</c:v>
                </c:pt>
                <c:pt idx="4">
                  <c:v>137760.54999999999</c:v>
                </c:pt>
                <c:pt idx="5">
                  <c:v>250462.33</c:v>
                </c:pt>
                <c:pt idx="6">
                  <c:v>95623.24</c:v>
                </c:pt>
                <c:pt idx="7">
                  <c:v>175444.48000000001</c:v>
                </c:pt>
                <c:pt idx="8">
                  <c:v>200931.58</c:v>
                </c:pt>
                <c:pt idx="9">
                  <c:v>107591.84</c:v>
                </c:pt>
                <c:pt idx="10">
                  <c:v>179614.8</c:v>
                </c:pt>
                <c:pt idx="11">
                  <c:v>155614.62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1-4DFB-B470-8FAFEEED47A6}"/>
            </c:ext>
          </c:extLst>
        </c:ser>
        <c:ser>
          <c:idx val="3"/>
          <c:order val="1"/>
          <c:tx>
            <c:strRef>
              <c:f>'26 Oct - 1 Nov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Oct - 1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'26 Oct - 1 Nov 2020'!$D$5:$D$19</c:f>
              <c:numCache>
                <c:formatCode>#,##0.00</c:formatCode>
                <c:ptCount val="13"/>
                <c:pt idx="0">
                  <c:v>214590.59</c:v>
                </c:pt>
                <c:pt idx="1">
                  <c:v>179179</c:v>
                </c:pt>
                <c:pt idx="2">
                  <c:v>124514.14</c:v>
                </c:pt>
                <c:pt idx="3">
                  <c:v>262313.21000000002</c:v>
                </c:pt>
                <c:pt idx="4">
                  <c:v>126652.18</c:v>
                </c:pt>
                <c:pt idx="5">
                  <c:v>261185.64</c:v>
                </c:pt>
                <c:pt idx="6">
                  <c:v>102439.49</c:v>
                </c:pt>
                <c:pt idx="7">
                  <c:v>195768.86</c:v>
                </c:pt>
                <c:pt idx="8">
                  <c:v>256522.34</c:v>
                </c:pt>
                <c:pt idx="9">
                  <c:v>123882.99</c:v>
                </c:pt>
                <c:pt idx="10">
                  <c:v>194764.01</c:v>
                </c:pt>
                <c:pt idx="11">
                  <c:v>163143.88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1-4DFB-B470-8FAFEEED4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'2 - 8 Nov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'2 - 8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'2 - 8 Nov 2020'!$B$5:$B$19</c:f>
              <c:numCache>
                <c:formatCode>#,##0.00</c:formatCode>
                <c:ptCount val="13"/>
                <c:pt idx="0">
                  <c:v>214590.59</c:v>
                </c:pt>
                <c:pt idx="1">
                  <c:v>179179</c:v>
                </c:pt>
                <c:pt idx="2">
                  <c:v>124514.14</c:v>
                </c:pt>
                <c:pt idx="3">
                  <c:v>262313.21000000002</c:v>
                </c:pt>
                <c:pt idx="4">
                  <c:v>126652.18</c:v>
                </c:pt>
                <c:pt idx="5">
                  <c:v>261185.64</c:v>
                </c:pt>
                <c:pt idx="6">
                  <c:v>102439.49</c:v>
                </c:pt>
                <c:pt idx="7">
                  <c:v>195768.86</c:v>
                </c:pt>
                <c:pt idx="8">
                  <c:v>256522.34</c:v>
                </c:pt>
                <c:pt idx="9">
                  <c:v>123882.99</c:v>
                </c:pt>
                <c:pt idx="10">
                  <c:v>194764.01</c:v>
                </c:pt>
                <c:pt idx="11">
                  <c:v>163143.88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3D-476C-871F-AB1CD94F98DA}"/>
            </c:ext>
          </c:extLst>
        </c:ser>
        <c:ser>
          <c:idx val="3"/>
          <c:order val="1"/>
          <c:tx>
            <c:strRef>
              <c:f>'2 - 8 Nov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'2 - 8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'2 - 8 Nov 2020'!$D$5:$D$19</c:f>
              <c:numCache>
                <c:formatCode>#,##0.00</c:formatCode>
                <c:ptCount val="13"/>
                <c:pt idx="0">
                  <c:v>189591.76</c:v>
                </c:pt>
                <c:pt idx="1">
                  <c:v>153723.91</c:v>
                </c:pt>
                <c:pt idx="2">
                  <c:v>101357.56</c:v>
                </c:pt>
                <c:pt idx="3">
                  <c:v>224364.68</c:v>
                </c:pt>
                <c:pt idx="4">
                  <c:v>122526.09</c:v>
                </c:pt>
                <c:pt idx="5">
                  <c:v>268731.33</c:v>
                </c:pt>
                <c:pt idx="6">
                  <c:v>106610.16</c:v>
                </c:pt>
                <c:pt idx="7">
                  <c:v>181854.77</c:v>
                </c:pt>
                <c:pt idx="8">
                  <c:v>165659.22</c:v>
                </c:pt>
                <c:pt idx="9">
                  <c:v>117037.13</c:v>
                </c:pt>
                <c:pt idx="10">
                  <c:v>175289.7</c:v>
                </c:pt>
                <c:pt idx="11">
                  <c:v>139604.47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3D-476C-871F-AB1CD94F9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'9 - 15 Nov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'9 - 15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'9 - 15 Nov 2020'!$B$5:$B$19</c:f>
              <c:numCache>
                <c:formatCode>#,##0.00</c:formatCode>
                <c:ptCount val="13"/>
                <c:pt idx="0">
                  <c:v>189591.76</c:v>
                </c:pt>
                <c:pt idx="1">
                  <c:v>153723.91</c:v>
                </c:pt>
                <c:pt idx="2">
                  <c:v>101357.56</c:v>
                </c:pt>
                <c:pt idx="3">
                  <c:v>224364.68</c:v>
                </c:pt>
                <c:pt idx="4">
                  <c:v>122526.09</c:v>
                </c:pt>
                <c:pt idx="5">
                  <c:v>268731.33</c:v>
                </c:pt>
                <c:pt idx="6">
                  <c:v>106610.16</c:v>
                </c:pt>
                <c:pt idx="7">
                  <c:v>181854.77</c:v>
                </c:pt>
                <c:pt idx="8">
                  <c:v>165659.22</c:v>
                </c:pt>
                <c:pt idx="9">
                  <c:v>117037.13</c:v>
                </c:pt>
                <c:pt idx="10">
                  <c:v>175289.7</c:v>
                </c:pt>
                <c:pt idx="11">
                  <c:v>139604.47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3-428D-B398-259E398E5001}"/>
            </c:ext>
          </c:extLst>
        </c:ser>
        <c:ser>
          <c:idx val="3"/>
          <c:order val="1"/>
          <c:tx>
            <c:strRef>
              <c:f>'9 - 15 Nov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'9 - 15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'9 - 15 Nov 2020'!$D$5:$D$19</c:f>
              <c:numCache>
                <c:formatCode>#,##0.00</c:formatCode>
                <c:ptCount val="13"/>
                <c:pt idx="0">
                  <c:v>172666.79</c:v>
                </c:pt>
                <c:pt idx="1">
                  <c:v>183294.98</c:v>
                </c:pt>
                <c:pt idx="2">
                  <c:v>87639.38</c:v>
                </c:pt>
                <c:pt idx="3">
                  <c:v>192269.09</c:v>
                </c:pt>
                <c:pt idx="4">
                  <c:v>127707.36</c:v>
                </c:pt>
                <c:pt idx="5">
                  <c:v>247480.1</c:v>
                </c:pt>
                <c:pt idx="6">
                  <c:v>104099.76</c:v>
                </c:pt>
                <c:pt idx="7">
                  <c:v>171163.5</c:v>
                </c:pt>
                <c:pt idx="8">
                  <c:v>159466.45000000001</c:v>
                </c:pt>
                <c:pt idx="9">
                  <c:v>98894.32</c:v>
                </c:pt>
                <c:pt idx="10">
                  <c:v>162874.76</c:v>
                </c:pt>
                <c:pt idx="11">
                  <c:v>136607.85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3-428D-B398-259E398E5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'16 - 22 Nov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'16 - 22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'16 - 22 Nov 2020'!$B$5:$B$19</c:f>
              <c:numCache>
                <c:formatCode>#,##0.00</c:formatCode>
                <c:ptCount val="13"/>
                <c:pt idx="0">
                  <c:v>172666.79</c:v>
                </c:pt>
                <c:pt idx="1">
                  <c:v>183294.98</c:v>
                </c:pt>
                <c:pt idx="2">
                  <c:v>87639.38</c:v>
                </c:pt>
                <c:pt idx="3">
                  <c:v>192269.09</c:v>
                </c:pt>
                <c:pt idx="4">
                  <c:v>127707.36</c:v>
                </c:pt>
                <c:pt idx="5">
                  <c:v>247480.1</c:v>
                </c:pt>
                <c:pt idx="6">
                  <c:v>104099.76</c:v>
                </c:pt>
                <c:pt idx="7">
                  <c:v>171163.5</c:v>
                </c:pt>
                <c:pt idx="8">
                  <c:v>159466.45000000001</c:v>
                </c:pt>
                <c:pt idx="9">
                  <c:v>98894.32</c:v>
                </c:pt>
                <c:pt idx="10">
                  <c:v>162874.76</c:v>
                </c:pt>
                <c:pt idx="11">
                  <c:v>136607.85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37-415E-8F35-6C0AF763CFEF}"/>
            </c:ext>
          </c:extLst>
        </c:ser>
        <c:ser>
          <c:idx val="3"/>
          <c:order val="1"/>
          <c:tx>
            <c:strRef>
              <c:f>'16 - 22 Nov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'16 - 22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'16 - 22 Nov 2020'!$D$5:$D$19</c:f>
              <c:numCache>
                <c:formatCode>#,##0.00</c:formatCode>
                <c:ptCount val="13"/>
                <c:pt idx="0">
                  <c:v>161283.62</c:v>
                </c:pt>
                <c:pt idx="1">
                  <c:v>178938.56</c:v>
                </c:pt>
                <c:pt idx="2">
                  <c:v>102953.87</c:v>
                </c:pt>
                <c:pt idx="3">
                  <c:v>211104.3</c:v>
                </c:pt>
                <c:pt idx="4">
                  <c:v>132187.5</c:v>
                </c:pt>
                <c:pt idx="5">
                  <c:v>240795.45</c:v>
                </c:pt>
                <c:pt idx="6">
                  <c:v>91468.43</c:v>
                </c:pt>
                <c:pt idx="7">
                  <c:v>166631.94</c:v>
                </c:pt>
                <c:pt idx="8">
                  <c:v>157494.72</c:v>
                </c:pt>
                <c:pt idx="9">
                  <c:v>96347.74</c:v>
                </c:pt>
                <c:pt idx="10">
                  <c:v>144792.57999999999</c:v>
                </c:pt>
                <c:pt idx="11">
                  <c:v>127656.79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37-415E-8F35-6C0AF763C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'23 - 29 Nov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'23 - 29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'23 - 29 Nov 2020'!$B$5:$B$19</c:f>
              <c:numCache>
                <c:formatCode>#,##0.00</c:formatCode>
                <c:ptCount val="13"/>
                <c:pt idx="0">
                  <c:v>172666.79</c:v>
                </c:pt>
                <c:pt idx="1">
                  <c:v>183294.98</c:v>
                </c:pt>
                <c:pt idx="2">
                  <c:v>87639.38</c:v>
                </c:pt>
                <c:pt idx="3">
                  <c:v>192269.09</c:v>
                </c:pt>
                <c:pt idx="4">
                  <c:v>127707.36</c:v>
                </c:pt>
                <c:pt idx="5">
                  <c:v>247480.1</c:v>
                </c:pt>
                <c:pt idx="6">
                  <c:v>104099.76</c:v>
                </c:pt>
                <c:pt idx="7">
                  <c:v>171163.5</c:v>
                </c:pt>
                <c:pt idx="8">
                  <c:v>159466.45000000001</c:v>
                </c:pt>
                <c:pt idx="9">
                  <c:v>98894.32</c:v>
                </c:pt>
                <c:pt idx="10">
                  <c:v>162874.76</c:v>
                </c:pt>
                <c:pt idx="11">
                  <c:v>136607.85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4-407C-BC93-A1C27EFA460F}"/>
            </c:ext>
          </c:extLst>
        </c:ser>
        <c:ser>
          <c:idx val="3"/>
          <c:order val="1"/>
          <c:tx>
            <c:strRef>
              <c:f>'23 - 29 Nov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'23 - 29 Nov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'23 - 29 Nov 2020'!$D$5:$D$19</c:f>
              <c:numCache>
                <c:formatCode>#,##0.00</c:formatCode>
                <c:ptCount val="13"/>
                <c:pt idx="0">
                  <c:v>213583.61</c:v>
                </c:pt>
                <c:pt idx="1">
                  <c:v>249670.73</c:v>
                </c:pt>
                <c:pt idx="2">
                  <c:v>119566.77</c:v>
                </c:pt>
                <c:pt idx="3">
                  <c:v>284837.61</c:v>
                </c:pt>
                <c:pt idx="4">
                  <c:v>148998.25</c:v>
                </c:pt>
                <c:pt idx="5">
                  <c:v>263055.05</c:v>
                </c:pt>
                <c:pt idx="6">
                  <c:v>124554.72</c:v>
                </c:pt>
                <c:pt idx="7">
                  <c:v>209999.11</c:v>
                </c:pt>
                <c:pt idx="8">
                  <c:v>151585.43</c:v>
                </c:pt>
                <c:pt idx="9">
                  <c:v>126972.01</c:v>
                </c:pt>
                <c:pt idx="10">
                  <c:v>143830.57999999999</c:v>
                </c:pt>
                <c:pt idx="11">
                  <c:v>179881.07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4-407C-BC93-A1C27EFA4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Nov - 6 Dec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Nov - 6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'30 Nov - 6 Dec 2020'!$B$5:$B$19</c:f>
              <c:numCache>
                <c:formatCode>#,##0.00</c:formatCode>
                <c:ptCount val="13"/>
                <c:pt idx="0">
                  <c:v>213583.61</c:v>
                </c:pt>
                <c:pt idx="1">
                  <c:v>249670.73</c:v>
                </c:pt>
                <c:pt idx="2">
                  <c:v>119566.77</c:v>
                </c:pt>
                <c:pt idx="3">
                  <c:v>284837.61</c:v>
                </c:pt>
                <c:pt idx="4">
                  <c:v>148998.25</c:v>
                </c:pt>
                <c:pt idx="5">
                  <c:v>263055.05</c:v>
                </c:pt>
                <c:pt idx="6">
                  <c:v>124554.72</c:v>
                </c:pt>
                <c:pt idx="7">
                  <c:v>209999.11</c:v>
                </c:pt>
                <c:pt idx="8">
                  <c:v>151585.43</c:v>
                </c:pt>
                <c:pt idx="9">
                  <c:v>126972.01</c:v>
                </c:pt>
                <c:pt idx="10">
                  <c:v>143830.57999999999</c:v>
                </c:pt>
                <c:pt idx="11">
                  <c:v>179881.07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01-42C9-8646-5E04AE71F545}"/>
            </c:ext>
          </c:extLst>
        </c:ser>
        <c:ser>
          <c:idx val="3"/>
          <c:order val="1"/>
          <c:tx>
            <c:strRef>
              <c:f>'30 Nov - 6 Dec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Nov - 6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'30 Nov - 6 Dec 2020'!$D$5:$D$19</c:f>
              <c:numCache>
                <c:formatCode>#,##0.00</c:formatCode>
                <c:ptCount val="13"/>
                <c:pt idx="0">
                  <c:v>237187.54</c:v>
                </c:pt>
                <c:pt idx="1">
                  <c:v>354852.1</c:v>
                </c:pt>
                <c:pt idx="2">
                  <c:v>103296.92</c:v>
                </c:pt>
                <c:pt idx="3">
                  <c:v>269423.21000000002</c:v>
                </c:pt>
                <c:pt idx="4">
                  <c:v>158423.91</c:v>
                </c:pt>
                <c:pt idx="5">
                  <c:v>277968.48</c:v>
                </c:pt>
                <c:pt idx="6">
                  <c:v>107695.94</c:v>
                </c:pt>
                <c:pt idx="7">
                  <c:v>190923.7</c:v>
                </c:pt>
                <c:pt idx="8">
                  <c:v>175056.05</c:v>
                </c:pt>
                <c:pt idx="9">
                  <c:v>148198.57999999999</c:v>
                </c:pt>
                <c:pt idx="10">
                  <c:v>192358.53</c:v>
                </c:pt>
                <c:pt idx="11">
                  <c:v>183327.04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01-42C9-8646-5E04AE71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'7 - 13 Dec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'7 - 13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'7 - 13 Dec 2020'!$B$5:$B$19</c:f>
              <c:numCache>
                <c:formatCode>#,##0.00</c:formatCode>
                <c:ptCount val="13"/>
                <c:pt idx="0">
                  <c:v>237187.54</c:v>
                </c:pt>
                <c:pt idx="1">
                  <c:v>354852.1</c:v>
                </c:pt>
                <c:pt idx="2">
                  <c:v>103296.92</c:v>
                </c:pt>
                <c:pt idx="3">
                  <c:v>269423.21000000002</c:v>
                </c:pt>
                <c:pt idx="4">
                  <c:v>158423.91</c:v>
                </c:pt>
                <c:pt idx="5">
                  <c:v>277968.48</c:v>
                </c:pt>
                <c:pt idx="6">
                  <c:v>107695.94</c:v>
                </c:pt>
                <c:pt idx="7">
                  <c:v>190923.7</c:v>
                </c:pt>
                <c:pt idx="8">
                  <c:v>175056.05</c:v>
                </c:pt>
                <c:pt idx="9">
                  <c:v>148198.57999999999</c:v>
                </c:pt>
                <c:pt idx="10">
                  <c:v>192358.53</c:v>
                </c:pt>
                <c:pt idx="11">
                  <c:v>183327.04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7B-4079-B3B1-A24BD6E69560}"/>
            </c:ext>
          </c:extLst>
        </c:ser>
        <c:ser>
          <c:idx val="3"/>
          <c:order val="1"/>
          <c:tx>
            <c:strRef>
              <c:f>'7 - 13 Dec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'7 - 13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'7 - 13 Dec 2020'!$D$5:$D$19</c:f>
              <c:numCache>
                <c:formatCode>#,##0.00</c:formatCode>
                <c:ptCount val="13"/>
                <c:pt idx="0">
                  <c:v>211933.97</c:v>
                </c:pt>
                <c:pt idx="1">
                  <c:v>399085.56</c:v>
                </c:pt>
                <c:pt idx="2">
                  <c:v>105332.63</c:v>
                </c:pt>
                <c:pt idx="3">
                  <c:v>348302.25</c:v>
                </c:pt>
                <c:pt idx="4">
                  <c:v>155504.39000000001</c:v>
                </c:pt>
                <c:pt idx="5">
                  <c:v>272045.12</c:v>
                </c:pt>
                <c:pt idx="6">
                  <c:v>110968.88</c:v>
                </c:pt>
                <c:pt idx="7">
                  <c:v>221561.43</c:v>
                </c:pt>
                <c:pt idx="8">
                  <c:v>235811.02</c:v>
                </c:pt>
                <c:pt idx="9">
                  <c:v>149536.15</c:v>
                </c:pt>
                <c:pt idx="10">
                  <c:v>185388.01</c:v>
                </c:pt>
                <c:pt idx="11">
                  <c:v>157947.54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7B-4079-B3B1-A24BD6E69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'14 - 20 Dec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'14 - 20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'14 - 20 Dec 2020'!$B$5:$B$19</c:f>
              <c:numCache>
                <c:formatCode>#,##0.00</c:formatCode>
                <c:ptCount val="13"/>
                <c:pt idx="0">
                  <c:v>211933.97</c:v>
                </c:pt>
                <c:pt idx="1">
                  <c:v>399085.56</c:v>
                </c:pt>
                <c:pt idx="2">
                  <c:v>105332.63</c:v>
                </c:pt>
                <c:pt idx="3">
                  <c:v>348302.25</c:v>
                </c:pt>
                <c:pt idx="4">
                  <c:v>155504.39000000001</c:v>
                </c:pt>
                <c:pt idx="5">
                  <c:v>272045.12</c:v>
                </c:pt>
                <c:pt idx="6">
                  <c:v>110968.88</c:v>
                </c:pt>
                <c:pt idx="7">
                  <c:v>221561.43</c:v>
                </c:pt>
                <c:pt idx="8">
                  <c:v>235811.02</c:v>
                </c:pt>
                <c:pt idx="9">
                  <c:v>149536.15</c:v>
                </c:pt>
                <c:pt idx="10">
                  <c:v>185388.01</c:v>
                </c:pt>
                <c:pt idx="11">
                  <c:v>157947.54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3-4579-AC75-B959CFEBF795}"/>
            </c:ext>
          </c:extLst>
        </c:ser>
        <c:ser>
          <c:idx val="3"/>
          <c:order val="1"/>
          <c:tx>
            <c:strRef>
              <c:f>'14 - 20 Dec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'14 - 20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'14 - 20 Dec 2020'!$D$5:$D$19</c:f>
              <c:numCache>
                <c:formatCode>#,##0.00</c:formatCode>
                <c:ptCount val="13"/>
                <c:pt idx="0">
                  <c:v>237883.58</c:v>
                </c:pt>
                <c:pt idx="1">
                  <c:v>387463.59</c:v>
                </c:pt>
                <c:pt idx="2">
                  <c:v>106325.81</c:v>
                </c:pt>
                <c:pt idx="3">
                  <c:v>315397.28000000003</c:v>
                </c:pt>
                <c:pt idx="4">
                  <c:v>136185.12</c:v>
                </c:pt>
                <c:pt idx="5">
                  <c:v>284781.13</c:v>
                </c:pt>
                <c:pt idx="6">
                  <c:v>105426.19</c:v>
                </c:pt>
                <c:pt idx="7">
                  <c:v>192989.24</c:v>
                </c:pt>
                <c:pt idx="8">
                  <c:v>415182.37</c:v>
                </c:pt>
                <c:pt idx="9">
                  <c:v>140278.5</c:v>
                </c:pt>
                <c:pt idx="10">
                  <c:v>167200.12</c:v>
                </c:pt>
                <c:pt idx="11">
                  <c:v>150774.19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3-4579-AC75-B959CFEBF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'21 - 27 Dec 2020'!$B$3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'21 - 27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'21 - 27 Dec 2020'!$B$5:$B$19</c:f>
              <c:numCache>
                <c:formatCode>#,##0.00</c:formatCode>
                <c:ptCount val="13"/>
                <c:pt idx="0">
                  <c:v>237883.58</c:v>
                </c:pt>
                <c:pt idx="1">
                  <c:v>387463.59</c:v>
                </c:pt>
                <c:pt idx="2">
                  <c:v>106325.81</c:v>
                </c:pt>
                <c:pt idx="3">
                  <c:v>315397.28000000003</c:v>
                </c:pt>
                <c:pt idx="4">
                  <c:v>136185.12</c:v>
                </c:pt>
                <c:pt idx="5">
                  <c:v>284781.13</c:v>
                </c:pt>
                <c:pt idx="6">
                  <c:v>105426.19</c:v>
                </c:pt>
                <c:pt idx="7">
                  <c:v>192989.24</c:v>
                </c:pt>
                <c:pt idx="8">
                  <c:v>415182.37</c:v>
                </c:pt>
                <c:pt idx="9">
                  <c:v>140278.5</c:v>
                </c:pt>
                <c:pt idx="10">
                  <c:v>167200.12</c:v>
                </c:pt>
                <c:pt idx="11">
                  <c:v>150774.19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F-4478-9C69-4A4625BF4C6F}"/>
            </c:ext>
          </c:extLst>
        </c:ser>
        <c:ser>
          <c:idx val="3"/>
          <c:order val="1"/>
          <c:tx>
            <c:strRef>
              <c:f>'21 - 27 Dec 2020'!$D$3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'21 - 27 Dec 2020'!$A$5:$A$19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'21 - 27 Dec 2020'!$D$5:$D$19</c:f>
              <c:numCache>
                <c:formatCode>#,##0.00</c:formatCode>
                <c:ptCount val="13"/>
                <c:pt idx="0">
                  <c:v>153645.04</c:v>
                </c:pt>
                <c:pt idx="1">
                  <c:v>250899.36</c:v>
                </c:pt>
                <c:pt idx="2">
                  <c:v>54247.96</c:v>
                </c:pt>
                <c:pt idx="3">
                  <c:v>188195.54</c:v>
                </c:pt>
                <c:pt idx="4">
                  <c:v>91596.78</c:v>
                </c:pt>
                <c:pt idx="5">
                  <c:v>201645.67</c:v>
                </c:pt>
                <c:pt idx="6">
                  <c:v>79915.53</c:v>
                </c:pt>
                <c:pt idx="7">
                  <c:v>126657.65</c:v>
                </c:pt>
                <c:pt idx="8">
                  <c:v>544494.12</c:v>
                </c:pt>
                <c:pt idx="9">
                  <c:v>90716.7</c:v>
                </c:pt>
                <c:pt idx="10">
                  <c:v>95656.3</c:v>
                </c:pt>
                <c:pt idx="11">
                  <c:v>110233.85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F-4478-9C69-4A4625BF4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Dec 2020 - 3 Jan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Dec 2020 - 3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Dec 2020 - 3 Jan 2021'!$B$5:$B$19</c:f>
              <c:numCache>
                <c:formatCode>#,##0.00</c:formatCode>
                <c:ptCount val="13"/>
                <c:pt idx="0">
                  <c:v>153645.04</c:v>
                </c:pt>
                <c:pt idx="1">
                  <c:v>250899.36</c:v>
                </c:pt>
                <c:pt idx="2">
                  <c:v>54247.96</c:v>
                </c:pt>
                <c:pt idx="3">
                  <c:v>188195.54</c:v>
                </c:pt>
                <c:pt idx="4">
                  <c:v>91596.78</c:v>
                </c:pt>
                <c:pt idx="5">
                  <c:v>201645.67</c:v>
                </c:pt>
                <c:pt idx="6">
                  <c:v>79915.53</c:v>
                </c:pt>
                <c:pt idx="7">
                  <c:v>126657.65</c:v>
                </c:pt>
                <c:pt idx="8">
                  <c:v>544494.12</c:v>
                </c:pt>
                <c:pt idx="9">
                  <c:v>90716.7</c:v>
                </c:pt>
                <c:pt idx="10">
                  <c:v>95656.3</c:v>
                </c:pt>
                <c:pt idx="11">
                  <c:v>110233.85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BB-41E4-807B-50776CE93E94}"/>
            </c:ext>
          </c:extLst>
        </c:ser>
        <c:ser>
          <c:idx val="3"/>
          <c:order val="1"/>
          <c:tx>
            <c:strRef>
              <c:f>'28 Dec 2020 - 3 Jan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Dec 2020 - 3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Dec 2020 - 3 Jan 2021'!$D$5:$D$19</c:f>
              <c:numCache>
                <c:formatCode>#,##0.00</c:formatCode>
                <c:ptCount val="13"/>
                <c:pt idx="0">
                  <c:v>102807.9</c:v>
                </c:pt>
                <c:pt idx="1">
                  <c:v>106626.3</c:v>
                </c:pt>
                <c:pt idx="2">
                  <c:v>49292.77</c:v>
                </c:pt>
                <c:pt idx="3">
                  <c:v>130613.75</c:v>
                </c:pt>
                <c:pt idx="4">
                  <c:v>72961.5</c:v>
                </c:pt>
                <c:pt idx="5">
                  <c:v>122773.19</c:v>
                </c:pt>
                <c:pt idx="6">
                  <c:v>76971.94</c:v>
                </c:pt>
                <c:pt idx="7">
                  <c:v>105150.61</c:v>
                </c:pt>
                <c:pt idx="8">
                  <c:v>528430.30000000005</c:v>
                </c:pt>
                <c:pt idx="9">
                  <c:v>63938.09</c:v>
                </c:pt>
                <c:pt idx="10">
                  <c:v>79557.17</c:v>
                </c:pt>
                <c:pt idx="11">
                  <c:v>103042.11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BB-41E4-807B-50776CE93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'4 - 10 Jan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'4 - 10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'4 - 10 Jan 2021'!$B$5:$B$19</c:f>
              <c:numCache>
                <c:formatCode>#,##0.00</c:formatCode>
                <c:ptCount val="13"/>
                <c:pt idx="0">
                  <c:v>102807.9</c:v>
                </c:pt>
                <c:pt idx="1">
                  <c:v>106626.3</c:v>
                </c:pt>
                <c:pt idx="2">
                  <c:v>49292.77</c:v>
                </c:pt>
                <c:pt idx="3">
                  <c:v>130613.75</c:v>
                </c:pt>
                <c:pt idx="4">
                  <c:v>72961.5</c:v>
                </c:pt>
                <c:pt idx="5">
                  <c:v>122773.19</c:v>
                </c:pt>
                <c:pt idx="6">
                  <c:v>76971.94</c:v>
                </c:pt>
                <c:pt idx="7">
                  <c:v>105150.61</c:v>
                </c:pt>
                <c:pt idx="8">
                  <c:v>528430.30000000005</c:v>
                </c:pt>
                <c:pt idx="9">
                  <c:v>63938.09</c:v>
                </c:pt>
                <c:pt idx="10">
                  <c:v>79557.17</c:v>
                </c:pt>
                <c:pt idx="11">
                  <c:v>103042.11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0-44D8-AAAC-C9E1648EE13C}"/>
            </c:ext>
          </c:extLst>
        </c:ser>
        <c:ser>
          <c:idx val="3"/>
          <c:order val="1"/>
          <c:tx>
            <c:strRef>
              <c:f>'4 - 10 Jan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'4 - 10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'4 - 10 Jan 2021'!$D$5:$D$19</c:f>
              <c:numCache>
                <c:formatCode>#,##0.00</c:formatCode>
                <c:ptCount val="13"/>
                <c:pt idx="0">
                  <c:v>132428.34</c:v>
                </c:pt>
                <c:pt idx="1">
                  <c:v>83309.19</c:v>
                </c:pt>
                <c:pt idx="2">
                  <c:v>52090.83</c:v>
                </c:pt>
                <c:pt idx="3">
                  <c:v>114208.02</c:v>
                </c:pt>
                <c:pt idx="4">
                  <c:v>81183.02</c:v>
                </c:pt>
                <c:pt idx="5">
                  <c:v>157522.23000000001</c:v>
                </c:pt>
                <c:pt idx="6">
                  <c:v>67869.490000000005</c:v>
                </c:pt>
                <c:pt idx="7">
                  <c:v>111534.91</c:v>
                </c:pt>
                <c:pt idx="8">
                  <c:v>285822.7</c:v>
                </c:pt>
                <c:pt idx="9">
                  <c:v>67752.66</c:v>
                </c:pt>
                <c:pt idx="10">
                  <c:v>89115.75</c:v>
                </c:pt>
                <c:pt idx="11">
                  <c:v>96251.57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0-44D8-AAAC-C9E1648EE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'11 - 17 Jan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'11 - 17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'11 - 17 Jan 2021'!$B$5:$B$19</c:f>
              <c:numCache>
                <c:formatCode>#,##0.00</c:formatCode>
                <c:ptCount val="13"/>
                <c:pt idx="0">
                  <c:v>132428.34</c:v>
                </c:pt>
                <c:pt idx="1">
                  <c:v>83309.19</c:v>
                </c:pt>
                <c:pt idx="2">
                  <c:v>52090.83</c:v>
                </c:pt>
                <c:pt idx="3">
                  <c:v>114208.02</c:v>
                </c:pt>
                <c:pt idx="4">
                  <c:v>81183.02</c:v>
                </c:pt>
                <c:pt idx="5">
                  <c:v>157522.23000000001</c:v>
                </c:pt>
                <c:pt idx="6">
                  <c:v>67869.490000000005</c:v>
                </c:pt>
                <c:pt idx="7">
                  <c:v>111534.91</c:v>
                </c:pt>
                <c:pt idx="8">
                  <c:v>285822.7</c:v>
                </c:pt>
                <c:pt idx="9">
                  <c:v>67752.66</c:v>
                </c:pt>
                <c:pt idx="10">
                  <c:v>89115.75</c:v>
                </c:pt>
                <c:pt idx="11">
                  <c:v>96251.57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C-47E0-A602-DE8FC33D5301}"/>
            </c:ext>
          </c:extLst>
        </c:ser>
        <c:ser>
          <c:idx val="3"/>
          <c:order val="1"/>
          <c:tx>
            <c:strRef>
              <c:f>'11 - 17 Jan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'11 - 17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'11 - 17 Jan 2021'!$D$5:$D$19</c:f>
              <c:numCache>
                <c:formatCode>#,##0.00</c:formatCode>
                <c:ptCount val="13"/>
                <c:pt idx="0">
                  <c:v>102020.09</c:v>
                </c:pt>
                <c:pt idx="1">
                  <c:v>73159.12</c:v>
                </c:pt>
                <c:pt idx="2">
                  <c:v>56114.02</c:v>
                </c:pt>
                <c:pt idx="3">
                  <c:v>108730.35</c:v>
                </c:pt>
                <c:pt idx="4">
                  <c:v>77116.800000000003</c:v>
                </c:pt>
                <c:pt idx="5">
                  <c:v>157715.56</c:v>
                </c:pt>
                <c:pt idx="6">
                  <c:v>55044.09</c:v>
                </c:pt>
                <c:pt idx="7">
                  <c:v>118995.01</c:v>
                </c:pt>
                <c:pt idx="8">
                  <c:v>138069.18</c:v>
                </c:pt>
                <c:pt idx="9">
                  <c:v>60443.66</c:v>
                </c:pt>
                <c:pt idx="10">
                  <c:v>83735.3</c:v>
                </c:pt>
                <c:pt idx="11">
                  <c:v>106413.03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C-47E0-A602-DE8FC33D5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'18 - 24 Jan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'18 - 24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'18 - 24 Jan 2021'!$B$5:$B$19</c:f>
              <c:numCache>
                <c:formatCode>#,##0.00</c:formatCode>
                <c:ptCount val="13"/>
                <c:pt idx="0">
                  <c:v>102020.09</c:v>
                </c:pt>
                <c:pt idx="1">
                  <c:v>73159.12</c:v>
                </c:pt>
                <c:pt idx="2">
                  <c:v>56114.02</c:v>
                </c:pt>
                <c:pt idx="3">
                  <c:v>108730.35</c:v>
                </c:pt>
                <c:pt idx="4">
                  <c:v>77116.800000000003</c:v>
                </c:pt>
                <c:pt idx="5">
                  <c:v>157715.56</c:v>
                </c:pt>
                <c:pt idx="6">
                  <c:v>55044.09</c:v>
                </c:pt>
                <c:pt idx="7">
                  <c:v>118995.01</c:v>
                </c:pt>
                <c:pt idx="8">
                  <c:v>138069.18</c:v>
                </c:pt>
                <c:pt idx="9">
                  <c:v>60443.66</c:v>
                </c:pt>
                <c:pt idx="10">
                  <c:v>83735.3</c:v>
                </c:pt>
                <c:pt idx="11">
                  <c:v>106413.03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3-4DE7-B279-0DA91B670D6C}"/>
            </c:ext>
          </c:extLst>
        </c:ser>
        <c:ser>
          <c:idx val="3"/>
          <c:order val="1"/>
          <c:tx>
            <c:strRef>
              <c:f>'18 - 24 Jan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'18 - 24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'18 - 24 Jan 2021'!$D$5:$D$19</c:f>
              <c:numCache>
                <c:formatCode>#,##0.00</c:formatCode>
                <c:ptCount val="13"/>
                <c:pt idx="0">
                  <c:v>112369.07</c:v>
                </c:pt>
                <c:pt idx="1">
                  <c:v>76215.509999999995</c:v>
                </c:pt>
                <c:pt idx="2">
                  <c:v>47315.59</c:v>
                </c:pt>
                <c:pt idx="3">
                  <c:v>100356.98</c:v>
                </c:pt>
                <c:pt idx="4">
                  <c:v>86299.71</c:v>
                </c:pt>
                <c:pt idx="5">
                  <c:v>141673.04</c:v>
                </c:pt>
                <c:pt idx="6">
                  <c:v>71651.850000000006</c:v>
                </c:pt>
                <c:pt idx="7">
                  <c:v>125906.05</c:v>
                </c:pt>
                <c:pt idx="8">
                  <c:v>106853.6</c:v>
                </c:pt>
                <c:pt idx="9">
                  <c:v>62660.29</c:v>
                </c:pt>
                <c:pt idx="10">
                  <c:v>85253.73</c:v>
                </c:pt>
                <c:pt idx="11">
                  <c:v>102837.09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3-4DE7-B279-0DA91B670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'25 - 31 Jan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'25 - 31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'25 - 31 Jan 2021'!$B$5:$B$19</c:f>
              <c:numCache>
                <c:formatCode>#,##0.00</c:formatCode>
                <c:ptCount val="13"/>
                <c:pt idx="0">
                  <c:v>112369.07</c:v>
                </c:pt>
                <c:pt idx="1">
                  <c:v>76215.509999999995</c:v>
                </c:pt>
                <c:pt idx="2">
                  <c:v>47315.59</c:v>
                </c:pt>
                <c:pt idx="3">
                  <c:v>100356.98</c:v>
                </c:pt>
                <c:pt idx="4">
                  <c:v>86299.71</c:v>
                </c:pt>
                <c:pt idx="5">
                  <c:v>141673.04</c:v>
                </c:pt>
                <c:pt idx="6">
                  <c:v>71651.850000000006</c:v>
                </c:pt>
                <c:pt idx="7">
                  <c:v>125906.05</c:v>
                </c:pt>
                <c:pt idx="8">
                  <c:v>106853.6</c:v>
                </c:pt>
                <c:pt idx="9">
                  <c:v>62660.29</c:v>
                </c:pt>
                <c:pt idx="10">
                  <c:v>85253.73</c:v>
                </c:pt>
                <c:pt idx="11">
                  <c:v>102837.09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4-4307-BBA6-90C30E473AB0}"/>
            </c:ext>
          </c:extLst>
        </c:ser>
        <c:ser>
          <c:idx val="3"/>
          <c:order val="1"/>
          <c:tx>
            <c:strRef>
              <c:f>'25 - 31 Jan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'25 - 31 Jan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'25 - 31 Jan 2021'!$D$5:$D$19</c:f>
              <c:numCache>
                <c:formatCode>#,##0.00</c:formatCode>
                <c:ptCount val="13"/>
                <c:pt idx="0">
                  <c:v>126561.93</c:v>
                </c:pt>
                <c:pt idx="1">
                  <c:v>93776.87</c:v>
                </c:pt>
                <c:pt idx="2">
                  <c:v>57360.480000000003</c:v>
                </c:pt>
                <c:pt idx="3">
                  <c:v>126300.8</c:v>
                </c:pt>
                <c:pt idx="4">
                  <c:v>84843.93</c:v>
                </c:pt>
                <c:pt idx="5">
                  <c:v>166326.35999999999</c:v>
                </c:pt>
                <c:pt idx="6">
                  <c:v>69138.12</c:v>
                </c:pt>
                <c:pt idx="7">
                  <c:v>132147.5</c:v>
                </c:pt>
                <c:pt idx="8">
                  <c:v>102350.02</c:v>
                </c:pt>
                <c:pt idx="9">
                  <c:v>69979.259999999995</c:v>
                </c:pt>
                <c:pt idx="10">
                  <c:v>98293.32</c:v>
                </c:pt>
                <c:pt idx="11">
                  <c:v>103453.32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14-4307-BBA6-90C30E473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'1 - 7 Feb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'1 - 7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'1 - 7 Feb 2021'!$B$5:$B$19</c:f>
              <c:numCache>
                <c:formatCode>#,##0.00</c:formatCode>
                <c:ptCount val="13"/>
                <c:pt idx="0">
                  <c:v>126561.93</c:v>
                </c:pt>
                <c:pt idx="1">
                  <c:v>93776.87</c:v>
                </c:pt>
                <c:pt idx="2">
                  <c:v>57360.480000000003</c:v>
                </c:pt>
                <c:pt idx="3">
                  <c:v>126300.8</c:v>
                </c:pt>
                <c:pt idx="4">
                  <c:v>84843.93</c:v>
                </c:pt>
                <c:pt idx="5">
                  <c:v>166326.35999999999</c:v>
                </c:pt>
                <c:pt idx="6">
                  <c:v>69138.12</c:v>
                </c:pt>
                <c:pt idx="7">
                  <c:v>132147.5</c:v>
                </c:pt>
                <c:pt idx="8">
                  <c:v>102350.02</c:v>
                </c:pt>
                <c:pt idx="9">
                  <c:v>69979.259999999995</c:v>
                </c:pt>
                <c:pt idx="10">
                  <c:v>98293.32</c:v>
                </c:pt>
                <c:pt idx="11">
                  <c:v>103453.32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1-49BD-B0E9-90D032A86FCF}"/>
            </c:ext>
          </c:extLst>
        </c:ser>
        <c:ser>
          <c:idx val="3"/>
          <c:order val="1"/>
          <c:tx>
            <c:strRef>
              <c:f>'1 - 7 Feb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'1 - 7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'1 - 7 Feb 2021'!$D$5:$D$19</c:f>
              <c:numCache>
                <c:formatCode>#,##0.00</c:formatCode>
                <c:ptCount val="13"/>
                <c:pt idx="0">
                  <c:v>174135.04000000001</c:v>
                </c:pt>
                <c:pt idx="1">
                  <c:v>142494.72</c:v>
                </c:pt>
                <c:pt idx="2">
                  <c:v>83932.42</c:v>
                </c:pt>
                <c:pt idx="3">
                  <c:v>179928.28</c:v>
                </c:pt>
                <c:pt idx="4">
                  <c:v>109234.04</c:v>
                </c:pt>
                <c:pt idx="5">
                  <c:v>253363.15</c:v>
                </c:pt>
                <c:pt idx="6">
                  <c:v>94925.62</c:v>
                </c:pt>
                <c:pt idx="7">
                  <c:v>172280.88</c:v>
                </c:pt>
                <c:pt idx="8">
                  <c:v>160228.96</c:v>
                </c:pt>
                <c:pt idx="9">
                  <c:v>103278.04</c:v>
                </c:pt>
                <c:pt idx="10">
                  <c:v>153397.76000000001</c:v>
                </c:pt>
                <c:pt idx="11">
                  <c:v>144117.34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61-49BD-B0E9-90D032A86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'8 - 14 Feb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'8 - 14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'8 - 14 Feb 2021'!$B$5:$B$19</c:f>
              <c:numCache>
                <c:formatCode>#,##0.00</c:formatCode>
                <c:ptCount val="13"/>
                <c:pt idx="0">
                  <c:v>174135.04000000001</c:v>
                </c:pt>
                <c:pt idx="1">
                  <c:v>142494.72</c:v>
                </c:pt>
                <c:pt idx="2">
                  <c:v>83932.42</c:v>
                </c:pt>
                <c:pt idx="3">
                  <c:v>179928.28</c:v>
                </c:pt>
                <c:pt idx="4">
                  <c:v>109234.04</c:v>
                </c:pt>
                <c:pt idx="5">
                  <c:v>253363.15</c:v>
                </c:pt>
                <c:pt idx="6">
                  <c:v>94925.62</c:v>
                </c:pt>
                <c:pt idx="7">
                  <c:v>172280.88</c:v>
                </c:pt>
                <c:pt idx="8">
                  <c:v>160228.96</c:v>
                </c:pt>
                <c:pt idx="9">
                  <c:v>103278.04</c:v>
                </c:pt>
                <c:pt idx="10">
                  <c:v>153397.76000000001</c:v>
                </c:pt>
                <c:pt idx="11">
                  <c:v>144117.34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6-43C5-853F-3A7119EF1A03}"/>
            </c:ext>
          </c:extLst>
        </c:ser>
        <c:ser>
          <c:idx val="3"/>
          <c:order val="1"/>
          <c:tx>
            <c:strRef>
              <c:f>'8 - 14 Feb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'8 - 14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'8 - 14 Feb 2021'!$D$5:$D$19</c:f>
              <c:numCache>
                <c:formatCode>#,##0.00</c:formatCode>
                <c:ptCount val="13"/>
                <c:pt idx="0">
                  <c:v>202762.61</c:v>
                </c:pt>
                <c:pt idx="1">
                  <c:v>178474.03</c:v>
                </c:pt>
                <c:pt idx="2">
                  <c:v>110711.03999999999</c:v>
                </c:pt>
                <c:pt idx="3">
                  <c:v>198799.16</c:v>
                </c:pt>
                <c:pt idx="4">
                  <c:v>135409.76999999999</c:v>
                </c:pt>
                <c:pt idx="5">
                  <c:v>261595.82</c:v>
                </c:pt>
                <c:pt idx="6">
                  <c:v>91358.63</c:v>
                </c:pt>
                <c:pt idx="7">
                  <c:v>177641.09</c:v>
                </c:pt>
                <c:pt idx="8">
                  <c:v>182308.79</c:v>
                </c:pt>
                <c:pt idx="9">
                  <c:v>129098.68</c:v>
                </c:pt>
                <c:pt idx="10">
                  <c:v>160471.09</c:v>
                </c:pt>
                <c:pt idx="11">
                  <c:v>158619.59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6-43C5-853F-3A7119EF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'15 - 21 Feb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'15 - 21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'15 - 21 Feb 2021'!$B$5:$B$19</c:f>
              <c:numCache>
                <c:formatCode>#,##0.00</c:formatCode>
                <c:ptCount val="13"/>
                <c:pt idx="0">
                  <c:v>202762.61</c:v>
                </c:pt>
                <c:pt idx="1">
                  <c:v>178474.03</c:v>
                </c:pt>
                <c:pt idx="2">
                  <c:v>110711.03999999999</c:v>
                </c:pt>
                <c:pt idx="3">
                  <c:v>198799.16</c:v>
                </c:pt>
                <c:pt idx="4">
                  <c:v>135409.76999999999</c:v>
                </c:pt>
                <c:pt idx="5">
                  <c:v>261595.82</c:v>
                </c:pt>
                <c:pt idx="6">
                  <c:v>91358.63</c:v>
                </c:pt>
                <c:pt idx="7">
                  <c:v>177641.09</c:v>
                </c:pt>
                <c:pt idx="8">
                  <c:v>182308.79</c:v>
                </c:pt>
                <c:pt idx="9">
                  <c:v>129098.68</c:v>
                </c:pt>
                <c:pt idx="10">
                  <c:v>160471.09</c:v>
                </c:pt>
                <c:pt idx="11">
                  <c:v>158619.59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5-45A8-823C-AD438330AC50}"/>
            </c:ext>
          </c:extLst>
        </c:ser>
        <c:ser>
          <c:idx val="3"/>
          <c:order val="1"/>
          <c:tx>
            <c:strRef>
              <c:f>'15 - 21 Feb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'15 - 21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'15 - 21 Feb 2021'!$D$5:$D$19</c:f>
              <c:numCache>
                <c:formatCode>#,##0.00</c:formatCode>
                <c:ptCount val="13"/>
                <c:pt idx="0">
                  <c:v>165200.45000000001</c:v>
                </c:pt>
                <c:pt idx="1">
                  <c:v>184331.41</c:v>
                </c:pt>
                <c:pt idx="2">
                  <c:v>98951.05</c:v>
                </c:pt>
                <c:pt idx="3">
                  <c:v>162718.67000000001</c:v>
                </c:pt>
                <c:pt idx="4">
                  <c:v>122033.43</c:v>
                </c:pt>
                <c:pt idx="5">
                  <c:v>221002.14</c:v>
                </c:pt>
                <c:pt idx="6">
                  <c:v>88183.52</c:v>
                </c:pt>
                <c:pt idx="7">
                  <c:v>149010.01999999999</c:v>
                </c:pt>
                <c:pt idx="8">
                  <c:v>156007.67000000001</c:v>
                </c:pt>
                <c:pt idx="9">
                  <c:v>102794.63</c:v>
                </c:pt>
                <c:pt idx="10">
                  <c:v>154232.44</c:v>
                </c:pt>
                <c:pt idx="11">
                  <c:v>137658.71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5-45A8-823C-AD438330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'22 - 28 Feb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'22 - 28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'22 - 28 Feb 2021'!$B$5:$B$19</c:f>
              <c:numCache>
                <c:formatCode>#,##0.00</c:formatCode>
                <c:ptCount val="13"/>
                <c:pt idx="0">
                  <c:v>165200.45000000001</c:v>
                </c:pt>
                <c:pt idx="1">
                  <c:v>184331.41</c:v>
                </c:pt>
                <c:pt idx="2">
                  <c:v>98951.05</c:v>
                </c:pt>
                <c:pt idx="3">
                  <c:v>162718.67000000001</c:v>
                </c:pt>
                <c:pt idx="4">
                  <c:v>122033.43</c:v>
                </c:pt>
                <c:pt idx="5">
                  <c:v>221002.14</c:v>
                </c:pt>
                <c:pt idx="6">
                  <c:v>88183.52</c:v>
                </c:pt>
                <c:pt idx="7">
                  <c:v>149010.01999999999</c:v>
                </c:pt>
                <c:pt idx="8">
                  <c:v>156007.67000000001</c:v>
                </c:pt>
                <c:pt idx="9">
                  <c:v>102794.63</c:v>
                </c:pt>
                <c:pt idx="10">
                  <c:v>154232.44</c:v>
                </c:pt>
                <c:pt idx="11">
                  <c:v>137658.71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F-4F34-ACB1-B385704BC056}"/>
            </c:ext>
          </c:extLst>
        </c:ser>
        <c:ser>
          <c:idx val="3"/>
          <c:order val="1"/>
          <c:tx>
            <c:strRef>
              <c:f>'22 - 28 Feb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'22 - 28 Feb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'22 - 28 Feb 2021'!$D$5:$D$19</c:f>
              <c:numCache>
                <c:formatCode>#,##0.00</c:formatCode>
                <c:ptCount val="13"/>
                <c:pt idx="0">
                  <c:v>196903.92</c:v>
                </c:pt>
                <c:pt idx="1">
                  <c:v>173960.86</c:v>
                </c:pt>
                <c:pt idx="2">
                  <c:v>111469.73</c:v>
                </c:pt>
                <c:pt idx="3">
                  <c:v>190614.69</c:v>
                </c:pt>
                <c:pt idx="4">
                  <c:v>116160.61</c:v>
                </c:pt>
                <c:pt idx="5">
                  <c:v>254389.59</c:v>
                </c:pt>
                <c:pt idx="6">
                  <c:v>107281.25</c:v>
                </c:pt>
                <c:pt idx="7">
                  <c:v>205505.59</c:v>
                </c:pt>
                <c:pt idx="8">
                  <c:v>183950.38</c:v>
                </c:pt>
                <c:pt idx="9">
                  <c:v>124746.86</c:v>
                </c:pt>
                <c:pt idx="10">
                  <c:v>149742.82999999999</c:v>
                </c:pt>
                <c:pt idx="11">
                  <c:v>167359.84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F-4F34-ACB1-B385704BC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'1 - 7 March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'1 - 7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'1 - 7 March 2021'!$B$5:$B$19</c:f>
              <c:numCache>
                <c:formatCode>#,##0.00</c:formatCode>
                <c:ptCount val="13"/>
                <c:pt idx="0">
                  <c:v>196903.92</c:v>
                </c:pt>
                <c:pt idx="1">
                  <c:v>173960.86</c:v>
                </c:pt>
                <c:pt idx="2">
                  <c:v>111469.73</c:v>
                </c:pt>
                <c:pt idx="3">
                  <c:v>190614.69</c:v>
                </c:pt>
                <c:pt idx="4">
                  <c:v>116160.61</c:v>
                </c:pt>
                <c:pt idx="5">
                  <c:v>254389.59</c:v>
                </c:pt>
                <c:pt idx="6">
                  <c:v>107281.25</c:v>
                </c:pt>
                <c:pt idx="7">
                  <c:v>205505.59</c:v>
                </c:pt>
                <c:pt idx="8">
                  <c:v>183950.38</c:v>
                </c:pt>
                <c:pt idx="9">
                  <c:v>124746.86</c:v>
                </c:pt>
                <c:pt idx="10">
                  <c:v>149742.82999999999</c:v>
                </c:pt>
                <c:pt idx="11">
                  <c:v>167359.84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3-4EFF-B543-567C6495A411}"/>
            </c:ext>
          </c:extLst>
        </c:ser>
        <c:ser>
          <c:idx val="3"/>
          <c:order val="1"/>
          <c:tx>
            <c:strRef>
              <c:f>'1 - 7 March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'1 - 7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'1 - 7 March 2021'!$D$5:$D$19</c:f>
              <c:numCache>
                <c:formatCode>#,##0.00</c:formatCode>
                <c:ptCount val="13"/>
                <c:pt idx="0">
                  <c:v>183695.37</c:v>
                </c:pt>
                <c:pt idx="1">
                  <c:v>174386.29</c:v>
                </c:pt>
                <c:pt idx="2">
                  <c:v>115000.01</c:v>
                </c:pt>
                <c:pt idx="3">
                  <c:v>192189.52</c:v>
                </c:pt>
                <c:pt idx="4">
                  <c:v>125510.9</c:v>
                </c:pt>
                <c:pt idx="5">
                  <c:v>236841.47</c:v>
                </c:pt>
                <c:pt idx="6">
                  <c:v>121011.83</c:v>
                </c:pt>
                <c:pt idx="7">
                  <c:v>199536.55</c:v>
                </c:pt>
                <c:pt idx="8">
                  <c:v>174523.57</c:v>
                </c:pt>
                <c:pt idx="9">
                  <c:v>117847.8</c:v>
                </c:pt>
                <c:pt idx="10">
                  <c:v>164974.12</c:v>
                </c:pt>
                <c:pt idx="11">
                  <c:v>136777.82999999999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3-4EFF-B543-567C6495A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'8 - 14 March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'8 - 14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'8 - 14 March 2021'!$B$5:$B$19</c:f>
              <c:numCache>
                <c:formatCode>#,##0.00</c:formatCode>
                <c:ptCount val="13"/>
                <c:pt idx="0">
                  <c:v>183695.37</c:v>
                </c:pt>
                <c:pt idx="1">
                  <c:v>174386.29</c:v>
                </c:pt>
                <c:pt idx="2">
                  <c:v>115000.01</c:v>
                </c:pt>
                <c:pt idx="3">
                  <c:v>192189.52</c:v>
                </c:pt>
                <c:pt idx="4">
                  <c:v>125510.9</c:v>
                </c:pt>
                <c:pt idx="5">
                  <c:v>236841.47</c:v>
                </c:pt>
                <c:pt idx="6">
                  <c:v>121011.83</c:v>
                </c:pt>
                <c:pt idx="7">
                  <c:v>199536.55</c:v>
                </c:pt>
                <c:pt idx="8">
                  <c:v>174523.57</c:v>
                </c:pt>
                <c:pt idx="9">
                  <c:v>117847.8</c:v>
                </c:pt>
                <c:pt idx="10">
                  <c:v>164974.12</c:v>
                </c:pt>
                <c:pt idx="11">
                  <c:v>136777.82999999999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B-42B7-9D01-F9DCE782DB23}"/>
            </c:ext>
          </c:extLst>
        </c:ser>
        <c:ser>
          <c:idx val="3"/>
          <c:order val="1"/>
          <c:tx>
            <c:strRef>
              <c:f>'8 - 14 March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'8 - 14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'8 - 14 March 2021'!$D$5:$D$19</c:f>
              <c:numCache>
                <c:formatCode>#,##0.00</c:formatCode>
                <c:ptCount val="13"/>
                <c:pt idx="0">
                  <c:v>198648.1</c:v>
                </c:pt>
                <c:pt idx="1">
                  <c:v>173140.42</c:v>
                </c:pt>
                <c:pt idx="2">
                  <c:v>99515.73</c:v>
                </c:pt>
                <c:pt idx="3">
                  <c:v>172867.87</c:v>
                </c:pt>
                <c:pt idx="4">
                  <c:v>127052.23</c:v>
                </c:pt>
                <c:pt idx="5">
                  <c:v>241525.48</c:v>
                </c:pt>
                <c:pt idx="6">
                  <c:v>125360.51</c:v>
                </c:pt>
                <c:pt idx="7">
                  <c:v>194657.22</c:v>
                </c:pt>
                <c:pt idx="8">
                  <c:v>172209.53</c:v>
                </c:pt>
                <c:pt idx="9">
                  <c:v>128763</c:v>
                </c:pt>
                <c:pt idx="10">
                  <c:v>163994.21</c:v>
                </c:pt>
                <c:pt idx="11">
                  <c:v>136531.20000000001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6B-42B7-9D01-F9DCE782D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'15 - 21 March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'15 - 21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'15 - 21 March 2021'!$B$5:$B$19</c:f>
              <c:numCache>
                <c:formatCode>#,##0.00</c:formatCode>
                <c:ptCount val="13"/>
                <c:pt idx="0">
                  <c:v>198648.1</c:v>
                </c:pt>
                <c:pt idx="1">
                  <c:v>173140.42</c:v>
                </c:pt>
                <c:pt idx="2">
                  <c:v>99515.73</c:v>
                </c:pt>
                <c:pt idx="3">
                  <c:v>172867.87</c:v>
                </c:pt>
                <c:pt idx="4">
                  <c:v>127052.23</c:v>
                </c:pt>
                <c:pt idx="5">
                  <c:v>241525.48</c:v>
                </c:pt>
                <c:pt idx="6">
                  <c:v>125360.51</c:v>
                </c:pt>
                <c:pt idx="7">
                  <c:v>194657.22</c:v>
                </c:pt>
                <c:pt idx="8">
                  <c:v>172209.53</c:v>
                </c:pt>
                <c:pt idx="9">
                  <c:v>128763</c:v>
                </c:pt>
                <c:pt idx="10">
                  <c:v>163994.21</c:v>
                </c:pt>
                <c:pt idx="11">
                  <c:v>136531.20000000001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2-4D3E-9E30-A21A384C4399}"/>
            </c:ext>
          </c:extLst>
        </c:ser>
        <c:ser>
          <c:idx val="3"/>
          <c:order val="1"/>
          <c:tx>
            <c:strRef>
              <c:f>'15 - 21 March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'15 - 21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'15 - 21 March 2021'!$D$5:$D$19</c:f>
              <c:numCache>
                <c:formatCode>#,##0.00</c:formatCode>
                <c:ptCount val="13"/>
                <c:pt idx="0">
                  <c:v>206498.35</c:v>
                </c:pt>
                <c:pt idx="1">
                  <c:v>147714.4</c:v>
                </c:pt>
                <c:pt idx="2">
                  <c:v>108914.78</c:v>
                </c:pt>
                <c:pt idx="3">
                  <c:v>155464.65</c:v>
                </c:pt>
                <c:pt idx="4">
                  <c:v>133790.07999999999</c:v>
                </c:pt>
                <c:pt idx="5">
                  <c:v>243817.58</c:v>
                </c:pt>
                <c:pt idx="6">
                  <c:v>106568.05</c:v>
                </c:pt>
                <c:pt idx="7">
                  <c:v>174962.19</c:v>
                </c:pt>
                <c:pt idx="8">
                  <c:v>196261.01</c:v>
                </c:pt>
                <c:pt idx="9">
                  <c:v>111117.75999999999</c:v>
                </c:pt>
                <c:pt idx="10">
                  <c:v>154734.54</c:v>
                </c:pt>
                <c:pt idx="11">
                  <c:v>139950.44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2-4D3E-9E30-A21A384C4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'22 - 28 March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'22 - 28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'22 - 28 March 2021'!$B$5:$B$19</c:f>
              <c:numCache>
                <c:formatCode>#,##0.00</c:formatCode>
                <c:ptCount val="13"/>
                <c:pt idx="0">
                  <c:v>206498.35</c:v>
                </c:pt>
                <c:pt idx="1">
                  <c:v>147714.4</c:v>
                </c:pt>
                <c:pt idx="2">
                  <c:v>108914.78</c:v>
                </c:pt>
                <c:pt idx="3">
                  <c:v>155464.65</c:v>
                </c:pt>
                <c:pt idx="4">
                  <c:v>133790.07999999999</c:v>
                </c:pt>
                <c:pt idx="5">
                  <c:v>243817.58</c:v>
                </c:pt>
                <c:pt idx="6">
                  <c:v>106568.05</c:v>
                </c:pt>
                <c:pt idx="7">
                  <c:v>174962.19</c:v>
                </c:pt>
                <c:pt idx="8">
                  <c:v>196261.01</c:v>
                </c:pt>
                <c:pt idx="9">
                  <c:v>111117.75999999999</c:v>
                </c:pt>
                <c:pt idx="10">
                  <c:v>154734.54</c:v>
                </c:pt>
                <c:pt idx="11">
                  <c:v>139950.44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4-4FCB-842B-971BB3300E71}"/>
            </c:ext>
          </c:extLst>
        </c:ser>
        <c:ser>
          <c:idx val="3"/>
          <c:order val="1"/>
          <c:tx>
            <c:strRef>
              <c:f>'22 - 28 March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'22 - 28 March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'22 - 28 March 2021'!$D$5:$D$19</c:f>
              <c:numCache>
                <c:formatCode>#,##0.00</c:formatCode>
                <c:ptCount val="13"/>
                <c:pt idx="0">
                  <c:v>239554.84</c:v>
                </c:pt>
                <c:pt idx="1">
                  <c:v>207285.93</c:v>
                </c:pt>
                <c:pt idx="2">
                  <c:v>106593.48</c:v>
                </c:pt>
                <c:pt idx="3">
                  <c:v>211727.89</c:v>
                </c:pt>
                <c:pt idx="4">
                  <c:v>135888.34</c:v>
                </c:pt>
                <c:pt idx="5">
                  <c:v>269732.09999999998</c:v>
                </c:pt>
                <c:pt idx="6">
                  <c:v>104694.16</c:v>
                </c:pt>
                <c:pt idx="7">
                  <c:v>186508.59</c:v>
                </c:pt>
                <c:pt idx="8">
                  <c:v>184312.76</c:v>
                </c:pt>
                <c:pt idx="9">
                  <c:v>136626.65</c:v>
                </c:pt>
                <c:pt idx="10">
                  <c:v>153117.04</c:v>
                </c:pt>
                <c:pt idx="11">
                  <c:v>146169.39000000001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4-4FCB-842B-971BB330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March - 4 April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March - 4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'29 March - 4 April 2021'!$B$5:$B$19</c:f>
              <c:numCache>
                <c:formatCode>#,##0.00</c:formatCode>
                <c:ptCount val="13"/>
                <c:pt idx="0">
                  <c:v>239554.84</c:v>
                </c:pt>
                <c:pt idx="1">
                  <c:v>207285.93</c:v>
                </c:pt>
                <c:pt idx="2">
                  <c:v>106593.48</c:v>
                </c:pt>
                <c:pt idx="3">
                  <c:v>211727.89</c:v>
                </c:pt>
                <c:pt idx="4">
                  <c:v>135888.34</c:v>
                </c:pt>
                <c:pt idx="5">
                  <c:v>269732.09999999998</c:v>
                </c:pt>
                <c:pt idx="6">
                  <c:v>104694.16</c:v>
                </c:pt>
                <c:pt idx="7">
                  <c:v>186508.59</c:v>
                </c:pt>
                <c:pt idx="8">
                  <c:v>184312.76</c:v>
                </c:pt>
                <c:pt idx="9">
                  <c:v>136626.65</c:v>
                </c:pt>
                <c:pt idx="10">
                  <c:v>153117.04</c:v>
                </c:pt>
                <c:pt idx="11">
                  <c:v>146169.39000000001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5-4ABC-91FA-703A506B1D43}"/>
            </c:ext>
          </c:extLst>
        </c:ser>
        <c:ser>
          <c:idx val="3"/>
          <c:order val="1"/>
          <c:tx>
            <c:strRef>
              <c:f>'29 March - 4 April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March - 4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'29 March - 4 April 2021'!$D$5:$D$19</c:f>
              <c:numCache>
                <c:formatCode>#,##0.00</c:formatCode>
                <c:ptCount val="13"/>
                <c:pt idx="0">
                  <c:v>236609.43</c:v>
                </c:pt>
                <c:pt idx="1">
                  <c:v>173141.14</c:v>
                </c:pt>
                <c:pt idx="2">
                  <c:v>105353.72</c:v>
                </c:pt>
                <c:pt idx="3">
                  <c:v>197422.2</c:v>
                </c:pt>
                <c:pt idx="4">
                  <c:v>108440.93</c:v>
                </c:pt>
                <c:pt idx="5">
                  <c:v>224658.72</c:v>
                </c:pt>
                <c:pt idx="6">
                  <c:v>94333.82</c:v>
                </c:pt>
                <c:pt idx="7">
                  <c:v>180677.39</c:v>
                </c:pt>
                <c:pt idx="8">
                  <c:v>327868.75</c:v>
                </c:pt>
                <c:pt idx="9">
                  <c:v>121974.5</c:v>
                </c:pt>
                <c:pt idx="10">
                  <c:v>135153.09</c:v>
                </c:pt>
                <c:pt idx="11">
                  <c:v>138476.72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5-4ABC-91FA-703A506B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'5 - 11 April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'5 - 11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'5 - 11 April 2021'!$B$5:$B$19</c:f>
              <c:numCache>
                <c:formatCode>#,##0.00</c:formatCode>
                <c:ptCount val="13"/>
                <c:pt idx="0">
                  <c:v>236609.43</c:v>
                </c:pt>
                <c:pt idx="1">
                  <c:v>173141.14</c:v>
                </c:pt>
                <c:pt idx="2">
                  <c:v>105353.72</c:v>
                </c:pt>
                <c:pt idx="3">
                  <c:v>197422.2</c:v>
                </c:pt>
                <c:pt idx="4">
                  <c:v>108440.93</c:v>
                </c:pt>
                <c:pt idx="5">
                  <c:v>224658.72</c:v>
                </c:pt>
                <c:pt idx="6">
                  <c:v>94333.82</c:v>
                </c:pt>
                <c:pt idx="7">
                  <c:v>180677.39</c:v>
                </c:pt>
                <c:pt idx="8">
                  <c:v>327868.75</c:v>
                </c:pt>
                <c:pt idx="9">
                  <c:v>121974.5</c:v>
                </c:pt>
                <c:pt idx="10">
                  <c:v>135153.09</c:v>
                </c:pt>
                <c:pt idx="11">
                  <c:v>138476.72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3F-45DC-81D5-980D158316D0}"/>
            </c:ext>
          </c:extLst>
        </c:ser>
        <c:ser>
          <c:idx val="3"/>
          <c:order val="1"/>
          <c:tx>
            <c:strRef>
              <c:f>'5 - 11 April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'5 - 11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'5 - 11 April 2021'!$D$5:$D$19</c:f>
              <c:numCache>
                <c:formatCode>#,##0.00</c:formatCode>
                <c:ptCount val="13"/>
                <c:pt idx="0">
                  <c:v>258207.15</c:v>
                </c:pt>
                <c:pt idx="1">
                  <c:v>181224.09</c:v>
                </c:pt>
                <c:pt idx="2">
                  <c:v>91734.23</c:v>
                </c:pt>
                <c:pt idx="3">
                  <c:v>185992.05</c:v>
                </c:pt>
                <c:pt idx="4">
                  <c:v>140346.82999999999</c:v>
                </c:pt>
                <c:pt idx="5">
                  <c:v>234239.76</c:v>
                </c:pt>
                <c:pt idx="6">
                  <c:v>97582.09</c:v>
                </c:pt>
                <c:pt idx="7">
                  <c:v>176649.13</c:v>
                </c:pt>
                <c:pt idx="8">
                  <c:v>241778.39</c:v>
                </c:pt>
                <c:pt idx="9">
                  <c:v>119730.4</c:v>
                </c:pt>
                <c:pt idx="10">
                  <c:v>161232.97</c:v>
                </c:pt>
                <c:pt idx="11">
                  <c:v>127761.5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3F-45DC-81D5-980D15831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'12 - 18 April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'12 - 18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'12 - 18 April 2021'!$B$5:$B$19</c:f>
              <c:numCache>
                <c:formatCode>#,##0.00</c:formatCode>
                <c:ptCount val="13"/>
                <c:pt idx="0">
                  <c:v>258207.15</c:v>
                </c:pt>
                <c:pt idx="1">
                  <c:v>181224.09</c:v>
                </c:pt>
                <c:pt idx="2">
                  <c:v>91734.23</c:v>
                </c:pt>
                <c:pt idx="3">
                  <c:v>185992.05</c:v>
                </c:pt>
                <c:pt idx="4">
                  <c:v>140346.82999999999</c:v>
                </c:pt>
                <c:pt idx="5">
                  <c:v>234239.76</c:v>
                </c:pt>
                <c:pt idx="6">
                  <c:v>97582.09</c:v>
                </c:pt>
                <c:pt idx="7">
                  <c:v>176649.13</c:v>
                </c:pt>
                <c:pt idx="8">
                  <c:v>241778.39</c:v>
                </c:pt>
                <c:pt idx="9">
                  <c:v>119730.4</c:v>
                </c:pt>
                <c:pt idx="10">
                  <c:v>161232.97</c:v>
                </c:pt>
                <c:pt idx="11">
                  <c:v>127761.5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BA-4AB0-99BF-36E0686EDDA0}"/>
            </c:ext>
          </c:extLst>
        </c:ser>
        <c:ser>
          <c:idx val="3"/>
          <c:order val="1"/>
          <c:tx>
            <c:strRef>
              <c:f>'12 - 18 April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'12 - 18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'12 - 18 April 2021'!$D$5:$D$19</c:f>
              <c:numCache>
                <c:formatCode>#,##0.00</c:formatCode>
                <c:ptCount val="13"/>
                <c:pt idx="0">
                  <c:v>217480.61</c:v>
                </c:pt>
                <c:pt idx="1">
                  <c:v>179455.47</c:v>
                </c:pt>
                <c:pt idx="2">
                  <c:v>87710.19</c:v>
                </c:pt>
                <c:pt idx="3">
                  <c:v>185413.17</c:v>
                </c:pt>
                <c:pt idx="4">
                  <c:v>123492.34</c:v>
                </c:pt>
                <c:pt idx="5">
                  <c:v>250526.02</c:v>
                </c:pt>
                <c:pt idx="6">
                  <c:v>95613.79</c:v>
                </c:pt>
                <c:pt idx="7">
                  <c:v>181135.9</c:v>
                </c:pt>
                <c:pt idx="8">
                  <c:v>169093.03</c:v>
                </c:pt>
                <c:pt idx="9">
                  <c:v>112492.7</c:v>
                </c:pt>
                <c:pt idx="10">
                  <c:v>159048.68</c:v>
                </c:pt>
                <c:pt idx="11">
                  <c:v>143288.01999999999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BA-4AB0-99BF-36E0686ED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'19 - 25 April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'19 - 25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'19 - 25 April 2021'!$B$5:$B$19</c:f>
              <c:numCache>
                <c:formatCode>#,##0.00</c:formatCode>
                <c:ptCount val="13"/>
                <c:pt idx="0">
                  <c:v>217480.61</c:v>
                </c:pt>
                <c:pt idx="1">
                  <c:v>179455.47</c:v>
                </c:pt>
                <c:pt idx="2">
                  <c:v>87710.19</c:v>
                </c:pt>
                <c:pt idx="3">
                  <c:v>185413.17</c:v>
                </c:pt>
                <c:pt idx="4">
                  <c:v>123492.34</c:v>
                </c:pt>
                <c:pt idx="5">
                  <c:v>250526.02</c:v>
                </c:pt>
                <c:pt idx="6">
                  <c:v>95613.79</c:v>
                </c:pt>
                <c:pt idx="7">
                  <c:v>181135.9</c:v>
                </c:pt>
                <c:pt idx="8">
                  <c:v>169093.03</c:v>
                </c:pt>
                <c:pt idx="9">
                  <c:v>112492.7</c:v>
                </c:pt>
                <c:pt idx="10">
                  <c:v>159048.68</c:v>
                </c:pt>
                <c:pt idx="11">
                  <c:v>143288.01999999999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A-4C22-8022-7798866B568B}"/>
            </c:ext>
          </c:extLst>
        </c:ser>
        <c:ser>
          <c:idx val="3"/>
          <c:order val="1"/>
          <c:tx>
            <c:strRef>
              <c:f>'19 - 25 April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'19 - 25 April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'19 - 25 April 2021'!$D$5:$D$19</c:f>
              <c:numCache>
                <c:formatCode>#,##0.00</c:formatCode>
                <c:ptCount val="13"/>
                <c:pt idx="0">
                  <c:v>229636.49</c:v>
                </c:pt>
                <c:pt idx="1">
                  <c:v>160664.57</c:v>
                </c:pt>
                <c:pt idx="2">
                  <c:v>89032.8</c:v>
                </c:pt>
                <c:pt idx="3">
                  <c:v>204139.39</c:v>
                </c:pt>
                <c:pt idx="4">
                  <c:v>135624.76</c:v>
                </c:pt>
                <c:pt idx="5">
                  <c:v>230674.35</c:v>
                </c:pt>
                <c:pt idx="6">
                  <c:v>103180.73</c:v>
                </c:pt>
                <c:pt idx="7">
                  <c:v>180607.58</c:v>
                </c:pt>
                <c:pt idx="8">
                  <c:v>241634.12</c:v>
                </c:pt>
                <c:pt idx="9">
                  <c:v>130219.14</c:v>
                </c:pt>
                <c:pt idx="10">
                  <c:v>149272.72</c:v>
                </c:pt>
                <c:pt idx="11">
                  <c:v>145568.47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A-4C22-8022-7798866B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April - 2 May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April - 2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'26 April - 2 May 2021'!$B$5:$B$19</c:f>
              <c:numCache>
                <c:formatCode>#,##0.00</c:formatCode>
                <c:ptCount val="13"/>
                <c:pt idx="0">
                  <c:v>229636.49</c:v>
                </c:pt>
                <c:pt idx="1">
                  <c:v>160664.57</c:v>
                </c:pt>
                <c:pt idx="2">
                  <c:v>89032.8</c:v>
                </c:pt>
                <c:pt idx="3">
                  <c:v>204139.39</c:v>
                </c:pt>
                <c:pt idx="4">
                  <c:v>135624.76</c:v>
                </c:pt>
                <c:pt idx="5">
                  <c:v>230674.35</c:v>
                </c:pt>
                <c:pt idx="6">
                  <c:v>103180.73</c:v>
                </c:pt>
                <c:pt idx="7">
                  <c:v>180607.58</c:v>
                </c:pt>
                <c:pt idx="8">
                  <c:v>241634.12</c:v>
                </c:pt>
                <c:pt idx="9">
                  <c:v>130219.14</c:v>
                </c:pt>
                <c:pt idx="10">
                  <c:v>149272.72</c:v>
                </c:pt>
                <c:pt idx="11">
                  <c:v>145568.47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1-44FB-ABCC-D06044D84DF5}"/>
            </c:ext>
          </c:extLst>
        </c:ser>
        <c:ser>
          <c:idx val="3"/>
          <c:order val="1"/>
          <c:tx>
            <c:strRef>
              <c:f>'26 April - 2 May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April - 2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'26 April - 2 May 2021'!$D$5:$D$19</c:f>
              <c:numCache>
                <c:formatCode>#,##0.00</c:formatCode>
                <c:ptCount val="13"/>
                <c:pt idx="0">
                  <c:v>282442.31</c:v>
                </c:pt>
                <c:pt idx="1">
                  <c:v>187544.1</c:v>
                </c:pt>
                <c:pt idx="2">
                  <c:v>128042.35</c:v>
                </c:pt>
                <c:pt idx="3">
                  <c:v>223881.33</c:v>
                </c:pt>
                <c:pt idx="4">
                  <c:v>128733.27</c:v>
                </c:pt>
                <c:pt idx="5">
                  <c:v>297909.15000000002</c:v>
                </c:pt>
                <c:pt idx="6">
                  <c:v>99879.81</c:v>
                </c:pt>
                <c:pt idx="7">
                  <c:v>192771.76</c:v>
                </c:pt>
                <c:pt idx="8">
                  <c:v>335289.78000000003</c:v>
                </c:pt>
                <c:pt idx="9">
                  <c:v>147345.04999999999</c:v>
                </c:pt>
                <c:pt idx="10">
                  <c:v>184045.59</c:v>
                </c:pt>
                <c:pt idx="11">
                  <c:v>163412.85999999999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1-44FB-ABCC-D06044D8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'3 - 9 May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'3 - 9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'3 - 9 May 2021'!$B$5:$B$19</c:f>
              <c:numCache>
                <c:formatCode>#,##0.00</c:formatCode>
                <c:ptCount val="13"/>
                <c:pt idx="0">
                  <c:v>282442.31</c:v>
                </c:pt>
                <c:pt idx="1">
                  <c:v>187544.1</c:v>
                </c:pt>
                <c:pt idx="2">
                  <c:v>128042.35</c:v>
                </c:pt>
                <c:pt idx="3">
                  <c:v>223881.33</c:v>
                </c:pt>
                <c:pt idx="4">
                  <c:v>128733.27</c:v>
                </c:pt>
                <c:pt idx="5">
                  <c:v>297909.15000000002</c:v>
                </c:pt>
                <c:pt idx="6">
                  <c:v>99879.81</c:v>
                </c:pt>
                <c:pt idx="7">
                  <c:v>192771.76</c:v>
                </c:pt>
                <c:pt idx="8">
                  <c:v>335289.78000000003</c:v>
                </c:pt>
                <c:pt idx="9">
                  <c:v>147345.04999999999</c:v>
                </c:pt>
                <c:pt idx="10">
                  <c:v>184045.59</c:v>
                </c:pt>
                <c:pt idx="11">
                  <c:v>163412.85999999999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1-4EF8-AFF7-22AF0ED0DA9C}"/>
            </c:ext>
          </c:extLst>
        </c:ser>
        <c:ser>
          <c:idx val="3"/>
          <c:order val="1"/>
          <c:tx>
            <c:strRef>
              <c:f>'3 - 9 May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'3 - 9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'3 - 9 May 2021'!$D$5:$D$19</c:f>
              <c:numCache>
                <c:formatCode>#,##0.00</c:formatCode>
                <c:ptCount val="13"/>
                <c:pt idx="0">
                  <c:v>203627.09</c:v>
                </c:pt>
                <c:pt idx="1">
                  <c:v>197591.81</c:v>
                </c:pt>
                <c:pt idx="2">
                  <c:v>101409.11</c:v>
                </c:pt>
                <c:pt idx="3">
                  <c:v>177312.6</c:v>
                </c:pt>
                <c:pt idx="4">
                  <c:v>148751.57</c:v>
                </c:pt>
                <c:pt idx="5">
                  <c:v>285169.07</c:v>
                </c:pt>
                <c:pt idx="6">
                  <c:v>98245.55</c:v>
                </c:pt>
                <c:pt idx="7">
                  <c:v>184334.64</c:v>
                </c:pt>
                <c:pt idx="8">
                  <c:v>166850.45000000001</c:v>
                </c:pt>
                <c:pt idx="9">
                  <c:v>119683.93</c:v>
                </c:pt>
                <c:pt idx="10">
                  <c:v>169209.44</c:v>
                </c:pt>
                <c:pt idx="11">
                  <c:v>174159.43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1-4EF8-AFF7-22AF0ED0D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'10 - 16 May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'10 - 16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'10 - 16 May 2021'!$B$5:$B$19</c:f>
              <c:numCache>
                <c:formatCode>#,##0.00</c:formatCode>
                <c:ptCount val="13"/>
                <c:pt idx="0">
                  <c:v>203627.09</c:v>
                </c:pt>
                <c:pt idx="1">
                  <c:v>197591.81</c:v>
                </c:pt>
                <c:pt idx="2">
                  <c:v>101409.11</c:v>
                </c:pt>
                <c:pt idx="3">
                  <c:v>177312.6</c:v>
                </c:pt>
                <c:pt idx="4">
                  <c:v>148751.57</c:v>
                </c:pt>
                <c:pt idx="5">
                  <c:v>285169.07</c:v>
                </c:pt>
                <c:pt idx="6">
                  <c:v>98245.55</c:v>
                </c:pt>
                <c:pt idx="7">
                  <c:v>184334.64</c:v>
                </c:pt>
                <c:pt idx="8">
                  <c:v>166850.45000000001</c:v>
                </c:pt>
                <c:pt idx="9">
                  <c:v>119683.93</c:v>
                </c:pt>
                <c:pt idx="10">
                  <c:v>169209.44</c:v>
                </c:pt>
                <c:pt idx="11">
                  <c:v>174159.43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1-44E6-8E96-BCCF39E9CC54}"/>
            </c:ext>
          </c:extLst>
        </c:ser>
        <c:ser>
          <c:idx val="3"/>
          <c:order val="1"/>
          <c:tx>
            <c:strRef>
              <c:f>'10 - 16 May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'10 - 16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'10 - 16 May 2021'!$D$5:$D$19</c:f>
              <c:numCache>
                <c:formatCode>#,##0.00</c:formatCode>
                <c:ptCount val="13"/>
                <c:pt idx="0">
                  <c:v>194847.13</c:v>
                </c:pt>
                <c:pt idx="1">
                  <c:v>204578.06</c:v>
                </c:pt>
                <c:pt idx="2">
                  <c:v>100528.11</c:v>
                </c:pt>
                <c:pt idx="3">
                  <c:v>185947.3</c:v>
                </c:pt>
                <c:pt idx="4">
                  <c:v>120234.69</c:v>
                </c:pt>
                <c:pt idx="5">
                  <c:v>250633.44</c:v>
                </c:pt>
                <c:pt idx="6">
                  <c:v>98898.65</c:v>
                </c:pt>
                <c:pt idx="7">
                  <c:v>169528.01</c:v>
                </c:pt>
                <c:pt idx="8">
                  <c:v>135471.54</c:v>
                </c:pt>
                <c:pt idx="9">
                  <c:v>114724.17</c:v>
                </c:pt>
                <c:pt idx="10">
                  <c:v>156416.17000000001</c:v>
                </c:pt>
                <c:pt idx="11">
                  <c:v>144258.99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1-44E6-8E96-BCCF39E9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'17 - 23 May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'17 - 23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'17 - 23 May 2021'!$B$5:$B$19</c:f>
              <c:numCache>
                <c:formatCode>#,##0.00</c:formatCode>
                <c:ptCount val="13"/>
                <c:pt idx="0">
                  <c:v>194847.13</c:v>
                </c:pt>
                <c:pt idx="1">
                  <c:v>204578.06</c:v>
                </c:pt>
                <c:pt idx="2">
                  <c:v>100528.11</c:v>
                </c:pt>
                <c:pt idx="3">
                  <c:v>185947.3</c:v>
                </c:pt>
                <c:pt idx="4">
                  <c:v>120234.69</c:v>
                </c:pt>
                <c:pt idx="5">
                  <c:v>250633.44</c:v>
                </c:pt>
                <c:pt idx="6">
                  <c:v>98898.65</c:v>
                </c:pt>
                <c:pt idx="7">
                  <c:v>169528.01</c:v>
                </c:pt>
                <c:pt idx="8">
                  <c:v>135471.54</c:v>
                </c:pt>
                <c:pt idx="9">
                  <c:v>114724.17</c:v>
                </c:pt>
                <c:pt idx="10">
                  <c:v>156416.17000000001</c:v>
                </c:pt>
                <c:pt idx="11">
                  <c:v>144258.99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F-44DD-9A93-C94C11BDCB97}"/>
            </c:ext>
          </c:extLst>
        </c:ser>
        <c:ser>
          <c:idx val="3"/>
          <c:order val="1"/>
          <c:tx>
            <c:strRef>
              <c:f>'17 - 23 May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'17 - 23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'17 - 23 May 2021'!$D$5:$D$19</c:f>
              <c:numCache>
                <c:formatCode>#,##0.00</c:formatCode>
                <c:ptCount val="13"/>
                <c:pt idx="0">
                  <c:v>171452.75</c:v>
                </c:pt>
                <c:pt idx="1">
                  <c:v>153733.9</c:v>
                </c:pt>
                <c:pt idx="2">
                  <c:v>98667.17</c:v>
                </c:pt>
                <c:pt idx="3">
                  <c:v>158175.95000000001</c:v>
                </c:pt>
                <c:pt idx="4">
                  <c:v>130654.18</c:v>
                </c:pt>
                <c:pt idx="5">
                  <c:v>260839.29</c:v>
                </c:pt>
                <c:pt idx="6">
                  <c:v>110940.29</c:v>
                </c:pt>
                <c:pt idx="7">
                  <c:v>169683.54</c:v>
                </c:pt>
                <c:pt idx="8">
                  <c:v>162458.28</c:v>
                </c:pt>
                <c:pt idx="9">
                  <c:v>108250.42</c:v>
                </c:pt>
                <c:pt idx="10">
                  <c:v>156591.71</c:v>
                </c:pt>
                <c:pt idx="11">
                  <c:v>130122.86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F-44DD-9A93-C94C11BDC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'24 - 30 May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'24 - 30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'24 - 30 May 2021'!$B$5:$B$19</c:f>
              <c:numCache>
                <c:formatCode>#,##0.00</c:formatCode>
                <c:ptCount val="13"/>
                <c:pt idx="0">
                  <c:v>171452.75</c:v>
                </c:pt>
                <c:pt idx="1">
                  <c:v>153733.9</c:v>
                </c:pt>
                <c:pt idx="2">
                  <c:v>98667.17</c:v>
                </c:pt>
                <c:pt idx="3">
                  <c:v>158175.95000000001</c:v>
                </c:pt>
                <c:pt idx="4">
                  <c:v>130654.18</c:v>
                </c:pt>
                <c:pt idx="5">
                  <c:v>260839.29</c:v>
                </c:pt>
                <c:pt idx="6">
                  <c:v>110940.29</c:v>
                </c:pt>
                <c:pt idx="7">
                  <c:v>169683.54</c:v>
                </c:pt>
                <c:pt idx="8">
                  <c:v>162458.28</c:v>
                </c:pt>
                <c:pt idx="9">
                  <c:v>108250.42</c:v>
                </c:pt>
                <c:pt idx="10">
                  <c:v>156591.71</c:v>
                </c:pt>
                <c:pt idx="11">
                  <c:v>130122.86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A-4A65-8A97-76F42C4B0527}"/>
            </c:ext>
          </c:extLst>
        </c:ser>
        <c:ser>
          <c:idx val="3"/>
          <c:order val="1"/>
          <c:tx>
            <c:strRef>
              <c:f>'24 - 30 May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'24 - 30 May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'24 - 30 May 2021'!$D$5:$D$19</c:f>
              <c:numCache>
                <c:formatCode>#,##0.00</c:formatCode>
                <c:ptCount val="13"/>
                <c:pt idx="0">
                  <c:v>214205.06</c:v>
                </c:pt>
                <c:pt idx="1">
                  <c:v>173233.87</c:v>
                </c:pt>
                <c:pt idx="2">
                  <c:v>129250.82</c:v>
                </c:pt>
                <c:pt idx="3">
                  <c:v>205371.75</c:v>
                </c:pt>
                <c:pt idx="4">
                  <c:v>112263.55</c:v>
                </c:pt>
                <c:pt idx="5">
                  <c:v>258592</c:v>
                </c:pt>
                <c:pt idx="6">
                  <c:v>110629.59</c:v>
                </c:pt>
                <c:pt idx="7">
                  <c:v>201178.29</c:v>
                </c:pt>
                <c:pt idx="8">
                  <c:v>139836.46</c:v>
                </c:pt>
                <c:pt idx="9">
                  <c:v>131494.71</c:v>
                </c:pt>
                <c:pt idx="10">
                  <c:v>160723.01</c:v>
                </c:pt>
                <c:pt idx="11">
                  <c:v>158856.56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CA-4A65-8A97-76F42C4B0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'31 May - 6 June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'31 May - 6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'31 May - 6 June 2021'!$B$5:$B$19</c:f>
              <c:numCache>
                <c:formatCode>#,##0.00</c:formatCode>
                <c:ptCount val="13"/>
                <c:pt idx="0">
                  <c:v>214205.06</c:v>
                </c:pt>
                <c:pt idx="1">
                  <c:v>173233.87</c:v>
                </c:pt>
                <c:pt idx="2">
                  <c:v>129250.82</c:v>
                </c:pt>
                <c:pt idx="3">
                  <c:v>205371.75</c:v>
                </c:pt>
                <c:pt idx="4">
                  <c:v>112263.55</c:v>
                </c:pt>
                <c:pt idx="5">
                  <c:v>258592</c:v>
                </c:pt>
                <c:pt idx="6">
                  <c:v>110629.59</c:v>
                </c:pt>
                <c:pt idx="7">
                  <c:v>201178.29</c:v>
                </c:pt>
                <c:pt idx="8">
                  <c:v>139836.46</c:v>
                </c:pt>
                <c:pt idx="9">
                  <c:v>131494.71</c:v>
                </c:pt>
                <c:pt idx="10">
                  <c:v>160723.01</c:v>
                </c:pt>
                <c:pt idx="11">
                  <c:v>158856.56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6-4232-98E4-2D6B552DAAA9}"/>
            </c:ext>
          </c:extLst>
        </c:ser>
        <c:ser>
          <c:idx val="3"/>
          <c:order val="1"/>
          <c:tx>
            <c:strRef>
              <c:f>'31 May - 6 June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'31 May - 6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'31 May - 6 June 2021'!$D$5:$D$19</c:f>
              <c:numCache>
                <c:formatCode>#,##0.00</c:formatCode>
                <c:ptCount val="13"/>
                <c:pt idx="0">
                  <c:v>181872.52</c:v>
                </c:pt>
                <c:pt idx="1">
                  <c:v>137349.18</c:v>
                </c:pt>
                <c:pt idx="2">
                  <c:v>101572.02</c:v>
                </c:pt>
                <c:pt idx="3">
                  <c:v>148315.18</c:v>
                </c:pt>
                <c:pt idx="4">
                  <c:v>135817.28</c:v>
                </c:pt>
                <c:pt idx="5">
                  <c:v>266240.07</c:v>
                </c:pt>
                <c:pt idx="6">
                  <c:v>113857</c:v>
                </c:pt>
                <c:pt idx="7">
                  <c:v>173078.97</c:v>
                </c:pt>
                <c:pt idx="8">
                  <c:v>119262.39</c:v>
                </c:pt>
                <c:pt idx="9">
                  <c:v>110387.7</c:v>
                </c:pt>
                <c:pt idx="10">
                  <c:v>165603.85999999999</c:v>
                </c:pt>
                <c:pt idx="11">
                  <c:v>119243.86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6-4232-98E4-2D6B552DA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'7 - 13 June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'7 - 13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'7 - 13 June 2021'!$B$5:$B$19</c:f>
              <c:numCache>
                <c:formatCode>#,##0.00</c:formatCode>
                <c:ptCount val="13"/>
                <c:pt idx="0">
                  <c:v>181872.52</c:v>
                </c:pt>
                <c:pt idx="1">
                  <c:v>137349.18</c:v>
                </c:pt>
                <c:pt idx="2">
                  <c:v>101572.02</c:v>
                </c:pt>
                <c:pt idx="3">
                  <c:v>148315.18</c:v>
                </c:pt>
                <c:pt idx="4">
                  <c:v>135817.28</c:v>
                </c:pt>
                <c:pt idx="5">
                  <c:v>266240.07</c:v>
                </c:pt>
                <c:pt idx="6">
                  <c:v>113857</c:v>
                </c:pt>
                <c:pt idx="7">
                  <c:v>173078.97</c:v>
                </c:pt>
                <c:pt idx="8">
                  <c:v>119262.39</c:v>
                </c:pt>
                <c:pt idx="9">
                  <c:v>110387.7</c:v>
                </c:pt>
                <c:pt idx="10">
                  <c:v>165603.85999999999</c:v>
                </c:pt>
                <c:pt idx="11">
                  <c:v>119243.86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3-473A-B0DD-3A2764ED970E}"/>
            </c:ext>
          </c:extLst>
        </c:ser>
        <c:ser>
          <c:idx val="3"/>
          <c:order val="1"/>
          <c:tx>
            <c:strRef>
              <c:f>'7 - 13 June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'7 - 13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'7 - 13 June 2021'!$D$5:$D$19</c:f>
              <c:numCache>
                <c:formatCode>#,##0.00</c:formatCode>
                <c:ptCount val="13"/>
                <c:pt idx="0">
                  <c:v>159835.79999999999</c:v>
                </c:pt>
                <c:pt idx="1">
                  <c:v>119124.17</c:v>
                </c:pt>
                <c:pt idx="2">
                  <c:v>96926.07</c:v>
                </c:pt>
                <c:pt idx="3">
                  <c:v>149259.91</c:v>
                </c:pt>
                <c:pt idx="4">
                  <c:v>9206.86</c:v>
                </c:pt>
                <c:pt idx="5">
                  <c:v>222935.03</c:v>
                </c:pt>
                <c:pt idx="6">
                  <c:v>95672.93</c:v>
                </c:pt>
                <c:pt idx="7">
                  <c:v>159408.99</c:v>
                </c:pt>
                <c:pt idx="8">
                  <c:v>140721.15</c:v>
                </c:pt>
                <c:pt idx="9">
                  <c:v>118362.03</c:v>
                </c:pt>
                <c:pt idx="10">
                  <c:v>134885.60999999999</c:v>
                </c:pt>
                <c:pt idx="11">
                  <c:v>121244.88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3-473A-B0DD-3A2764ED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'14 - 20 June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'14 - 20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'14 - 20 June 2021'!$B$5:$B$19</c:f>
              <c:numCache>
                <c:formatCode>#,##0.00</c:formatCode>
                <c:ptCount val="13"/>
                <c:pt idx="0">
                  <c:v>159835.79999999999</c:v>
                </c:pt>
                <c:pt idx="1">
                  <c:v>119124.17</c:v>
                </c:pt>
                <c:pt idx="2">
                  <c:v>96926.07</c:v>
                </c:pt>
                <c:pt idx="3">
                  <c:v>149259.91</c:v>
                </c:pt>
                <c:pt idx="4">
                  <c:v>9206.86</c:v>
                </c:pt>
                <c:pt idx="5">
                  <c:v>222935.03</c:v>
                </c:pt>
                <c:pt idx="6">
                  <c:v>95672.93</c:v>
                </c:pt>
                <c:pt idx="7">
                  <c:v>159408.99</c:v>
                </c:pt>
                <c:pt idx="8">
                  <c:v>140721.15</c:v>
                </c:pt>
                <c:pt idx="9">
                  <c:v>118362.03</c:v>
                </c:pt>
                <c:pt idx="10">
                  <c:v>134885.60999999999</c:v>
                </c:pt>
                <c:pt idx="11">
                  <c:v>121244.88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5-4537-B022-A206D5C521AE}"/>
            </c:ext>
          </c:extLst>
        </c:ser>
        <c:ser>
          <c:idx val="3"/>
          <c:order val="1"/>
          <c:tx>
            <c:strRef>
              <c:f>'14 - 20 June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'14 - 20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'14 - 20 June 2021'!$D$5:$D$19</c:f>
              <c:numCache>
                <c:formatCode>#,##0.00</c:formatCode>
                <c:ptCount val="13"/>
                <c:pt idx="0">
                  <c:v>172041.05</c:v>
                </c:pt>
                <c:pt idx="1">
                  <c:v>112438.92</c:v>
                </c:pt>
                <c:pt idx="2">
                  <c:v>93597.64</c:v>
                </c:pt>
                <c:pt idx="3">
                  <c:v>135128.66</c:v>
                </c:pt>
                <c:pt idx="4">
                  <c:v>0</c:v>
                </c:pt>
                <c:pt idx="5">
                  <c:v>198333.11</c:v>
                </c:pt>
                <c:pt idx="6">
                  <c:v>90987.89</c:v>
                </c:pt>
                <c:pt idx="7">
                  <c:v>152472.51</c:v>
                </c:pt>
                <c:pt idx="8">
                  <c:v>151189.84</c:v>
                </c:pt>
                <c:pt idx="9">
                  <c:v>104993.53</c:v>
                </c:pt>
                <c:pt idx="10">
                  <c:v>116056.04</c:v>
                </c:pt>
                <c:pt idx="11">
                  <c:v>134734.75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5-4537-B022-A206D5C52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'21 - 27 June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'21 - 27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'21 - 27 June 2021'!$B$5:$B$19</c:f>
              <c:numCache>
                <c:formatCode>#,##0.00</c:formatCode>
                <c:ptCount val="13"/>
                <c:pt idx="0">
                  <c:v>172041.05</c:v>
                </c:pt>
                <c:pt idx="1">
                  <c:v>112438.92</c:v>
                </c:pt>
                <c:pt idx="2">
                  <c:v>93597.64</c:v>
                </c:pt>
                <c:pt idx="3">
                  <c:v>135128.66</c:v>
                </c:pt>
                <c:pt idx="4">
                  <c:v>0</c:v>
                </c:pt>
                <c:pt idx="5">
                  <c:v>198333.11</c:v>
                </c:pt>
                <c:pt idx="6">
                  <c:v>90987.89</c:v>
                </c:pt>
                <c:pt idx="7">
                  <c:v>152472.51</c:v>
                </c:pt>
                <c:pt idx="8">
                  <c:v>151189.84</c:v>
                </c:pt>
                <c:pt idx="9">
                  <c:v>104993.53</c:v>
                </c:pt>
                <c:pt idx="10">
                  <c:v>116056.04</c:v>
                </c:pt>
                <c:pt idx="11">
                  <c:v>134734.75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1-49F9-88B5-3F9063D1CFE7}"/>
            </c:ext>
          </c:extLst>
        </c:ser>
        <c:ser>
          <c:idx val="3"/>
          <c:order val="1"/>
          <c:tx>
            <c:strRef>
              <c:f>'21 - 27 June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'21 - 27 June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'21 - 27 June 2021'!$D$5:$D$19</c:f>
              <c:numCache>
                <c:formatCode>#,##0.00</c:formatCode>
                <c:ptCount val="13"/>
                <c:pt idx="0">
                  <c:v>132613.41</c:v>
                </c:pt>
                <c:pt idx="1">
                  <c:v>110299.53</c:v>
                </c:pt>
                <c:pt idx="2">
                  <c:v>88716.479999999996</c:v>
                </c:pt>
                <c:pt idx="3">
                  <c:v>121954.48</c:v>
                </c:pt>
                <c:pt idx="4">
                  <c:v>0</c:v>
                </c:pt>
                <c:pt idx="5">
                  <c:v>177064.58</c:v>
                </c:pt>
                <c:pt idx="6">
                  <c:v>93610.01</c:v>
                </c:pt>
                <c:pt idx="7">
                  <c:v>151392.85999999999</c:v>
                </c:pt>
                <c:pt idx="8">
                  <c:v>108896.3</c:v>
                </c:pt>
                <c:pt idx="9">
                  <c:v>87193.5</c:v>
                </c:pt>
                <c:pt idx="10">
                  <c:v>114871.66</c:v>
                </c:pt>
                <c:pt idx="11">
                  <c:v>119981.91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1-49F9-88B5-3F9063D1C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June - 4 July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June - 4 July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June - 4 July 2021'!$B$5:$B$19</c:f>
              <c:numCache>
                <c:formatCode>#,##0.00</c:formatCode>
                <c:ptCount val="13"/>
                <c:pt idx="0">
                  <c:v>132613.41</c:v>
                </c:pt>
                <c:pt idx="1">
                  <c:v>110299.53</c:v>
                </c:pt>
                <c:pt idx="2">
                  <c:v>88716.479999999996</c:v>
                </c:pt>
                <c:pt idx="3">
                  <c:v>121954.48</c:v>
                </c:pt>
                <c:pt idx="4">
                  <c:v>0</c:v>
                </c:pt>
                <c:pt idx="5">
                  <c:v>177064.58</c:v>
                </c:pt>
                <c:pt idx="6">
                  <c:v>93610.01</c:v>
                </c:pt>
                <c:pt idx="7">
                  <c:v>151392.85999999999</c:v>
                </c:pt>
                <c:pt idx="8">
                  <c:v>108896.3</c:v>
                </c:pt>
                <c:pt idx="9">
                  <c:v>87193.5</c:v>
                </c:pt>
                <c:pt idx="10">
                  <c:v>114871.66</c:v>
                </c:pt>
                <c:pt idx="11">
                  <c:v>119981.91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2-4ED7-9A7A-01407CD6A4D1}"/>
            </c:ext>
          </c:extLst>
        </c:ser>
        <c:ser>
          <c:idx val="3"/>
          <c:order val="1"/>
          <c:tx>
            <c:strRef>
              <c:f>'28 June - 4 July 2021'!$D$3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June - 4 July 2021'!$A$5:$A$19</c:f>
              <c:strCache>
                <c:ptCount val="13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  <c:pt idx="12">
                  <c:v>Centurion</c:v>
                </c:pt>
              </c:strCache>
            </c:strRef>
          </c:cat>
          <c:val>
            <c:numRef>
              <c:f>'28 June - 4 July 2021'!$D$5:$D$19</c:f>
              <c:numCache>
                <c:formatCode>#,##0.00</c:formatCode>
                <c:ptCount val="13"/>
                <c:pt idx="0">
                  <c:v>76505.179999999993</c:v>
                </c:pt>
                <c:pt idx="1">
                  <c:v>45573.7</c:v>
                </c:pt>
                <c:pt idx="2">
                  <c:v>61668.56</c:v>
                </c:pt>
                <c:pt idx="3">
                  <c:v>50431.71</c:v>
                </c:pt>
                <c:pt idx="4">
                  <c:v>38908.65</c:v>
                </c:pt>
                <c:pt idx="5">
                  <c:v>87544.53</c:v>
                </c:pt>
                <c:pt idx="6">
                  <c:v>49395.18</c:v>
                </c:pt>
                <c:pt idx="7">
                  <c:v>94163.55</c:v>
                </c:pt>
                <c:pt idx="8">
                  <c:v>34859.870000000003</c:v>
                </c:pt>
                <c:pt idx="9">
                  <c:v>58655.79</c:v>
                </c:pt>
                <c:pt idx="10">
                  <c:v>63036.160000000003</c:v>
                </c:pt>
                <c:pt idx="11">
                  <c:v>60926.38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2-4ED7-9A7A-01407CD6A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'5 - 11 July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'5 - 11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'5 - 11 July 2021'!$B$5:$B$19</c:f>
              <c:numCache>
                <c:formatCode>#,##0.00</c:formatCode>
                <c:ptCount val="12"/>
                <c:pt idx="0">
                  <c:v>76505.179999999993</c:v>
                </c:pt>
                <c:pt idx="1">
                  <c:v>45573.7</c:v>
                </c:pt>
                <c:pt idx="2">
                  <c:v>61668.56</c:v>
                </c:pt>
                <c:pt idx="3">
                  <c:v>50431.71</c:v>
                </c:pt>
                <c:pt idx="4">
                  <c:v>38908.65</c:v>
                </c:pt>
                <c:pt idx="5">
                  <c:v>87544.53</c:v>
                </c:pt>
                <c:pt idx="6">
                  <c:v>49395.18</c:v>
                </c:pt>
                <c:pt idx="7">
                  <c:v>94163.55</c:v>
                </c:pt>
                <c:pt idx="8">
                  <c:v>34859.870000000003</c:v>
                </c:pt>
                <c:pt idx="9">
                  <c:v>58655.79</c:v>
                </c:pt>
                <c:pt idx="10">
                  <c:v>63036.160000000003</c:v>
                </c:pt>
                <c:pt idx="11">
                  <c:v>60926.38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3-4882-96F6-A17F45F9802E}"/>
            </c:ext>
          </c:extLst>
        </c:ser>
        <c:ser>
          <c:idx val="3"/>
          <c:order val="1"/>
          <c:tx>
            <c:strRef>
              <c:f>'5 - 11 July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'5 - 11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'5 - 11 July 2021'!$E$5:$E$19</c:f>
              <c:numCache>
                <c:formatCode>#,##0.00</c:formatCode>
                <c:ptCount val="12"/>
                <c:pt idx="0">
                  <c:v>67895.53</c:v>
                </c:pt>
                <c:pt idx="1">
                  <c:v>12625.24</c:v>
                </c:pt>
                <c:pt idx="2">
                  <c:v>49051.79</c:v>
                </c:pt>
                <c:pt idx="3">
                  <c:v>64927.23</c:v>
                </c:pt>
                <c:pt idx="4">
                  <c:v>56369.37</c:v>
                </c:pt>
                <c:pt idx="5">
                  <c:v>98911.55</c:v>
                </c:pt>
                <c:pt idx="6">
                  <c:v>45614.879999999997</c:v>
                </c:pt>
                <c:pt idx="7">
                  <c:v>84170.91</c:v>
                </c:pt>
                <c:pt idx="8">
                  <c:v>53639.31</c:v>
                </c:pt>
                <c:pt idx="9">
                  <c:v>53928.76</c:v>
                </c:pt>
                <c:pt idx="10">
                  <c:v>67366.8</c:v>
                </c:pt>
                <c:pt idx="11">
                  <c:v>59032.42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43-4882-96F6-A17F45F9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'12 - 18 July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'12 - 18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'12 - 18 July 2021'!$B$5:$B$19</c:f>
              <c:numCache>
                <c:formatCode>#,##0.00</c:formatCode>
                <c:ptCount val="12"/>
                <c:pt idx="0">
                  <c:v>67895.53</c:v>
                </c:pt>
                <c:pt idx="1">
                  <c:v>12625.24</c:v>
                </c:pt>
                <c:pt idx="2">
                  <c:v>49051.79</c:v>
                </c:pt>
                <c:pt idx="3">
                  <c:v>64927.23</c:v>
                </c:pt>
                <c:pt idx="4">
                  <c:v>56369.37</c:v>
                </c:pt>
                <c:pt idx="5">
                  <c:v>98911.55</c:v>
                </c:pt>
                <c:pt idx="6">
                  <c:v>45614.879999999997</c:v>
                </c:pt>
                <c:pt idx="7">
                  <c:v>84170.91</c:v>
                </c:pt>
                <c:pt idx="8">
                  <c:v>53639.31</c:v>
                </c:pt>
                <c:pt idx="9">
                  <c:v>53928.76</c:v>
                </c:pt>
                <c:pt idx="10">
                  <c:v>67366.8</c:v>
                </c:pt>
                <c:pt idx="11">
                  <c:v>59032.42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A-496D-A30E-BBCAE446D034}"/>
            </c:ext>
          </c:extLst>
        </c:ser>
        <c:ser>
          <c:idx val="3"/>
          <c:order val="1"/>
          <c:tx>
            <c:strRef>
              <c:f>'12 - 18 July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'12 - 18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'12 - 18 July 2021'!$E$5:$E$19</c:f>
              <c:numCache>
                <c:formatCode>#,##0.00</c:formatCode>
                <c:ptCount val="12"/>
                <c:pt idx="0">
                  <c:v>104954.75</c:v>
                </c:pt>
                <c:pt idx="1">
                  <c:v>50825.27</c:v>
                </c:pt>
                <c:pt idx="2">
                  <c:v>60937.2</c:v>
                </c:pt>
                <c:pt idx="3">
                  <c:v>78861.789999999994</c:v>
                </c:pt>
                <c:pt idx="4">
                  <c:v>73055.399999999994</c:v>
                </c:pt>
                <c:pt idx="5">
                  <c:v>123729.06</c:v>
                </c:pt>
                <c:pt idx="6">
                  <c:v>59060.2</c:v>
                </c:pt>
                <c:pt idx="7">
                  <c:v>117167.6</c:v>
                </c:pt>
                <c:pt idx="8">
                  <c:v>108441.60000000001</c:v>
                </c:pt>
                <c:pt idx="9">
                  <c:v>58555.33</c:v>
                </c:pt>
                <c:pt idx="10">
                  <c:v>67441.919999999998</c:v>
                </c:pt>
                <c:pt idx="11">
                  <c:v>75582.539999999994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A-496D-A30E-BBCAE446D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'19 - 25 July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'19 - 25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'19 - 25 July 2021'!$B$5:$B$19</c:f>
              <c:numCache>
                <c:formatCode>#,##0.00</c:formatCode>
                <c:ptCount val="12"/>
                <c:pt idx="0">
                  <c:v>104954.75</c:v>
                </c:pt>
                <c:pt idx="1">
                  <c:v>50825.27</c:v>
                </c:pt>
                <c:pt idx="2">
                  <c:v>60937.2</c:v>
                </c:pt>
                <c:pt idx="3">
                  <c:v>78861.789999999994</c:v>
                </c:pt>
                <c:pt idx="4">
                  <c:v>73055.399999999994</c:v>
                </c:pt>
                <c:pt idx="5">
                  <c:v>123729.06</c:v>
                </c:pt>
                <c:pt idx="6">
                  <c:v>59060.2</c:v>
                </c:pt>
                <c:pt idx="7">
                  <c:v>117167.6</c:v>
                </c:pt>
                <c:pt idx="8">
                  <c:v>108441.60000000001</c:v>
                </c:pt>
                <c:pt idx="9">
                  <c:v>58555.33</c:v>
                </c:pt>
                <c:pt idx="10">
                  <c:v>67441.919999999998</c:v>
                </c:pt>
                <c:pt idx="11">
                  <c:v>75582.539999999994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6-472B-9BA2-B92FB505FC51}"/>
            </c:ext>
          </c:extLst>
        </c:ser>
        <c:ser>
          <c:idx val="3"/>
          <c:order val="1"/>
          <c:tx>
            <c:strRef>
              <c:f>'19 - 25 July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'19 - 25 July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'19 - 25 July 2021'!$E$5:$E$19</c:f>
              <c:numCache>
                <c:formatCode>#,##0.00</c:formatCode>
                <c:ptCount val="12"/>
                <c:pt idx="0">
                  <c:v>120487.58</c:v>
                </c:pt>
                <c:pt idx="1">
                  <c:v>65479.86</c:v>
                </c:pt>
                <c:pt idx="2">
                  <c:v>69384.679999999993</c:v>
                </c:pt>
                <c:pt idx="3">
                  <c:v>93343.71</c:v>
                </c:pt>
                <c:pt idx="4">
                  <c:v>82429.22</c:v>
                </c:pt>
                <c:pt idx="5">
                  <c:v>144846.87</c:v>
                </c:pt>
                <c:pt idx="6">
                  <c:v>71162.13</c:v>
                </c:pt>
                <c:pt idx="7">
                  <c:v>130900.28</c:v>
                </c:pt>
                <c:pt idx="8">
                  <c:v>87330.55</c:v>
                </c:pt>
                <c:pt idx="9">
                  <c:v>76572.350000000006</c:v>
                </c:pt>
                <c:pt idx="10">
                  <c:v>77712.2</c:v>
                </c:pt>
                <c:pt idx="11">
                  <c:v>92850.36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6-472B-9BA2-B92FB505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July - 1 August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July - 1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'26 July - 1 August 2021'!$B$5:$B$19</c:f>
              <c:numCache>
                <c:formatCode>#,##0.00</c:formatCode>
                <c:ptCount val="12"/>
                <c:pt idx="0">
                  <c:v>120487.58</c:v>
                </c:pt>
                <c:pt idx="1">
                  <c:v>65479.86</c:v>
                </c:pt>
                <c:pt idx="2">
                  <c:v>69384.679999999993</c:v>
                </c:pt>
                <c:pt idx="3">
                  <c:v>93343.71</c:v>
                </c:pt>
                <c:pt idx="4">
                  <c:v>82429.22</c:v>
                </c:pt>
                <c:pt idx="5">
                  <c:v>144846.87</c:v>
                </c:pt>
                <c:pt idx="6">
                  <c:v>71162.13</c:v>
                </c:pt>
                <c:pt idx="7">
                  <c:v>130900.28</c:v>
                </c:pt>
                <c:pt idx="8">
                  <c:v>87330.55</c:v>
                </c:pt>
                <c:pt idx="9">
                  <c:v>76572.350000000006</c:v>
                </c:pt>
                <c:pt idx="10">
                  <c:v>77712.2</c:v>
                </c:pt>
                <c:pt idx="11">
                  <c:v>92850.36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6-4E81-9936-B726AD940860}"/>
            </c:ext>
          </c:extLst>
        </c:ser>
        <c:ser>
          <c:idx val="3"/>
          <c:order val="1"/>
          <c:tx>
            <c:strRef>
              <c:f>'26 July - 1 August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July - 1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'26 July - 1 August 2021'!$E$5:$E$19</c:f>
              <c:numCache>
                <c:formatCode>#,##0.00</c:formatCode>
                <c:ptCount val="12"/>
                <c:pt idx="0">
                  <c:v>176130.36</c:v>
                </c:pt>
                <c:pt idx="1">
                  <c:v>125875.45</c:v>
                </c:pt>
                <c:pt idx="2">
                  <c:v>108071.58</c:v>
                </c:pt>
                <c:pt idx="3">
                  <c:v>178233.72</c:v>
                </c:pt>
                <c:pt idx="4">
                  <c:v>108477.81</c:v>
                </c:pt>
                <c:pt idx="5">
                  <c:v>238834.43</c:v>
                </c:pt>
                <c:pt idx="6">
                  <c:v>100052.68</c:v>
                </c:pt>
                <c:pt idx="7">
                  <c:v>197544.45</c:v>
                </c:pt>
                <c:pt idx="8">
                  <c:v>116789.49</c:v>
                </c:pt>
                <c:pt idx="9">
                  <c:v>118177.43</c:v>
                </c:pt>
                <c:pt idx="10">
                  <c:v>140061.42000000001</c:v>
                </c:pt>
                <c:pt idx="11">
                  <c:v>141804.13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06-4E81-9936-B726AD940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'2 - 8 August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'2 - 8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'2 - 8 August 2021'!$B$5:$B$19</c:f>
              <c:numCache>
                <c:formatCode>#,##0.00</c:formatCode>
                <c:ptCount val="12"/>
                <c:pt idx="0">
                  <c:v>176130.36</c:v>
                </c:pt>
                <c:pt idx="1">
                  <c:v>125875.45</c:v>
                </c:pt>
                <c:pt idx="2">
                  <c:v>108071.58</c:v>
                </c:pt>
                <c:pt idx="3">
                  <c:v>178233.72</c:v>
                </c:pt>
                <c:pt idx="4">
                  <c:v>108477.81</c:v>
                </c:pt>
                <c:pt idx="5">
                  <c:v>238834.43</c:v>
                </c:pt>
                <c:pt idx="6">
                  <c:v>100052.68</c:v>
                </c:pt>
                <c:pt idx="7">
                  <c:v>197544.45</c:v>
                </c:pt>
                <c:pt idx="8">
                  <c:v>116789.49</c:v>
                </c:pt>
                <c:pt idx="9">
                  <c:v>118177.43</c:v>
                </c:pt>
                <c:pt idx="10">
                  <c:v>140061.42000000001</c:v>
                </c:pt>
                <c:pt idx="11">
                  <c:v>141804.13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5-4A8F-8EC0-D41B9CB316FD}"/>
            </c:ext>
          </c:extLst>
        </c:ser>
        <c:ser>
          <c:idx val="3"/>
          <c:order val="1"/>
          <c:tx>
            <c:strRef>
              <c:f>'2 - 8 August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'2 - 8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'2 - 8 August 2021'!$E$5:$E$19</c:f>
              <c:numCache>
                <c:formatCode>#,##0.00</c:formatCode>
                <c:ptCount val="12"/>
                <c:pt idx="0">
                  <c:v>172837.49</c:v>
                </c:pt>
                <c:pt idx="1">
                  <c:v>162250.41</c:v>
                </c:pt>
                <c:pt idx="2">
                  <c:v>109675.64</c:v>
                </c:pt>
                <c:pt idx="3">
                  <c:v>166512.56</c:v>
                </c:pt>
                <c:pt idx="4">
                  <c:v>117926</c:v>
                </c:pt>
                <c:pt idx="5">
                  <c:v>222857.07</c:v>
                </c:pt>
                <c:pt idx="6">
                  <c:v>102729.9</c:v>
                </c:pt>
                <c:pt idx="7">
                  <c:v>165697.49</c:v>
                </c:pt>
                <c:pt idx="8">
                  <c:v>153553.32999999999</c:v>
                </c:pt>
                <c:pt idx="9">
                  <c:v>104945.28</c:v>
                </c:pt>
                <c:pt idx="10">
                  <c:v>132455.42000000001</c:v>
                </c:pt>
                <c:pt idx="11">
                  <c:v>119669.17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5-4A8F-8EC0-D41B9CB31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'9 - 15 August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'9 - 15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'9 - 15 August 2021'!$B$5:$B$19</c:f>
              <c:numCache>
                <c:formatCode>#,##0.00</c:formatCode>
                <c:ptCount val="12"/>
                <c:pt idx="0">
                  <c:v>172837.49</c:v>
                </c:pt>
                <c:pt idx="1">
                  <c:v>162250.41</c:v>
                </c:pt>
                <c:pt idx="2">
                  <c:v>109675.64</c:v>
                </c:pt>
                <c:pt idx="3">
                  <c:v>166512.56</c:v>
                </c:pt>
                <c:pt idx="4">
                  <c:v>117926</c:v>
                </c:pt>
                <c:pt idx="5">
                  <c:v>222857.07</c:v>
                </c:pt>
                <c:pt idx="6">
                  <c:v>102729.9</c:v>
                </c:pt>
                <c:pt idx="7">
                  <c:v>165697.49</c:v>
                </c:pt>
                <c:pt idx="8">
                  <c:v>153553.32999999999</c:v>
                </c:pt>
                <c:pt idx="9">
                  <c:v>104945.28</c:v>
                </c:pt>
                <c:pt idx="10">
                  <c:v>132455.42000000001</c:v>
                </c:pt>
                <c:pt idx="11">
                  <c:v>119669.17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2-477D-BA15-E30E911A278A}"/>
            </c:ext>
          </c:extLst>
        </c:ser>
        <c:ser>
          <c:idx val="3"/>
          <c:order val="1"/>
          <c:tx>
            <c:strRef>
              <c:f>'9 - 15 August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'9 - 15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'9 - 15 August 2021'!$E$5:$E$19</c:f>
              <c:numCache>
                <c:formatCode>#,##0.00</c:formatCode>
                <c:ptCount val="12"/>
                <c:pt idx="0">
                  <c:v>183717.7</c:v>
                </c:pt>
                <c:pt idx="1">
                  <c:v>145245.69</c:v>
                </c:pt>
                <c:pt idx="2">
                  <c:v>107457.81</c:v>
                </c:pt>
                <c:pt idx="3">
                  <c:v>146042.81</c:v>
                </c:pt>
                <c:pt idx="4">
                  <c:v>122396.48</c:v>
                </c:pt>
                <c:pt idx="5">
                  <c:v>171775.88</c:v>
                </c:pt>
                <c:pt idx="6">
                  <c:v>100293.99</c:v>
                </c:pt>
                <c:pt idx="7">
                  <c:v>173155.22</c:v>
                </c:pt>
                <c:pt idx="8">
                  <c:v>131076.87</c:v>
                </c:pt>
                <c:pt idx="9">
                  <c:v>108865.93</c:v>
                </c:pt>
                <c:pt idx="10">
                  <c:v>152726.99</c:v>
                </c:pt>
                <c:pt idx="11">
                  <c:v>131997.35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2-477D-BA15-E30E911A2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'16 - 22 August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'16 - 22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'16 - 22 August 2021'!$B$5:$B$19</c:f>
              <c:numCache>
                <c:formatCode>#,##0.00</c:formatCode>
                <c:ptCount val="12"/>
                <c:pt idx="0">
                  <c:v>183717.7</c:v>
                </c:pt>
                <c:pt idx="1">
                  <c:v>145245.69</c:v>
                </c:pt>
                <c:pt idx="2">
                  <c:v>107457.81</c:v>
                </c:pt>
                <c:pt idx="3">
                  <c:v>146042.81</c:v>
                </c:pt>
                <c:pt idx="4">
                  <c:v>122396.48</c:v>
                </c:pt>
                <c:pt idx="5">
                  <c:v>171775.88</c:v>
                </c:pt>
                <c:pt idx="6">
                  <c:v>100293.99</c:v>
                </c:pt>
                <c:pt idx="7">
                  <c:v>173155.22</c:v>
                </c:pt>
                <c:pt idx="8">
                  <c:v>131076.87</c:v>
                </c:pt>
                <c:pt idx="9">
                  <c:v>108865.93</c:v>
                </c:pt>
                <c:pt idx="10">
                  <c:v>152726.99</c:v>
                </c:pt>
                <c:pt idx="11">
                  <c:v>131997.35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0-4776-8054-ED36F8593397}"/>
            </c:ext>
          </c:extLst>
        </c:ser>
        <c:ser>
          <c:idx val="3"/>
          <c:order val="1"/>
          <c:tx>
            <c:strRef>
              <c:f>'16 - 22 August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'16 - 22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'16 - 22 August 2021'!$E$5:$E$19</c:f>
              <c:numCache>
                <c:formatCode>#,##0.00</c:formatCode>
                <c:ptCount val="12"/>
                <c:pt idx="0">
                  <c:v>159000.87</c:v>
                </c:pt>
                <c:pt idx="1">
                  <c:v>161964.35</c:v>
                </c:pt>
                <c:pt idx="2">
                  <c:v>123573.27</c:v>
                </c:pt>
                <c:pt idx="3">
                  <c:v>176608.28</c:v>
                </c:pt>
                <c:pt idx="4">
                  <c:v>123252.63</c:v>
                </c:pt>
                <c:pt idx="5">
                  <c:v>228766.7</c:v>
                </c:pt>
                <c:pt idx="6">
                  <c:v>88965.05</c:v>
                </c:pt>
                <c:pt idx="7">
                  <c:v>170345.73</c:v>
                </c:pt>
                <c:pt idx="8">
                  <c:v>144860.75</c:v>
                </c:pt>
                <c:pt idx="9">
                  <c:v>123771.25</c:v>
                </c:pt>
                <c:pt idx="10">
                  <c:v>149229.03</c:v>
                </c:pt>
                <c:pt idx="11">
                  <c:v>134165.04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0-4776-8054-ED36F8593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'23 - 29 August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'23 - 29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'23 - 29 August 2021'!$B$5:$B$19</c:f>
              <c:numCache>
                <c:formatCode>#,##0.00</c:formatCode>
                <c:ptCount val="12"/>
                <c:pt idx="0">
                  <c:v>159000.87</c:v>
                </c:pt>
                <c:pt idx="1">
                  <c:v>161964.35</c:v>
                </c:pt>
                <c:pt idx="2">
                  <c:v>123573.27</c:v>
                </c:pt>
                <c:pt idx="3">
                  <c:v>176608.28</c:v>
                </c:pt>
                <c:pt idx="4">
                  <c:v>123252.63</c:v>
                </c:pt>
                <c:pt idx="5">
                  <c:v>228766.7</c:v>
                </c:pt>
                <c:pt idx="6">
                  <c:v>88965.05</c:v>
                </c:pt>
                <c:pt idx="7">
                  <c:v>170345.73</c:v>
                </c:pt>
                <c:pt idx="8">
                  <c:v>144860.75</c:v>
                </c:pt>
                <c:pt idx="9">
                  <c:v>123771.25</c:v>
                </c:pt>
                <c:pt idx="10">
                  <c:v>149229.03</c:v>
                </c:pt>
                <c:pt idx="11">
                  <c:v>134165.04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D-4FCD-9EB2-AFD964208C06}"/>
            </c:ext>
          </c:extLst>
        </c:ser>
        <c:ser>
          <c:idx val="3"/>
          <c:order val="1"/>
          <c:tx>
            <c:strRef>
              <c:f>'23 - 29 August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'23 - 29 August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'23 - 29 August 2021'!$E$5:$E$19</c:f>
              <c:numCache>
                <c:formatCode>#,##0.00</c:formatCode>
                <c:ptCount val="12"/>
                <c:pt idx="0">
                  <c:v>182635.28</c:v>
                </c:pt>
                <c:pt idx="1">
                  <c:v>156293.04</c:v>
                </c:pt>
                <c:pt idx="2">
                  <c:v>112270.21</c:v>
                </c:pt>
                <c:pt idx="3">
                  <c:v>210003.64</c:v>
                </c:pt>
                <c:pt idx="4">
                  <c:v>141625.92000000001</c:v>
                </c:pt>
                <c:pt idx="5">
                  <c:v>248736.18</c:v>
                </c:pt>
                <c:pt idx="6">
                  <c:v>107488.05</c:v>
                </c:pt>
                <c:pt idx="7">
                  <c:v>200623.02</c:v>
                </c:pt>
                <c:pt idx="8">
                  <c:v>139227.04999999999</c:v>
                </c:pt>
                <c:pt idx="9">
                  <c:v>119149.06</c:v>
                </c:pt>
                <c:pt idx="10">
                  <c:v>164986.63</c:v>
                </c:pt>
                <c:pt idx="11">
                  <c:v>151341.9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D-4FCD-9EB2-AFD964208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August - 5 Sept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August - 5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'30 August - 5 Sept 2021'!$B$5:$B$19</c:f>
              <c:numCache>
                <c:formatCode>#,##0.00</c:formatCode>
                <c:ptCount val="12"/>
                <c:pt idx="0">
                  <c:v>182635.28</c:v>
                </c:pt>
                <c:pt idx="1">
                  <c:v>156293.04</c:v>
                </c:pt>
                <c:pt idx="2">
                  <c:v>112270.21</c:v>
                </c:pt>
                <c:pt idx="3">
                  <c:v>210003.64</c:v>
                </c:pt>
                <c:pt idx="4">
                  <c:v>141625.92000000001</c:v>
                </c:pt>
                <c:pt idx="5">
                  <c:v>248736.18</c:v>
                </c:pt>
                <c:pt idx="6">
                  <c:v>107488.05</c:v>
                </c:pt>
                <c:pt idx="7">
                  <c:v>200623.02</c:v>
                </c:pt>
                <c:pt idx="8">
                  <c:v>139227.04999999999</c:v>
                </c:pt>
                <c:pt idx="9">
                  <c:v>119149.06</c:v>
                </c:pt>
                <c:pt idx="10">
                  <c:v>164986.63</c:v>
                </c:pt>
                <c:pt idx="11">
                  <c:v>151341.9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8-4D17-A9C5-F88CFDC31334}"/>
            </c:ext>
          </c:extLst>
        </c:ser>
        <c:ser>
          <c:idx val="3"/>
          <c:order val="1"/>
          <c:tx>
            <c:strRef>
              <c:f>'30 August - 5 Sept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August - 5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'30 August - 5 Sept 2021'!$E$5:$E$19</c:f>
              <c:numCache>
                <c:formatCode>#,##0.00</c:formatCode>
                <c:ptCount val="12"/>
                <c:pt idx="0">
                  <c:v>191939.76</c:v>
                </c:pt>
                <c:pt idx="1">
                  <c:v>201746.45</c:v>
                </c:pt>
                <c:pt idx="2">
                  <c:v>110116.65</c:v>
                </c:pt>
                <c:pt idx="3">
                  <c:v>206523.85</c:v>
                </c:pt>
                <c:pt idx="4">
                  <c:v>141777.65</c:v>
                </c:pt>
                <c:pt idx="5">
                  <c:v>237125.78</c:v>
                </c:pt>
                <c:pt idx="6">
                  <c:v>109444.49</c:v>
                </c:pt>
                <c:pt idx="7">
                  <c:v>180434.4</c:v>
                </c:pt>
                <c:pt idx="8">
                  <c:v>162189.07999999999</c:v>
                </c:pt>
                <c:pt idx="9">
                  <c:v>131562.69</c:v>
                </c:pt>
                <c:pt idx="10">
                  <c:v>180862.94</c:v>
                </c:pt>
                <c:pt idx="11">
                  <c:v>144403.29999999999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8-4D17-A9C5-F88CFDC31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6021946836655247E-4"/>
          <c:y val="3.4085504412619558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'6 - 12 Sept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'6 - 12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'6 - 12 Sept 2021'!$B$5:$B$19</c:f>
              <c:numCache>
                <c:formatCode>#,##0.00</c:formatCode>
                <c:ptCount val="12"/>
                <c:pt idx="0">
                  <c:v>191939.76</c:v>
                </c:pt>
                <c:pt idx="1">
                  <c:v>201746.45</c:v>
                </c:pt>
                <c:pt idx="2">
                  <c:v>110116.65</c:v>
                </c:pt>
                <c:pt idx="3">
                  <c:v>206523.85</c:v>
                </c:pt>
                <c:pt idx="4">
                  <c:v>141777.65</c:v>
                </c:pt>
                <c:pt idx="5">
                  <c:v>237125.78</c:v>
                </c:pt>
                <c:pt idx="6">
                  <c:v>109444.49</c:v>
                </c:pt>
                <c:pt idx="7">
                  <c:v>180434.4</c:v>
                </c:pt>
                <c:pt idx="8">
                  <c:v>162189.07999999999</c:v>
                </c:pt>
                <c:pt idx="9">
                  <c:v>131562.69</c:v>
                </c:pt>
                <c:pt idx="10">
                  <c:v>180862.94</c:v>
                </c:pt>
                <c:pt idx="11">
                  <c:v>144403.29999999999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5-43E2-A3F5-51B49BA7BCA9}"/>
            </c:ext>
          </c:extLst>
        </c:ser>
        <c:ser>
          <c:idx val="3"/>
          <c:order val="1"/>
          <c:tx>
            <c:strRef>
              <c:f>'6 - 12 Sept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'6 - 12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'6 - 12 Sept 2021'!$E$5:$E$19</c:f>
              <c:numCache>
                <c:formatCode>#,##0.00</c:formatCode>
                <c:ptCount val="12"/>
                <c:pt idx="0">
                  <c:v>190960.44</c:v>
                </c:pt>
                <c:pt idx="1">
                  <c:v>169362.77</c:v>
                </c:pt>
                <c:pt idx="2">
                  <c:v>103027.19</c:v>
                </c:pt>
                <c:pt idx="3">
                  <c:v>191574.23</c:v>
                </c:pt>
                <c:pt idx="4">
                  <c:v>115490.13</c:v>
                </c:pt>
                <c:pt idx="5">
                  <c:v>224233.88</c:v>
                </c:pt>
                <c:pt idx="6">
                  <c:v>98117.72</c:v>
                </c:pt>
                <c:pt idx="7">
                  <c:v>165850.01</c:v>
                </c:pt>
                <c:pt idx="8">
                  <c:v>135359.28</c:v>
                </c:pt>
                <c:pt idx="9">
                  <c:v>120334.53</c:v>
                </c:pt>
                <c:pt idx="10">
                  <c:v>154135.10999999999</c:v>
                </c:pt>
                <c:pt idx="11">
                  <c:v>146675.66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5-43E2-A3F5-51B49BA7B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'13 - 19 Sept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'13 - 19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'13 - 19 Sept 2021'!$B$5:$B$19</c:f>
              <c:numCache>
                <c:formatCode>#,##0.00</c:formatCode>
                <c:ptCount val="12"/>
                <c:pt idx="0">
                  <c:v>190960.44</c:v>
                </c:pt>
                <c:pt idx="1">
                  <c:v>169362.77</c:v>
                </c:pt>
                <c:pt idx="2">
                  <c:v>103027.19</c:v>
                </c:pt>
                <c:pt idx="3">
                  <c:v>191574.23</c:v>
                </c:pt>
                <c:pt idx="4">
                  <c:v>115490.13</c:v>
                </c:pt>
                <c:pt idx="5">
                  <c:v>224233.88</c:v>
                </c:pt>
                <c:pt idx="6">
                  <c:v>98117.72</c:v>
                </c:pt>
                <c:pt idx="7">
                  <c:v>165850.01</c:v>
                </c:pt>
                <c:pt idx="8">
                  <c:v>135359.28</c:v>
                </c:pt>
                <c:pt idx="9">
                  <c:v>120334.53</c:v>
                </c:pt>
                <c:pt idx="10">
                  <c:v>154135.10999999999</c:v>
                </c:pt>
                <c:pt idx="11">
                  <c:v>146675.66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0E-4B5C-B2F3-A4C7BC1FD5FD}"/>
            </c:ext>
          </c:extLst>
        </c:ser>
        <c:ser>
          <c:idx val="3"/>
          <c:order val="1"/>
          <c:tx>
            <c:strRef>
              <c:f>'13 - 19 Sept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'13 - 19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'13 - 19 Sept 2021'!$E$5:$E$19</c:f>
              <c:numCache>
                <c:formatCode>#,##0.00</c:formatCode>
                <c:ptCount val="12"/>
                <c:pt idx="0">
                  <c:v>175928.66</c:v>
                </c:pt>
                <c:pt idx="1">
                  <c:v>177196.01</c:v>
                </c:pt>
                <c:pt idx="2">
                  <c:v>110851.92</c:v>
                </c:pt>
                <c:pt idx="3">
                  <c:v>203402.98</c:v>
                </c:pt>
                <c:pt idx="4">
                  <c:v>123051.74</c:v>
                </c:pt>
                <c:pt idx="5">
                  <c:v>234988.31</c:v>
                </c:pt>
                <c:pt idx="6">
                  <c:v>105029.58</c:v>
                </c:pt>
                <c:pt idx="7">
                  <c:v>173022.38</c:v>
                </c:pt>
                <c:pt idx="8">
                  <c:v>159561.32</c:v>
                </c:pt>
                <c:pt idx="9">
                  <c:v>129555.26</c:v>
                </c:pt>
                <c:pt idx="10">
                  <c:v>178660.19</c:v>
                </c:pt>
                <c:pt idx="11">
                  <c:v>148575.59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0E-4B5C-B2F3-A4C7BC1F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'20 - 26 Sept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'20 - 26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'20 - 26 Sept 2021'!$B$5:$B$19</c:f>
              <c:numCache>
                <c:formatCode>#,##0.00</c:formatCode>
                <c:ptCount val="12"/>
                <c:pt idx="0">
                  <c:v>175928.66</c:v>
                </c:pt>
                <c:pt idx="1">
                  <c:v>177196.01</c:v>
                </c:pt>
                <c:pt idx="2">
                  <c:v>110851.92</c:v>
                </c:pt>
                <c:pt idx="3">
                  <c:v>203402.98</c:v>
                </c:pt>
                <c:pt idx="4">
                  <c:v>123051.74</c:v>
                </c:pt>
                <c:pt idx="5">
                  <c:v>234988.31</c:v>
                </c:pt>
                <c:pt idx="6">
                  <c:v>105029.58</c:v>
                </c:pt>
                <c:pt idx="7">
                  <c:v>173022.38</c:v>
                </c:pt>
                <c:pt idx="8">
                  <c:v>159561.32</c:v>
                </c:pt>
                <c:pt idx="9">
                  <c:v>129555.26</c:v>
                </c:pt>
                <c:pt idx="10">
                  <c:v>178660.19</c:v>
                </c:pt>
                <c:pt idx="11">
                  <c:v>148575.59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3-43FD-8807-B99B657FEE6A}"/>
            </c:ext>
          </c:extLst>
        </c:ser>
        <c:ser>
          <c:idx val="3"/>
          <c:order val="1"/>
          <c:tx>
            <c:strRef>
              <c:f>'20 - 26 Sept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'20 - 26 Sept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'20 - 26 Sept 2021'!$E$5:$E$19</c:f>
              <c:numCache>
                <c:formatCode>#,##0.00</c:formatCode>
                <c:ptCount val="12"/>
                <c:pt idx="0">
                  <c:v>197034.69</c:v>
                </c:pt>
                <c:pt idx="1">
                  <c:v>175937.8</c:v>
                </c:pt>
                <c:pt idx="2">
                  <c:v>116334.7</c:v>
                </c:pt>
                <c:pt idx="3">
                  <c:v>250317.29</c:v>
                </c:pt>
                <c:pt idx="4">
                  <c:v>119605.31</c:v>
                </c:pt>
                <c:pt idx="5">
                  <c:v>225388.91</c:v>
                </c:pt>
                <c:pt idx="6">
                  <c:v>100609.06</c:v>
                </c:pt>
                <c:pt idx="7">
                  <c:v>171278.52</c:v>
                </c:pt>
                <c:pt idx="8">
                  <c:v>232193.16</c:v>
                </c:pt>
                <c:pt idx="9">
                  <c:v>145486.31</c:v>
                </c:pt>
                <c:pt idx="10">
                  <c:v>181897.73</c:v>
                </c:pt>
                <c:pt idx="11">
                  <c:v>148055.01999999999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3-43FD-8807-B99B657FE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Sept - 3 Oct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Sept - 3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'27 Sept - 3 Oct 2021'!$B$5:$B$19</c:f>
              <c:numCache>
                <c:formatCode>#,##0.00</c:formatCode>
                <c:ptCount val="12"/>
                <c:pt idx="0">
                  <c:v>197034.69</c:v>
                </c:pt>
                <c:pt idx="1">
                  <c:v>175937.8</c:v>
                </c:pt>
                <c:pt idx="2">
                  <c:v>116334.7</c:v>
                </c:pt>
                <c:pt idx="3">
                  <c:v>250317.29</c:v>
                </c:pt>
                <c:pt idx="4">
                  <c:v>119605.31</c:v>
                </c:pt>
                <c:pt idx="5">
                  <c:v>225388.91</c:v>
                </c:pt>
                <c:pt idx="6">
                  <c:v>100609.06</c:v>
                </c:pt>
                <c:pt idx="7">
                  <c:v>171278.52</c:v>
                </c:pt>
                <c:pt idx="8">
                  <c:v>232193.16</c:v>
                </c:pt>
                <c:pt idx="9">
                  <c:v>145486.31</c:v>
                </c:pt>
                <c:pt idx="10">
                  <c:v>181897.73</c:v>
                </c:pt>
                <c:pt idx="11">
                  <c:v>148055.01999999999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0-423A-A93A-0B11B2CB19DE}"/>
            </c:ext>
          </c:extLst>
        </c:ser>
        <c:ser>
          <c:idx val="3"/>
          <c:order val="1"/>
          <c:tx>
            <c:strRef>
              <c:f>'27 Sept - 3 Oct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Sept - 3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'27 Sept - 3 Oct 2021'!$E$5:$E$19</c:f>
              <c:numCache>
                <c:formatCode>#,##0.00</c:formatCode>
                <c:ptCount val="12"/>
                <c:pt idx="0">
                  <c:v>222289.96</c:v>
                </c:pt>
                <c:pt idx="1">
                  <c:v>195010.91</c:v>
                </c:pt>
                <c:pt idx="2">
                  <c:v>130942.05</c:v>
                </c:pt>
                <c:pt idx="3">
                  <c:v>238057.19</c:v>
                </c:pt>
                <c:pt idx="4">
                  <c:v>135563.96</c:v>
                </c:pt>
                <c:pt idx="5">
                  <c:v>241827.03</c:v>
                </c:pt>
                <c:pt idx="6">
                  <c:v>132018.34</c:v>
                </c:pt>
                <c:pt idx="7">
                  <c:v>196532.85</c:v>
                </c:pt>
                <c:pt idx="8">
                  <c:v>217130.21</c:v>
                </c:pt>
                <c:pt idx="9">
                  <c:v>142521.04</c:v>
                </c:pt>
                <c:pt idx="10">
                  <c:v>177000.68</c:v>
                </c:pt>
                <c:pt idx="11">
                  <c:v>174402.94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0-423A-A93A-0B11B2CB1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'4 - 10 Oct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'4 - 10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'4 - 10 Oct 2021'!$B$5:$B$19</c:f>
              <c:numCache>
                <c:formatCode>#,##0.00</c:formatCode>
                <c:ptCount val="12"/>
                <c:pt idx="0">
                  <c:v>222289.96</c:v>
                </c:pt>
                <c:pt idx="1">
                  <c:v>195010.91</c:v>
                </c:pt>
                <c:pt idx="2">
                  <c:v>130942.05</c:v>
                </c:pt>
                <c:pt idx="3">
                  <c:v>238057.19</c:v>
                </c:pt>
                <c:pt idx="4">
                  <c:v>135563.96</c:v>
                </c:pt>
                <c:pt idx="5">
                  <c:v>241827.03</c:v>
                </c:pt>
                <c:pt idx="6">
                  <c:v>132018.34</c:v>
                </c:pt>
                <c:pt idx="7">
                  <c:v>196532.85</c:v>
                </c:pt>
                <c:pt idx="8">
                  <c:v>217130.21</c:v>
                </c:pt>
                <c:pt idx="9">
                  <c:v>142521.04</c:v>
                </c:pt>
                <c:pt idx="10">
                  <c:v>177000.68</c:v>
                </c:pt>
                <c:pt idx="11">
                  <c:v>174402.94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D-427A-9EB1-CD7D886DB9B7}"/>
            </c:ext>
          </c:extLst>
        </c:ser>
        <c:ser>
          <c:idx val="3"/>
          <c:order val="1"/>
          <c:tx>
            <c:strRef>
              <c:f>'4 - 10 Oct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'4 - 10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'4 - 10 Oct 2021'!$E$5:$E$19</c:f>
              <c:numCache>
                <c:formatCode>#,##0.00</c:formatCode>
                <c:ptCount val="12"/>
                <c:pt idx="0">
                  <c:v>239454.65</c:v>
                </c:pt>
                <c:pt idx="1">
                  <c:v>186940.81</c:v>
                </c:pt>
                <c:pt idx="2">
                  <c:v>119671.55</c:v>
                </c:pt>
                <c:pt idx="3">
                  <c:v>236575.6</c:v>
                </c:pt>
                <c:pt idx="4">
                  <c:v>147008.95999999999</c:v>
                </c:pt>
                <c:pt idx="5">
                  <c:v>266901.90999999997</c:v>
                </c:pt>
                <c:pt idx="6">
                  <c:v>115856.57</c:v>
                </c:pt>
                <c:pt idx="7">
                  <c:v>185099.2</c:v>
                </c:pt>
                <c:pt idx="8">
                  <c:v>294560.02</c:v>
                </c:pt>
                <c:pt idx="9">
                  <c:v>154455.85</c:v>
                </c:pt>
                <c:pt idx="10">
                  <c:v>181127.08</c:v>
                </c:pt>
                <c:pt idx="11">
                  <c:v>151769.5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D-427A-9EB1-CD7D886DB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'11 - 17 Oct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'11 - 17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'11 - 17 Oct 2021'!$B$5:$B$19</c:f>
              <c:numCache>
                <c:formatCode>#,##0.00</c:formatCode>
                <c:ptCount val="12"/>
                <c:pt idx="0">
                  <c:v>239454.65</c:v>
                </c:pt>
                <c:pt idx="1">
                  <c:v>186940.81</c:v>
                </c:pt>
                <c:pt idx="2">
                  <c:v>119671.55</c:v>
                </c:pt>
                <c:pt idx="3">
                  <c:v>236575.6</c:v>
                </c:pt>
                <c:pt idx="4">
                  <c:v>147008.95999999999</c:v>
                </c:pt>
                <c:pt idx="5">
                  <c:v>266901.90999999997</c:v>
                </c:pt>
                <c:pt idx="6">
                  <c:v>115856.57</c:v>
                </c:pt>
                <c:pt idx="7">
                  <c:v>185099.2</c:v>
                </c:pt>
                <c:pt idx="8">
                  <c:v>294560.02</c:v>
                </c:pt>
                <c:pt idx="9">
                  <c:v>154455.85</c:v>
                </c:pt>
                <c:pt idx="10">
                  <c:v>181127.08</c:v>
                </c:pt>
                <c:pt idx="11">
                  <c:v>151769.5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5-44AB-B252-7C9849B01CB9}"/>
            </c:ext>
          </c:extLst>
        </c:ser>
        <c:ser>
          <c:idx val="3"/>
          <c:order val="1"/>
          <c:tx>
            <c:strRef>
              <c:f>'11 - 17 Oct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'11 - 17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'11 - 17 Oct 2021'!$E$5:$E$19</c:f>
              <c:numCache>
                <c:formatCode>#,##0.00</c:formatCode>
                <c:ptCount val="12"/>
                <c:pt idx="0">
                  <c:v>210772.29</c:v>
                </c:pt>
                <c:pt idx="1">
                  <c:v>168351.72</c:v>
                </c:pt>
                <c:pt idx="2">
                  <c:v>123446.2</c:v>
                </c:pt>
                <c:pt idx="3">
                  <c:v>197865.60000000001</c:v>
                </c:pt>
                <c:pt idx="4">
                  <c:v>139222.35</c:v>
                </c:pt>
                <c:pt idx="5">
                  <c:v>235839.13</c:v>
                </c:pt>
                <c:pt idx="6">
                  <c:v>109318.99</c:v>
                </c:pt>
                <c:pt idx="7">
                  <c:v>184530.42</c:v>
                </c:pt>
                <c:pt idx="8">
                  <c:v>172063.63</c:v>
                </c:pt>
                <c:pt idx="9">
                  <c:v>153694.29</c:v>
                </c:pt>
                <c:pt idx="10">
                  <c:v>180670.32</c:v>
                </c:pt>
                <c:pt idx="11">
                  <c:v>150727.65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5-44AB-B252-7C9849B01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'18 - 24 Oct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'18 - 24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'18 - 24 Oct 2021'!$B$5:$B$19</c:f>
              <c:numCache>
                <c:formatCode>#,##0.00</c:formatCode>
                <c:ptCount val="12"/>
                <c:pt idx="0">
                  <c:v>210772.29</c:v>
                </c:pt>
                <c:pt idx="1">
                  <c:v>168351.72</c:v>
                </c:pt>
                <c:pt idx="2">
                  <c:v>123446.2</c:v>
                </c:pt>
                <c:pt idx="3">
                  <c:v>197865.60000000001</c:v>
                </c:pt>
                <c:pt idx="4">
                  <c:v>139222.35</c:v>
                </c:pt>
                <c:pt idx="5">
                  <c:v>235839.13</c:v>
                </c:pt>
                <c:pt idx="6">
                  <c:v>109318.99</c:v>
                </c:pt>
                <c:pt idx="7">
                  <c:v>184530.42</c:v>
                </c:pt>
                <c:pt idx="8">
                  <c:v>172063.63</c:v>
                </c:pt>
                <c:pt idx="9">
                  <c:v>153694.29</c:v>
                </c:pt>
                <c:pt idx="10">
                  <c:v>180670.32</c:v>
                </c:pt>
                <c:pt idx="11">
                  <c:v>150727.65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4-407F-8792-73B9A7404C45}"/>
            </c:ext>
          </c:extLst>
        </c:ser>
        <c:ser>
          <c:idx val="3"/>
          <c:order val="1"/>
          <c:tx>
            <c:strRef>
              <c:f>'18 - 24 Oct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'18 - 24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'18 - 24 Oct 2021'!$E$5:$E$19</c:f>
              <c:numCache>
                <c:formatCode>#,##0.00</c:formatCode>
                <c:ptCount val="12"/>
                <c:pt idx="0">
                  <c:v>202623.52</c:v>
                </c:pt>
                <c:pt idx="1">
                  <c:v>214773.59</c:v>
                </c:pt>
                <c:pt idx="2">
                  <c:v>127214.41</c:v>
                </c:pt>
                <c:pt idx="3">
                  <c:v>169425.82</c:v>
                </c:pt>
                <c:pt idx="4">
                  <c:v>133813.39000000001</c:v>
                </c:pt>
                <c:pt idx="5">
                  <c:v>233857.32</c:v>
                </c:pt>
                <c:pt idx="6">
                  <c:v>100278.77</c:v>
                </c:pt>
                <c:pt idx="7">
                  <c:v>206050.19</c:v>
                </c:pt>
                <c:pt idx="8">
                  <c:v>163321.62</c:v>
                </c:pt>
                <c:pt idx="9">
                  <c:v>142695.09</c:v>
                </c:pt>
                <c:pt idx="10">
                  <c:v>194587.65</c:v>
                </c:pt>
                <c:pt idx="11">
                  <c:v>164997.15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4-407F-8792-73B9A740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'25 - 31 Oct 2021'!$B$3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'25 - 31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'25 - 31 Oct 2021'!$B$5:$B$19</c:f>
              <c:numCache>
                <c:formatCode>#,##0.00</c:formatCode>
                <c:ptCount val="12"/>
                <c:pt idx="0">
                  <c:v>202623.52</c:v>
                </c:pt>
                <c:pt idx="1">
                  <c:v>214773.59</c:v>
                </c:pt>
                <c:pt idx="2">
                  <c:v>127214.41</c:v>
                </c:pt>
                <c:pt idx="3">
                  <c:v>169425.82</c:v>
                </c:pt>
                <c:pt idx="4">
                  <c:v>133813.39000000001</c:v>
                </c:pt>
                <c:pt idx="5">
                  <c:v>233857.32</c:v>
                </c:pt>
                <c:pt idx="6">
                  <c:v>100278.77</c:v>
                </c:pt>
                <c:pt idx="7">
                  <c:v>206050.19</c:v>
                </c:pt>
                <c:pt idx="8">
                  <c:v>163321.62</c:v>
                </c:pt>
                <c:pt idx="9">
                  <c:v>142695.09</c:v>
                </c:pt>
                <c:pt idx="10">
                  <c:v>194587.65</c:v>
                </c:pt>
                <c:pt idx="11">
                  <c:v>164997.15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F-4C89-9652-C4E1635C6074}"/>
            </c:ext>
          </c:extLst>
        </c:ser>
        <c:ser>
          <c:idx val="3"/>
          <c:order val="1"/>
          <c:tx>
            <c:strRef>
              <c:f>'25 - 31 Oct 2021'!$E$3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'25 - 31 Oct 2021'!$A$5:$A$19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'25 - 31 Oct 2021'!$E$5:$E$19</c:f>
              <c:numCache>
                <c:formatCode>#,##0.00</c:formatCode>
                <c:ptCount val="12"/>
                <c:pt idx="0">
                  <c:v>239634.11</c:v>
                </c:pt>
                <c:pt idx="1">
                  <c:v>202838.8</c:v>
                </c:pt>
                <c:pt idx="2">
                  <c:v>150231.94</c:v>
                </c:pt>
                <c:pt idx="3">
                  <c:v>223260.66</c:v>
                </c:pt>
                <c:pt idx="4">
                  <c:v>173613.53</c:v>
                </c:pt>
                <c:pt idx="5">
                  <c:v>237797.15</c:v>
                </c:pt>
                <c:pt idx="6">
                  <c:v>136276.04999999999</c:v>
                </c:pt>
                <c:pt idx="7">
                  <c:v>193734.78</c:v>
                </c:pt>
                <c:pt idx="8">
                  <c:v>176192.07</c:v>
                </c:pt>
                <c:pt idx="9">
                  <c:v>155405.21</c:v>
                </c:pt>
                <c:pt idx="10">
                  <c:v>193364.19</c:v>
                </c:pt>
                <c:pt idx="11">
                  <c:v>182521.14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3F-4C89-9652-C4E1635C6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'1 - 7 Nov'!$B$3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'1 - 7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'1 - 7 Nov'!$B$5:$B$19</c:f>
              <c:numCache>
                <c:formatCode>#,##0.00</c:formatCode>
                <c:ptCount val="12"/>
                <c:pt idx="0">
                  <c:v>239634.11</c:v>
                </c:pt>
                <c:pt idx="1">
                  <c:v>202838.8</c:v>
                </c:pt>
                <c:pt idx="2">
                  <c:v>150231.94</c:v>
                </c:pt>
                <c:pt idx="3">
                  <c:v>223260.66</c:v>
                </c:pt>
                <c:pt idx="4">
                  <c:v>173613.53</c:v>
                </c:pt>
                <c:pt idx="5">
                  <c:v>237797.15</c:v>
                </c:pt>
                <c:pt idx="6">
                  <c:v>136276.04999999999</c:v>
                </c:pt>
                <c:pt idx="7">
                  <c:v>193734.78</c:v>
                </c:pt>
                <c:pt idx="8">
                  <c:v>176192.07</c:v>
                </c:pt>
                <c:pt idx="9">
                  <c:v>155405.21</c:v>
                </c:pt>
                <c:pt idx="10">
                  <c:v>193364.19</c:v>
                </c:pt>
                <c:pt idx="11">
                  <c:v>182521.14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3-4822-996E-3E88AF9FB3E1}"/>
            </c:ext>
          </c:extLst>
        </c:ser>
        <c:ser>
          <c:idx val="3"/>
          <c:order val="1"/>
          <c:tx>
            <c:strRef>
              <c:f>'1 - 7 Nov'!$E$3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'1 - 7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'1 - 7 Nov'!$E$5:$E$19</c:f>
              <c:numCache>
                <c:formatCode>#,##0.00</c:formatCode>
                <c:ptCount val="12"/>
                <c:pt idx="0">
                  <c:v>220251.26</c:v>
                </c:pt>
                <c:pt idx="1">
                  <c:v>208284.54</c:v>
                </c:pt>
                <c:pt idx="2">
                  <c:v>132640.10999999999</c:v>
                </c:pt>
                <c:pt idx="3">
                  <c:v>0</c:v>
                </c:pt>
                <c:pt idx="4">
                  <c:v>147310.94</c:v>
                </c:pt>
                <c:pt idx="5">
                  <c:v>243978.34</c:v>
                </c:pt>
                <c:pt idx="6">
                  <c:v>118764.14</c:v>
                </c:pt>
                <c:pt idx="7">
                  <c:v>192441.7</c:v>
                </c:pt>
                <c:pt idx="8">
                  <c:v>170291.99</c:v>
                </c:pt>
                <c:pt idx="9">
                  <c:v>138958.96</c:v>
                </c:pt>
                <c:pt idx="10">
                  <c:v>193925.84</c:v>
                </c:pt>
                <c:pt idx="11">
                  <c:v>186189.33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A3-4822-996E-3E88AF9FB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'8 - 14 Nov'!$B$3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'8 - 14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'8 - 14 Nov'!$B$5:$B$19</c:f>
              <c:numCache>
                <c:formatCode>#,##0.00</c:formatCode>
                <c:ptCount val="12"/>
                <c:pt idx="0">
                  <c:v>220251.26</c:v>
                </c:pt>
                <c:pt idx="1">
                  <c:v>208284.54</c:v>
                </c:pt>
                <c:pt idx="2">
                  <c:v>132640.10999999999</c:v>
                </c:pt>
                <c:pt idx="3">
                  <c:v>0</c:v>
                </c:pt>
                <c:pt idx="4">
                  <c:v>147310.94</c:v>
                </c:pt>
                <c:pt idx="5">
                  <c:v>243978.34</c:v>
                </c:pt>
                <c:pt idx="6">
                  <c:v>118764.14</c:v>
                </c:pt>
                <c:pt idx="7">
                  <c:v>192441.7</c:v>
                </c:pt>
                <c:pt idx="8">
                  <c:v>170291.99</c:v>
                </c:pt>
                <c:pt idx="9">
                  <c:v>138958.96</c:v>
                </c:pt>
                <c:pt idx="10">
                  <c:v>193925.84</c:v>
                </c:pt>
                <c:pt idx="11">
                  <c:v>186189.33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26-407B-95E3-7A719C1771D7}"/>
            </c:ext>
          </c:extLst>
        </c:ser>
        <c:ser>
          <c:idx val="3"/>
          <c:order val="1"/>
          <c:tx>
            <c:strRef>
              <c:f>'8 - 14 Nov'!$E$3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'8 - 14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'8 - 14 Nov'!$E$5:$E$19</c:f>
              <c:numCache>
                <c:formatCode>#,##0.00</c:formatCode>
                <c:ptCount val="12"/>
                <c:pt idx="0">
                  <c:v>193086.26</c:v>
                </c:pt>
                <c:pt idx="1">
                  <c:v>245963.82</c:v>
                </c:pt>
                <c:pt idx="2">
                  <c:v>118190.42</c:v>
                </c:pt>
                <c:pt idx="3">
                  <c:v>0</c:v>
                </c:pt>
                <c:pt idx="4">
                  <c:v>149959.23000000001</c:v>
                </c:pt>
                <c:pt idx="5">
                  <c:v>220256.34</c:v>
                </c:pt>
                <c:pt idx="6">
                  <c:v>117466.88</c:v>
                </c:pt>
                <c:pt idx="7">
                  <c:v>194468.69</c:v>
                </c:pt>
                <c:pt idx="8">
                  <c:v>182462.52</c:v>
                </c:pt>
                <c:pt idx="9">
                  <c:v>144976.69</c:v>
                </c:pt>
                <c:pt idx="10">
                  <c:v>195032.18</c:v>
                </c:pt>
                <c:pt idx="11">
                  <c:v>164901.42000000001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26-407B-95E3-7A719C177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'15 - 21 Nov'!$B$3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'15 - 21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'15 - 21 Nov'!$B$5:$B$19</c:f>
              <c:numCache>
                <c:formatCode>#,##0.00</c:formatCode>
                <c:ptCount val="12"/>
                <c:pt idx="0">
                  <c:v>193086.26</c:v>
                </c:pt>
                <c:pt idx="1">
                  <c:v>245963.82</c:v>
                </c:pt>
                <c:pt idx="2">
                  <c:v>118190.42</c:v>
                </c:pt>
                <c:pt idx="3">
                  <c:v>0</c:v>
                </c:pt>
                <c:pt idx="4">
                  <c:v>149959.23000000001</c:v>
                </c:pt>
                <c:pt idx="5">
                  <c:v>220256.34</c:v>
                </c:pt>
                <c:pt idx="6">
                  <c:v>117466.88</c:v>
                </c:pt>
                <c:pt idx="7">
                  <c:v>194468.69</c:v>
                </c:pt>
                <c:pt idx="8">
                  <c:v>182462.52</c:v>
                </c:pt>
                <c:pt idx="9">
                  <c:v>144976.69</c:v>
                </c:pt>
                <c:pt idx="10">
                  <c:v>195032.18</c:v>
                </c:pt>
                <c:pt idx="11">
                  <c:v>164901.42000000001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DB-4C28-B465-82FFBF316D49}"/>
            </c:ext>
          </c:extLst>
        </c:ser>
        <c:ser>
          <c:idx val="3"/>
          <c:order val="1"/>
          <c:tx>
            <c:strRef>
              <c:f>'15 - 21 Nov'!$E$3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'15 - 21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'15 - 21 Nov'!$E$5:$E$19</c:f>
              <c:numCache>
                <c:formatCode>#,##0.00</c:formatCode>
                <c:ptCount val="12"/>
                <c:pt idx="0">
                  <c:v>212158.9</c:v>
                </c:pt>
                <c:pt idx="1">
                  <c:v>243787.69</c:v>
                </c:pt>
                <c:pt idx="2">
                  <c:v>125078.1</c:v>
                </c:pt>
                <c:pt idx="3">
                  <c:v>0</c:v>
                </c:pt>
                <c:pt idx="4">
                  <c:v>155534.25</c:v>
                </c:pt>
                <c:pt idx="5">
                  <c:v>235541.57</c:v>
                </c:pt>
                <c:pt idx="6">
                  <c:v>113656.36</c:v>
                </c:pt>
                <c:pt idx="7">
                  <c:v>191383.89</c:v>
                </c:pt>
                <c:pt idx="8">
                  <c:v>183104.61</c:v>
                </c:pt>
                <c:pt idx="9">
                  <c:v>128705.38</c:v>
                </c:pt>
                <c:pt idx="10">
                  <c:v>199114.42</c:v>
                </c:pt>
                <c:pt idx="11">
                  <c:v>152715.91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DB-4C28-B465-82FFBF316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'22 - 28 Nov'!$B$3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'22 - 28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'22 - 28 Nov'!$B$5:$B$19</c:f>
              <c:numCache>
                <c:formatCode>#,##0.00</c:formatCode>
                <c:ptCount val="12"/>
                <c:pt idx="0">
                  <c:v>212158.9</c:v>
                </c:pt>
                <c:pt idx="1">
                  <c:v>243787.69</c:v>
                </c:pt>
                <c:pt idx="2">
                  <c:v>125078.1</c:v>
                </c:pt>
                <c:pt idx="3">
                  <c:v>0</c:v>
                </c:pt>
                <c:pt idx="4">
                  <c:v>155534.25</c:v>
                </c:pt>
                <c:pt idx="5">
                  <c:v>235541.57</c:v>
                </c:pt>
                <c:pt idx="6">
                  <c:v>113656.36</c:v>
                </c:pt>
                <c:pt idx="7">
                  <c:v>191383.89</c:v>
                </c:pt>
                <c:pt idx="8">
                  <c:v>183104.61</c:v>
                </c:pt>
                <c:pt idx="9">
                  <c:v>128705.38</c:v>
                </c:pt>
                <c:pt idx="10">
                  <c:v>199114.42</c:v>
                </c:pt>
                <c:pt idx="11">
                  <c:v>152715.91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36-473D-8F90-6C1CC2E02D0A}"/>
            </c:ext>
          </c:extLst>
        </c:ser>
        <c:ser>
          <c:idx val="3"/>
          <c:order val="1"/>
          <c:tx>
            <c:strRef>
              <c:f>'22 - 28 Nov'!$E$3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'22 - 28 Nov'!$A$5:$A$19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'22 - 28 Nov'!$E$5:$E$19</c:f>
              <c:numCache>
                <c:formatCode>#,##0.00</c:formatCode>
                <c:ptCount val="12"/>
                <c:pt idx="0">
                  <c:v>224536.32000000001</c:v>
                </c:pt>
                <c:pt idx="1">
                  <c:v>275338.65000000002</c:v>
                </c:pt>
                <c:pt idx="2">
                  <c:v>122785.28</c:v>
                </c:pt>
                <c:pt idx="3">
                  <c:v>0</c:v>
                </c:pt>
                <c:pt idx="4">
                  <c:v>167295.85999999999</c:v>
                </c:pt>
                <c:pt idx="5">
                  <c:v>249927.98</c:v>
                </c:pt>
                <c:pt idx="6">
                  <c:v>131103.29999999999</c:v>
                </c:pt>
                <c:pt idx="7">
                  <c:v>230348.64</c:v>
                </c:pt>
                <c:pt idx="8">
                  <c:v>174615.21</c:v>
                </c:pt>
                <c:pt idx="9">
                  <c:v>159324.35</c:v>
                </c:pt>
                <c:pt idx="10">
                  <c:v>227511.31</c:v>
                </c:pt>
                <c:pt idx="11">
                  <c:v>180473.33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36-473D-8F90-6C1CC2E02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Nov - 5 Dec'!$B$3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Nov - 5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'29 Nov - 5 Dec'!$B$5:$B$19</c:f>
              <c:numCache>
                <c:formatCode>#,##0.00</c:formatCode>
                <c:ptCount val="12"/>
                <c:pt idx="0">
                  <c:v>224536.32000000001</c:v>
                </c:pt>
                <c:pt idx="1">
                  <c:v>275338.65000000002</c:v>
                </c:pt>
                <c:pt idx="2">
                  <c:v>122785.28</c:v>
                </c:pt>
                <c:pt idx="3">
                  <c:v>0</c:v>
                </c:pt>
                <c:pt idx="4">
                  <c:v>167295.85999999999</c:v>
                </c:pt>
                <c:pt idx="5">
                  <c:v>249927.98</c:v>
                </c:pt>
                <c:pt idx="6">
                  <c:v>131103.29999999999</c:v>
                </c:pt>
                <c:pt idx="7">
                  <c:v>230348.64</c:v>
                </c:pt>
                <c:pt idx="8">
                  <c:v>174615.21</c:v>
                </c:pt>
                <c:pt idx="9">
                  <c:v>159324.35</c:v>
                </c:pt>
                <c:pt idx="10">
                  <c:v>227511.31</c:v>
                </c:pt>
                <c:pt idx="11">
                  <c:v>180473.33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4-40A5-92D4-EFD1885D6108}"/>
            </c:ext>
          </c:extLst>
        </c:ser>
        <c:ser>
          <c:idx val="3"/>
          <c:order val="1"/>
          <c:tx>
            <c:strRef>
              <c:f>'29 Nov - 5 Dec'!$E$3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Nov - 5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'29 Nov - 5 Dec'!$E$5:$E$19</c:f>
              <c:numCache>
                <c:formatCode>#,##0.00</c:formatCode>
                <c:ptCount val="12"/>
                <c:pt idx="0">
                  <c:v>249569.36</c:v>
                </c:pt>
                <c:pt idx="1">
                  <c:v>311887.53999999998</c:v>
                </c:pt>
                <c:pt idx="2">
                  <c:v>142037.23000000001</c:v>
                </c:pt>
                <c:pt idx="3">
                  <c:v>0</c:v>
                </c:pt>
                <c:pt idx="4">
                  <c:v>150479.32999999999</c:v>
                </c:pt>
                <c:pt idx="5">
                  <c:v>276171.59000000003</c:v>
                </c:pt>
                <c:pt idx="6">
                  <c:v>143967.6</c:v>
                </c:pt>
                <c:pt idx="7">
                  <c:v>214680.88</c:v>
                </c:pt>
                <c:pt idx="8">
                  <c:v>215508.03</c:v>
                </c:pt>
                <c:pt idx="9">
                  <c:v>155549.5</c:v>
                </c:pt>
                <c:pt idx="10">
                  <c:v>170425.3</c:v>
                </c:pt>
                <c:pt idx="11">
                  <c:v>171537.9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B4-40A5-92D4-EFD1885D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'6 - 12 Dec'!$B$3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'6 - 12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'6 - 12 Dec'!$B$5:$B$19</c:f>
              <c:numCache>
                <c:formatCode>#,##0.00</c:formatCode>
                <c:ptCount val="12"/>
                <c:pt idx="0">
                  <c:v>249569.36</c:v>
                </c:pt>
                <c:pt idx="1">
                  <c:v>311887.53999999998</c:v>
                </c:pt>
                <c:pt idx="2">
                  <c:v>142037.23000000001</c:v>
                </c:pt>
                <c:pt idx="3">
                  <c:v>0</c:v>
                </c:pt>
                <c:pt idx="4">
                  <c:v>150479.32999999999</c:v>
                </c:pt>
                <c:pt idx="5">
                  <c:v>276171.59000000003</c:v>
                </c:pt>
                <c:pt idx="6">
                  <c:v>143967.6</c:v>
                </c:pt>
                <c:pt idx="7">
                  <c:v>214680.88</c:v>
                </c:pt>
                <c:pt idx="8">
                  <c:v>215508.03</c:v>
                </c:pt>
                <c:pt idx="9">
                  <c:v>155549.5</c:v>
                </c:pt>
                <c:pt idx="10">
                  <c:v>170425.3</c:v>
                </c:pt>
                <c:pt idx="11">
                  <c:v>171537.9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8-4443-9A31-F9029B553960}"/>
            </c:ext>
          </c:extLst>
        </c:ser>
        <c:ser>
          <c:idx val="3"/>
          <c:order val="1"/>
          <c:tx>
            <c:strRef>
              <c:f>'6 - 12 Dec'!$E$3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'6 - 12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'6 - 12 Dec'!$E$5:$E$19</c:f>
              <c:numCache>
                <c:formatCode>#,##0.00</c:formatCode>
                <c:ptCount val="12"/>
                <c:pt idx="0">
                  <c:v>221100.21</c:v>
                </c:pt>
                <c:pt idx="1">
                  <c:v>341822.34</c:v>
                </c:pt>
                <c:pt idx="2">
                  <c:v>128162.21</c:v>
                </c:pt>
                <c:pt idx="3">
                  <c:v>0</c:v>
                </c:pt>
                <c:pt idx="4">
                  <c:v>174496.27</c:v>
                </c:pt>
                <c:pt idx="5">
                  <c:v>253424.14</c:v>
                </c:pt>
                <c:pt idx="6">
                  <c:v>122087.36</c:v>
                </c:pt>
                <c:pt idx="7">
                  <c:v>207065.35</c:v>
                </c:pt>
                <c:pt idx="8">
                  <c:v>324926.32</c:v>
                </c:pt>
                <c:pt idx="9">
                  <c:v>129659.6</c:v>
                </c:pt>
                <c:pt idx="10">
                  <c:v>167187.51</c:v>
                </c:pt>
                <c:pt idx="11">
                  <c:v>182335.29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8-4443-9A31-F9029B553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'13 - 19 Dec'!$B$3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'13 - 19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'13 - 19 Dec'!$B$5:$B$19</c:f>
              <c:numCache>
                <c:formatCode>#,##0.00</c:formatCode>
                <c:ptCount val="12"/>
                <c:pt idx="0">
                  <c:v>221100.21</c:v>
                </c:pt>
                <c:pt idx="1">
                  <c:v>341822.34</c:v>
                </c:pt>
                <c:pt idx="2">
                  <c:v>128162.21</c:v>
                </c:pt>
                <c:pt idx="3">
                  <c:v>0</c:v>
                </c:pt>
                <c:pt idx="4">
                  <c:v>174496.27</c:v>
                </c:pt>
                <c:pt idx="5">
                  <c:v>253424.14</c:v>
                </c:pt>
                <c:pt idx="6">
                  <c:v>122087.36</c:v>
                </c:pt>
                <c:pt idx="7">
                  <c:v>207065.35</c:v>
                </c:pt>
                <c:pt idx="8">
                  <c:v>324926.32</c:v>
                </c:pt>
                <c:pt idx="9">
                  <c:v>129659.6</c:v>
                </c:pt>
                <c:pt idx="10">
                  <c:v>167187.51</c:v>
                </c:pt>
                <c:pt idx="11">
                  <c:v>182335.29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A-498A-931F-0D3E3C35944E}"/>
            </c:ext>
          </c:extLst>
        </c:ser>
        <c:ser>
          <c:idx val="3"/>
          <c:order val="1"/>
          <c:tx>
            <c:strRef>
              <c:f>'13 - 19 Dec'!$E$3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'13 - 19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'13 - 19 Dec'!$E$5:$E$19</c:f>
              <c:numCache>
                <c:formatCode>#,##0.00</c:formatCode>
                <c:ptCount val="12"/>
                <c:pt idx="0">
                  <c:v>247695.9</c:v>
                </c:pt>
                <c:pt idx="1">
                  <c:v>416851.52</c:v>
                </c:pt>
                <c:pt idx="2">
                  <c:v>128373.96</c:v>
                </c:pt>
                <c:pt idx="3">
                  <c:v>0</c:v>
                </c:pt>
                <c:pt idx="4">
                  <c:v>150716.72</c:v>
                </c:pt>
                <c:pt idx="5">
                  <c:v>234819.58</c:v>
                </c:pt>
                <c:pt idx="6">
                  <c:v>124306.15</c:v>
                </c:pt>
                <c:pt idx="7">
                  <c:v>192364.64</c:v>
                </c:pt>
                <c:pt idx="8">
                  <c:v>547738.16</c:v>
                </c:pt>
                <c:pt idx="9">
                  <c:v>138069.95000000001</c:v>
                </c:pt>
                <c:pt idx="10">
                  <c:v>169389.41</c:v>
                </c:pt>
                <c:pt idx="11">
                  <c:v>170896.01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A-498A-931F-0D3E3C359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'20 - 26 Dec'!$B$3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'20 - 26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'20 - 26 Dec'!$B$5:$B$19</c:f>
              <c:numCache>
                <c:formatCode>#,##0.00</c:formatCode>
                <c:ptCount val="12"/>
                <c:pt idx="0">
                  <c:v>247695.9</c:v>
                </c:pt>
                <c:pt idx="1">
                  <c:v>416851.52</c:v>
                </c:pt>
                <c:pt idx="2">
                  <c:v>128373.96</c:v>
                </c:pt>
                <c:pt idx="3">
                  <c:v>0</c:v>
                </c:pt>
                <c:pt idx="4">
                  <c:v>150716.72</c:v>
                </c:pt>
                <c:pt idx="5">
                  <c:v>234819.58</c:v>
                </c:pt>
                <c:pt idx="6">
                  <c:v>124306.15</c:v>
                </c:pt>
                <c:pt idx="7">
                  <c:v>192364.64</c:v>
                </c:pt>
                <c:pt idx="8">
                  <c:v>547738.16</c:v>
                </c:pt>
                <c:pt idx="9">
                  <c:v>138069.95000000001</c:v>
                </c:pt>
                <c:pt idx="10">
                  <c:v>169389.41</c:v>
                </c:pt>
                <c:pt idx="11">
                  <c:v>170896.01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8-4F45-BC4E-0398763CEF74}"/>
            </c:ext>
          </c:extLst>
        </c:ser>
        <c:ser>
          <c:idx val="3"/>
          <c:order val="1"/>
          <c:tx>
            <c:strRef>
              <c:f>'20 - 26 Dec'!$E$3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'20 - 26 Dec'!$A$5:$A$19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'20 - 26 Dec'!$E$5:$E$19</c:f>
              <c:numCache>
                <c:formatCode>#,##0.00</c:formatCode>
                <c:ptCount val="12"/>
                <c:pt idx="0">
                  <c:v>198665.22</c:v>
                </c:pt>
                <c:pt idx="1">
                  <c:v>355451.46</c:v>
                </c:pt>
                <c:pt idx="2">
                  <c:v>101312.03</c:v>
                </c:pt>
                <c:pt idx="3">
                  <c:v>0</c:v>
                </c:pt>
                <c:pt idx="4">
                  <c:v>105459.75</c:v>
                </c:pt>
                <c:pt idx="5">
                  <c:v>181752.95</c:v>
                </c:pt>
                <c:pt idx="6">
                  <c:v>92137.78</c:v>
                </c:pt>
                <c:pt idx="7">
                  <c:v>131166</c:v>
                </c:pt>
                <c:pt idx="8">
                  <c:v>823747.68</c:v>
                </c:pt>
                <c:pt idx="9">
                  <c:v>113375.82</c:v>
                </c:pt>
                <c:pt idx="10">
                  <c:v>133738.32</c:v>
                </c:pt>
                <c:pt idx="11">
                  <c:v>111902.84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8-4F45-BC4E-0398763CE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Dec - 2 Jan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Dec - 2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'27 Dec - 2 Jan 2022'!$B$5:$B$19</c:f>
              <c:numCache>
                <c:formatCode>#,##0.00</c:formatCode>
                <c:ptCount val="12"/>
                <c:pt idx="0">
                  <c:v>198665.22</c:v>
                </c:pt>
                <c:pt idx="1">
                  <c:v>355451.46</c:v>
                </c:pt>
                <c:pt idx="2">
                  <c:v>101312.03</c:v>
                </c:pt>
                <c:pt idx="3">
                  <c:v>0</c:v>
                </c:pt>
                <c:pt idx="4">
                  <c:v>105459.75</c:v>
                </c:pt>
                <c:pt idx="5">
                  <c:v>181752.95</c:v>
                </c:pt>
                <c:pt idx="6">
                  <c:v>92137.78</c:v>
                </c:pt>
                <c:pt idx="7">
                  <c:v>131166</c:v>
                </c:pt>
                <c:pt idx="8">
                  <c:v>823747.68</c:v>
                </c:pt>
                <c:pt idx="9">
                  <c:v>113375.82</c:v>
                </c:pt>
                <c:pt idx="10">
                  <c:v>133738.32</c:v>
                </c:pt>
                <c:pt idx="11">
                  <c:v>111902.84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7-4BE1-834A-73DACF463362}"/>
            </c:ext>
          </c:extLst>
        </c:ser>
        <c:ser>
          <c:idx val="3"/>
          <c:order val="1"/>
          <c:tx>
            <c:strRef>
              <c:f>'27 Dec - 2 Jan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Dec - 2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'27 Dec - 2 Jan 2022'!$E$5:$E$19</c:f>
              <c:numCache>
                <c:formatCode>#,##0.00</c:formatCode>
                <c:ptCount val="12"/>
                <c:pt idx="0">
                  <c:v>212769.56</c:v>
                </c:pt>
                <c:pt idx="1">
                  <c:v>294055.23</c:v>
                </c:pt>
                <c:pt idx="2">
                  <c:v>92659.32</c:v>
                </c:pt>
                <c:pt idx="3">
                  <c:v>0</c:v>
                </c:pt>
                <c:pt idx="4">
                  <c:v>146695.37</c:v>
                </c:pt>
                <c:pt idx="5">
                  <c:v>169474.37</c:v>
                </c:pt>
                <c:pt idx="6">
                  <c:v>118160.63</c:v>
                </c:pt>
                <c:pt idx="7">
                  <c:v>159471.69</c:v>
                </c:pt>
                <c:pt idx="8">
                  <c:v>1157280.81</c:v>
                </c:pt>
                <c:pt idx="9">
                  <c:v>117099.44</c:v>
                </c:pt>
                <c:pt idx="10">
                  <c:v>143974.76</c:v>
                </c:pt>
                <c:pt idx="11">
                  <c:v>148687.25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7-4BE1-834A-73DACF463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'3 - 9 Jan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'3 - 9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'3 - 9 Jan 2022'!$B$5:$B$19</c:f>
              <c:numCache>
                <c:formatCode>#,##0.00</c:formatCode>
                <c:ptCount val="12"/>
                <c:pt idx="0">
                  <c:v>212769.56</c:v>
                </c:pt>
                <c:pt idx="1">
                  <c:v>294055.23</c:v>
                </c:pt>
                <c:pt idx="2">
                  <c:v>92659.32</c:v>
                </c:pt>
                <c:pt idx="3">
                  <c:v>0</c:v>
                </c:pt>
                <c:pt idx="4">
                  <c:v>146695.37</c:v>
                </c:pt>
                <c:pt idx="5">
                  <c:v>169474.37</c:v>
                </c:pt>
                <c:pt idx="6">
                  <c:v>118160.63</c:v>
                </c:pt>
                <c:pt idx="7">
                  <c:v>159471.69</c:v>
                </c:pt>
                <c:pt idx="8">
                  <c:v>1157280.81</c:v>
                </c:pt>
                <c:pt idx="9">
                  <c:v>117099.44</c:v>
                </c:pt>
                <c:pt idx="10">
                  <c:v>143974.76</c:v>
                </c:pt>
                <c:pt idx="11">
                  <c:v>148687.25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A-4B24-98E4-7CE2D15BD404}"/>
            </c:ext>
          </c:extLst>
        </c:ser>
        <c:ser>
          <c:idx val="3"/>
          <c:order val="1"/>
          <c:tx>
            <c:strRef>
              <c:f>'3 - 9 Jan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'3 - 9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'3 - 9 Jan 2022'!$E$5:$E$19</c:f>
              <c:numCache>
                <c:formatCode>#,##0.00</c:formatCode>
                <c:ptCount val="12"/>
                <c:pt idx="0">
                  <c:v>269770.01</c:v>
                </c:pt>
                <c:pt idx="1">
                  <c:v>219749.59</c:v>
                </c:pt>
                <c:pt idx="2">
                  <c:v>118823.03</c:v>
                </c:pt>
                <c:pt idx="3">
                  <c:v>0</c:v>
                </c:pt>
                <c:pt idx="4">
                  <c:v>133729.15</c:v>
                </c:pt>
                <c:pt idx="5">
                  <c:v>233137.87</c:v>
                </c:pt>
                <c:pt idx="6">
                  <c:v>116710.34</c:v>
                </c:pt>
                <c:pt idx="7">
                  <c:v>194743.67999999999</c:v>
                </c:pt>
                <c:pt idx="8">
                  <c:v>721790.35</c:v>
                </c:pt>
                <c:pt idx="9">
                  <c:v>135626.71</c:v>
                </c:pt>
                <c:pt idx="10">
                  <c:v>150418.67000000001</c:v>
                </c:pt>
                <c:pt idx="11">
                  <c:v>151507.38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A-4B24-98E4-7CE2D15BD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'10 - 16 Jan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'10 - 16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'10 - 16 Jan 2022'!$B$5:$B$19</c:f>
              <c:numCache>
                <c:formatCode>#,##0.00</c:formatCode>
                <c:ptCount val="12"/>
                <c:pt idx="0">
                  <c:v>269770.01</c:v>
                </c:pt>
                <c:pt idx="1">
                  <c:v>219749.59</c:v>
                </c:pt>
                <c:pt idx="2">
                  <c:v>118823.03</c:v>
                </c:pt>
                <c:pt idx="3">
                  <c:v>0</c:v>
                </c:pt>
                <c:pt idx="4">
                  <c:v>133729.15</c:v>
                </c:pt>
                <c:pt idx="5">
                  <c:v>233137.87</c:v>
                </c:pt>
                <c:pt idx="6">
                  <c:v>116710.34</c:v>
                </c:pt>
                <c:pt idx="7">
                  <c:v>194743.67999999999</c:v>
                </c:pt>
                <c:pt idx="8">
                  <c:v>721790.35</c:v>
                </c:pt>
                <c:pt idx="9">
                  <c:v>135626.71</c:v>
                </c:pt>
                <c:pt idx="10">
                  <c:v>150418.67000000001</c:v>
                </c:pt>
                <c:pt idx="11">
                  <c:v>151507.38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4-4E81-B45C-DF10C754A95A}"/>
            </c:ext>
          </c:extLst>
        </c:ser>
        <c:ser>
          <c:idx val="3"/>
          <c:order val="1"/>
          <c:tx>
            <c:strRef>
              <c:f>'10 - 16 Jan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'10 - 16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'10 - 16 Jan 2022'!$E$5:$E$19</c:f>
              <c:numCache>
                <c:formatCode>#,##0.00</c:formatCode>
                <c:ptCount val="12"/>
                <c:pt idx="0">
                  <c:v>215802.15</c:v>
                </c:pt>
                <c:pt idx="1">
                  <c:v>181705.05</c:v>
                </c:pt>
                <c:pt idx="2">
                  <c:v>121229.64</c:v>
                </c:pt>
                <c:pt idx="3">
                  <c:v>0</c:v>
                </c:pt>
                <c:pt idx="4">
                  <c:v>143258.26</c:v>
                </c:pt>
                <c:pt idx="5">
                  <c:v>224244.36</c:v>
                </c:pt>
                <c:pt idx="6">
                  <c:v>120604.29</c:v>
                </c:pt>
                <c:pt idx="7">
                  <c:v>200323.25</c:v>
                </c:pt>
                <c:pt idx="8">
                  <c:v>341457.44</c:v>
                </c:pt>
                <c:pt idx="9">
                  <c:v>119757.44</c:v>
                </c:pt>
                <c:pt idx="10">
                  <c:v>151945.85</c:v>
                </c:pt>
                <c:pt idx="11">
                  <c:v>159101.62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4-4E81-B45C-DF10C754A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'17 - 23 Jan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'17 - 23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'17 - 23 Jan 2022'!$B$5:$B$19</c:f>
              <c:numCache>
                <c:formatCode>#,##0.00</c:formatCode>
                <c:ptCount val="12"/>
                <c:pt idx="0">
                  <c:v>215802.15</c:v>
                </c:pt>
                <c:pt idx="1">
                  <c:v>181705.05</c:v>
                </c:pt>
                <c:pt idx="2">
                  <c:v>121229.64</c:v>
                </c:pt>
                <c:pt idx="3">
                  <c:v>0</c:v>
                </c:pt>
                <c:pt idx="4">
                  <c:v>143258.26</c:v>
                </c:pt>
                <c:pt idx="5">
                  <c:v>224244.36</c:v>
                </c:pt>
                <c:pt idx="6">
                  <c:v>120604.29</c:v>
                </c:pt>
                <c:pt idx="7">
                  <c:v>200323.25</c:v>
                </c:pt>
                <c:pt idx="8">
                  <c:v>341457.44</c:v>
                </c:pt>
                <c:pt idx="9">
                  <c:v>119757.44</c:v>
                </c:pt>
                <c:pt idx="10">
                  <c:v>151945.85</c:v>
                </c:pt>
                <c:pt idx="11">
                  <c:v>159101.62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7-4904-9429-5581D27709DC}"/>
            </c:ext>
          </c:extLst>
        </c:ser>
        <c:ser>
          <c:idx val="3"/>
          <c:order val="1"/>
          <c:tx>
            <c:strRef>
              <c:f>'17 - 23 Jan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'17 - 23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'17 - 23 Jan 2022'!$E$5:$E$19</c:f>
              <c:numCache>
                <c:formatCode>#,##0.00</c:formatCode>
                <c:ptCount val="12"/>
                <c:pt idx="0">
                  <c:v>214627.76</c:v>
                </c:pt>
                <c:pt idx="1">
                  <c:v>180915.8</c:v>
                </c:pt>
                <c:pt idx="2">
                  <c:v>112994.77</c:v>
                </c:pt>
                <c:pt idx="3">
                  <c:v>0</c:v>
                </c:pt>
                <c:pt idx="4">
                  <c:v>136016.39000000001</c:v>
                </c:pt>
                <c:pt idx="5">
                  <c:v>228306.74</c:v>
                </c:pt>
                <c:pt idx="6">
                  <c:v>101802.88</c:v>
                </c:pt>
                <c:pt idx="7">
                  <c:v>187513.18</c:v>
                </c:pt>
                <c:pt idx="8">
                  <c:v>255303.8</c:v>
                </c:pt>
                <c:pt idx="9">
                  <c:v>128284.99</c:v>
                </c:pt>
                <c:pt idx="10">
                  <c:v>159089.54999999999</c:v>
                </c:pt>
                <c:pt idx="11">
                  <c:v>149114.31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F7-4904-9429-5581D2770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3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'24 - 30 Jan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'24 - 30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'24 - 30 Jan 2022'!$B$5:$B$19</c:f>
              <c:numCache>
                <c:formatCode>#,##0.00</c:formatCode>
                <c:ptCount val="12"/>
                <c:pt idx="0">
                  <c:v>214627.76</c:v>
                </c:pt>
                <c:pt idx="1">
                  <c:v>180915.8</c:v>
                </c:pt>
                <c:pt idx="2">
                  <c:v>112994.77</c:v>
                </c:pt>
                <c:pt idx="3">
                  <c:v>0</c:v>
                </c:pt>
                <c:pt idx="4">
                  <c:v>136016.39000000001</c:v>
                </c:pt>
                <c:pt idx="5">
                  <c:v>228306.74</c:v>
                </c:pt>
                <c:pt idx="6">
                  <c:v>101802.88</c:v>
                </c:pt>
                <c:pt idx="7">
                  <c:v>187513.18</c:v>
                </c:pt>
                <c:pt idx="8">
                  <c:v>255303.8</c:v>
                </c:pt>
                <c:pt idx="9">
                  <c:v>128284.99</c:v>
                </c:pt>
                <c:pt idx="10">
                  <c:v>159089.54999999999</c:v>
                </c:pt>
                <c:pt idx="11">
                  <c:v>149114.31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EC-4CA6-9DAF-C8DECF2E753E}"/>
            </c:ext>
          </c:extLst>
        </c:ser>
        <c:ser>
          <c:idx val="3"/>
          <c:order val="1"/>
          <c:tx>
            <c:strRef>
              <c:f>'24 - 30 Jan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'24 - 30 Jan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'24 - 30 Jan 2022'!$E$5:$E$19</c:f>
              <c:numCache>
                <c:formatCode>#,##0.00</c:formatCode>
                <c:ptCount val="12"/>
                <c:pt idx="0">
                  <c:v>219896.15</c:v>
                </c:pt>
                <c:pt idx="1">
                  <c:v>219465.41</c:v>
                </c:pt>
                <c:pt idx="2">
                  <c:v>115980.35</c:v>
                </c:pt>
                <c:pt idx="3">
                  <c:v>0</c:v>
                </c:pt>
                <c:pt idx="4">
                  <c:v>177078.57</c:v>
                </c:pt>
                <c:pt idx="5">
                  <c:v>251779.71</c:v>
                </c:pt>
                <c:pt idx="6">
                  <c:v>148338.9</c:v>
                </c:pt>
                <c:pt idx="7">
                  <c:v>227518.52</c:v>
                </c:pt>
                <c:pt idx="8">
                  <c:v>240544.36</c:v>
                </c:pt>
                <c:pt idx="9">
                  <c:v>144588.24</c:v>
                </c:pt>
                <c:pt idx="10">
                  <c:v>184402.37</c:v>
                </c:pt>
                <c:pt idx="11">
                  <c:v>166446.76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EC-4CA6-9DAF-C8DECF2E7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'31 Jan - 6 Feb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'31 Jan - 6 Feb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'31 Jan - 6 Feb 2022'!$B$5:$B$19</c:f>
              <c:numCache>
                <c:formatCode>#,##0.00</c:formatCode>
                <c:ptCount val="12"/>
                <c:pt idx="0">
                  <c:v>219896.15</c:v>
                </c:pt>
                <c:pt idx="1">
                  <c:v>219465.41</c:v>
                </c:pt>
                <c:pt idx="2">
                  <c:v>115980.35</c:v>
                </c:pt>
                <c:pt idx="3">
                  <c:v>0</c:v>
                </c:pt>
                <c:pt idx="4">
                  <c:v>177078.57</c:v>
                </c:pt>
                <c:pt idx="5">
                  <c:v>251779.71</c:v>
                </c:pt>
                <c:pt idx="6">
                  <c:v>148338.9</c:v>
                </c:pt>
                <c:pt idx="7">
                  <c:v>227518.52</c:v>
                </c:pt>
                <c:pt idx="8">
                  <c:v>240544.36</c:v>
                </c:pt>
                <c:pt idx="9">
                  <c:v>144588.24</c:v>
                </c:pt>
                <c:pt idx="10">
                  <c:v>184402.37</c:v>
                </c:pt>
                <c:pt idx="11">
                  <c:v>166446.76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6E6-9550-48006EA2F5CC}"/>
            </c:ext>
          </c:extLst>
        </c:ser>
        <c:ser>
          <c:idx val="3"/>
          <c:order val="1"/>
          <c:tx>
            <c:strRef>
              <c:f>'31 Jan - 6 Feb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'31 Jan - 6 Feb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'31 Jan - 6 Feb 2022'!$E$5:$E$19</c:f>
              <c:numCache>
                <c:formatCode>#,##0.00</c:formatCode>
                <c:ptCount val="12"/>
                <c:pt idx="0">
                  <c:v>238606.29</c:v>
                </c:pt>
                <c:pt idx="1">
                  <c:v>219199.77</c:v>
                </c:pt>
                <c:pt idx="2">
                  <c:v>108709.21</c:v>
                </c:pt>
                <c:pt idx="3">
                  <c:v>0</c:v>
                </c:pt>
                <c:pt idx="4">
                  <c:v>166802.73000000001</c:v>
                </c:pt>
                <c:pt idx="5">
                  <c:v>216181.06</c:v>
                </c:pt>
                <c:pt idx="6">
                  <c:v>141844.60999999999</c:v>
                </c:pt>
                <c:pt idx="7">
                  <c:v>215241.73</c:v>
                </c:pt>
                <c:pt idx="8">
                  <c:v>243672.85</c:v>
                </c:pt>
                <c:pt idx="9">
                  <c:v>132179.39000000001</c:v>
                </c:pt>
                <c:pt idx="10">
                  <c:v>192804.32</c:v>
                </c:pt>
                <c:pt idx="11">
                  <c:v>183194.06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70-46E6-9550-48006EA2F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'7 - 13 Feb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'7 - 13 Feb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'7 - 13 Feb 2022'!$B$5:$B$19</c:f>
              <c:numCache>
                <c:formatCode>#,##0.00</c:formatCode>
                <c:ptCount val="12"/>
                <c:pt idx="0">
                  <c:v>238606.29</c:v>
                </c:pt>
                <c:pt idx="1">
                  <c:v>219199.77</c:v>
                </c:pt>
                <c:pt idx="2">
                  <c:v>108709.21</c:v>
                </c:pt>
                <c:pt idx="3">
                  <c:v>0</c:v>
                </c:pt>
                <c:pt idx="4">
                  <c:v>166802.73000000001</c:v>
                </c:pt>
                <c:pt idx="5">
                  <c:v>216181.06</c:v>
                </c:pt>
                <c:pt idx="6">
                  <c:v>141844.60999999999</c:v>
                </c:pt>
                <c:pt idx="7">
                  <c:v>215241.73</c:v>
                </c:pt>
                <c:pt idx="8">
                  <c:v>243672.85</c:v>
                </c:pt>
                <c:pt idx="9">
                  <c:v>132179.39000000001</c:v>
                </c:pt>
                <c:pt idx="10">
                  <c:v>192804.32</c:v>
                </c:pt>
                <c:pt idx="11">
                  <c:v>183194.06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8-4780-A736-8CA3B0ABFAF4}"/>
            </c:ext>
          </c:extLst>
        </c:ser>
        <c:ser>
          <c:idx val="3"/>
          <c:order val="1"/>
          <c:tx>
            <c:strRef>
              <c:f>'7 - 13 Feb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'7 - 13 Feb 2022'!$A$5:$A$19</c:f>
              <c:strCache>
                <c:ptCount val="12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Rosebank</c:v>
                </c:pt>
                <c:pt idx="4">
                  <c:v>Waterkloof </c:v>
                </c:pt>
                <c:pt idx="5">
                  <c:v>Eagles Landing</c:v>
                </c:pt>
                <c:pt idx="6">
                  <c:v>Stellenbosch</c:v>
                </c:pt>
                <c:pt idx="7">
                  <c:v>Lynnwood</c:v>
                </c:pt>
                <c:pt idx="8">
                  <c:v>Hartenbos</c:v>
                </c:pt>
                <c:pt idx="9">
                  <c:v>Kyalami Corner</c:v>
                </c:pt>
                <c:pt idx="10">
                  <c:v>Paulshof</c:v>
                </c:pt>
                <c:pt idx="11">
                  <c:v>Queenswood</c:v>
                </c:pt>
              </c:strCache>
            </c:strRef>
          </c:cat>
          <c:val>
            <c:numRef>
              <c:f>'7 - 13 Feb 2022'!$E$5:$E$19</c:f>
              <c:numCache>
                <c:formatCode>#,##0.00</c:formatCode>
                <c:ptCount val="12"/>
                <c:pt idx="0">
                  <c:v>208482.78</c:v>
                </c:pt>
                <c:pt idx="1">
                  <c:v>207551.54</c:v>
                </c:pt>
                <c:pt idx="2">
                  <c:v>124702.84</c:v>
                </c:pt>
                <c:pt idx="3">
                  <c:v>0</c:v>
                </c:pt>
                <c:pt idx="4">
                  <c:v>150013.85</c:v>
                </c:pt>
                <c:pt idx="5">
                  <c:v>194781.6</c:v>
                </c:pt>
                <c:pt idx="6">
                  <c:v>130813.15</c:v>
                </c:pt>
                <c:pt idx="7">
                  <c:v>192037.69</c:v>
                </c:pt>
                <c:pt idx="8">
                  <c:v>259704.01</c:v>
                </c:pt>
                <c:pt idx="9">
                  <c:v>137113.72</c:v>
                </c:pt>
                <c:pt idx="10">
                  <c:v>171421.97</c:v>
                </c:pt>
                <c:pt idx="11">
                  <c:v>176783.81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8-4780-A736-8CA3B0ABF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'14 - 20 Feb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'14 - 20 Feb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'14 - 20 Feb 2022'!$B$5:$B$19</c:f>
              <c:numCache>
                <c:formatCode>#,##0.00</c:formatCode>
                <c:ptCount val="11"/>
                <c:pt idx="0">
                  <c:v>208482.78</c:v>
                </c:pt>
                <c:pt idx="1">
                  <c:v>207551.54</c:v>
                </c:pt>
                <c:pt idx="2">
                  <c:v>124702.84</c:v>
                </c:pt>
                <c:pt idx="3">
                  <c:v>150013.85</c:v>
                </c:pt>
                <c:pt idx="4">
                  <c:v>194781.6</c:v>
                </c:pt>
                <c:pt idx="5">
                  <c:v>130813.15</c:v>
                </c:pt>
                <c:pt idx="6">
                  <c:v>192037.69</c:v>
                </c:pt>
                <c:pt idx="7">
                  <c:v>259704.01</c:v>
                </c:pt>
                <c:pt idx="8">
                  <c:v>137113.72</c:v>
                </c:pt>
                <c:pt idx="9">
                  <c:v>171421.97</c:v>
                </c:pt>
                <c:pt idx="10">
                  <c:v>176783.81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C-4863-8CF6-16791A94C235}"/>
            </c:ext>
          </c:extLst>
        </c:ser>
        <c:ser>
          <c:idx val="3"/>
          <c:order val="1"/>
          <c:tx>
            <c:strRef>
              <c:f>'14 - 20 Feb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'14 - 20 Feb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'14 - 20 Feb 2022'!$E$5:$E$19</c:f>
              <c:numCache>
                <c:formatCode>#,##0.00</c:formatCode>
                <c:ptCount val="11"/>
                <c:pt idx="0">
                  <c:v>253875.9739130435</c:v>
                </c:pt>
                <c:pt idx="1">
                  <c:v>238583.58260869569</c:v>
                </c:pt>
                <c:pt idx="2">
                  <c:v>126222.67826086959</c:v>
                </c:pt>
                <c:pt idx="3">
                  <c:v>184217.4608695652</c:v>
                </c:pt>
                <c:pt idx="4">
                  <c:v>230889.77391304349</c:v>
                </c:pt>
                <c:pt idx="5">
                  <c:v>133779.52173913049</c:v>
                </c:pt>
                <c:pt idx="6">
                  <c:v>222605.4782608696</c:v>
                </c:pt>
                <c:pt idx="7">
                  <c:v>257898</c:v>
                </c:pt>
                <c:pt idx="8">
                  <c:v>142871.24347826091</c:v>
                </c:pt>
                <c:pt idx="9">
                  <c:v>170930.7304347826</c:v>
                </c:pt>
                <c:pt idx="10">
                  <c:v>179012.76521739131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C-4863-8CF6-16791A94C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'21 - 27 Feb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'21 - 27 Feb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'21 - 27 Feb 2022'!$B$5:$B$19</c:f>
              <c:numCache>
                <c:formatCode>#,##0.00</c:formatCode>
                <c:ptCount val="11"/>
                <c:pt idx="0">
                  <c:v>253875.9739130435</c:v>
                </c:pt>
                <c:pt idx="1">
                  <c:v>238583.58260869569</c:v>
                </c:pt>
                <c:pt idx="2">
                  <c:v>126222.67826086959</c:v>
                </c:pt>
                <c:pt idx="3">
                  <c:v>184217.4608695652</c:v>
                </c:pt>
                <c:pt idx="4">
                  <c:v>230889.77391304349</c:v>
                </c:pt>
                <c:pt idx="5">
                  <c:v>133779.52173913049</c:v>
                </c:pt>
                <c:pt idx="6">
                  <c:v>222605.4782608696</c:v>
                </c:pt>
                <c:pt idx="7">
                  <c:v>257898</c:v>
                </c:pt>
                <c:pt idx="8">
                  <c:v>142871.24347826091</c:v>
                </c:pt>
                <c:pt idx="9">
                  <c:v>170930.7304347826</c:v>
                </c:pt>
                <c:pt idx="10">
                  <c:v>179012.76521739131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5-4CFF-BA0A-DBD2AE3E49C1}"/>
            </c:ext>
          </c:extLst>
        </c:ser>
        <c:ser>
          <c:idx val="3"/>
          <c:order val="1"/>
          <c:tx>
            <c:strRef>
              <c:f>'21 - 27 Feb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'21 - 27 Feb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'21 - 27 Feb 2022'!$E$5:$E$19</c:f>
              <c:numCache>
                <c:formatCode>#,##0.00</c:formatCode>
                <c:ptCount val="11"/>
                <c:pt idx="0">
                  <c:v>239048.72</c:v>
                </c:pt>
                <c:pt idx="1">
                  <c:v>243180.16</c:v>
                </c:pt>
                <c:pt idx="2">
                  <c:v>135782.1</c:v>
                </c:pt>
                <c:pt idx="3">
                  <c:v>146542.06</c:v>
                </c:pt>
                <c:pt idx="4">
                  <c:v>232444.11</c:v>
                </c:pt>
                <c:pt idx="5">
                  <c:v>131242.26999999999</c:v>
                </c:pt>
                <c:pt idx="6">
                  <c:v>220664.45</c:v>
                </c:pt>
                <c:pt idx="7">
                  <c:v>243303.6</c:v>
                </c:pt>
                <c:pt idx="8">
                  <c:v>152682.18</c:v>
                </c:pt>
                <c:pt idx="9">
                  <c:v>205896.16</c:v>
                </c:pt>
                <c:pt idx="10">
                  <c:v>158701.21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5-4CFF-BA0A-DBD2AE3E4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Feb - 6 March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Feb - 6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'28 Feb - 6 March 2022'!$B$5:$B$19</c:f>
              <c:numCache>
                <c:formatCode>#,##0.00</c:formatCode>
                <c:ptCount val="11"/>
                <c:pt idx="0">
                  <c:v>239048.72</c:v>
                </c:pt>
                <c:pt idx="1">
                  <c:v>243180.16</c:v>
                </c:pt>
                <c:pt idx="2">
                  <c:v>135782.1</c:v>
                </c:pt>
                <c:pt idx="3">
                  <c:v>146542.06</c:v>
                </c:pt>
                <c:pt idx="4">
                  <c:v>232444.11</c:v>
                </c:pt>
                <c:pt idx="5">
                  <c:v>131242.26999999999</c:v>
                </c:pt>
                <c:pt idx="6">
                  <c:v>220664.45</c:v>
                </c:pt>
                <c:pt idx="7">
                  <c:v>243303.6</c:v>
                </c:pt>
                <c:pt idx="8">
                  <c:v>152682.18</c:v>
                </c:pt>
                <c:pt idx="9">
                  <c:v>205896.16</c:v>
                </c:pt>
                <c:pt idx="10">
                  <c:v>158701.21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5-4CB1-BA14-2AE5F81F42BB}"/>
            </c:ext>
          </c:extLst>
        </c:ser>
        <c:ser>
          <c:idx val="3"/>
          <c:order val="1"/>
          <c:tx>
            <c:strRef>
              <c:f>'28 Feb - 6 March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Feb - 6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'28 Feb - 6 March 2022'!$E$5:$E$19</c:f>
              <c:numCache>
                <c:formatCode>#,##0.00</c:formatCode>
                <c:ptCount val="11"/>
                <c:pt idx="0">
                  <c:v>218365.71</c:v>
                </c:pt>
                <c:pt idx="1">
                  <c:v>205166.89</c:v>
                </c:pt>
                <c:pt idx="2">
                  <c:v>144923.59</c:v>
                </c:pt>
                <c:pt idx="3">
                  <c:v>158186.46</c:v>
                </c:pt>
                <c:pt idx="4">
                  <c:v>224089.43</c:v>
                </c:pt>
                <c:pt idx="5">
                  <c:v>130082.37</c:v>
                </c:pt>
                <c:pt idx="6">
                  <c:v>228031.91</c:v>
                </c:pt>
                <c:pt idx="7">
                  <c:v>241742.72</c:v>
                </c:pt>
                <c:pt idx="8">
                  <c:v>145092.71</c:v>
                </c:pt>
                <c:pt idx="9">
                  <c:v>181925.54</c:v>
                </c:pt>
                <c:pt idx="10">
                  <c:v>156833.12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5-4CB1-BA14-2AE5F81F4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'7 March - 13 March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'7 March - 13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'7 March - 13 March 2022'!$B$5:$B$19</c:f>
              <c:numCache>
                <c:formatCode>#,##0.00</c:formatCode>
                <c:ptCount val="11"/>
                <c:pt idx="0">
                  <c:v>218365.71</c:v>
                </c:pt>
                <c:pt idx="1">
                  <c:v>205166.89</c:v>
                </c:pt>
                <c:pt idx="2">
                  <c:v>144923.59</c:v>
                </c:pt>
                <c:pt idx="3">
                  <c:v>158186.46</c:v>
                </c:pt>
                <c:pt idx="4">
                  <c:v>224089.43</c:v>
                </c:pt>
                <c:pt idx="5">
                  <c:v>130082.37</c:v>
                </c:pt>
                <c:pt idx="6">
                  <c:v>228031.91</c:v>
                </c:pt>
                <c:pt idx="7">
                  <c:v>241742.72</c:v>
                </c:pt>
                <c:pt idx="8">
                  <c:v>145092.71</c:v>
                </c:pt>
                <c:pt idx="9">
                  <c:v>181925.54</c:v>
                </c:pt>
                <c:pt idx="10">
                  <c:v>156833.12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76-4194-82A1-58670216CB38}"/>
            </c:ext>
          </c:extLst>
        </c:ser>
        <c:ser>
          <c:idx val="3"/>
          <c:order val="1"/>
          <c:tx>
            <c:strRef>
              <c:f>'7 March - 13 March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'7 March - 13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'7 March - 13 March 2022'!$E$5:$E$19</c:f>
              <c:numCache>
                <c:formatCode>#,##0.00</c:formatCode>
                <c:ptCount val="11"/>
                <c:pt idx="0">
                  <c:v>220633.24</c:v>
                </c:pt>
                <c:pt idx="1">
                  <c:v>229538.83</c:v>
                </c:pt>
                <c:pt idx="2">
                  <c:v>143637.97</c:v>
                </c:pt>
                <c:pt idx="3">
                  <c:v>152386.4</c:v>
                </c:pt>
                <c:pt idx="4">
                  <c:v>233868.56</c:v>
                </c:pt>
                <c:pt idx="5">
                  <c:v>130047.86</c:v>
                </c:pt>
                <c:pt idx="6">
                  <c:v>212862.25</c:v>
                </c:pt>
                <c:pt idx="7">
                  <c:v>226735.62</c:v>
                </c:pt>
                <c:pt idx="8">
                  <c:v>150819.63</c:v>
                </c:pt>
                <c:pt idx="9">
                  <c:v>190573.92</c:v>
                </c:pt>
                <c:pt idx="10">
                  <c:v>139274.85999999999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76-4194-82A1-58670216C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March - 20 March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March - 20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'14 March - 20 March 2022'!$B$5:$B$19</c:f>
              <c:numCache>
                <c:formatCode>#,##0.00</c:formatCode>
                <c:ptCount val="11"/>
                <c:pt idx="0">
                  <c:v>220633.24</c:v>
                </c:pt>
                <c:pt idx="1">
                  <c:v>229538.83</c:v>
                </c:pt>
                <c:pt idx="2">
                  <c:v>143637.97</c:v>
                </c:pt>
                <c:pt idx="3">
                  <c:v>152386.4</c:v>
                </c:pt>
                <c:pt idx="4">
                  <c:v>233868.56</c:v>
                </c:pt>
                <c:pt idx="5">
                  <c:v>130047.86</c:v>
                </c:pt>
                <c:pt idx="6">
                  <c:v>212862.25</c:v>
                </c:pt>
                <c:pt idx="7">
                  <c:v>226735.62</c:v>
                </c:pt>
                <c:pt idx="8">
                  <c:v>150819.63</c:v>
                </c:pt>
                <c:pt idx="9">
                  <c:v>190573.92</c:v>
                </c:pt>
                <c:pt idx="10">
                  <c:v>139274.85999999999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2-49E2-BD31-F9FD99DFEF6D}"/>
            </c:ext>
          </c:extLst>
        </c:ser>
        <c:ser>
          <c:idx val="3"/>
          <c:order val="1"/>
          <c:tx>
            <c:strRef>
              <c:f>'14 March - 20 March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March - 20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'14 March - 20 March 2022'!$E$5:$E$19</c:f>
              <c:numCache>
                <c:formatCode>#,##0.00</c:formatCode>
                <c:ptCount val="11"/>
                <c:pt idx="0">
                  <c:v>232505.15</c:v>
                </c:pt>
                <c:pt idx="1">
                  <c:v>238531.51</c:v>
                </c:pt>
                <c:pt idx="2">
                  <c:v>110546.73</c:v>
                </c:pt>
                <c:pt idx="3">
                  <c:v>138082.21</c:v>
                </c:pt>
                <c:pt idx="4">
                  <c:v>193342.82</c:v>
                </c:pt>
                <c:pt idx="5">
                  <c:v>118093.22</c:v>
                </c:pt>
                <c:pt idx="6">
                  <c:v>185508.77</c:v>
                </c:pt>
                <c:pt idx="7">
                  <c:v>326106.42</c:v>
                </c:pt>
                <c:pt idx="8">
                  <c:v>115253.69</c:v>
                </c:pt>
                <c:pt idx="9">
                  <c:v>172469.75</c:v>
                </c:pt>
                <c:pt idx="10">
                  <c:v>160351.54999999999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2-49E2-BD31-F9FD99DFE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March - 27 March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March - 27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'21 March - 27 March 2022'!$B$5:$B$19</c:f>
              <c:numCache>
                <c:formatCode>#,##0.00</c:formatCode>
                <c:ptCount val="11"/>
                <c:pt idx="0">
                  <c:v>232505.15</c:v>
                </c:pt>
                <c:pt idx="1">
                  <c:v>238531.51</c:v>
                </c:pt>
                <c:pt idx="2">
                  <c:v>110546.73</c:v>
                </c:pt>
                <c:pt idx="3">
                  <c:v>138082.21</c:v>
                </c:pt>
                <c:pt idx="4">
                  <c:v>193342.82</c:v>
                </c:pt>
                <c:pt idx="5">
                  <c:v>118093.22</c:v>
                </c:pt>
                <c:pt idx="6">
                  <c:v>185508.77</c:v>
                </c:pt>
                <c:pt idx="7">
                  <c:v>326106.42</c:v>
                </c:pt>
                <c:pt idx="8">
                  <c:v>115253.69</c:v>
                </c:pt>
                <c:pt idx="9">
                  <c:v>172469.75</c:v>
                </c:pt>
                <c:pt idx="10">
                  <c:v>160351.54999999999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95-42CF-BAEA-D0C532EA0414}"/>
            </c:ext>
          </c:extLst>
        </c:ser>
        <c:ser>
          <c:idx val="3"/>
          <c:order val="1"/>
          <c:tx>
            <c:strRef>
              <c:f>'21 March - 27 March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March - 27 March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'21 March - 27 March 2022'!$E$5:$E$19</c:f>
              <c:numCache>
                <c:formatCode>#,##0.00</c:formatCode>
                <c:ptCount val="11"/>
                <c:pt idx="0">
                  <c:v>254872.5</c:v>
                </c:pt>
                <c:pt idx="1">
                  <c:v>261094.6</c:v>
                </c:pt>
                <c:pt idx="2">
                  <c:v>127181.74</c:v>
                </c:pt>
                <c:pt idx="3">
                  <c:v>148861.70000000001</c:v>
                </c:pt>
                <c:pt idx="4">
                  <c:v>226906.2</c:v>
                </c:pt>
                <c:pt idx="5">
                  <c:v>138286.29999999999</c:v>
                </c:pt>
                <c:pt idx="6">
                  <c:v>229667.3</c:v>
                </c:pt>
                <c:pt idx="7">
                  <c:v>470107.2</c:v>
                </c:pt>
                <c:pt idx="8">
                  <c:v>135960.20000000001</c:v>
                </c:pt>
                <c:pt idx="9">
                  <c:v>192610.4</c:v>
                </c:pt>
                <c:pt idx="10">
                  <c:v>165936.79999999999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95-42CF-BAEA-D0C532EA0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March - 3 April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March - 3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'28 March - 3 April 2022'!$B$5:$B$19</c:f>
              <c:numCache>
                <c:formatCode>#,##0.00</c:formatCode>
                <c:ptCount val="11"/>
                <c:pt idx="0">
                  <c:v>254872.5</c:v>
                </c:pt>
                <c:pt idx="1">
                  <c:v>261094.6</c:v>
                </c:pt>
                <c:pt idx="2">
                  <c:v>127181.74</c:v>
                </c:pt>
                <c:pt idx="3">
                  <c:v>148861.70000000001</c:v>
                </c:pt>
                <c:pt idx="4">
                  <c:v>226906.2</c:v>
                </c:pt>
                <c:pt idx="5">
                  <c:v>138286.29999999999</c:v>
                </c:pt>
                <c:pt idx="6">
                  <c:v>229667.3</c:v>
                </c:pt>
                <c:pt idx="7">
                  <c:v>470107.2</c:v>
                </c:pt>
                <c:pt idx="8">
                  <c:v>135960.20000000001</c:v>
                </c:pt>
                <c:pt idx="9">
                  <c:v>192610.4</c:v>
                </c:pt>
                <c:pt idx="10">
                  <c:v>165936.79999999999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F-41A8-997A-920EE3CDBB0A}"/>
            </c:ext>
          </c:extLst>
        </c:ser>
        <c:ser>
          <c:idx val="3"/>
          <c:order val="1"/>
          <c:tx>
            <c:strRef>
              <c:f>'28 March - 3 April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March - 3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'28 March - 3 April 2022'!$E$5:$E$19</c:f>
              <c:numCache>
                <c:formatCode>#,##0.00</c:formatCode>
                <c:ptCount val="11"/>
                <c:pt idx="0">
                  <c:v>270844.26</c:v>
                </c:pt>
                <c:pt idx="1">
                  <c:v>262784.09000000003</c:v>
                </c:pt>
                <c:pt idx="2">
                  <c:v>141938.34</c:v>
                </c:pt>
                <c:pt idx="3">
                  <c:v>165461.23000000001</c:v>
                </c:pt>
                <c:pt idx="4">
                  <c:v>257339.41</c:v>
                </c:pt>
                <c:pt idx="5">
                  <c:v>119135.14</c:v>
                </c:pt>
                <c:pt idx="6">
                  <c:v>243836.14</c:v>
                </c:pt>
                <c:pt idx="7">
                  <c:v>444323.67</c:v>
                </c:pt>
                <c:pt idx="8">
                  <c:v>144449.49</c:v>
                </c:pt>
                <c:pt idx="9">
                  <c:v>197350.93</c:v>
                </c:pt>
                <c:pt idx="10">
                  <c:v>171446.3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5F-41A8-997A-920EE3CDB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April - 10 April 2022 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April - 10 April 2022 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'4 April - 10 April 2022 '!$B$5:$B$19</c:f>
              <c:numCache>
                <c:formatCode>#,##0.00</c:formatCode>
                <c:ptCount val="11"/>
                <c:pt idx="0">
                  <c:v>270844.26</c:v>
                </c:pt>
                <c:pt idx="1">
                  <c:v>262784.09000000003</c:v>
                </c:pt>
                <c:pt idx="2">
                  <c:v>141938.34</c:v>
                </c:pt>
                <c:pt idx="3">
                  <c:v>165461.23000000001</c:v>
                </c:pt>
                <c:pt idx="4">
                  <c:v>257339.41</c:v>
                </c:pt>
                <c:pt idx="5">
                  <c:v>119135.14</c:v>
                </c:pt>
                <c:pt idx="6">
                  <c:v>243836.14</c:v>
                </c:pt>
                <c:pt idx="7">
                  <c:v>444323.67</c:v>
                </c:pt>
                <c:pt idx="8">
                  <c:v>144449.49</c:v>
                </c:pt>
                <c:pt idx="9">
                  <c:v>197350.93</c:v>
                </c:pt>
                <c:pt idx="10">
                  <c:v>171446.3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3-4C5B-B926-93D1F181C8AC}"/>
            </c:ext>
          </c:extLst>
        </c:ser>
        <c:ser>
          <c:idx val="3"/>
          <c:order val="1"/>
          <c:tx>
            <c:strRef>
              <c:f>'4 April - 10 April 2022 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April - 10 April 2022 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'4 April - 10 April 2022 '!$E$5:$E$19</c:f>
              <c:numCache>
                <c:formatCode>#,##0.00</c:formatCode>
                <c:ptCount val="11"/>
                <c:pt idx="0">
                  <c:v>200784.01</c:v>
                </c:pt>
                <c:pt idx="1">
                  <c:v>220316.34</c:v>
                </c:pt>
                <c:pt idx="2">
                  <c:v>110426.79</c:v>
                </c:pt>
                <c:pt idx="3">
                  <c:v>153079.94</c:v>
                </c:pt>
                <c:pt idx="4">
                  <c:v>209420.29</c:v>
                </c:pt>
                <c:pt idx="5">
                  <c:v>131821.94</c:v>
                </c:pt>
                <c:pt idx="6">
                  <c:v>204104.97</c:v>
                </c:pt>
                <c:pt idx="7">
                  <c:v>239272.61</c:v>
                </c:pt>
                <c:pt idx="8">
                  <c:v>113632.89</c:v>
                </c:pt>
                <c:pt idx="9">
                  <c:v>174425.79</c:v>
                </c:pt>
                <c:pt idx="10">
                  <c:v>144420.69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3-4C5B-B926-93D1F181C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April - 17 April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April - 17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'11 April - 17 April 2022'!$B$5:$B$19</c:f>
              <c:numCache>
                <c:formatCode>#,##0.00</c:formatCode>
                <c:ptCount val="11"/>
                <c:pt idx="0">
                  <c:v>200784.01</c:v>
                </c:pt>
                <c:pt idx="1">
                  <c:v>220316.34</c:v>
                </c:pt>
                <c:pt idx="2">
                  <c:v>110426.79</c:v>
                </c:pt>
                <c:pt idx="3">
                  <c:v>153079.94</c:v>
                </c:pt>
                <c:pt idx="4">
                  <c:v>209420.29</c:v>
                </c:pt>
                <c:pt idx="5">
                  <c:v>131821.94</c:v>
                </c:pt>
                <c:pt idx="6">
                  <c:v>204104.97</c:v>
                </c:pt>
                <c:pt idx="7">
                  <c:v>239272.61</c:v>
                </c:pt>
                <c:pt idx="8">
                  <c:v>113632.89</c:v>
                </c:pt>
                <c:pt idx="9">
                  <c:v>174425.79</c:v>
                </c:pt>
                <c:pt idx="10">
                  <c:v>144420.69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0-4821-AA3F-6CD6DD550A40}"/>
            </c:ext>
          </c:extLst>
        </c:ser>
        <c:ser>
          <c:idx val="3"/>
          <c:order val="1"/>
          <c:tx>
            <c:strRef>
              <c:f>'11 April - 17 April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April - 17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'11 April - 17 April 2022'!$E$5:$E$19</c:f>
              <c:numCache>
                <c:formatCode>#,##0.00</c:formatCode>
                <c:ptCount val="11"/>
                <c:pt idx="0">
                  <c:v>224068.72</c:v>
                </c:pt>
                <c:pt idx="1">
                  <c:v>217553.9</c:v>
                </c:pt>
                <c:pt idx="2">
                  <c:v>114307.8</c:v>
                </c:pt>
                <c:pt idx="3">
                  <c:v>127675.73</c:v>
                </c:pt>
                <c:pt idx="4">
                  <c:v>209516.9</c:v>
                </c:pt>
                <c:pt idx="5">
                  <c:v>116316.31</c:v>
                </c:pt>
                <c:pt idx="6">
                  <c:v>182058.69</c:v>
                </c:pt>
                <c:pt idx="7">
                  <c:v>335112.24</c:v>
                </c:pt>
                <c:pt idx="8">
                  <c:v>141328.62</c:v>
                </c:pt>
                <c:pt idx="9">
                  <c:v>168235.41</c:v>
                </c:pt>
                <c:pt idx="10">
                  <c:v>146890.01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0-4821-AA3F-6CD6DD55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April - 24 April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April - 24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'18 April - 24 April 2022'!$B$5:$B$19</c:f>
              <c:numCache>
                <c:formatCode>#,##0.00</c:formatCode>
                <c:ptCount val="11"/>
                <c:pt idx="0">
                  <c:v>224068.72</c:v>
                </c:pt>
                <c:pt idx="1">
                  <c:v>217553.9</c:v>
                </c:pt>
                <c:pt idx="2">
                  <c:v>114307.8</c:v>
                </c:pt>
                <c:pt idx="3">
                  <c:v>127675.73</c:v>
                </c:pt>
                <c:pt idx="4">
                  <c:v>209516.9</c:v>
                </c:pt>
                <c:pt idx="5">
                  <c:v>116316.31</c:v>
                </c:pt>
                <c:pt idx="6">
                  <c:v>182058.69</c:v>
                </c:pt>
                <c:pt idx="7">
                  <c:v>335112.24</c:v>
                </c:pt>
                <c:pt idx="8">
                  <c:v>141328.62</c:v>
                </c:pt>
                <c:pt idx="9">
                  <c:v>168235.41</c:v>
                </c:pt>
                <c:pt idx="10">
                  <c:v>146890.01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C-4FA4-BF78-5EB959FD01A7}"/>
            </c:ext>
          </c:extLst>
        </c:ser>
        <c:ser>
          <c:idx val="3"/>
          <c:order val="1"/>
          <c:tx>
            <c:strRef>
              <c:f>'18 April - 24 April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April - 24 April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'18 April - 24 April 2022'!$E$5:$E$19</c:f>
              <c:numCache>
                <c:formatCode>#,##0.00</c:formatCode>
                <c:ptCount val="11"/>
                <c:pt idx="0">
                  <c:v>232877.04</c:v>
                </c:pt>
                <c:pt idx="1">
                  <c:v>190088.51</c:v>
                </c:pt>
                <c:pt idx="2">
                  <c:v>129274.54</c:v>
                </c:pt>
                <c:pt idx="3">
                  <c:v>151703.32</c:v>
                </c:pt>
                <c:pt idx="4">
                  <c:v>227149.97</c:v>
                </c:pt>
                <c:pt idx="5">
                  <c:v>123322.3</c:v>
                </c:pt>
                <c:pt idx="6">
                  <c:v>220376.4</c:v>
                </c:pt>
                <c:pt idx="7">
                  <c:v>282976.74</c:v>
                </c:pt>
                <c:pt idx="8">
                  <c:v>133740.87</c:v>
                </c:pt>
                <c:pt idx="9">
                  <c:v>205771.42</c:v>
                </c:pt>
                <c:pt idx="10">
                  <c:v>157450.38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C-4FA4-BF78-5EB959FD0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April - 1 May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April - 1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'25 April - 1 May 2022'!$B$5:$B$19</c:f>
              <c:numCache>
                <c:formatCode>#,##0.00</c:formatCode>
                <c:ptCount val="11"/>
                <c:pt idx="0">
                  <c:v>232877.04</c:v>
                </c:pt>
                <c:pt idx="1">
                  <c:v>190088.51</c:v>
                </c:pt>
                <c:pt idx="2">
                  <c:v>129274.54</c:v>
                </c:pt>
                <c:pt idx="3">
                  <c:v>151703.32</c:v>
                </c:pt>
                <c:pt idx="4">
                  <c:v>227149.97</c:v>
                </c:pt>
                <c:pt idx="5">
                  <c:v>123322.3</c:v>
                </c:pt>
                <c:pt idx="6">
                  <c:v>220376.4</c:v>
                </c:pt>
                <c:pt idx="7">
                  <c:v>282976.74</c:v>
                </c:pt>
                <c:pt idx="8">
                  <c:v>133740.87</c:v>
                </c:pt>
                <c:pt idx="9">
                  <c:v>205771.42</c:v>
                </c:pt>
                <c:pt idx="10">
                  <c:v>157450.38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2-46B2-98FA-303D55AED684}"/>
            </c:ext>
          </c:extLst>
        </c:ser>
        <c:ser>
          <c:idx val="3"/>
          <c:order val="1"/>
          <c:tx>
            <c:strRef>
              <c:f>'25 April - 1 May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April - 1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Paulshof</c:v>
                </c:pt>
                <c:pt idx="10">
                  <c:v>Queenswood</c:v>
                </c:pt>
              </c:strCache>
            </c:strRef>
          </c:cat>
          <c:val>
            <c:numRef>
              <c:f>'25 April - 1 May 2022'!$E$5:$E$19</c:f>
              <c:numCache>
                <c:formatCode>#,##0.00</c:formatCode>
                <c:ptCount val="11"/>
                <c:pt idx="0">
                  <c:v>272852.78999999998</c:v>
                </c:pt>
                <c:pt idx="1">
                  <c:v>271344.55</c:v>
                </c:pt>
                <c:pt idx="2">
                  <c:v>131075.06</c:v>
                </c:pt>
                <c:pt idx="3">
                  <c:v>170567.98</c:v>
                </c:pt>
                <c:pt idx="4">
                  <c:v>250178.98</c:v>
                </c:pt>
                <c:pt idx="5">
                  <c:v>131218.39000000001</c:v>
                </c:pt>
                <c:pt idx="6">
                  <c:v>249265.48</c:v>
                </c:pt>
                <c:pt idx="7">
                  <c:v>304217.65000000002</c:v>
                </c:pt>
                <c:pt idx="8">
                  <c:v>141716.53</c:v>
                </c:pt>
                <c:pt idx="9">
                  <c:v>194877.73</c:v>
                </c:pt>
                <c:pt idx="10">
                  <c:v>172711.42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2-46B2-98FA-303D55AED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 May - 8 May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 May - 8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 May - 8 May 2022'!$B$5:$B$19</c:f>
              <c:numCache>
                <c:formatCode>#,##0.00</c:formatCode>
                <c:ptCount val="11"/>
                <c:pt idx="0">
                  <c:v>272852.78999999998</c:v>
                </c:pt>
                <c:pt idx="1">
                  <c:v>271344.55</c:v>
                </c:pt>
                <c:pt idx="2">
                  <c:v>131075.06</c:v>
                </c:pt>
                <c:pt idx="3">
                  <c:v>170567.98</c:v>
                </c:pt>
                <c:pt idx="4">
                  <c:v>250178.98</c:v>
                </c:pt>
                <c:pt idx="5">
                  <c:v>131218.39000000001</c:v>
                </c:pt>
                <c:pt idx="6">
                  <c:v>249265.48</c:v>
                </c:pt>
                <c:pt idx="7">
                  <c:v>304217.65000000002</c:v>
                </c:pt>
                <c:pt idx="8">
                  <c:v>141716.53</c:v>
                </c:pt>
                <c:pt idx="9">
                  <c:v>194877.73</c:v>
                </c:pt>
                <c:pt idx="10">
                  <c:v>172711.42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D-464D-A7C7-BF8D490B328E}"/>
            </c:ext>
          </c:extLst>
        </c:ser>
        <c:ser>
          <c:idx val="3"/>
          <c:order val="1"/>
          <c:tx>
            <c:strRef>
              <c:f>'2 May - 8 May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 May - 8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 May - 8 May 2022'!$E$5:$E$19</c:f>
              <c:numCache>
                <c:formatCode>#,##0.00</c:formatCode>
                <c:ptCount val="11"/>
                <c:pt idx="0">
                  <c:v>273957.15999999997</c:v>
                </c:pt>
                <c:pt idx="1">
                  <c:v>263550.87</c:v>
                </c:pt>
                <c:pt idx="2">
                  <c:v>137319.82</c:v>
                </c:pt>
                <c:pt idx="3">
                  <c:v>186729.06</c:v>
                </c:pt>
                <c:pt idx="4">
                  <c:v>251631.67</c:v>
                </c:pt>
                <c:pt idx="5">
                  <c:v>141874.21</c:v>
                </c:pt>
                <c:pt idx="6">
                  <c:v>220292.82</c:v>
                </c:pt>
                <c:pt idx="7">
                  <c:v>229606.86</c:v>
                </c:pt>
                <c:pt idx="8">
                  <c:v>163958.01999999999</c:v>
                </c:pt>
                <c:pt idx="9">
                  <c:v>202700.94</c:v>
                </c:pt>
                <c:pt idx="10">
                  <c:v>196802.72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D-464D-A7C7-BF8D490B3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'9 May - 15 May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'9 May - 15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'9 May - 15 May 2022'!$B$5:$B$19</c:f>
              <c:numCache>
                <c:formatCode>#,##0.00</c:formatCode>
                <c:ptCount val="11"/>
                <c:pt idx="0">
                  <c:v>273957.15999999997</c:v>
                </c:pt>
                <c:pt idx="1">
                  <c:v>263550.87</c:v>
                </c:pt>
                <c:pt idx="2">
                  <c:v>137319.82</c:v>
                </c:pt>
                <c:pt idx="3">
                  <c:v>186729.06</c:v>
                </c:pt>
                <c:pt idx="4">
                  <c:v>251631.67</c:v>
                </c:pt>
                <c:pt idx="5">
                  <c:v>141874.21</c:v>
                </c:pt>
                <c:pt idx="6">
                  <c:v>220292.82</c:v>
                </c:pt>
                <c:pt idx="7">
                  <c:v>229606.86</c:v>
                </c:pt>
                <c:pt idx="8">
                  <c:v>163958.01999999999</c:v>
                </c:pt>
                <c:pt idx="9">
                  <c:v>202700.94</c:v>
                </c:pt>
                <c:pt idx="10">
                  <c:v>196802.72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D-4EFD-ABE3-43C239AAC3BC}"/>
            </c:ext>
          </c:extLst>
        </c:ser>
        <c:ser>
          <c:idx val="3"/>
          <c:order val="1"/>
          <c:tx>
            <c:strRef>
              <c:f>'9 May - 15 May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'9 May - 15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'9 May - 15 May 2022'!$E$5:$E$19</c:f>
              <c:numCache>
                <c:formatCode>#,##0.00</c:formatCode>
                <c:ptCount val="11"/>
                <c:pt idx="0">
                  <c:v>234970.62</c:v>
                </c:pt>
                <c:pt idx="1">
                  <c:v>214788.28</c:v>
                </c:pt>
                <c:pt idx="2">
                  <c:v>117099.82</c:v>
                </c:pt>
                <c:pt idx="3">
                  <c:v>165338.07</c:v>
                </c:pt>
                <c:pt idx="4">
                  <c:v>226756.37</c:v>
                </c:pt>
                <c:pt idx="5">
                  <c:v>118733.3</c:v>
                </c:pt>
                <c:pt idx="6">
                  <c:v>208872.71</c:v>
                </c:pt>
                <c:pt idx="7">
                  <c:v>189611.28</c:v>
                </c:pt>
                <c:pt idx="8">
                  <c:v>133107.01999999999</c:v>
                </c:pt>
                <c:pt idx="9">
                  <c:v>173899.05</c:v>
                </c:pt>
                <c:pt idx="10">
                  <c:v>138368.63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D-4EFD-ABE3-43C239AA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May - 22 May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May - 22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'16 May - 22 May 2022'!$B$5:$B$19</c:f>
              <c:numCache>
                <c:formatCode>#,##0.00</c:formatCode>
                <c:ptCount val="11"/>
                <c:pt idx="0">
                  <c:v>234970.62</c:v>
                </c:pt>
                <c:pt idx="1">
                  <c:v>214788.28</c:v>
                </c:pt>
                <c:pt idx="2">
                  <c:v>117099.82</c:v>
                </c:pt>
                <c:pt idx="3">
                  <c:v>165338.07</c:v>
                </c:pt>
                <c:pt idx="4">
                  <c:v>226756.37</c:v>
                </c:pt>
                <c:pt idx="5">
                  <c:v>118733.3</c:v>
                </c:pt>
                <c:pt idx="6">
                  <c:v>208872.71</c:v>
                </c:pt>
                <c:pt idx="7">
                  <c:v>189611.28</c:v>
                </c:pt>
                <c:pt idx="8">
                  <c:v>133107.01999999999</c:v>
                </c:pt>
                <c:pt idx="9">
                  <c:v>173899.05</c:v>
                </c:pt>
                <c:pt idx="10">
                  <c:v>138368.63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9-4A13-BD4F-8A59164562D3}"/>
            </c:ext>
          </c:extLst>
        </c:ser>
        <c:ser>
          <c:idx val="3"/>
          <c:order val="1"/>
          <c:tx>
            <c:strRef>
              <c:f>'16 May - 22 May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May - 22 May 2022'!$A$5:$A$19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'16 May - 22 May 2022'!$E$5:$E$19</c:f>
              <c:numCache>
                <c:formatCode>#,##0.00</c:formatCode>
                <c:ptCount val="11"/>
                <c:pt idx="0">
                  <c:v>215349.4</c:v>
                </c:pt>
                <c:pt idx="1">
                  <c:v>196341.91</c:v>
                </c:pt>
                <c:pt idx="2">
                  <c:v>108311.73</c:v>
                </c:pt>
                <c:pt idx="3">
                  <c:v>173410.07</c:v>
                </c:pt>
                <c:pt idx="4">
                  <c:v>226149.13</c:v>
                </c:pt>
                <c:pt idx="5">
                  <c:v>136993</c:v>
                </c:pt>
                <c:pt idx="6">
                  <c:v>207602.03</c:v>
                </c:pt>
                <c:pt idx="7">
                  <c:v>177237.64</c:v>
                </c:pt>
                <c:pt idx="8">
                  <c:v>136813.79</c:v>
                </c:pt>
                <c:pt idx="9">
                  <c:v>163417.19</c:v>
                </c:pt>
                <c:pt idx="10">
                  <c:v>142536.71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9-4A13-BD4F-8A5916456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May - 29 May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May - 29 May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'23 May - 29 May 2022'!$B$5:$B$15</c:f>
              <c:numCache>
                <c:formatCode>#,##0.00</c:formatCode>
                <c:ptCount val="11"/>
                <c:pt idx="0">
                  <c:v>215349.4</c:v>
                </c:pt>
                <c:pt idx="1">
                  <c:v>196341.91</c:v>
                </c:pt>
                <c:pt idx="2">
                  <c:v>108311.73</c:v>
                </c:pt>
                <c:pt idx="3">
                  <c:v>173410.07</c:v>
                </c:pt>
                <c:pt idx="4">
                  <c:v>226149.13</c:v>
                </c:pt>
                <c:pt idx="5">
                  <c:v>136993</c:v>
                </c:pt>
                <c:pt idx="6">
                  <c:v>207602.03</c:v>
                </c:pt>
                <c:pt idx="7">
                  <c:v>177237.64</c:v>
                </c:pt>
                <c:pt idx="8">
                  <c:v>136813.79</c:v>
                </c:pt>
                <c:pt idx="9">
                  <c:v>163417.19</c:v>
                </c:pt>
                <c:pt idx="10">
                  <c:v>142536.71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0C-46C3-BFBC-5DAE8FF27A2C}"/>
            </c:ext>
          </c:extLst>
        </c:ser>
        <c:ser>
          <c:idx val="3"/>
          <c:order val="1"/>
          <c:tx>
            <c:strRef>
              <c:f>'23 May - 29 May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May - 29 May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'23 May - 29 May 2022'!$E$5:$E$15</c:f>
              <c:numCache>
                <c:formatCode>#,##0.00</c:formatCode>
                <c:ptCount val="11"/>
                <c:pt idx="0">
                  <c:v>255083.6</c:v>
                </c:pt>
                <c:pt idx="1">
                  <c:v>280559.7</c:v>
                </c:pt>
                <c:pt idx="2">
                  <c:v>142495.70000000001</c:v>
                </c:pt>
                <c:pt idx="3">
                  <c:v>168921.1</c:v>
                </c:pt>
                <c:pt idx="4">
                  <c:v>227402.9</c:v>
                </c:pt>
                <c:pt idx="5">
                  <c:v>120419.2</c:v>
                </c:pt>
                <c:pt idx="6">
                  <c:v>240192.1</c:v>
                </c:pt>
                <c:pt idx="7">
                  <c:v>189110.9</c:v>
                </c:pt>
                <c:pt idx="8">
                  <c:v>146091</c:v>
                </c:pt>
                <c:pt idx="9">
                  <c:v>204056.9</c:v>
                </c:pt>
                <c:pt idx="10">
                  <c:v>172188.5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0C-46C3-BFBC-5DAE8FF27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May - 5 June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May - 5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'30 May - 5 June 2022'!$B$5:$B$15</c:f>
              <c:numCache>
                <c:formatCode>#,##0.00</c:formatCode>
                <c:ptCount val="11"/>
                <c:pt idx="0">
                  <c:v>255083.6</c:v>
                </c:pt>
                <c:pt idx="1">
                  <c:v>280559.7</c:v>
                </c:pt>
                <c:pt idx="2">
                  <c:v>142495.70000000001</c:v>
                </c:pt>
                <c:pt idx="3">
                  <c:v>168921.1</c:v>
                </c:pt>
                <c:pt idx="4">
                  <c:v>227402.9</c:v>
                </c:pt>
                <c:pt idx="5">
                  <c:v>120419.2</c:v>
                </c:pt>
                <c:pt idx="6">
                  <c:v>240192.1</c:v>
                </c:pt>
                <c:pt idx="7">
                  <c:v>189110.9</c:v>
                </c:pt>
                <c:pt idx="8">
                  <c:v>146091</c:v>
                </c:pt>
                <c:pt idx="9">
                  <c:v>204056.9</c:v>
                </c:pt>
                <c:pt idx="10">
                  <c:v>172188.5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AF2-B914-299D1A2CFD8D}"/>
            </c:ext>
          </c:extLst>
        </c:ser>
        <c:ser>
          <c:idx val="3"/>
          <c:order val="1"/>
          <c:tx>
            <c:strRef>
              <c:f>'30 May - 5 June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May - 5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'30 May - 5 June 2022'!$E$5:$E$15</c:f>
              <c:numCache>
                <c:formatCode>#,##0.00</c:formatCode>
                <c:ptCount val="11"/>
                <c:pt idx="0">
                  <c:v>251460.54</c:v>
                </c:pt>
                <c:pt idx="1">
                  <c:v>239082.84</c:v>
                </c:pt>
                <c:pt idx="2">
                  <c:v>149569.37</c:v>
                </c:pt>
                <c:pt idx="3">
                  <c:v>158760.85999999999</c:v>
                </c:pt>
                <c:pt idx="4">
                  <c:v>231306.95</c:v>
                </c:pt>
                <c:pt idx="5">
                  <c:v>114469.5</c:v>
                </c:pt>
                <c:pt idx="6">
                  <c:v>219193.09</c:v>
                </c:pt>
                <c:pt idx="7">
                  <c:v>179551.44</c:v>
                </c:pt>
                <c:pt idx="8">
                  <c:v>116941.95</c:v>
                </c:pt>
                <c:pt idx="9">
                  <c:v>185670.54</c:v>
                </c:pt>
                <c:pt idx="10">
                  <c:v>150423.43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AF2-B914-299D1A2CF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June - 12 June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June - 12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'6 June - 12 June 2022'!$B$5:$B$15</c:f>
              <c:numCache>
                <c:formatCode>#,##0.00</c:formatCode>
                <c:ptCount val="11"/>
                <c:pt idx="0">
                  <c:v>251460.54</c:v>
                </c:pt>
                <c:pt idx="1">
                  <c:v>239082.84</c:v>
                </c:pt>
                <c:pt idx="2">
                  <c:v>149569.37</c:v>
                </c:pt>
                <c:pt idx="3">
                  <c:v>158760.85999999999</c:v>
                </c:pt>
                <c:pt idx="4">
                  <c:v>231306.95</c:v>
                </c:pt>
                <c:pt idx="5">
                  <c:v>114469.5</c:v>
                </c:pt>
                <c:pt idx="6">
                  <c:v>219193.09</c:v>
                </c:pt>
                <c:pt idx="7">
                  <c:v>179551.44</c:v>
                </c:pt>
                <c:pt idx="8">
                  <c:v>116941.95</c:v>
                </c:pt>
                <c:pt idx="9">
                  <c:v>185670.54</c:v>
                </c:pt>
                <c:pt idx="10">
                  <c:v>150423.43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1-406D-8951-35EE47E3D84E}"/>
            </c:ext>
          </c:extLst>
        </c:ser>
        <c:ser>
          <c:idx val="3"/>
          <c:order val="1"/>
          <c:tx>
            <c:strRef>
              <c:f>'6 June - 12 June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June - 12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'6 June - 12 June 2022'!$E$5:$E$15</c:f>
              <c:numCache>
                <c:formatCode>#,##0.00</c:formatCode>
                <c:ptCount val="11"/>
                <c:pt idx="0">
                  <c:v>235189.99</c:v>
                </c:pt>
                <c:pt idx="1">
                  <c:v>187075.01</c:v>
                </c:pt>
                <c:pt idx="2">
                  <c:v>124465.16</c:v>
                </c:pt>
                <c:pt idx="3">
                  <c:v>135600.74</c:v>
                </c:pt>
                <c:pt idx="4">
                  <c:v>171418.89</c:v>
                </c:pt>
                <c:pt idx="5">
                  <c:v>120010.86</c:v>
                </c:pt>
                <c:pt idx="6">
                  <c:v>166400</c:v>
                </c:pt>
                <c:pt idx="7">
                  <c:v>184907.55</c:v>
                </c:pt>
                <c:pt idx="8">
                  <c:v>114619.6</c:v>
                </c:pt>
                <c:pt idx="9">
                  <c:v>152915.98000000001</c:v>
                </c:pt>
                <c:pt idx="10">
                  <c:v>132954.25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1-406D-8951-35EE47E3D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June - 19 June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June - 19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'13 June - 19 June 2022'!$B$5:$B$15</c:f>
              <c:numCache>
                <c:formatCode>#,##0.00</c:formatCode>
                <c:ptCount val="11"/>
                <c:pt idx="0">
                  <c:v>235189.99</c:v>
                </c:pt>
                <c:pt idx="1">
                  <c:v>187075.01</c:v>
                </c:pt>
                <c:pt idx="2">
                  <c:v>124465.16</c:v>
                </c:pt>
                <c:pt idx="3">
                  <c:v>135600.74</c:v>
                </c:pt>
                <c:pt idx="4">
                  <c:v>171418.89</c:v>
                </c:pt>
                <c:pt idx="5">
                  <c:v>120010.86</c:v>
                </c:pt>
                <c:pt idx="6">
                  <c:v>166400</c:v>
                </c:pt>
                <c:pt idx="7">
                  <c:v>184907.55</c:v>
                </c:pt>
                <c:pt idx="8">
                  <c:v>114619.6</c:v>
                </c:pt>
                <c:pt idx="9">
                  <c:v>152915.98000000001</c:v>
                </c:pt>
                <c:pt idx="10">
                  <c:v>132954.25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9-4E5C-9664-25A5FAF13754}"/>
            </c:ext>
          </c:extLst>
        </c:ser>
        <c:ser>
          <c:idx val="3"/>
          <c:order val="1"/>
          <c:tx>
            <c:strRef>
              <c:f>'13 June - 19 June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June - 19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'13 June - 19 June 2022'!$E$5:$E$15</c:f>
              <c:numCache>
                <c:formatCode>#,##0.00</c:formatCode>
                <c:ptCount val="11"/>
                <c:pt idx="0">
                  <c:v>279205.43</c:v>
                </c:pt>
                <c:pt idx="1">
                  <c:v>221679.83</c:v>
                </c:pt>
                <c:pt idx="2">
                  <c:v>113165.51</c:v>
                </c:pt>
                <c:pt idx="3">
                  <c:v>146503.88</c:v>
                </c:pt>
                <c:pt idx="4">
                  <c:v>228284.19</c:v>
                </c:pt>
                <c:pt idx="5">
                  <c:v>103901.14</c:v>
                </c:pt>
                <c:pt idx="6">
                  <c:v>204276.87</c:v>
                </c:pt>
                <c:pt idx="7">
                  <c:v>216553.12</c:v>
                </c:pt>
                <c:pt idx="8">
                  <c:v>128209.03</c:v>
                </c:pt>
                <c:pt idx="9">
                  <c:v>168308.93</c:v>
                </c:pt>
                <c:pt idx="10">
                  <c:v>146831.6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9-4E5C-9664-25A5FAF13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June - 26 June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June - 26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'20 June - 26 June 2022'!$B$5:$B$15</c:f>
              <c:numCache>
                <c:formatCode>#,##0.00</c:formatCode>
                <c:ptCount val="11"/>
                <c:pt idx="0">
                  <c:v>279205.43</c:v>
                </c:pt>
                <c:pt idx="1">
                  <c:v>221679.83</c:v>
                </c:pt>
                <c:pt idx="2">
                  <c:v>113165.51</c:v>
                </c:pt>
                <c:pt idx="3">
                  <c:v>146503.88</c:v>
                </c:pt>
                <c:pt idx="4">
                  <c:v>228284.19</c:v>
                </c:pt>
                <c:pt idx="5">
                  <c:v>103901.14</c:v>
                </c:pt>
                <c:pt idx="6">
                  <c:v>204276.87</c:v>
                </c:pt>
                <c:pt idx="7">
                  <c:v>216553.12</c:v>
                </c:pt>
                <c:pt idx="8">
                  <c:v>128209.03</c:v>
                </c:pt>
                <c:pt idx="9">
                  <c:v>168308.93</c:v>
                </c:pt>
                <c:pt idx="10">
                  <c:v>146831.6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3-48EF-96CA-869164D683A0}"/>
            </c:ext>
          </c:extLst>
        </c:ser>
        <c:ser>
          <c:idx val="3"/>
          <c:order val="1"/>
          <c:tx>
            <c:strRef>
              <c:f>'20 June - 26 June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June - 26 June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'20 June - 26 June 2022'!$E$5:$E$15</c:f>
              <c:numCache>
                <c:formatCode>#,##0.00</c:formatCode>
                <c:ptCount val="11"/>
                <c:pt idx="0">
                  <c:v>191035.01</c:v>
                </c:pt>
                <c:pt idx="1">
                  <c:v>210378.92</c:v>
                </c:pt>
                <c:pt idx="2">
                  <c:v>133572.35</c:v>
                </c:pt>
                <c:pt idx="3">
                  <c:v>179262.21</c:v>
                </c:pt>
                <c:pt idx="4">
                  <c:v>216386.55</c:v>
                </c:pt>
                <c:pt idx="5">
                  <c:v>140792.72</c:v>
                </c:pt>
                <c:pt idx="6">
                  <c:v>183536.57</c:v>
                </c:pt>
                <c:pt idx="7">
                  <c:v>201252.54</c:v>
                </c:pt>
                <c:pt idx="8">
                  <c:v>131200.66</c:v>
                </c:pt>
                <c:pt idx="9">
                  <c:v>172648.67</c:v>
                </c:pt>
                <c:pt idx="10">
                  <c:v>131952.48000000001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3-48EF-96CA-869164D68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June - 3 July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June - 3 July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'27 June - 3 July 2022'!$B$5:$B$15</c:f>
              <c:numCache>
                <c:formatCode>#,##0.00</c:formatCode>
                <c:ptCount val="11"/>
                <c:pt idx="0">
                  <c:v>191035.01</c:v>
                </c:pt>
                <c:pt idx="1">
                  <c:v>210378.92</c:v>
                </c:pt>
                <c:pt idx="2">
                  <c:v>133572.35</c:v>
                </c:pt>
                <c:pt idx="3">
                  <c:v>179262.21</c:v>
                </c:pt>
                <c:pt idx="4">
                  <c:v>216386.55</c:v>
                </c:pt>
                <c:pt idx="5">
                  <c:v>140792.72</c:v>
                </c:pt>
                <c:pt idx="6">
                  <c:v>183536.57</c:v>
                </c:pt>
                <c:pt idx="7">
                  <c:v>201252.54</c:v>
                </c:pt>
                <c:pt idx="8">
                  <c:v>131200.66</c:v>
                </c:pt>
                <c:pt idx="9">
                  <c:v>172648.67</c:v>
                </c:pt>
                <c:pt idx="10">
                  <c:v>131952.48000000001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B-42C0-9945-E778AAB2BE92}"/>
            </c:ext>
          </c:extLst>
        </c:ser>
        <c:ser>
          <c:idx val="3"/>
          <c:order val="1"/>
          <c:tx>
            <c:strRef>
              <c:f>'27 June - 3 July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June - 3 July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'27 June - 3 July 2022'!$E$5:$E$15</c:f>
              <c:numCache>
                <c:formatCode>#,##0.00</c:formatCode>
                <c:ptCount val="11"/>
                <c:pt idx="0">
                  <c:v>268572.24</c:v>
                </c:pt>
                <c:pt idx="1">
                  <c:v>321979.3</c:v>
                </c:pt>
                <c:pt idx="2">
                  <c:v>150343.1</c:v>
                </c:pt>
                <c:pt idx="3">
                  <c:v>177308.39</c:v>
                </c:pt>
                <c:pt idx="4">
                  <c:v>244557.62</c:v>
                </c:pt>
                <c:pt idx="5">
                  <c:v>141566.34</c:v>
                </c:pt>
                <c:pt idx="6">
                  <c:v>237796.93</c:v>
                </c:pt>
                <c:pt idx="7">
                  <c:v>301643.55</c:v>
                </c:pt>
                <c:pt idx="8">
                  <c:v>190587.81</c:v>
                </c:pt>
                <c:pt idx="9">
                  <c:v>219752.94</c:v>
                </c:pt>
                <c:pt idx="10">
                  <c:v>174446.42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B-42C0-9945-E778AAB2B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'4 July - 10 July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'4 July - 10 July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'4 July - 10 July 2022'!$B$5:$B$15</c:f>
              <c:numCache>
                <c:formatCode>#,##0.00</c:formatCode>
                <c:ptCount val="11"/>
                <c:pt idx="0">
                  <c:v>268572.24</c:v>
                </c:pt>
                <c:pt idx="1">
                  <c:v>321979.3</c:v>
                </c:pt>
                <c:pt idx="2">
                  <c:v>150343.1</c:v>
                </c:pt>
                <c:pt idx="3">
                  <c:v>177308.39</c:v>
                </c:pt>
                <c:pt idx="4">
                  <c:v>244557.62</c:v>
                </c:pt>
                <c:pt idx="5">
                  <c:v>141566.34</c:v>
                </c:pt>
                <c:pt idx="6">
                  <c:v>237796.93</c:v>
                </c:pt>
                <c:pt idx="7">
                  <c:v>301643.55</c:v>
                </c:pt>
                <c:pt idx="8">
                  <c:v>190587.81</c:v>
                </c:pt>
                <c:pt idx="9">
                  <c:v>219752.94</c:v>
                </c:pt>
                <c:pt idx="10">
                  <c:v>174446.42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1-4BCE-B0E4-28413BE55733}"/>
            </c:ext>
          </c:extLst>
        </c:ser>
        <c:ser>
          <c:idx val="3"/>
          <c:order val="1"/>
          <c:tx>
            <c:strRef>
              <c:f>'4 July - 10 July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'4 July - 10 July 2022'!$A$5:$A$15</c:f>
              <c:strCache>
                <c:ptCount val="11"/>
                <c:pt idx="0">
                  <c:v>Irene Village</c:v>
                </c:pt>
                <c:pt idx="1">
                  <c:v>Melrose Arch</c:v>
                </c:pt>
                <c:pt idx="2">
                  <c:v>Melville</c:v>
                </c:pt>
                <c:pt idx="3">
                  <c:v>Waterkloof </c:v>
                </c:pt>
                <c:pt idx="4">
                  <c:v>Eagles Landing</c:v>
                </c:pt>
                <c:pt idx="5">
                  <c:v>Stellenbosch</c:v>
                </c:pt>
                <c:pt idx="6">
                  <c:v>Lynnwood</c:v>
                </c:pt>
                <c:pt idx="7">
                  <c:v>Hartenbos</c:v>
                </c:pt>
                <c:pt idx="8">
                  <c:v>Kyalami Corner</c:v>
                </c:pt>
                <c:pt idx="9">
                  <c:v>Cambridge Crossing</c:v>
                </c:pt>
                <c:pt idx="10">
                  <c:v>Queenswood</c:v>
                </c:pt>
              </c:strCache>
            </c:strRef>
          </c:cat>
          <c:val>
            <c:numRef>
              <c:f>'4 July - 10 July 2022'!$E$5:$E$15</c:f>
              <c:numCache>
                <c:formatCode>#,##0.00</c:formatCode>
                <c:ptCount val="11"/>
                <c:pt idx="0">
                  <c:v>233049.25</c:v>
                </c:pt>
                <c:pt idx="1">
                  <c:v>252570.75</c:v>
                </c:pt>
                <c:pt idx="2">
                  <c:v>126008.3</c:v>
                </c:pt>
                <c:pt idx="3">
                  <c:v>142436.23000000001</c:v>
                </c:pt>
                <c:pt idx="4">
                  <c:v>244802.01</c:v>
                </c:pt>
                <c:pt idx="5">
                  <c:v>128388.49</c:v>
                </c:pt>
                <c:pt idx="6">
                  <c:v>189648.62</c:v>
                </c:pt>
                <c:pt idx="7">
                  <c:v>313858.58</c:v>
                </c:pt>
                <c:pt idx="8">
                  <c:v>151762.26999999999</c:v>
                </c:pt>
                <c:pt idx="9">
                  <c:v>168612.7</c:v>
                </c:pt>
                <c:pt idx="10">
                  <c:v>132954.17000000001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1-4BCE-B0E4-28413BE55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'11 July - 17 July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'11 July - 17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'11 July - 17 July 2022'!$B$5:$B$15</c:f>
              <c:numCache>
                <c:formatCode>#,##0.00</c:formatCode>
                <c:ptCount val="11"/>
                <c:pt idx="0">
                  <c:v>313858.58</c:v>
                </c:pt>
                <c:pt idx="1">
                  <c:v>244802.01</c:v>
                </c:pt>
                <c:pt idx="2">
                  <c:v>233049.25</c:v>
                </c:pt>
                <c:pt idx="3">
                  <c:v>151762.26999999999</c:v>
                </c:pt>
                <c:pt idx="4">
                  <c:v>189648.62</c:v>
                </c:pt>
                <c:pt idx="5">
                  <c:v>252570.75</c:v>
                </c:pt>
                <c:pt idx="6">
                  <c:v>126008.3</c:v>
                </c:pt>
                <c:pt idx="7">
                  <c:v>168612.7</c:v>
                </c:pt>
                <c:pt idx="8">
                  <c:v>132954.17000000001</c:v>
                </c:pt>
                <c:pt idx="9">
                  <c:v>142436.23000000001</c:v>
                </c:pt>
                <c:pt idx="10">
                  <c:v>128388.49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C-44A3-9264-50E00DCE342A}"/>
            </c:ext>
          </c:extLst>
        </c:ser>
        <c:ser>
          <c:idx val="3"/>
          <c:order val="1"/>
          <c:tx>
            <c:strRef>
              <c:f>'11 July - 17 July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'11 July - 17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'11 July - 17 July 2022'!$E$5:$E$15</c:f>
              <c:numCache>
                <c:formatCode>#,##0.00</c:formatCode>
                <c:ptCount val="11"/>
                <c:pt idx="0">
                  <c:v>308387.34000000003</c:v>
                </c:pt>
                <c:pt idx="1">
                  <c:v>218341.36</c:v>
                </c:pt>
                <c:pt idx="2">
                  <c:v>229431.22</c:v>
                </c:pt>
                <c:pt idx="3">
                  <c:v>145598.56</c:v>
                </c:pt>
                <c:pt idx="4">
                  <c:v>214919.99</c:v>
                </c:pt>
                <c:pt idx="5">
                  <c:v>270660.21999999997</c:v>
                </c:pt>
                <c:pt idx="6">
                  <c:v>132052.69</c:v>
                </c:pt>
                <c:pt idx="7">
                  <c:v>192667.35</c:v>
                </c:pt>
                <c:pt idx="8">
                  <c:v>155494.29999999999</c:v>
                </c:pt>
                <c:pt idx="9">
                  <c:v>140253.71</c:v>
                </c:pt>
                <c:pt idx="10">
                  <c:v>129577.45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AC-44A3-9264-50E00DCE3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'18 July - 24 July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'18 July - 24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'18 July - 24 July 2022'!$B$5:$B$15</c:f>
              <c:numCache>
                <c:formatCode>#,##0.00</c:formatCode>
                <c:ptCount val="11"/>
                <c:pt idx="0">
                  <c:v>308387.34000000003</c:v>
                </c:pt>
                <c:pt idx="1">
                  <c:v>218341.36</c:v>
                </c:pt>
                <c:pt idx="2">
                  <c:v>229431.22</c:v>
                </c:pt>
                <c:pt idx="3">
                  <c:v>145598.56</c:v>
                </c:pt>
                <c:pt idx="4">
                  <c:v>214919.99</c:v>
                </c:pt>
                <c:pt idx="5">
                  <c:v>270660.21999999997</c:v>
                </c:pt>
                <c:pt idx="6">
                  <c:v>126008.3</c:v>
                </c:pt>
                <c:pt idx="7">
                  <c:v>192667.35</c:v>
                </c:pt>
                <c:pt idx="8">
                  <c:v>155494.29999999999</c:v>
                </c:pt>
                <c:pt idx="9">
                  <c:v>140253.71</c:v>
                </c:pt>
                <c:pt idx="10">
                  <c:v>129577.45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D-44B7-918D-F604C1495CA5}"/>
            </c:ext>
          </c:extLst>
        </c:ser>
        <c:ser>
          <c:idx val="3"/>
          <c:order val="1"/>
          <c:tx>
            <c:strRef>
              <c:f>'18 July - 24 July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'18 July - 24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'18 July - 24 July 2022'!$E$5:$E$15</c:f>
              <c:numCache>
                <c:formatCode>#,##0.00</c:formatCode>
                <c:ptCount val="11"/>
                <c:pt idx="0">
                  <c:v>233558.86</c:v>
                </c:pt>
                <c:pt idx="1">
                  <c:v>240257.2</c:v>
                </c:pt>
                <c:pt idx="2">
                  <c:v>262360.31</c:v>
                </c:pt>
                <c:pt idx="3">
                  <c:v>151370.57999999999</c:v>
                </c:pt>
                <c:pt idx="4">
                  <c:v>193389.34</c:v>
                </c:pt>
                <c:pt idx="5">
                  <c:v>288431.05</c:v>
                </c:pt>
                <c:pt idx="6">
                  <c:v>0</c:v>
                </c:pt>
                <c:pt idx="7">
                  <c:v>171116.79</c:v>
                </c:pt>
                <c:pt idx="8">
                  <c:v>155532.37</c:v>
                </c:pt>
                <c:pt idx="9">
                  <c:v>157170.6</c:v>
                </c:pt>
                <c:pt idx="10">
                  <c:v>111700.34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2D-44B7-918D-F604C1495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'25 July - 31 July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'25 July - 31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'25 July - 31 July 2022'!$B$5:$B$15</c:f>
              <c:numCache>
                <c:formatCode>#,##0.00</c:formatCode>
                <c:ptCount val="11"/>
                <c:pt idx="0">
                  <c:v>233558.86</c:v>
                </c:pt>
                <c:pt idx="1">
                  <c:v>240257.2</c:v>
                </c:pt>
                <c:pt idx="2">
                  <c:v>262360.31</c:v>
                </c:pt>
                <c:pt idx="3">
                  <c:v>151370.57999999999</c:v>
                </c:pt>
                <c:pt idx="4">
                  <c:v>193389.34</c:v>
                </c:pt>
                <c:pt idx="5">
                  <c:v>288431.05</c:v>
                </c:pt>
                <c:pt idx="6">
                  <c:v>0</c:v>
                </c:pt>
                <c:pt idx="7">
                  <c:v>171116.79</c:v>
                </c:pt>
                <c:pt idx="8">
                  <c:v>155532.37</c:v>
                </c:pt>
                <c:pt idx="9">
                  <c:v>157170.6</c:v>
                </c:pt>
                <c:pt idx="10">
                  <c:v>111700.34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6-481A-B004-39CB5AFB43C4}"/>
            </c:ext>
          </c:extLst>
        </c:ser>
        <c:ser>
          <c:idx val="3"/>
          <c:order val="1"/>
          <c:tx>
            <c:strRef>
              <c:f>'25 July - 31 July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'25 July - 31 July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'25 July - 31 July 2022'!$E$5:$E$15</c:f>
              <c:numCache>
                <c:formatCode>#,##0.00</c:formatCode>
                <c:ptCount val="11"/>
                <c:pt idx="0">
                  <c:v>190506.85</c:v>
                </c:pt>
                <c:pt idx="1">
                  <c:v>253992.78</c:v>
                </c:pt>
                <c:pt idx="2">
                  <c:v>240166.92</c:v>
                </c:pt>
                <c:pt idx="3">
                  <c:v>166955.5</c:v>
                </c:pt>
                <c:pt idx="4">
                  <c:v>238882.51</c:v>
                </c:pt>
                <c:pt idx="5">
                  <c:v>284219.88</c:v>
                </c:pt>
                <c:pt idx="6">
                  <c:v>175361.57</c:v>
                </c:pt>
                <c:pt idx="7">
                  <c:v>205658.13</c:v>
                </c:pt>
                <c:pt idx="8">
                  <c:v>161698.1</c:v>
                </c:pt>
                <c:pt idx="9">
                  <c:v>171762.54</c:v>
                </c:pt>
                <c:pt idx="10">
                  <c:v>135722.59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6-481A-B004-39CB5AFB4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 Aug - 7 Aug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 Aug - 7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 Aug - 7 Aug 2022'!$B$5:$B$15</c:f>
              <c:numCache>
                <c:formatCode>#,##0.00</c:formatCode>
                <c:ptCount val="11"/>
                <c:pt idx="0">
                  <c:v>190506.85</c:v>
                </c:pt>
                <c:pt idx="1">
                  <c:v>253992.78</c:v>
                </c:pt>
                <c:pt idx="2">
                  <c:v>240166.92</c:v>
                </c:pt>
                <c:pt idx="3">
                  <c:v>166955.5</c:v>
                </c:pt>
                <c:pt idx="4">
                  <c:v>238882.51</c:v>
                </c:pt>
                <c:pt idx="5">
                  <c:v>284219.88</c:v>
                </c:pt>
                <c:pt idx="6">
                  <c:v>175361.57</c:v>
                </c:pt>
                <c:pt idx="7">
                  <c:v>205658.13</c:v>
                </c:pt>
                <c:pt idx="8">
                  <c:v>161698.1</c:v>
                </c:pt>
                <c:pt idx="9">
                  <c:v>171762.54</c:v>
                </c:pt>
                <c:pt idx="10">
                  <c:v>135722.59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3-46DD-B584-869524BF316F}"/>
            </c:ext>
          </c:extLst>
        </c:ser>
        <c:ser>
          <c:idx val="3"/>
          <c:order val="1"/>
          <c:tx>
            <c:strRef>
              <c:f>'1 Aug - 7 Aug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 Aug - 7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 Aug - 7 Aug 2022'!$E$5:$E$15</c:f>
              <c:numCache>
                <c:formatCode>#,##0.00</c:formatCode>
                <c:ptCount val="11"/>
                <c:pt idx="0">
                  <c:v>223073.31</c:v>
                </c:pt>
                <c:pt idx="1">
                  <c:v>246017.55</c:v>
                </c:pt>
                <c:pt idx="2">
                  <c:v>222929.78</c:v>
                </c:pt>
                <c:pt idx="3">
                  <c:v>142525.06</c:v>
                </c:pt>
                <c:pt idx="4">
                  <c:v>210674.76</c:v>
                </c:pt>
                <c:pt idx="5">
                  <c:v>253761.63</c:v>
                </c:pt>
                <c:pt idx="6">
                  <c:v>137253.75</c:v>
                </c:pt>
                <c:pt idx="7">
                  <c:v>203624.91</c:v>
                </c:pt>
                <c:pt idx="8">
                  <c:v>149649.69</c:v>
                </c:pt>
                <c:pt idx="9">
                  <c:v>174804.45</c:v>
                </c:pt>
                <c:pt idx="10">
                  <c:v>131370.49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3-46DD-B584-869524BF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'8 Aug - 14 Aug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'8 Aug - 14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'8 Aug - 14 Aug 2022'!$B$5:$B$15</c:f>
              <c:numCache>
                <c:formatCode>#,##0.00</c:formatCode>
                <c:ptCount val="11"/>
                <c:pt idx="0">
                  <c:v>223073.31</c:v>
                </c:pt>
                <c:pt idx="1">
                  <c:v>246017.55</c:v>
                </c:pt>
                <c:pt idx="2">
                  <c:v>222929.78</c:v>
                </c:pt>
                <c:pt idx="3">
                  <c:v>142525.06</c:v>
                </c:pt>
                <c:pt idx="4">
                  <c:v>210674.76</c:v>
                </c:pt>
                <c:pt idx="5">
                  <c:v>253761.63</c:v>
                </c:pt>
                <c:pt idx="6">
                  <c:v>137253.75</c:v>
                </c:pt>
                <c:pt idx="7">
                  <c:v>203624.91</c:v>
                </c:pt>
                <c:pt idx="8">
                  <c:v>149649.69</c:v>
                </c:pt>
                <c:pt idx="9">
                  <c:v>174804.45</c:v>
                </c:pt>
                <c:pt idx="10">
                  <c:v>131370.49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16-4310-B4F1-D817C76C91FF}"/>
            </c:ext>
          </c:extLst>
        </c:ser>
        <c:ser>
          <c:idx val="3"/>
          <c:order val="1"/>
          <c:tx>
            <c:strRef>
              <c:f>'8 Aug - 14 Aug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'8 Aug - 14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'8 Aug - 14 Aug 2022'!$E$5:$E$15</c:f>
              <c:numCache>
                <c:formatCode>#,##0.00</c:formatCode>
                <c:ptCount val="11"/>
                <c:pt idx="0">
                  <c:v>250229.34</c:v>
                </c:pt>
                <c:pt idx="1">
                  <c:v>225621.66</c:v>
                </c:pt>
                <c:pt idx="2">
                  <c:v>251168.25</c:v>
                </c:pt>
                <c:pt idx="3">
                  <c:v>149602.25</c:v>
                </c:pt>
                <c:pt idx="4">
                  <c:v>206309.34</c:v>
                </c:pt>
                <c:pt idx="5">
                  <c:v>343437.12</c:v>
                </c:pt>
                <c:pt idx="6">
                  <c:v>142653.71</c:v>
                </c:pt>
                <c:pt idx="7">
                  <c:v>197141.69</c:v>
                </c:pt>
                <c:pt idx="8">
                  <c:v>154231.74</c:v>
                </c:pt>
                <c:pt idx="9">
                  <c:v>178592.68</c:v>
                </c:pt>
                <c:pt idx="10">
                  <c:v>130051.87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16-4310-B4F1-D817C76C9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Aug - 21 Aug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Aug - 21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'15 Aug - 21 Aug 2022'!$B$5:$B$15</c:f>
              <c:numCache>
                <c:formatCode>#,##0.00</c:formatCode>
                <c:ptCount val="11"/>
                <c:pt idx="0">
                  <c:v>250229.34</c:v>
                </c:pt>
                <c:pt idx="1">
                  <c:v>225621.66</c:v>
                </c:pt>
                <c:pt idx="2">
                  <c:v>251168.25</c:v>
                </c:pt>
                <c:pt idx="3">
                  <c:v>149602.25</c:v>
                </c:pt>
                <c:pt idx="4">
                  <c:v>206309.34</c:v>
                </c:pt>
                <c:pt idx="5">
                  <c:v>343437.12</c:v>
                </c:pt>
                <c:pt idx="6">
                  <c:v>142653.71</c:v>
                </c:pt>
                <c:pt idx="7">
                  <c:v>197141.69</c:v>
                </c:pt>
                <c:pt idx="8">
                  <c:v>154231.74</c:v>
                </c:pt>
                <c:pt idx="9">
                  <c:v>178592.68</c:v>
                </c:pt>
                <c:pt idx="10">
                  <c:v>130051.87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7A-477C-93BA-E3BDB9AE674C}"/>
            </c:ext>
          </c:extLst>
        </c:ser>
        <c:ser>
          <c:idx val="3"/>
          <c:order val="1"/>
          <c:tx>
            <c:strRef>
              <c:f>'15 Aug - 21 Aug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Aug - 21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'15 Aug - 21 Aug 2022'!$E$5:$E$15</c:f>
              <c:numCache>
                <c:formatCode>#,##0.00</c:formatCode>
                <c:ptCount val="11"/>
                <c:pt idx="0">
                  <c:v>203120.59</c:v>
                </c:pt>
                <c:pt idx="1">
                  <c:v>196366.64</c:v>
                </c:pt>
                <c:pt idx="2">
                  <c:v>194288.81</c:v>
                </c:pt>
                <c:pt idx="3">
                  <c:v>148905.81</c:v>
                </c:pt>
                <c:pt idx="4">
                  <c:v>208809.95</c:v>
                </c:pt>
                <c:pt idx="5">
                  <c:v>230636.06</c:v>
                </c:pt>
                <c:pt idx="6">
                  <c:v>114215.58</c:v>
                </c:pt>
                <c:pt idx="7">
                  <c:v>189760.56</c:v>
                </c:pt>
                <c:pt idx="8">
                  <c:v>153506.39000000001</c:v>
                </c:pt>
                <c:pt idx="9">
                  <c:v>184661.74</c:v>
                </c:pt>
                <c:pt idx="10">
                  <c:v>147097.4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7A-477C-93BA-E3BDB9AE6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Aug - 28 Aug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Aug - 28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'22 Aug - 28 Aug 2022'!$B$5:$B$15</c:f>
              <c:numCache>
                <c:formatCode>#,##0.00</c:formatCode>
                <c:ptCount val="11"/>
                <c:pt idx="0">
                  <c:v>203120.59</c:v>
                </c:pt>
                <c:pt idx="1">
                  <c:v>196366.64</c:v>
                </c:pt>
                <c:pt idx="2">
                  <c:v>194288.81</c:v>
                </c:pt>
                <c:pt idx="3">
                  <c:v>148905.81</c:v>
                </c:pt>
                <c:pt idx="4">
                  <c:v>208809.95</c:v>
                </c:pt>
                <c:pt idx="5">
                  <c:v>230636.06</c:v>
                </c:pt>
                <c:pt idx="6">
                  <c:v>114215.58</c:v>
                </c:pt>
                <c:pt idx="7">
                  <c:v>189760.56</c:v>
                </c:pt>
                <c:pt idx="8">
                  <c:v>153506.39000000001</c:v>
                </c:pt>
                <c:pt idx="9">
                  <c:v>184661.74</c:v>
                </c:pt>
                <c:pt idx="10">
                  <c:v>147097.4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2-4506-BA81-413FBF1D0F8C}"/>
            </c:ext>
          </c:extLst>
        </c:ser>
        <c:ser>
          <c:idx val="3"/>
          <c:order val="1"/>
          <c:tx>
            <c:strRef>
              <c:f>'22 Aug - 28 Aug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Aug - 28 Aug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'22 Aug - 28 Aug 2022'!$E$5:$E$15</c:f>
              <c:numCache>
                <c:formatCode>#,##0.00</c:formatCode>
                <c:ptCount val="11"/>
                <c:pt idx="0">
                  <c:v>212042.92</c:v>
                </c:pt>
                <c:pt idx="1">
                  <c:v>201569.89</c:v>
                </c:pt>
                <c:pt idx="2">
                  <c:v>222418.21</c:v>
                </c:pt>
                <c:pt idx="3">
                  <c:v>148590.98000000001</c:v>
                </c:pt>
                <c:pt idx="4">
                  <c:v>212422.03</c:v>
                </c:pt>
                <c:pt idx="5">
                  <c:v>272667.7</c:v>
                </c:pt>
                <c:pt idx="6">
                  <c:v>152939.37</c:v>
                </c:pt>
                <c:pt idx="7">
                  <c:v>190621.49</c:v>
                </c:pt>
                <c:pt idx="8">
                  <c:v>166033.59</c:v>
                </c:pt>
                <c:pt idx="9">
                  <c:v>157298.63</c:v>
                </c:pt>
                <c:pt idx="10">
                  <c:v>135960.13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2-4506-BA81-413FBF1D0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Aug - 4 Sep 2022 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Aug - 4 Sep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'29 Aug - 4 Sep 2022 '!$B$5:$B$15</c:f>
              <c:numCache>
                <c:formatCode>#,##0.00</c:formatCode>
                <c:ptCount val="11"/>
                <c:pt idx="0">
                  <c:v>212042.92</c:v>
                </c:pt>
                <c:pt idx="1">
                  <c:v>201569.89</c:v>
                </c:pt>
                <c:pt idx="2">
                  <c:v>222418.21</c:v>
                </c:pt>
                <c:pt idx="3">
                  <c:v>148590.98000000001</c:v>
                </c:pt>
                <c:pt idx="4">
                  <c:v>212422.03</c:v>
                </c:pt>
                <c:pt idx="5">
                  <c:v>272667.7</c:v>
                </c:pt>
                <c:pt idx="6">
                  <c:v>152939.37</c:v>
                </c:pt>
                <c:pt idx="7">
                  <c:v>190621.49</c:v>
                </c:pt>
                <c:pt idx="8">
                  <c:v>166033.59</c:v>
                </c:pt>
                <c:pt idx="9">
                  <c:v>157298.63</c:v>
                </c:pt>
                <c:pt idx="10">
                  <c:v>135960.13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89-48D5-A07A-BDAF72F899A3}"/>
            </c:ext>
          </c:extLst>
        </c:ser>
        <c:ser>
          <c:idx val="3"/>
          <c:order val="1"/>
          <c:tx>
            <c:strRef>
              <c:f>'29 Aug - 4 Sep 2022 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Aug - 4 Sep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'29 Aug - 4 Sep 2022 '!$E$5:$E$15</c:f>
              <c:numCache>
                <c:formatCode>#,##0.00</c:formatCode>
                <c:ptCount val="11"/>
                <c:pt idx="0">
                  <c:v>192137.33</c:v>
                </c:pt>
                <c:pt idx="1">
                  <c:v>220012.87</c:v>
                </c:pt>
                <c:pt idx="2">
                  <c:v>229781.26</c:v>
                </c:pt>
                <c:pt idx="3">
                  <c:v>137255.20000000001</c:v>
                </c:pt>
                <c:pt idx="4">
                  <c:v>193912.73</c:v>
                </c:pt>
                <c:pt idx="5">
                  <c:v>248199.04000000001</c:v>
                </c:pt>
                <c:pt idx="6">
                  <c:v>131301.91</c:v>
                </c:pt>
                <c:pt idx="7">
                  <c:v>178544.41</c:v>
                </c:pt>
                <c:pt idx="8">
                  <c:v>147903.85999999999</c:v>
                </c:pt>
                <c:pt idx="9">
                  <c:v>153143.82999999999</c:v>
                </c:pt>
                <c:pt idx="10">
                  <c:v>113464.22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89-48D5-A07A-BDAF72F89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Sep - 11 Sep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Sep - 11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'5 Sep - 11 Sep 2022'!$B$5:$B$15</c:f>
              <c:numCache>
                <c:formatCode>#,##0.00</c:formatCode>
                <c:ptCount val="11"/>
                <c:pt idx="0">
                  <c:v>192137.33</c:v>
                </c:pt>
                <c:pt idx="1">
                  <c:v>220012.87</c:v>
                </c:pt>
                <c:pt idx="2">
                  <c:v>229781.26</c:v>
                </c:pt>
                <c:pt idx="3">
                  <c:v>137255.20000000001</c:v>
                </c:pt>
                <c:pt idx="4">
                  <c:v>193912.73</c:v>
                </c:pt>
                <c:pt idx="5">
                  <c:v>248199.04000000001</c:v>
                </c:pt>
                <c:pt idx="6">
                  <c:v>131301.91</c:v>
                </c:pt>
                <c:pt idx="7">
                  <c:v>178544.41</c:v>
                </c:pt>
                <c:pt idx="8">
                  <c:v>147903.85999999999</c:v>
                </c:pt>
                <c:pt idx="9">
                  <c:v>153143.82999999999</c:v>
                </c:pt>
                <c:pt idx="10">
                  <c:v>113464.22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C-4F2D-A701-E0E39F76ACDE}"/>
            </c:ext>
          </c:extLst>
        </c:ser>
        <c:ser>
          <c:idx val="3"/>
          <c:order val="1"/>
          <c:tx>
            <c:strRef>
              <c:f>'5 Sep - 11 Sep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Sep - 11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'5 Sep - 11 Sep 2022'!$E$5:$E$15</c:f>
              <c:numCache>
                <c:formatCode>#,##0.00</c:formatCode>
                <c:ptCount val="11"/>
                <c:pt idx="0">
                  <c:v>212271.82</c:v>
                </c:pt>
                <c:pt idx="1">
                  <c:v>214856.2</c:v>
                </c:pt>
                <c:pt idx="2">
                  <c:v>225744.14</c:v>
                </c:pt>
                <c:pt idx="3">
                  <c:v>129458.37</c:v>
                </c:pt>
                <c:pt idx="4">
                  <c:v>209040.15</c:v>
                </c:pt>
                <c:pt idx="5">
                  <c:v>265191.83</c:v>
                </c:pt>
                <c:pt idx="6">
                  <c:v>133048.22</c:v>
                </c:pt>
                <c:pt idx="7">
                  <c:v>218525.12</c:v>
                </c:pt>
                <c:pt idx="8">
                  <c:v>161262.07999999999</c:v>
                </c:pt>
                <c:pt idx="9">
                  <c:v>140651.79999999999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C-4F2D-A701-E0E39F76A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Sep - 18 Sep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Sep - 18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Sep - 18 Sep 2022'!$B$5:$B$15</c:f>
              <c:numCache>
                <c:formatCode>#,##0.00</c:formatCode>
                <c:ptCount val="11"/>
                <c:pt idx="0">
                  <c:v>212271.82</c:v>
                </c:pt>
                <c:pt idx="1">
                  <c:v>214856.2</c:v>
                </c:pt>
                <c:pt idx="2">
                  <c:v>225744.14</c:v>
                </c:pt>
                <c:pt idx="3">
                  <c:v>129458.37</c:v>
                </c:pt>
                <c:pt idx="4">
                  <c:v>209040.15</c:v>
                </c:pt>
                <c:pt idx="5">
                  <c:v>265191.83</c:v>
                </c:pt>
                <c:pt idx="6">
                  <c:v>133048.22</c:v>
                </c:pt>
                <c:pt idx="7">
                  <c:v>218525.12</c:v>
                </c:pt>
                <c:pt idx="8">
                  <c:v>161262.07999999999</c:v>
                </c:pt>
                <c:pt idx="9">
                  <c:v>140651.79999999999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9-4064-9CA8-03319C486112}"/>
            </c:ext>
          </c:extLst>
        </c:ser>
        <c:ser>
          <c:idx val="3"/>
          <c:order val="1"/>
          <c:tx>
            <c:strRef>
              <c:f>'12 Sep - 18 Sep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Sep - 18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Sep - 18 Sep 2022'!$E$5:$E$15</c:f>
              <c:numCache>
                <c:formatCode>#,##0.00</c:formatCode>
                <c:ptCount val="11"/>
                <c:pt idx="0">
                  <c:v>234849.7</c:v>
                </c:pt>
                <c:pt idx="1">
                  <c:v>216677.99</c:v>
                </c:pt>
                <c:pt idx="2">
                  <c:v>193886.77</c:v>
                </c:pt>
                <c:pt idx="3">
                  <c:v>144551.95000000001</c:v>
                </c:pt>
                <c:pt idx="4">
                  <c:v>213709.05</c:v>
                </c:pt>
                <c:pt idx="5">
                  <c:v>279795.20000000001</c:v>
                </c:pt>
                <c:pt idx="6">
                  <c:v>167247.23000000001</c:v>
                </c:pt>
                <c:pt idx="7">
                  <c:v>218068.93</c:v>
                </c:pt>
                <c:pt idx="8">
                  <c:v>153393.07999999999</c:v>
                </c:pt>
                <c:pt idx="9">
                  <c:v>147289.82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59-4064-9CA8-03319C486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Sep - 25 Sep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Sep - 25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Sep - 25 Sep 2022'!$B$5:$B$15</c:f>
              <c:numCache>
                <c:formatCode>#,##0.00</c:formatCode>
                <c:ptCount val="11"/>
                <c:pt idx="0">
                  <c:v>234849.7</c:v>
                </c:pt>
                <c:pt idx="1">
                  <c:v>216677.99</c:v>
                </c:pt>
                <c:pt idx="2">
                  <c:v>193886.77</c:v>
                </c:pt>
                <c:pt idx="3">
                  <c:v>144551.95000000001</c:v>
                </c:pt>
                <c:pt idx="4">
                  <c:v>213709.05</c:v>
                </c:pt>
                <c:pt idx="5">
                  <c:v>279795.20000000001</c:v>
                </c:pt>
                <c:pt idx="6">
                  <c:v>167247.23000000001</c:v>
                </c:pt>
                <c:pt idx="7">
                  <c:v>218068.93</c:v>
                </c:pt>
                <c:pt idx="8">
                  <c:v>153393.07999999999</c:v>
                </c:pt>
                <c:pt idx="9">
                  <c:v>147289.82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C-46CD-A86E-FD69EADF34B3}"/>
            </c:ext>
          </c:extLst>
        </c:ser>
        <c:ser>
          <c:idx val="3"/>
          <c:order val="1"/>
          <c:tx>
            <c:strRef>
              <c:f>'19 Sep - 25 Sep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Sep - 25 Sep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Sep - 25 Sep 2022'!$E$5:$E$15</c:f>
              <c:numCache>
                <c:formatCode>#,##0.00</c:formatCode>
                <c:ptCount val="11"/>
                <c:pt idx="0">
                  <c:v>244128.01</c:v>
                </c:pt>
                <c:pt idx="1">
                  <c:v>233368.03</c:v>
                </c:pt>
                <c:pt idx="2">
                  <c:v>226256.61</c:v>
                </c:pt>
                <c:pt idx="3">
                  <c:v>168556.25</c:v>
                </c:pt>
                <c:pt idx="4">
                  <c:v>202119.65</c:v>
                </c:pt>
                <c:pt idx="5">
                  <c:v>248762.9</c:v>
                </c:pt>
                <c:pt idx="6">
                  <c:v>118205.75999999999</c:v>
                </c:pt>
                <c:pt idx="7">
                  <c:v>211345.95</c:v>
                </c:pt>
                <c:pt idx="8">
                  <c:v>172286.55</c:v>
                </c:pt>
                <c:pt idx="9">
                  <c:v>158387.9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C-46CD-A86E-FD69EADF3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Sep - 02 Oct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Sep - 02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Sep - 02 Oct 2022'!$B$5:$B$15</c:f>
              <c:numCache>
                <c:formatCode>#,##0.00</c:formatCode>
                <c:ptCount val="11"/>
                <c:pt idx="0">
                  <c:v>244128.01</c:v>
                </c:pt>
                <c:pt idx="1">
                  <c:v>233368.03</c:v>
                </c:pt>
                <c:pt idx="2">
                  <c:v>226256.61</c:v>
                </c:pt>
                <c:pt idx="3">
                  <c:v>168556.25</c:v>
                </c:pt>
                <c:pt idx="4">
                  <c:v>202119.65</c:v>
                </c:pt>
                <c:pt idx="5">
                  <c:v>248762.9</c:v>
                </c:pt>
                <c:pt idx="6">
                  <c:v>118205.75999999999</c:v>
                </c:pt>
                <c:pt idx="7">
                  <c:v>211345.95</c:v>
                </c:pt>
                <c:pt idx="8">
                  <c:v>172286.55</c:v>
                </c:pt>
                <c:pt idx="9">
                  <c:v>158387.9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1-4935-BA03-6411F5C28FAD}"/>
            </c:ext>
          </c:extLst>
        </c:ser>
        <c:ser>
          <c:idx val="3"/>
          <c:order val="1"/>
          <c:tx>
            <c:strRef>
              <c:f>'26 Sep - 02 Oct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Sep - 02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Sep - 02 Oct 2022'!$E$5:$E$15</c:f>
              <c:numCache>
                <c:formatCode>#,##0.00</c:formatCode>
                <c:ptCount val="11"/>
                <c:pt idx="0">
                  <c:v>335499.3</c:v>
                </c:pt>
                <c:pt idx="1">
                  <c:v>261348.81</c:v>
                </c:pt>
                <c:pt idx="2">
                  <c:v>209389.69</c:v>
                </c:pt>
                <c:pt idx="3">
                  <c:v>181834.26</c:v>
                </c:pt>
                <c:pt idx="4">
                  <c:v>221588.5</c:v>
                </c:pt>
                <c:pt idx="5">
                  <c:v>287917.17</c:v>
                </c:pt>
                <c:pt idx="6">
                  <c:v>160500.79999999999</c:v>
                </c:pt>
                <c:pt idx="7">
                  <c:v>189395.77</c:v>
                </c:pt>
                <c:pt idx="8">
                  <c:v>154435.76</c:v>
                </c:pt>
                <c:pt idx="9">
                  <c:v>146413.9</c:v>
                </c:pt>
                <c:pt idx="10" formatCode="General">
                  <c:v>57793.08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61-4935-BA03-6411F5C28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'03 Oct - 09 Oct 2022 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'03 Oct - 09 Oct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Oct - 09 Oct 2022 '!$B$5:$B$15</c:f>
              <c:numCache>
                <c:formatCode>#,##0.00</c:formatCode>
                <c:ptCount val="11"/>
                <c:pt idx="0">
                  <c:v>335499.3</c:v>
                </c:pt>
                <c:pt idx="1">
                  <c:v>261348.81</c:v>
                </c:pt>
                <c:pt idx="2">
                  <c:v>209389.69</c:v>
                </c:pt>
                <c:pt idx="3">
                  <c:v>181834.26</c:v>
                </c:pt>
                <c:pt idx="4">
                  <c:v>221588.5</c:v>
                </c:pt>
                <c:pt idx="5">
                  <c:v>287917.17</c:v>
                </c:pt>
                <c:pt idx="6">
                  <c:v>160500.79999999999</c:v>
                </c:pt>
                <c:pt idx="7">
                  <c:v>189395.77</c:v>
                </c:pt>
                <c:pt idx="8">
                  <c:v>154435.76</c:v>
                </c:pt>
                <c:pt idx="9">
                  <c:v>146413.9</c:v>
                </c:pt>
                <c:pt idx="10">
                  <c:v>57793.08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D-475D-9C54-BA97594B1733}"/>
            </c:ext>
          </c:extLst>
        </c:ser>
        <c:ser>
          <c:idx val="3"/>
          <c:order val="1"/>
          <c:tx>
            <c:strRef>
              <c:f>'03 Oct - 09 Oct 2022 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'03 Oct - 09 Oct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Oct - 09 Oct 2022 '!$E$5:$E$15</c:f>
              <c:numCache>
                <c:formatCode>#,##0.00</c:formatCode>
                <c:ptCount val="11"/>
                <c:pt idx="0">
                  <c:v>418554.29</c:v>
                </c:pt>
                <c:pt idx="1">
                  <c:v>239054.84</c:v>
                </c:pt>
                <c:pt idx="2">
                  <c:v>264026.69</c:v>
                </c:pt>
                <c:pt idx="3">
                  <c:v>163139.71</c:v>
                </c:pt>
                <c:pt idx="4">
                  <c:v>203154.9</c:v>
                </c:pt>
                <c:pt idx="5">
                  <c:v>247618.57</c:v>
                </c:pt>
                <c:pt idx="6">
                  <c:v>142414.60999999999</c:v>
                </c:pt>
                <c:pt idx="7">
                  <c:v>214740.55</c:v>
                </c:pt>
                <c:pt idx="8">
                  <c:v>184125.86</c:v>
                </c:pt>
                <c:pt idx="9">
                  <c:v>163402.9</c:v>
                </c:pt>
                <c:pt idx="10">
                  <c:v>129718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7D-475D-9C54-BA97594B1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Oct -16 Oct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Oct -16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Oct -16 Oct 2022'!$B$5:$B$15</c:f>
              <c:numCache>
                <c:formatCode>#,##0.00</c:formatCode>
                <c:ptCount val="11"/>
                <c:pt idx="0">
                  <c:v>418554.29</c:v>
                </c:pt>
                <c:pt idx="1">
                  <c:v>239054.84</c:v>
                </c:pt>
                <c:pt idx="2">
                  <c:v>264026.69</c:v>
                </c:pt>
                <c:pt idx="3">
                  <c:v>163139.71</c:v>
                </c:pt>
                <c:pt idx="4">
                  <c:v>203154.9</c:v>
                </c:pt>
                <c:pt idx="5">
                  <c:v>247618.57</c:v>
                </c:pt>
                <c:pt idx="6">
                  <c:v>142414.60999999999</c:v>
                </c:pt>
                <c:pt idx="7">
                  <c:v>214740.55</c:v>
                </c:pt>
                <c:pt idx="8">
                  <c:v>184125.86</c:v>
                </c:pt>
                <c:pt idx="9">
                  <c:v>163402.9</c:v>
                </c:pt>
                <c:pt idx="10">
                  <c:v>129718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7-4C84-B3C9-A34F140F3591}"/>
            </c:ext>
          </c:extLst>
        </c:ser>
        <c:ser>
          <c:idx val="3"/>
          <c:order val="1"/>
          <c:tx>
            <c:strRef>
              <c:f>'10 Oct -16 Oct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Oct -16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Oct -16 Oct 2022'!$E$5:$E$15</c:f>
              <c:numCache>
                <c:formatCode>#,##0.00</c:formatCode>
                <c:ptCount val="11"/>
                <c:pt idx="0">
                  <c:v>265670.71999999997</c:v>
                </c:pt>
                <c:pt idx="1">
                  <c:v>202954.8</c:v>
                </c:pt>
                <c:pt idx="2">
                  <c:v>215927.33</c:v>
                </c:pt>
                <c:pt idx="3">
                  <c:v>143769.19</c:v>
                </c:pt>
                <c:pt idx="4">
                  <c:v>198012.81</c:v>
                </c:pt>
                <c:pt idx="5">
                  <c:v>223354.08</c:v>
                </c:pt>
                <c:pt idx="6">
                  <c:v>146513.73000000001</c:v>
                </c:pt>
                <c:pt idx="7">
                  <c:v>206967.02</c:v>
                </c:pt>
                <c:pt idx="8">
                  <c:v>189315.43</c:v>
                </c:pt>
                <c:pt idx="9">
                  <c:v>151030.04999999999</c:v>
                </c:pt>
                <c:pt idx="10">
                  <c:v>150896.97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7-4C84-B3C9-A34F140F3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Oct -23 Oct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Oct -23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Oct -23 Oct 2022'!$B$5:$B$15</c:f>
              <c:numCache>
                <c:formatCode>#,##0.00</c:formatCode>
                <c:ptCount val="11"/>
                <c:pt idx="0">
                  <c:v>265670.71999999997</c:v>
                </c:pt>
                <c:pt idx="1">
                  <c:v>202954.8</c:v>
                </c:pt>
                <c:pt idx="2">
                  <c:v>215927.33</c:v>
                </c:pt>
                <c:pt idx="3">
                  <c:v>143769.19</c:v>
                </c:pt>
                <c:pt idx="4">
                  <c:v>198012.81</c:v>
                </c:pt>
                <c:pt idx="5">
                  <c:v>223354.08</c:v>
                </c:pt>
                <c:pt idx="6">
                  <c:v>146513.73000000001</c:v>
                </c:pt>
                <c:pt idx="7">
                  <c:v>206967.02</c:v>
                </c:pt>
                <c:pt idx="8">
                  <c:v>189315.43</c:v>
                </c:pt>
                <c:pt idx="9">
                  <c:v>151030.04999999999</c:v>
                </c:pt>
                <c:pt idx="10">
                  <c:v>150896.97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2-4A15-8FFD-A8587C189C65}"/>
            </c:ext>
          </c:extLst>
        </c:ser>
        <c:ser>
          <c:idx val="3"/>
          <c:order val="1"/>
          <c:tx>
            <c:strRef>
              <c:f>'17 Oct -23 Oct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Oct -23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Oct -23 Oct 2022'!$E$5:$E$15</c:f>
              <c:numCache>
                <c:formatCode>#,##0.00</c:formatCode>
                <c:ptCount val="11"/>
                <c:pt idx="0">
                  <c:v>231222.07</c:v>
                </c:pt>
                <c:pt idx="1">
                  <c:v>204863.42</c:v>
                </c:pt>
                <c:pt idx="2">
                  <c:v>212169.11</c:v>
                </c:pt>
                <c:pt idx="3">
                  <c:v>126392.36</c:v>
                </c:pt>
                <c:pt idx="4">
                  <c:v>189835.14</c:v>
                </c:pt>
                <c:pt idx="5">
                  <c:v>214335.12</c:v>
                </c:pt>
                <c:pt idx="6">
                  <c:v>142345.79</c:v>
                </c:pt>
                <c:pt idx="7">
                  <c:v>211661.8</c:v>
                </c:pt>
                <c:pt idx="8">
                  <c:v>159981.17000000001</c:v>
                </c:pt>
                <c:pt idx="9">
                  <c:v>167241.45000000001</c:v>
                </c:pt>
                <c:pt idx="10">
                  <c:v>150977.88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2-4A15-8FFD-A8587C189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Oct -30 Oct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Oct -30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Oct -30 Oct 2022'!$B$5:$B$15</c:f>
              <c:numCache>
                <c:formatCode>#,##0.00</c:formatCode>
                <c:ptCount val="11"/>
                <c:pt idx="0">
                  <c:v>231222.07</c:v>
                </c:pt>
                <c:pt idx="1">
                  <c:v>204863.42</c:v>
                </c:pt>
                <c:pt idx="2">
                  <c:v>212169.11</c:v>
                </c:pt>
                <c:pt idx="3">
                  <c:v>126392.36</c:v>
                </c:pt>
                <c:pt idx="4">
                  <c:v>189835.14</c:v>
                </c:pt>
                <c:pt idx="5">
                  <c:v>214335.12</c:v>
                </c:pt>
                <c:pt idx="6">
                  <c:v>142345.79</c:v>
                </c:pt>
                <c:pt idx="7">
                  <c:v>211661.8</c:v>
                </c:pt>
                <c:pt idx="8">
                  <c:v>159981.17000000001</c:v>
                </c:pt>
                <c:pt idx="9">
                  <c:v>167241.45000000001</c:v>
                </c:pt>
                <c:pt idx="10">
                  <c:v>150977.88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67-4818-B639-1D9B13834424}"/>
            </c:ext>
          </c:extLst>
        </c:ser>
        <c:ser>
          <c:idx val="3"/>
          <c:order val="1"/>
          <c:tx>
            <c:strRef>
              <c:f>'24 Oct -30 Oct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Oct -30 Oct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Oct -30 Oct 2022'!$E$5:$E$15</c:f>
              <c:numCache>
                <c:formatCode>#,##0.00</c:formatCode>
                <c:ptCount val="11"/>
                <c:pt idx="0" formatCode="General">
                  <c:v>257455.68</c:v>
                </c:pt>
                <c:pt idx="1">
                  <c:v>227257.39</c:v>
                </c:pt>
                <c:pt idx="2" formatCode="General">
                  <c:v>223446.27</c:v>
                </c:pt>
                <c:pt idx="3" formatCode="General">
                  <c:v>138079.70000000001</c:v>
                </c:pt>
                <c:pt idx="4" formatCode="General">
                  <c:v>231936.32</c:v>
                </c:pt>
                <c:pt idx="5" formatCode="General">
                  <c:v>248519.64</c:v>
                </c:pt>
                <c:pt idx="6" formatCode="General">
                  <c:v>118378.17</c:v>
                </c:pt>
                <c:pt idx="7" formatCode="General">
                  <c:v>224024.94</c:v>
                </c:pt>
                <c:pt idx="8" formatCode="General">
                  <c:v>195536.13</c:v>
                </c:pt>
                <c:pt idx="9" formatCode="General">
                  <c:v>159646.01</c:v>
                </c:pt>
                <c:pt idx="10" formatCode="General">
                  <c:v>141040.22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67-4818-B639-1D9B13834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'31 Oct - 06 Nov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'31 Oct - 06 Nov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'31 Oct - 06 Nov 2022'!$B$5:$B$15</c:f>
              <c:numCache>
                <c:formatCode>#,##0.00</c:formatCode>
                <c:ptCount val="11"/>
                <c:pt idx="0">
                  <c:v>257455.68</c:v>
                </c:pt>
                <c:pt idx="1">
                  <c:v>227257.39</c:v>
                </c:pt>
                <c:pt idx="2">
                  <c:v>223446.27</c:v>
                </c:pt>
                <c:pt idx="3">
                  <c:v>138079.70000000001</c:v>
                </c:pt>
                <c:pt idx="4">
                  <c:v>231936.32</c:v>
                </c:pt>
                <c:pt idx="5">
                  <c:v>248519.64</c:v>
                </c:pt>
                <c:pt idx="6">
                  <c:v>118378.17</c:v>
                </c:pt>
                <c:pt idx="7">
                  <c:v>224024.94</c:v>
                </c:pt>
                <c:pt idx="8">
                  <c:v>195536.13</c:v>
                </c:pt>
                <c:pt idx="9">
                  <c:v>159646.01</c:v>
                </c:pt>
                <c:pt idx="10">
                  <c:v>141040.22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2-45BF-8790-2E8688C6DE8C}"/>
            </c:ext>
          </c:extLst>
        </c:ser>
        <c:ser>
          <c:idx val="3"/>
          <c:order val="1"/>
          <c:tx>
            <c:strRef>
              <c:f>'31 Oct - 06 Nov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'31 Oct - 06 Nov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'31 Oct - 06 Nov 2022'!$E$5:$E$15</c:f>
              <c:numCache>
                <c:formatCode>#,##0.00</c:formatCode>
                <c:ptCount val="11"/>
                <c:pt idx="0">
                  <c:v>336758.14</c:v>
                </c:pt>
                <c:pt idx="1">
                  <c:v>220235.36</c:v>
                </c:pt>
                <c:pt idx="2">
                  <c:v>196319.56</c:v>
                </c:pt>
                <c:pt idx="3">
                  <c:v>121044.86</c:v>
                </c:pt>
                <c:pt idx="4">
                  <c:v>207860.17</c:v>
                </c:pt>
                <c:pt idx="5">
                  <c:v>206956.47</c:v>
                </c:pt>
                <c:pt idx="6">
                  <c:v>131127.53</c:v>
                </c:pt>
                <c:pt idx="7">
                  <c:v>182201.77</c:v>
                </c:pt>
                <c:pt idx="8">
                  <c:v>157829.48000000001</c:v>
                </c:pt>
                <c:pt idx="9">
                  <c:v>151265.91</c:v>
                </c:pt>
                <c:pt idx="10">
                  <c:v>119884.4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42-45BF-8790-2E8688C6D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'07 Nov - 13 Nov  2022 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'07 Nov - 13 Nov 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'07 Nov - 13 Nov  2022 '!$B$5:$B$15</c:f>
              <c:numCache>
                <c:formatCode>#,##0.00</c:formatCode>
                <c:ptCount val="11"/>
                <c:pt idx="0">
                  <c:v>336758.14</c:v>
                </c:pt>
                <c:pt idx="1">
                  <c:v>220235.36</c:v>
                </c:pt>
                <c:pt idx="2">
                  <c:v>196319.56</c:v>
                </c:pt>
                <c:pt idx="3">
                  <c:v>121044.86</c:v>
                </c:pt>
                <c:pt idx="4">
                  <c:v>207860.17</c:v>
                </c:pt>
                <c:pt idx="5">
                  <c:v>206956.47</c:v>
                </c:pt>
                <c:pt idx="6">
                  <c:v>131127.53</c:v>
                </c:pt>
                <c:pt idx="7">
                  <c:v>182201.77</c:v>
                </c:pt>
                <c:pt idx="8">
                  <c:v>157829.48000000001</c:v>
                </c:pt>
                <c:pt idx="9">
                  <c:v>151265.91</c:v>
                </c:pt>
                <c:pt idx="10">
                  <c:v>119884.4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7-446F-93A0-E8BBE34746A4}"/>
            </c:ext>
          </c:extLst>
        </c:ser>
        <c:ser>
          <c:idx val="3"/>
          <c:order val="1"/>
          <c:tx>
            <c:strRef>
              <c:f>'07 Nov - 13 Nov  2022 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'07 Nov - 13 Nov  2022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'07 Nov - 13 Nov  2022 '!$E$5:$E$15</c:f>
              <c:numCache>
                <c:formatCode>#,##0.00</c:formatCode>
                <c:ptCount val="11"/>
                <c:pt idx="0">
                  <c:v>243627.61</c:v>
                </c:pt>
                <c:pt idx="1">
                  <c:v>244982.86</c:v>
                </c:pt>
                <c:pt idx="2">
                  <c:v>213466.9</c:v>
                </c:pt>
                <c:pt idx="3">
                  <c:v>149721.48000000001</c:v>
                </c:pt>
                <c:pt idx="4">
                  <c:v>205442.02</c:v>
                </c:pt>
                <c:pt idx="5">
                  <c:v>225543.9</c:v>
                </c:pt>
                <c:pt idx="6">
                  <c:v>138644.67000000001</c:v>
                </c:pt>
                <c:pt idx="7">
                  <c:v>192337.39</c:v>
                </c:pt>
                <c:pt idx="8">
                  <c:v>157111.85999999999</c:v>
                </c:pt>
                <c:pt idx="9">
                  <c:v>163525.03</c:v>
                </c:pt>
                <c:pt idx="10">
                  <c:v>149318.93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7-446F-93A0-E8BBE3474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Nov - 20 Nov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Nov - 20 Nov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'14 Nov - 20 Nov  2022'!$B$5:$B$15</c:f>
              <c:numCache>
                <c:formatCode>#,##0.00</c:formatCode>
                <c:ptCount val="11"/>
                <c:pt idx="0">
                  <c:v>243627.61</c:v>
                </c:pt>
                <c:pt idx="1">
                  <c:v>244982.86</c:v>
                </c:pt>
                <c:pt idx="2">
                  <c:v>213466.9</c:v>
                </c:pt>
                <c:pt idx="3">
                  <c:v>149721.48000000001</c:v>
                </c:pt>
                <c:pt idx="4">
                  <c:v>205442.02</c:v>
                </c:pt>
                <c:pt idx="5">
                  <c:v>225543.9</c:v>
                </c:pt>
                <c:pt idx="6">
                  <c:v>138644.67000000001</c:v>
                </c:pt>
                <c:pt idx="7">
                  <c:v>192337.39</c:v>
                </c:pt>
                <c:pt idx="8">
                  <c:v>157111.85999999999</c:v>
                </c:pt>
                <c:pt idx="9">
                  <c:v>163525.03</c:v>
                </c:pt>
                <c:pt idx="10">
                  <c:v>149318.93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F-415A-943B-15B2FAEC2797}"/>
            </c:ext>
          </c:extLst>
        </c:ser>
        <c:ser>
          <c:idx val="3"/>
          <c:order val="1"/>
          <c:tx>
            <c:strRef>
              <c:f>'14 Nov - 20 Nov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Nov - 20 Nov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'14 Nov - 20 Nov  2022'!$E$5:$E$15</c:f>
              <c:numCache>
                <c:formatCode>#,##0.00</c:formatCode>
                <c:ptCount val="11"/>
                <c:pt idx="0">
                  <c:v>249994.6</c:v>
                </c:pt>
                <c:pt idx="1">
                  <c:v>237635.66</c:v>
                </c:pt>
                <c:pt idx="2">
                  <c:v>230492.54</c:v>
                </c:pt>
                <c:pt idx="3">
                  <c:v>128763.54</c:v>
                </c:pt>
                <c:pt idx="4">
                  <c:v>205833.28</c:v>
                </c:pt>
                <c:pt idx="5">
                  <c:v>215357.09</c:v>
                </c:pt>
                <c:pt idx="6">
                  <c:v>162221.22</c:v>
                </c:pt>
                <c:pt idx="7">
                  <c:v>209808.55</c:v>
                </c:pt>
                <c:pt idx="8">
                  <c:v>172334.61</c:v>
                </c:pt>
                <c:pt idx="9">
                  <c:v>158904.88</c:v>
                </c:pt>
                <c:pt idx="10">
                  <c:v>160007.63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F-415A-943B-15B2FAEC2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'21 Nov - 27 Nov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'21 Nov - 27 Nov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'21 Nov - 27 Nov  2022'!$B$5:$B$15</c:f>
              <c:numCache>
                <c:formatCode>#,##0.00</c:formatCode>
                <c:ptCount val="11"/>
                <c:pt idx="0">
                  <c:v>249994.6</c:v>
                </c:pt>
                <c:pt idx="1">
                  <c:v>237635.66</c:v>
                </c:pt>
                <c:pt idx="2">
                  <c:v>230492.54</c:v>
                </c:pt>
                <c:pt idx="3">
                  <c:v>128763.54</c:v>
                </c:pt>
                <c:pt idx="4">
                  <c:v>205833.28</c:v>
                </c:pt>
                <c:pt idx="5">
                  <c:v>215357.09</c:v>
                </c:pt>
                <c:pt idx="6">
                  <c:v>162221.22</c:v>
                </c:pt>
                <c:pt idx="7">
                  <c:v>209808.55</c:v>
                </c:pt>
                <c:pt idx="8">
                  <c:v>172334.61</c:v>
                </c:pt>
                <c:pt idx="9">
                  <c:v>158904.88</c:v>
                </c:pt>
                <c:pt idx="10">
                  <c:v>160007.63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2-4361-9638-A6DCA24D2697}"/>
            </c:ext>
          </c:extLst>
        </c:ser>
        <c:ser>
          <c:idx val="3"/>
          <c:order val="1"/>
          <c:tx>
            <c:strRef>
              <c:f>'21 Nov - 27 Nov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'21 Nov - 27 Nov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'21 Nov - 27 Nov  2022'!$E$5:$E$15</c:f>
              <c:numCache>
                <c:formatCode>#,##0.00</c:formatCode>
                <c:ptCount val="11"/>
                <c:pt idx="0">
                  <c:v>285667.40999999997</c:v>
                </c:pt>
                <c:pt idx="1">
                  <c:v>241715.58</c:v>
                </c:pt>
                <c:pt idx="2">
                  <c:v>248794.84</c:v>
                </c:pt>
                <c:pt idx="3">
                  <c:v>163499.22</c:v>
                </c:pt>
                <c:pt idx="4">
                  <c:v>231934.4</c:v>
                </c:pt>
                <c:pt idx="5">
                  <c:v>313779.59000000003</c:v>
                </c:pt>
                <c:pt idx="6">
                  <c:v>188003.06</c:v>
                </c:pt>
                <c:pt idx="7">
                  <c:v>222526.87</c:v>
                </c:pt>
                <c:pt idx="8">
                  <c:v>196663.77</c:v>
                </c:pt>
                <c:pt idx="9">
                  <c:v>178420.43</c:v>
                </c:pt>
                <c:pt idx="10">
                  <c:v>138208.69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2-4361-9638-A6DCA24D2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'28 Nov - 04 Dec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'28 Nov - 04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'28 Nov - 04 Dec  2022'!$B$5:$B$15</c:f>
              <c:numCache>
                <c:formatCode>#,##0.00</c:formatCode>
                <c:ptCount val="11"/>
                <c:pt idx="0">
                  <c:v>285667.40999999997</c:v>
                </c:pt>
                <c:pt idx="1">
                  <c:v>241715.58</c:v>
                </c:pt>
                <c:pt idx="2">
                  <c:v>248794.84</c:v>
                </c:pt>
                <c:pt idx="3">
                  <c:v>163499.22</c:v>
                </c:pt>
                <c:pt idx="4">
                  <c:v>231934.4</c:v>
                </c:pt>
                <c:pt idx="5">
                  <c:v>313779.59000000003</c:v>
                </c:pt>
                <c:pt idx="6">
                  <c:v>188003.06</c:v>
                </c:pt>
                <c:pt idx="7">
                  <c:v>222526.87</c:v>
                </c:pt>
                <c:pt idx="8">
                  <c:v>196663.77</c:v>
                </c:pt>
                <c:pt idx="9">
                  <c:v>178420.43</c:v>
                </c:pt>
                <c:pt idx="10">
                  <c:v>138208.69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C-4725-8C07-60639DCD529D}"/>
            </c:ext>
          </c:extLst>
        </c:ser>
        <c:ser>
          <c:idx val="3"/>
          <c:order val="1"/>
          <c:tx>
            <c:strRef>
              <c:f>'28 Nov - 04 Dec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'28 Nov - 04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'28 Nov - 04 Dec  2022'!$E$5:$E$15</c:f>
              <c:numCache>
                <c:formatCode>#,##0.00</c:formatCode>
                <c:ptCount val="11"/>
                <c:pt idx="0">
                  <c:v>316746.09999999998</c:v>
                </c:pt>
                <c:pt idx="1">
                  <c:v>255825.42</c:v>
                </c:pt>
                <c:pt idx="2">
                  <c:v>299885.07</c:v>
                </c:pt>
                <c:pt idx="3">
                  <c:v>187699.08</c:v>
                </c:pt>
                <c:pt idx="4">
                  <c:v>236228.94</c:v>
                </c:pt>
                <c:pt idx="5">
                  <c:v>472242.15</c:v>
                </c:pt>
                <c:pt idx="6">
                  <c:v>196747.98</c:v>
                </c:pt>
                <c:pt idx="7">
                  <c:v>249991.27</c:v>
                </c:pt>
                <c:pt idx="8">
                  <c:v>219139.93</c:v>
                </c:pt>
                <c:pt idx="9">
                  <c:v>195308.32</c:v>
                </c:pt>
                <c:pt idx="10">
                  <c:v>163235.68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EC-4725-8C07-60639DCD5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'5 Dec - 11 Dec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'5 Dec - 11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'5 Dec - 11 Dec  2022'!$B$5:$B$15</c:f>
              <c:numCache>
                <c:formatCode>#,##0.00</c:formatCode>
                <c:ptCount val="11"/>
                <c:pt idx="0">
                  <c:v>316746.09999999998</c:v>
                </c:pt>
                <c:pt idx="1">
                  <c:v>255825.42</c:v>
                </c:pt>
                <c:pt idx="2">
                  <c:v>299885.07</c:v>
                </c:pt>
                <c:pt idx="3">
                  <c:v>187699.08</c:v>
                </c:pt>
                <c:pt idx="4">
                  <c:v>236228.94</c:v>
                </c:pt>
                <c:pt idx="5">
                  <c:v>472242.15</c:v>
                </c:pt>
                <c:pt idx="6">
                  <c:v>196747.98</c:v>
                </c:pt>
                <c:pt idx="7">
                  <c:v>249991.27</c:v>
                </c:pt>
                <c:pt idx="8">
                  <c:v>219139.93</c:v>
                </c:pt>
                <c:pt idx="9">
                  <c:v>195308.32</c:v>
                </c:pt>
                <c:pt idx="10">
                  <c:v>163235.68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F9-48D5-A342-EF6C185224D3}"/>
            </c:ext>
          </c:extLst>
        </c:ser>
        <c:ser>
          <c:idx val="3"/>
          <c:order val="1"/>
          <c:tx>
            <c:strRef>
              <c:f>'5 Dec - 11 Dec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'5 Dec - 11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'5 Dec - 11 Dec  2022'!$E$5:$E$15</c:f>
              <c:numCache>
                <c:formatCode>#,##0.00</c:formatCode>
                <c:ptCount val="11"/>
                <c:pt idx="0">
                  <c:v>531765.01</c:v>
                </c:pt>
                <c:pt idx="1">
                  <c:v>258692</c:v>
                </c:pt>
                <c:pt idx="2">
                  <c:v>279468.55</c:v>
                </c:pt>
                <c:pt idx="3">
                  <c:v>185160.1</c:v>
                </c:pt>
                <c:pt idx="4">
                  <c:v>220919.26</c:v>
                </c:pt>
                <c:pt idx="5">
                  <c:v>472314.1</c:v>
                </c:pt>
                <c:pt idx="6">
                  <c:v>168387.31</c:v>
                </c:pt>
                <c:pt idx="7">
                  <c:v>249752.54</c:v>
                </c:pt>
                <c:pt idx="8">
                  <c:v>202404.23</c:v>
                </c:pt>
                <c:pt idx="9">
                  <c:v>190583.74</c:v>
                </c:pt>
                <c:pt idx="10">
                  <c:v>199997.88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F9-48D5-A342-EF6C18522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Dec - 18 Dec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Dec - 18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Dec - 18 Dec  2022'!$B$5:$B$15</c:f>
              <c:numCache>
                <c:formatCode>#,##0.00</c:formatCode>
                <c:ptCount val="11"/>
                <c:pt idx="0">
                  <c:v>531765.01</c:v>
                </c:pt>
                <c:pt idx="1">
                  <c:v>258692</c:v>
                </c:pt>
                <c:pt idx="2">
                  <c:v>279468.55</c:v>
                </c:pt>
                <c:pt idx="3">
                  <c:v>185160.1</c:v>
                </c:pt>
                <c:pt idx="4">
                  <c:v>220919.26</c:v>
                </c:pt>
                <c:pt idx="5">
                  <c:v>472314.1</c:v>
                </c:pt>
                <c:pt idx="6">
                  <c:v>168387.31</c:v>
                </c:pt>
                <c:pt idx="7">
                  <c:v>249752.54</c:v>
                </c:pt>
                <c:pt idx="8">
                  <c:v>202404.23</c:v>
                </c:pt>
                <c:pt idx="9">
                  <c:v>190583.74</c:v>
                </c:pt>
                <c:pt idx="10">
                  <c:v>199997.88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ECD-88CD-1C4A0B185AF7}"/>
            </c:ext>
          </c:extLst>
        </c:ser>
        <c:ser>
          <c:idx val="3"/>
          <c:order val="1"/>
          <c:tx>
            <c:strRef>
              <c:f>'12 Dec - 18 Dec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Dec - 18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Dec - 18 Dec  2022'!$E$5:$E$15</c:f>
              <c:numCache>
                <c:formatCode>#,##0.00</c:formatCode>
                <c:ptCount val="11"/>
                <c:pt idx="0">
                  <c:v>753851.76</c:v>
                </c:pt>
                <c:pt idx="1">
                  <c:v>262332.98</c:v>
                </c:pt>
                <c:pt idx="2">
                  <c:v>324105.99</c:v>
                </c:pt>
                <c:pt idx="3">
                  <c:v>179927.33</c:v>
                </c:pt>
                <c:pt idx="4">
                  <c:v>252958.38</c:v>
                </c:pt>
                <c:pt idx="5">
                  <c:v>555577.92000000004</c:v>
                </c:pt>
                <c:pt idx="6">
                  <c:v>142448.66</c:v>
                </c:pt>
                <c:pt idx="7">
                  <c:v>236135.13</c:v>
                </c:pt>
                <c:pt idx="8">
                  <c:v>208318.73</c:v>
                </c:pt>
                <c:pt idx="9">
                  <c:v>171701.27</c:v>
                </c:pt>
                <c:pt idx="10">
                  <c:v>176180.25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D-4ECD-88CD-1C4A0B185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Dec - 25 Dec  2022'!$B$3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Dec - 25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Dec - 25 Dec  2022'!$B$5:$B$15</c:f>
              <c:numCache>
                <c:formatCode>#,##0.00</c:formatCode>
                <c:ptCount val="11"/>
                <c:pt idx="0">
                  <c:v>753851.76</c:v>
                </c:pt>
                <c:pt idx="1">
                  <c:v>262332.98</c:v>
                </c:pt>
                <c:pt idx="2">
                  <c:v>324105.99</c:v>
                </c:pt>
                <c:pt idx="3">
                  <c:v>179927.33</c:v>
                </c:pt>
                <c:pt idx="4">
                  <c:v>252958.38</c:v>
                </c:pt>
                <c:pt idx="5">
                  <c:v>555577.92000000004</c:v>
                </c:pt>
                <c:pt idx="6">
                  <c:v>142448.66</c:v>
                </c:pt>
                <c:pt idx="7">
                  <c:v>236135.13</c:v>
                </c:pt>
                <c:pt idx="8">
                  <c:v>208318.73</c:v>
                </c:pt>
                <c:pt idx="9">
                  <c:v>171701.27</c:v>
                </c:pt>
                <c:pt idx="10">
                  <c:v>176180.25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D-4649-92B6-7AD32D35DF4C}"/>
            </c:ext>
          </c:extLst>
        </c:ser>
        <c:ser>
          <c:idx val="3"/>
          <c:order val="1"/>
          <c:tx>
            <c:strRef>
              <c:f>'19 Dec - 25 Dec  2022'!$E$3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Dec - 25 Dec  2022'!$A$5:$A$15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Dec - 25 Dec  2022'!$E$5:$E$15</c:f>
              <c:numCache>
                <c:formatCode>#,##0.00</c:formatCode>
                <c:ptCount val="11"/>
                <c:pt idx="0">
                  <c:v>1055996.24</c:v>
                </c:pt>
                <c:pt idx="1">
                  <c:v>193464.29</c:v>
                </c:pt>
                <c:pt idx="2">
                  <c:v>231394.79</c:v>
                </c:pt>
                <c:pt idx="3">
                  <c:v>120914.87</c:v>
                </c:pt>
                <c:pt idx="4">
                  <c:v>147743.62</c:v>
                </c:pt>
                <c:pt idx="5">
                  <c:v>394039.6</c:v>
                </c:pt>
                <c:pt idx="6">
                  <c:v>104594.63</c:v>
                </c:pt>
                <c:pt idx="7">
                  <c:v>164356.99</c:v>
                </c:pt>
                <c:pt idx="8">
                  <c:v>146821.74</c:v>
                </c:pt>
                <c:pt idx="9">
                  <c:v>114168.13</c:v>
                </c:pt>
                <c:pt idx="10">
                  <c:v>114185.38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CD-4649-92B6-7AD32D35D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Dec - 01 Jan 2023'!$B$3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Dec - 01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Dec - 01 Jan 2023'!$B$5:$B$15</c:f>
              <c:numCache>
                <c:formatCode>#,##0.00</c:formatCode>
                <c:ptCount val="11"/>
                <c:pt idx="0">
                  <c:v>1055996.24</c:v>
                </c:pt>
                <c:pt idx="1">
                  <c:v>193464.29</c:v>
                </c:pt>
                <c:pt idx="2">
                  <c:v>231394.79</c:v>
                </c:pt>
                <c:pt idx="3">
                  <c:v>120914.87</c:v>
                </c:pt>
                <c:pt idx="4">
                  <c:v>147743.62</c:v>
                </c:pt>
                <c:pt idx="5">
                  <c:v>394039.6</c:v>
                </c:pt>
                <c:pt idx="6">
                  <c:v>104594.63</c:v>
                </c:pt>
                <c:pt idx="7">
                  <c:v>164356.99</c:v>
                </c:pt>
                <c:pt idx="8">
                  <c:v>146821.74</c:v>
                </c:pt>
                <c:pt idx="9">
                  <c:v>114168.13</c:v>
                </c:pt>
                <c:pt idx="10">
                  <c:v>114185.38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CA-4BA4-B0B9-E3119E580050}"/>
            </c:ext>
          </c:extLst>
        </c:ser>
        <c:ser>
          <c:idx val="3"/>
          <c:order val="1"/>
          <c:tx>
            <c:strRef>
              <c:f>'26 Dec - 01 Jan 2023'!$E$3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Dec - 01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Dec - 01 Jan 2023'!$E$5:$E$15</c:f>
              <c:numCache>
                <c:formatCode>#,##0.00</c:formatCode>
                <c:ptCount val="11"/>
                <c:pt idx="0">
                  <c:v>1359614.32</c:v>
                </c:pt>
                <c:pt idx="1">
                  <c:v>213926.58</c:v>
                </c:pt>
                <c:pt idx="2">
                  <c:v>227415.57</c:v>
                </c:pt>
                <c:pt idx="3">
                  <c:v>133084.51999999999</c:v>
                </c:pt>
                <c:pt idx="4">
                  <c:v>184636.96</c:v>
                </c:pt>
                <c:pt idx="5">
                  <c:v>330942.74</c:v>
                </c:pt>
                <c:pt idx="6">
                  <c:v>108000.89</c:v>
                </c:pt>
                <c:pt idx="7">
                  <c:v>179247.74</c:v>
                </c:pt>
                <c:pt idx="8">
                  <c:v>189985.58</c:v>
                </c:pt>
                <c:pt idx="9">
                  <c:v>142441.73000000001</c:v>
                </c:pt>
                <c:pt idx="10">
                  <c:v>125980.13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CA-4BA4-B0B9-E3119E580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'02 Jan - 08 Jan 2023'!$B$3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'02 Jan - 08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'02 Jan - 08 Jan 2023'!$B$5:$B$15</c:f>
              <c:numCache>
                <c:formatCode>#,##0.00</c:formatCode>
                <c:ptCount val="11"/>
                <c:pt idx="0">
                  <c:v>1359614.32</c:v>
                </c:pt>
                <c:pt idx="1">
                  <c:v>213926.58</c:v>
                </c:pt>
                <c:pt idx="2">
                  <c:v>227415.57</c:v>
                </c:pt>
                <c:pt idx="3">
                  <c:v>133084.51999999999</c:v>
                </c:pt>
                <c:pt idx="4">
                  <c:v>184636.96</c:v>
                </c:pt>
                <c:pt idx="5">
                  <c:v>330942.74</c:v>
                </c:pt>
                <c:pt idx="6">
                  <c:v>108000.89</c:v>
                </c:pt>
                <c:pt idx="7">
                  <c:v>179247.74</c:v>
                </c:pt>
                <c:pt idx="8">
                  <c:v>189985.58</c:v>
                </c:pt>
                <c:pt idx="9">
                  <c:v>142441.73000000001</c:v>
                </c:pt>
                <c:pt idx="10">
                  <c:v>125980.13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C-441C-A9F6-F8BF63D57795}"/>
            </c:ext>
          </c:extLst>
        </c:ser>
        <c:ser>
          <c:idx val="3"/>
          <c:order val="1"/>
          <c:tx>
            <c:strRef>
              <c:f>'02 Jan - 08 Jan 2023'!$E$3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'02 Jan - 08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'02 Jan - 08 Jan 2023'!$E$5:$E$15</c:f>
              <c:numCache>
                <c:formatCode>#,##0.00</c:formatCode>
                <c:ptCount val="11"/>
                <c:pt idx="0">
                  <c:v>972309.74</c:v>
                </c:pt>
                <c:pt idx="1">
                  <c:v>246681.54</c:v>
                </c:pt>
                <c:pt idx="2">
                  <c:v>316128.71999999997</c:v>
                </c:pt>
                <c:pt idx="3">
                  <c:v>123062.7</c:v>
                </c:pt>
                <c:pt idx="4">
                  <c:v>205789.6</c:v>
                </c:pt>
                <c:pt idx="5">
                  <c:v>265487.40999999997</c:v>
                </c:pt>
                <c:pt idx="6">
                  <c:v>116270.71</c:v>
                </c:pt>
                <c:pt idx="7">
                  <c:v>195028.81</c:v>
                </c:pt>
                <c:pt idx="8">
                  <c:v>178940.87</c:v>
                </c:pt>
                <c:pt idx="9">
                  <c:v>93447.07</c:v>
                </c:pt>
                <c:pt idx="10">
                  <c:v>142237.48000000001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C-441C-A9F6-F8BF63D57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'09 Jan - 15 Jan 2023'!$B$3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'09 Jan - 15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'09 Jan - 15 Jan 2023'!$B$5:$B$15</c:f>
              <c:numCache>
                <c:formatCode>#,##0.00</c:formatCode>
                <c:ptCount val="11"/>
                <c:pt idx="0">
                  <c:v>972309.74</c:v>
                </c:pt>
                <c:pt idx="1">
                  <c:v>246681.54</c:v>
                </c:pt>
                <c:pt idx="2">
                  <c:v>316128.71999999997</c:v>
                </c:pt>
                <c:pt idx="3">
                  <c:v>123062.7</c:v>
                </c:pt>
                <c:pt idx="4">
                  <c:v>205789.6</c:v>
                </c:pt>
                <c:pt idx="5">
                  <c:v>265487.40999999997</c:v>
                </c:pt>
                <c:pt idx="6">
                  <c:v>116270.71</c:v>
                </c:pt>
                <c:pt idx="7">
                  <c:v>195028.81</c:v>
                </c:pt>
                <c:pt idx="8">
                  <c:v>178940.87</c:v>
                </c:pt>
                <c:pt idx="9">
                  <c:v>93447.07</c:v>
                </c:pt>
                <c:pt idx="10">
                  <c:v>142237.48000000001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8-4CF9-87DB-E14ABA57E046}"/>
            </c:ext>
          </c:extLst>
        </c:ser>
        <c:ser>
          <c:idx val="3"/>
          <c:order val="1"/>
          <c:tx>
            <c:strRef>
              <c:f>'09 Jan - 15 Jan 2023'!$E$3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'09 Jan - 15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'09 Jan - 15 Jan 2023'!$E$5:$E$15</c:f>
              <c:numCache>
                <c:formatCode>#,##0.00</c:formatCode>
                <c:ptCount val="11"/>
                <c:pt idx="0">
                  <c:v>487519.46</c:v>
                </c:pt>
                <c:pt idx="1">
                  <c:v>216580.11</c:v>
                </c:pt>
                <c:pt idx="2">
                  <c:v>240800.82</c:v>
                </c:pt>
                <c:pt idx="3">
                  <c:v>146081.28</c:v>
                </c:pt>
                <c:pt idx="4">
                  <c:v>195040.42</c:v>
                </c:pt>
                <c:pt idx="5">
                  <c:v>197824.33</c:v>
                </c:pt>
                <c:pt idx="6">
                  <c:v>104157.84</c:v>
                </c:pt>
                <c:pt idx="7">
                  <c:v>220940.37</c:v>
                </c:pt>
                <c:pt idx="8">
                  <c:v>172359.56</c:v>
                </c:pt>
                <c:pt idx="9">
                  <c:v>125133.94</c:v>
                </c:pt>
                <c:pt idx="10">
                  <c:v>131101.34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8-4CF9-87DB-E14ABA57E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'16 Jan - 22 Jan 2023'!$B$3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'16 Jan - 22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'16 Jan - 22 Jan 2023'!$B$5:$B$15</c:f>
              <c:numCache>
                <c:formatCode>#,##0.00</c:formatCode>
                <c:ptCount val="11"/>
                <c:pt idx="0">
                  <c:v>487519.46</c:v>
                </c:pt>
                <c:pt idx="1">
                  <c:v>216580.11</c:v>
                </c:pt>
                <c:pt idx="2">
                  <c:v>240800.82</c:v>
                </c:pt>
                <c:pt idx="3">
                  <c:v>146081.28</c:v>
                </c:pt>
                <c:pt idx="4">
                  <c:v>195040.42</c:v>
                </c:pt>
                <c:pt idx="5">
                  <c:v>197824.33</c:v>
                </c:pt>
                <c:pt idx="6">
                  <c:v>104157.84</c:v>
                </c:pt>
                <c:pt idx="7">
                  <c:v>220940.37</c:v>
                </c:pt>
                <c:pt idx="8">
                  <c:v>172359.56</c:v>
                </c:pt>
                <c:pt idx="9">
                  <c:v>125133.94</c:v>
                </c:pt>
                <c:pt idx="10">
                  <c:v>131101.34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1-4EAC-88BD-292B5C16BA4A}"/>
            </c:ext>
          </c:extLst>
        </c:ser>
        <c:ser>
          <c:idx val="3"/>
          <c:order val="1"/>
          <c:tx>
            <c:strRef>
              <c:f>'16 Jan - 22 Jan 2023'!$E$3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'16 Jan - 22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'16 Jan - 22 Jan 2023'!$E$5:$E$15</c:f>
              <c:numCache>
                <c:formatCode>#,##0.00</c:formatCode>
                <c:ptCount val="11"/>
                <c:pt idx="0">
                  <c:v>320410.36</c:v>
                </c:pt>
                <c:pt idx="1">
                  <c:v>224090.56</c:v>
                </c:pt>
                <c:pt idx="2">
                  <c:v>237247.77</c:v>
                </c:pt>
                <c:pt idx="3">
                  <c:v>126608.49</c:v>
                </c:pt>
                <c:pt idx="4">
                  <c:v>196915.12</c:v>
                </c:pt>
                <c:pt idx="5">
                  <c:v>206881.72</c:v>
                </c:pt>
                <c:pt idx="6">
                  <c:v>111387.59</c:v>
                </c:pt>
                <c:pt idx="7">
                  <c:v>211949.58</c:v>
                </c:pt>
                <c:pt idx="8">
                  <c:v>164303.17000000001</c:v>
                </c:pt>
                <c:pt idx="9">
                  <c:v>144611.63</c:v>
                </c:pt>
                <c:pt idx="10">
                  <c:v>135425.29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1-4EAC-88BD-292B5C16B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'23 Jan - 29 Jan 2023'!$B$3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'23 Jan - 29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'23 Jan - 29 Jan 2023'!$B$5:$B$15</c:f>
              <c:numCache>
                <c:formatCode>#,##0.00</c:formatCode>
                <c:ptCount val="11"/>
                <c:pt idx="0">
                  <c:v>320410.36</c:v>
                </c:pt>
                <c:pt idx="1">
                  <c:v>224090.56</c:v>
                </c:pt>
                <c:pt idx="2">
                  <c:v>237247.77</c:v>
                </c:pt>
                <c:pt idx="3">
                  <c:v>126608.49</c:v>
                </c:pt>
                <c:pt idx="4">
                  <c:v>196915.12</c:v>
                </c:pt>
                <c:pt idx="5">
                  <c:v>206881.72</c:v>
                </c:pt>
                <c:pt idx="6">
                  <c:v>111387.59</c:v>
                </c:pt>
                <c:pt idx="7">
                  <c:v>211949.58</c:v>
                </c:pt>
                <c:pt idx="8">
                  <c:v>164303.17000000001</c:v>
                </c:pt>
                <c:pt idx="9">
                  <c:v>144611.63</c:v>
                </c:pt>
                <c:pt idx="10">
                  <c:v>135425.29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F-4A5D-80C5-C54D6EB85950}"/>
            </c:ext>
          </c:extLst>
        </c:ser>
        <c:ser>
          <c:idx val="3"/>
          <c:order val="1"/>
          <c:tx>
            <c:strRef>
              <c:f>'23 Jan - 29 Jan 2023'!$E$3</c:f>
              <c:strCache>
                <c:ptCount val="1"/>
                <c:pt idx="0">
                  <c:v>T/Over Net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'23 Jan - 29 Jan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'23 Jan - 29 Jan 2023'!$E$5:$E$15</c:f>
              <c:numCache>
                <c:formatCode>#,##0.00</c:formatCode>
                <c:ptCount val="11"/>
                <c:pt idx="0">
                  <c:v>169180.6</c:v>
                </c:pt>
                <c:pt idx="1">
                  <c:v>255687.4</c:v>
                </c:pt>
                <c:pt idx="2">
                  <c:v>261146.62</c:v>
                </c:pt>
                <c:pt idx="3">
                  <c:v>147008.84</c:v>
                </c:pt>
                <c:pt idx="4">
                  <c:v>233762.21</c:v>
                </c:pt>
                <c:pt idx="5">
                  <c:v>245906.86</c:v>
                </c:pt>
                <c:pt idx="6">
                  <c:v>136294.53</c:v>
                </c:pt>
                <c:pt idx="7">
                  <c:v>229617.68</c:v>
                </c:pt>
                <c:pt idx="8">
                  <c:v>183536.42</c:v>
                </c:pt>
                <c:pt idx="9">
                  <c:v>140083.12</c:v>
                </c:pt>
                <c:pt idx="10">
                  <c:v>159223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F-4A5D-80C5-C54D6EB85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'30 Jan - 05 Feb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'30 Jan - 05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'30 Jan - 05 Feb 2023'!$C$5:$C$15</c:f>
              <c:numCache>
                <c:formatCode>#,##0.00</c:formatCode>
                <c:ptCount val="11"/>
                <c:pt idx="0">
                  <c:v>169180.6</c:v>
                </c:pt>
                <c:pt idx="1">
                  <c:v>255687.4</c:v>
                </c:pt>
                <c:pt idx="2">
                  <c:v>261146.62</c:v>
                </c:pt>
                <c:pt idx="3">
                  <c:v>147008.84</c:v>
                </c:pt>
                <c:pt idx="4">
                  <c:v>233762.21</c:v>
                </c:pt>
                <c:pt idx="5">
                  <c:v>245906.86</c:v>
                </c:pt>
                <c:pt idx="6">
                  <c:v>136294.53</c:v>
                </c:pt>
                <c:pt idx="7">
                  <c:v>229617.68</c:v>
                </c:pt>
                <c:pt idx="8">
                  <c:v>183536.42</c:v>
                </c:pt>
                <c:pt idx="9">
                  <c:v>140083.12</c:v>
                </c:pt>
                <c:pt idx="10">
                  <c:v>159223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5-4B93-9DA2-EE3A54EA3A6E}"/>
            </c:ext>
          </c:extLst>
        </c:ser>
        <c:ser>
          <c:idx val="3"/>
          <c:order val="1"/>
          <c:tx>
            <c:strRef>
              <c:f>'30 Jan - 05 Feb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'30 Jan - 05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'30 Jan - 05 Feb 2023'!$B$5:$B$15</c:f>
              <c:numCache>
                <c:formatCode>#,##0.00</c:formatCode>
                <c:ptCount val="11"/>
                <c:pt idx="1">
                  <c:v>242039.42</c:v>
                </c:pt>
                <c:pt idx="2">
                  <c:v>236290.59</c:v>
                </c:pt>
                <c:pt idx="3">
                  <c:v>129509</c:v>
                </c:pt>
                <c:pt idx="4">
                  <c:v>217415.04000000001</c:v>
                </c:pt>
                <c:pt idx="5">
                  <c:v>229895.69</c:v>
                </c:pt>
                <c:pt idx="6">
                  <c:v>136438.82999999999</c:v>
                </c:pt>
                <c:pt idx="7">
                  <c:v>214787.51</c:v>
                </c:pt>
                <c:pt idx="8">
                  <c:v>191737.13</c:v>
                </c:pt>
                <c:pt idx="9">
                  <c:v>178528.49</c:v>
                </c:pt>
                <c:pt idx="10">
                  <c:v>164266.12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5-4B93-9DA2-EE3A54EA3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Feb - 12 Feb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Feb - 12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'6 Feb - 12 Feb 2023'!$C$5:$C$15</c:f>
              <c:numCache>
                <c:formatCode>#,##0.00</c:formatCode>
                <c:ptCount val="11"/>
                <c:pt idx="0">
                  <c:v>298945.81</c:v>
                </c:pt>
                <c:pt idx="1">
                  <c:v>242039.42</c:v>
                </c:pt>
                <c:pt idx="2">
                  <c:v>236290.59</c:v>
                </c:pt>
                <c:pt idx="3">
                  <c:v>129509</c:v>
                </c:pt>
                <c:pt idx="4">
                  <c:v>217415.04000000001</c:v>
                </c:pt>
                <c:pt idx="5">
                  <c:v>229895.69</c:v>
                </c:pt>
                <c:pt idx="6">
                  <c:v>136438.82999999999</c:v>
                </c:pt>
                <c:pt idx="7">
                  <c:v>214787.51</c:v>
                </c:pt>
                <c:pt idx="8">
                  <c:v>191737.13</c:v>
                </c:pt>
                <c:pt idx="9">
                  <c:v>178528.49</c:v>
                </c:pt>
                <c:pt idx="10">
                  <c:v>164266.12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06-4CC1-9371-0E9A350DBBB8}"/>
            </c:ext>
          </c:extLst>
        </c:ser>
        <c:ser>
          <c:idx val="3"/>
          <c:order val="1"/>
          <c:tx>
            <c:strRef>
              <c:f>'6 Feb - 12 Feb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Feb - 12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'6 Feb - 12 Feb 2023'!$B$5:$B$15</c:f>
              <c:numCache>
                <c:formatCode>#,##0.00</c:formatCode>
                <c:ptCount val="11"/>
                <c:pt idx="0">
                  <c:v>327318.78999999998</c:v>
                </c:pt>
                <c:pt idx="1">
                  <c:v>225755.62</c:v>
                </c:pt>
                <c:pt idx="2">
                  <c:v>218640.04</c:v>
                </c:pt>
                <c:pt idx="3">
                  <c:v>128595.12</c:v>
                </c:pt>
                <c:pt idx="4">
                  <c:v>198421.22</c:v>
                </c:pt>
                <c:pt idx="5">
                  <c:v>158185.78</c:v>
                </c:pt>
                <c:pt idx="6">
                  <c:v>146668.79</c:v>
                </c:pt>
                <c:pt idx="7">
                  <c:v>217602.7</c:v>
                </c:pt>
                <c:pt idx="8">
                  <c:v>176484.39</c:v>
                </c:pt>
                <c:pt idx="9">
                  <c:v>137720.98000000001</c:v>
                </c:pt>
                <c:pt idx="10">
                  <c:v>154324.73000000001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06-4CC1-9371-0E9A350DB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Feb - 19 Feb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Feb - 19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'13 Feb - 19 Feb 2023'!$C$5:$C$15</c:f>
              <c:numCache>
                <c:formatCode>#,##0.00</c:formatCode>
                <c:ptCount val="11"/>
                <c:pt idx="0">
                  <c:v>327318.78999999998</c:v>
                </c:pt>
                <c:pt idx="1">
                  <c:v>225755.62</c:v>
                </c:pt>
                <c:pt idx="2">
                  <c:v>218640.04</c:v>
                </c:pt>
                <c:pt idx="3">
                  <c:v>128595.12</c:v>
                </c:pt>
                <c:pt idx="4">
                  <c:v>198421.22</c:v>
                </c:pt>
                <c:pt idx="5">
                  <c:v>158185.78</c:v>
                </c:pt>
                <c:pt idx="6">
                  <c:v>146668.79</c:v>
                </c:pt>
                <c:pt idx="7">
                  <c:v>217602.7</c:v>
                </c:pt>
                <c:pt idx="8">
                  <c:v>176484.39</c:v>
                </c:pt>
                <c:pt idx="9">
                  <c:v>137720.98000000001</c:v>
                </c:pt>
                <c:pt idx="10">
                  <c:v>154324.73000000001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6-4320-80FB-7E32B507DD95}"/>
            </c:ext>
          </c:extLst>
        </c:ser>
        <c:ser>
          <c:idx val="3"/>
          <c:order val="1"/>
          <c:tx>
            <c:strRef>
              <c:f>'13 Feb - 19 Feb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Feb - 19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'13 Feb - 19 Feb 2023'!$B$5:$B$15</c:f>
              <c:numCache>
                <c:formatCode>#,##0.00</c:formatCode>
                <c:ptCount val="11"/>
                <c:pt idx="0">
                  <c:v>365936.04</c:v>
                </c:pt>
                <c:pt idx="1">
                  <c:v>239113.47</c:v>
                </c:pt>
                <c:pt idx="2">
                  <c:v>275797.64</c:v>
                </c:pt>
                <c:pt idx="3">
                  <c:v>174381.63</c:v>
                </c:pt>
                <c:pt idx="4">
                  <c:v>286745.38</c:v>
                </c:pt>
                <c:pt idx="5">
                  <c:v>203270.01</c:v>
                </c:pt>
                <c:pt idx="6">
                  <c:v>161376.59</c:v>
                </c:pt>
                <c:pt idx="7">
                  <c:v>229013.27</c:v>
                </c:pt>
                <c:pt idx="8">
                  <c:v>186426.95</c:v>
                </c:pt>
                <c:pt idx="9">
                  <c:v>180224.26</c:v>
                </c:pt>
                <c:pt idx="10">
                  <c:v>220209.79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F6-4320-80FB-7E32B507D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Feb - 26 Feb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Feb - 26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'20 Feb - 26 Feb 2023'!$C$5:$C$15</c:f>
              <c:numCache>
                <c:formatCode>#,##0.00</c:formatCode>
                <c:ptCount val="11"/>
                <c:pt idx="0">
                  <c:v>365936.04</c:v>
                </c:pt>
                <c:pt idx="1">
                  <c:v>239113.47</c:v>
                </c:pt>
                <c:pt idx="2">
                  <c:v>275797.64</c:v>
                </c:pt>
                <c:pt idx="3">
                  <c:v>174381.63</c:v>
                </c:pt>
                <c:pt idx="4">
                  <c:v>286745.38</c:v>
                </c:pt>
                <c:pt idx="5">
                  <c:v>203270.01</c:v>
                </c:pt>
                <c:pt idx="6">
                  <c:v>161376.59</c:v>
                </c:pt>
                <c:pt idx="7">
                  <c:v>229013.27</c:v>
                </c:pt>
                <c:pt idx="8">
                  <c:v>186426.95</c:v>
                </c:pt>
                <c:pt idx="9">
                  <c:v>180224.26</c:v>
                </c:pt>
                <c:pt idx="10">
                  <c:v>220209.79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A-4641-94B5-136B943E5634}"/>
            </c:ext>
          </c:extLst>
        </c:ser>
        <c:ser>
          <c:idx val="3"/>
          <c:order val="1"/>
          <c:tx>
            <c:strRef>
              <c:f>'20 Feb - 26 Feb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Feb - 26 Feb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'20 Feb - 26 Feb 2023'!$B$5:$B$15</c:f>
              <c:numCache>
                <c:formatCode>#,##0.00</c:formatCode>
                <c:ptCount val="11"/>
                <c:pt idx="0">
                  <c:v>296067.74</c:v>
                </c:pt>
                <c:pt idx="1">
                  <c:v>236901.33</c:v>
                </c:pt>
                <c:pt idx="2">
                  <c:v>244342.49</c:v>
                </c:pt>
                <c:pt idx="3">
                  <c:v>160772.20000000001</c:v>
                </c:pt>
                <c:pt idx="4">
                  <c:v>232807.6</c:v>
                </c:pt>
                <c:pt idx="5">
                  <c:v>132305.98000000001</c:v>
                </c:pt>
                <c:pt idx="6">
                  <c:v>142849.51</c:v>
                </c:pt>
                <c:pt idx="7">
                  <c:v>239905.45</c:v>
                </c:pt>
                <c:pt idx="8">
                  <c:v>206239.3</c:v>
                </c:pt>
                <c:pt idx="9">
                  <c:v>133573.72</c:v>
                </c:pt>
                <c:pt idx="10">
                  <c:v>149964.4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BA-4641-94B5-136B943E5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Feb - 5 Mar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Feb - 5 Mar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'27 Feb - 5 Mar 2023'!$C$5:$C$15</c:f>
              <c:numCache>
                <c:formatCode>#,##0.00</c:formatCode>
                <c:ptCount val="11"/>
                <c:pt idx="0">
                  <c:v>296067.74</c:v>
                </c:pt>
                <c:pt idx="1">
                  <c:v>236901.33</c:v>
                </c:pt>
                <c:pt idx="2">
                  <c:v>244342.49</c:v>
                </c:pt>
                <c:pt idx="3">
                  <c:v>160772.20000000001</c:v>
                </c:pt>
                <c:pt idx="4">
                  <c:v>232807.6</c:v>
                </c:pt>
                <c:pt idx="5">
                  <c:v>132305.98000000001</c:v>
                </c:pt>
                <c:pt idx="6">
                  <c:v>142849.51</c:v>
                </c:pt>
                <c:pt idx="7">
                  <c:v>239905.45</c:v>
                </c:pt>
                <c:pt idx="8">
                  <c:v>206239.3</c:v>
                </c:pt>
                <c:pt idx="9">
                  <c:v>133573.72</c:v>
                </c:pt>
                <c:pt idx="10">
                  <c:v>149964.4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4-4D5A-864C-18616AC2C6CF}"/>
            </c:ext>
          </c:extLst>
        </c:ser>
        <c:ser>
          <c:idx val="3"/>
          <c:order val="1"/>
          <c:tx>
            <c:strRef>
              <c:f>'27 Feb - 5 Mar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Feb - 5 Mar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'27 Feb - 5 Mar 2023'!$B$5:$B$15</c:f>
              <c:numCache>
                <c:formatCode>#,##0.00</c:formatCode>
                <c:ptCount val="11"/>
                <c:pt idx="0">
                  <c:v>289319.99</c:v>
                </c:pt>
                <c:pt idx="1">
                  <c:v>254321.2</c:v>
                </c:pt>
                <c:pt idx="2">
                  <c:v>215892.02</c:v>
                </c:pt>
                <c:pt idx="3">
                  <c:v>151281.76</c:v>
                </c:pt>
                <c:pt idx="4">
                  <c:v>246719.88</c:v>
                </c:pt>
                <c:pt idx="6">
                  <c:v>156534.45000000001</c:v>
                </c:pt>
                <c:pt idx="7">
                  <c:v>199494.54</c:v>
                </c:pt>
                <c:pt idx="8">
                  <c:v>186765.79</c:v>
                </c:pt>
                <c:pt idx="9">
                  <c:v>139177.57</c:v>
                </c:pt>
                <c:pt idx="10">
                  <c:v>163346.59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4-4D5A-864C-18616AC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'6 Mar - 12 Mar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'6 Mar - 12 Mar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'6 Mar - 12 Mar 2023 '!$C$5:$C$15</c:f>
              <c:numCache>
                <c:formatCode>#,##0.00</c:formatCode>
                <c:ptCount val="11"/>
                <c:pt idx="0">
                  <c:v>289319.99</c:v>
                </c:pt>
                <c:pt idx="1">
                  <c:v>254321.2</c:v>
                </c:pt>
                <c:pt idx="2">
                  <c:v>215892.02</c:v>
                </c:pt>
                <c:pt idx="3">
                  <c:v>151281.76</c:v>
                </c:pt>
                <c:pt idx="4">
                  <c:v>246719.88</c:v>
                </c:pt>
                <c:pt idx="5">
                  <c:v>0</c:v>
                </c:pt>
                <c:pt idx="6">
                  <c:v>156534.45000000001</c:v>
                </c:pt>
                <c:pt idx="7">
                  <c:v>199494.54</c:v>
                </c:pt>
                <c:pt idx="8">
                  <c:v>186765.79</c:v>
                </c:pt>
                <c:pt idx="9">
                  <c:v>139177.57</c:v>
                </c:pt>
                <c:pt idx="10">
                  <c:v>163346.59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3-4233-8A2F-5BF606BE3971}"/>
            </c:ext>
          </c:extLst>
        </c:ser>
        <c:ser>
          <c:idx val="3"/>
          <c:order val="1"/>
          <c:tx>
            <c:strRef>
              <c:f>'6 Mar - 12 Mar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'6 Mar - 12 Mar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'6 Mar - 12 Mar 2023 '!$B$5:$B$15</c:f>
              <c:numCache>
                <c:formatCode>General</c:formatCode>
                <c:ptCount val="11"/>
                <c:pt idx="0">
                  <c:v>258961.91</c:v>
                </c:pt>
                <c:pt idx="1">
                  <c:v>204232.59</c:v>
                </c:pt>
                <c:pt idx="2">
                  <c:v>236925.02</c:v>
                </c:pt>
                <c:pt idx="3">
                  <c:v>124637.15</c:v>
                </c:pt>
                <c:pt idx="4">
                  <c:v>198247.33</c:v>
                </c:pt>
                <c:pt idx="6">
                  <c:v>139087.29</c:v>
                </c:pt>
                <c:pt idx="7">
                  <c:v>212428.92</c:v>
                </c:pt>
                <c:pt idx="8">
                  <c:v>167341.57999999999</c:v>
                </c:pt>
                <c:pt idx="9">
                  <c:v>146090.99</c:v>
                </c:pt>
                <c:pt idx="10">
                  <c:v>147064.92000000001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93-4233-8A2F-5BF606BE3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'13 Mar - 19 Mar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'13 Mar - 19 Mar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'13 Mar - 19 Mar 2023'!$C$5:$C$15</c:f>
              <c:numCache>
                <c:formatCode>#,##0.00</c:formatCode>
                <c:ptCount val="11"/>
                <c:pt idx="0">
                  <c:v>258961.91</c:v>
                </c:pt>
                <c:pt idx="1">
                  <c:v>204232.59</c:v>
                </c:pt>
                <c:pt idx="2">
                  <c:v>236925.02</c:v>
                </c:pt>
                <c:pt idx="3">
                  <c:v>124637.15</c:v>
                </c:pt>
                <c:pt idx="4">
                  <c:v>198247.33</c:v>
                </c:pt>
                <c:pt idx="6">
                  <c:v>139087.29</c:v>
                </c:pt>
                <c:pt idx="7">
                  <c:v>212428.92</c:v>
                </c:pt>
                <c:pt idx="8">
                  <c:v>167341.57999999999</c:v>
                </c:pt>
                <c:pt idx="9">
                  <c:v>146090.99</c:v>
                </c:pt>
                <c:pt idx="10">
                  <c:v>147064.92000000001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F-472A-89BB-B0B5DA8EF318}"/>
            </c:ext>
          </c:extLst>
        </c:ser>
        <c:ser>
          <c:idx val="3"/>
          <c:order val="1"/>
          <c:tx>
            <c:strRef>
              <c:f>'13 Mar - 19 Mar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'13 Mar - 19 Mar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'13 Mar - 19 Mar 2023'!$B$5:$B$15</c:f>
              <c:numCache>
                <c:formatCode>#,##0.00</c:formatCode>
                <c:ptCount val="11"/>
                <c:pt idx="0">
                  <c:v>340614.61</c:v>
                </c:pt>
                <c:pt idx="1">
                  <c:v>202176.17</c:v>
                </c:pt>
                <c:pt idx="2">
                  <c:v>199957.65</c:v>
                </c:pt>
                <c:pt idx="3">
                  <c:v>124761.94</c:v>
                </c:pt>
                <c:pt idx="4">
                  <c:v>207492.95</c:v>
                </c:pt>
                <c:pt idx="6">
                  <c:v>154427.39000000001</c:v>
                </c:pt>
                <c:pt idx="7">
                  <c:v>186789.8</c:v>
                </c:pt>
                <c:pt idx="8">
                  <c:v>171118.86</c:v>
                </c:pt>
                <c:pt idx="9">
                  <c:v>125512.51</c:v>
                </c:pt>
                <c:pt idx="10">
                  <c:v>142396.82999999999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F-472A-89BB-B0B5DA8EF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'20 Mar - 26 Mar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'20 Mar - 26 Mar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'20 Mar - 26 Mar 2023 '!$C$5:$C$15</c:f>
              <c:numCache>
                <c:formatCode>#,##0.00</c:formatCode>
                <c:ptCount val="11"/>
                <c:pt idx="0">
                  <c:v>340614.61</c:v>
                </c:pt>
                <c:pt idx="1">
                  <c:v>202176.17</c:v>
                </c:pt>
                <c:pt idx="2">
                  <c:v>199957.65</c:v>
                </c:pt>
                <c:pt idx="3">
                  <c:v>124761.94</c:v>
                </c:pt>
                <c:pt idx="4">
                  <c:v>207492.95</c:v>
                </c:pt>
                <c:pt idx="6">
                  <c:v>139087.29</c:v>
                </c:pt>
                <c:pt idx="7">
                  <c:v>186789.8</c:v>
                </c:pt>
                <c:pt idx="8">
                  <c:v>171118.86</c:v>
                </c:pt>
                <c:pt idx="9">
                  <c:v>125512.51</c:v>
                </c:pt>
                <c:pt idx="10">
                  <c:v>142396.82999999999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4-47B7-833B-4F40DC3C7F9F}"/>
            </c:ext>
          </c:extLst>
        </c:ser>
        <c:ser>
          <c:idx val="3"/>
          <c:order val="1"/>
          <c:tx>
            <c:strRef>
              <c:f>'20 Mar - 26 Mar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'20 Mar - 26 Mar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'20 Mar - 26 Mar 2023 '!$B$5:$B$15</c:f>
              <c:numCache>
                <c:formatCode>#,##0.00</c:formatCode>
                <c:ptCount val="11"/>
                <c:pt idx="0">
                  <c:v>361253.2</c:v>
                </c:pt>
                <c:pt idx="1">
                  <c:v>245800.43</c:v>
                </c:pt>
                <c:pt idx="2">
                  <c:v>284143.42</c:v>
                </c:pt>
                <c:pt idx="3">
                  <c:v>147747.95000000001</c:v>
                </c:pt>
                <c:pt idx="4">
                  <c:v>210366.12</c:v>
                </c:pt>
                <c:pt idx="6">
                  <c:v>147740.60999999999</c:v>
                </c:pt>
                <c:pt idx="7">
                  <c:v>194252</c:v>
                </c:pt>
                <c:pt idx="8">
                  <c:v>174871.18</c:v>
                </c:pt>
                <c:pt idx="9">
                  <c:v>161782.76</c:v>
                </c:pt>
                <c:pt idx="10">
                  <c:v>119939.62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4-47B7-833B-4F40DC3C7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'27 Mar - 02 April 2023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'27 Mar - 02 April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'27 Mar - 02 April 2023  '!$C$5:$C$15</c:f>
              <c:numCache>
                <c:formatCode>#,##0.00</c:formatCode>
                <c:ptCount val="11"/>
                <c:pt idx="0">
                  <c:v>361253.2</c:v>
                </c:pt>
                <c:pt idx="1">
                  <c:v>245800.43</c:v>
                </c:pt>
                <c:pt idx="2">
                  <c:v>284143.42</c:v>
                </c:pt>
                <c:pt idx="3">
                  <c:v>147747.95000000001</c:v>
                </c:pt>
                <c:pt idx="4">
                  <c:v>210366.12</c:v>
                </c:pt>
                <c:pt idx="6">
                  <c:v>147740.60999999999</c:v>
                </c:pt>
                <c:pt idx="7">
                  <c:v>194252</c:v>
                </c:pt>
                <c:pt idx="8">
                  <c:v>174871.18</c:v>
                </c:pt>
                <c:pt idx="9">
                  <c:v>161782.76</c:v>
                </c:pt>
                <c:pt idx="10">
                  <c:v>119939.62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B-433E-B409-422CFF54FD22}"/>
            </c:ext>
          </c:extLst>
        </c:ser>
        <c:ser>
          <c:idx val="3"/>
          <c:order val="1"/>
          <c:tx>
            <c:strRef>
              <c:f>'27 Mar - 02 April 2023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'27 Mar - 02 April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'27 Mar - 02 April 2023  '!$B$5:$B$15</c:f>
              <c:numCache>
                <c:formatCode>#,##0.00</c:formatCode>
                <c:ptCount val="11"/>
                <c:pt idx="0">
                  <c:v>492195.44</c:v>
                </c:pt>
                <c:pt idx="1">
                  <c:v>253188.68</c:v>
                </c:pt>
                <c:pt idx="2">
                  <c:v>252951.79</c:v>
                </c:pt>
                <c:pt idx="3">
                  <c:v>129792.93</c:v>
                </c:pt>
                <c:pt idx="4">
                  <c:v>221228.31</c:v>
                </c:pt>
                <c:pt idx="6">
                  <c:v>162449.88</c:v>
                </c:pt>
                <c:pt idx="7">
                  <c:v>219615.21</c:v>
                </c:pt>
                <c:pt idx="8">
                  <c:v>185089.09</c:v>
                </c:pt>
                <c:pt idx="9">
                  <c:v>144912.42000000001</c:v>
                </c:pt>
                <c:pt idx="10">
                  <c:v>133294.56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B-433E-B409-422CFF54F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'03 Mar - 09 April 2023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'03 Mar - 09 April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Mar - 09 April 2023  '!$C$5:$C$15</c:f>
              <c:numCache>
                <c:formatCode>#,##0.00</c:formatCode>
                <c:ptCount val="11"/>
                <c:pt idx="0">
                  <c:v>492195.44</c:v>
                </c:pt>
                <c:pt idx="1">
                  <c:v>253188.68</c:v>
                </c:pt>
                <c:pt idx="2">
                  <c:v>252951.79</c:v>
                </c:pt>
                <c:pt idx="3">
                  <c:v>129792.93</c:v>
                </c:pt>
                <c:pt idx="4">
                  <c:v>221228.31</c:v>
                </c:pt>
                <c:pt idx="6">
                  <c:v>162449.88</c:v>
                </c:pt>
                <c:pt idx="7">
                  <c:v>219615.21</c:v>
                </c:pt>
                <c:pt idx="8">
                  <c:v>185089.09</c:v>
                </c:pt>
                <c:pt idx="9">
                  <c:v>144912.42000000001</c:v>
                </c:pt>
                <c:pt idx="10">
                  <c:v>133294.56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3-4620-929C-945960D4A86A}"/>
            </c:ext>
          </c:extLst>
        </c:ser>
        <c:ser>
          <c:idx val="3"/>
          <c:order val="1"/>
          <c:tx>
            <c:strRef>
              <c:f>'03 Mar - 09 April 2023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'03 Mar - 09 April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Mar - 09 April 2023  '!$B$5:$B$15</c:f>
              <c:numCache>
                <c:formatCode>#,##0.00</c:formatCode>
                <c:ptCount val="11"/>
                <c:pt idx="0">
                  <c:v>708778.15</c:v>
                </c:pt>
                <c:pt idx="1">
                  <c:v>214153.71</c:v>
                </c:pt>
                <c:pt idx="2">
                  <c:v>251090.99</c:v>
                </c:pt>
                <c:pt idx="3">
                  <c:v>158504.13</c:v>
                </c:pt>
                <c:pt idx="4">
                  <c:v>180229.59</c:v>
                </c:pt>
                <c:pt idx="6">
                  <c:v>122768.07</c:v>
                </c:pt>
                <c:pt idx="7">
                  <c:v>147748.18</c:v>
                </c:pt>
                <c:pt idx="8">
                  <c:v>166128.23000000001</c:v>
                </c:pt>
                <c:pt idx="9">
                  <c:v>132525.17000000001</c:v>
                </c:pt>
                <c:pt idx="10">
                  <c:v>96961.12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3-4620-929C-945960D4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Mar - 16 April 2023 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Mar - 16 April 2023 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Mar - 16 April 2023   '!$C$5:$C$15</c:f>
              <c:numCache>
                <c:formatCode>#,##0.00</c:formatCode>
                <c:ptCount val="11"/>
                <c:pt idx="0">
                  <c:v>708778.15</c:v>
                </c:pt>
                <c:pt idx="1">
                  <c:v>214153.71</c:v>
                </c:pt>
                <c:pt idx="2">
                  <c:v>251090.99</c:v>
                </c:pt>
                <c:pt idx="3">
                  <c:v>158504.13</c:v>
                </c:pt>
                <c:pt idx="4">
                  <c:v>180229.59</c:v>
                </c:pt>
                <c:pt idx="6">
                  <c:v>122768.07</c:v>
                </c:pt>
                <c:pt idx="7">
                  <c:v>147748.18</c:v>
                </c:pt>
                <c:pt idx="8">
                  <c:v>166128.23000000001</c:v>
                </c:pt>
                <c:pt idx="9">
                  <c:v>132525.17000000001</c:v>
                </c:pt>
                <c:pt idx="10">
                  <c:v>96961.12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C-48CA-98B3-35CEF86AC2EF}"/>
            </c:ext>
          </c:extLst>
        </c:ser>
        <c:ser>
          <c:idx val="3"/>
          <c:order val="1"/>
          <c:tx>
            <c:strRef>
              <c:f>'10 Mar - 16 April 2023 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Mar - 16 April 2023 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Mar - 16 April 2023   '!$B$5:$B$15</c:f>
              <c:numCache>
                <c:formatCode>#,##0.00</c:formatCode>
                <c:ptCount val="11"/>
                <c:pt idx="0">
                  <c:v>347623.37</c:v>
                </c:pt>
                <c:pt idx="1">
                  <c:v>251695.12</c:v>
                </c:pt>
                <c:pt idx="2">
                  <c:v>251120.6</c:v>
                </c:pt>
                <c:pt idx="3">
                  <c:v>134829.23000000001</c:v>
                </c:pt>
                <c:pt idx="4">
                  <c:v>223820.94</c:v>
                </c:pt>
                <c:pt idx="6">
                  <c:v>153246.04999999999</c:v>
                </c:pt>
                <c:pt idx="7">
                  <c:v>205078.6</c:v>
                </c:pt>
                <c:pt idx="8">
                  <c:v>172027.86</c:v>
                </c:pt>
                <c:pt idx="9">
                  <c:v>130065.22</c:v>
                </c:pt>
                <c:pt idx="10">
                  <c:v>136471.6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C-48CA-98B3-35CEF86AC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Mar - 23 April 2023  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Mar - 23 April 2023  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Mar - 23 April 2023    '!$C$5:$C$15</c:f>
              <c:numCache>
                <c:formatCode>#,##0.00</c:formatCode>
                <c:ptCount val="11"/>
                <c:pt idx="0">
                  <c:v>347623.37</c:v>
                </c:pt>
                <c:pt idx="1">
                  <c:v>251695.12</c:v>
                </c:pt>
                <c:pt idx="2">
                  <c:v>251120.6</c:v>
                </c:pt>
                <c:pt idx="3">
                  <c:v>134829.23000000001</c:v>
                </c:pt>
                <c:pt idx="4">
                  <c:v>223820.94</c:v>
                </c:pt>
                <c:pt idx="6">
                  <c:v>153246.04999999999</c:v>
                </c:pt>
                <c:pt idx="7">
                  <c:v>205078.6</c:v>
                </c:pt>
                <c:pt idx="8">
                  <c:v>172027.86</c:v>
                </c:pt>
                <c:pt idx="9">
                  <c:v>130065.22</c:v>
                </c:pt>
                <c:pt idx="10">
                  <c:v>136471.6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3-4C5D-9C85-490EC783907A}"/>
            </c:ext>
          </c:extLst>
        </c:ser>
        <c:ser>
          <c:idx val="3"/>
          <c:order val="1"/>
          <c:tx>
            <c:strRef>
              <c:f>'17 Mar - 23 April 2023  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Mar - 23 April 2023  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Mar - 23 April 2023    '!$B$5:$B$15</c:f>
              <c:numCache>
                <c:formatCode>#,##0.00</c:formatCode>
                <c:ptCount val="11"/>
                <c:pt idx="0">
                  <c:v>256064.54</c:v>
                </c:pt>
                <c:pt idx="1">
                  <c:v>152531.62</c:v>
                </c:pt>
                <c:pt idx="2">
                  <c:v>214387.67</c:v>
                </c:pt>
                <c:pt idx="3">
                  <c:v>168522.9</c:v>
                </c:pt>
                <c:pt idx="4">
                  <c:v>222599.19</c:v>
                </c:pt>
                <c:pt idx="6">
                  <c:v>158992.32999999999</c:v>
                </c:pt>
                <c:pt idx="7">
                  <c:v>208196.26</c:v>
                </c:pt>
                <c:pt idx="8">
                  <c:v>161350.95000000001</c:v>
                </c:pt>
                <c:pt idx="9">
                  <c:v>137911.5</c:v>
                </c:pt>
                <c:pt idx="10">
                  <c:v>147084.65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3-4C5D-9C85-490EC7839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APRIL -30 April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APRIL -30 April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APRIL -30 April 2023 '!$C$5:$C$15</c:f>
              <c:numCache>
                <c:formatCode>#,##0.00</c:formatCode>
                <c:ptCount val="11"/>
                <c:pt idx="0">
                  <c:v>256064.54</c:v>
                </c:pt>
                <c:pt idx="1">
                  <c:v>152531.62</c:v>
                </c:pt>
                <c:pt idx="2">
                  <c:v>214387.67</c:v>
                </c:pt>
                <c:pt idx="3">
                  <c:v>168522.9</c:v>
                </c:pt>
                <c:pt idx="4">
                  <c:v>222599.19</c:v>
                </c:pt>
                <c:pt idx="6">
                  <c:v>158992.32999999999</c:v>
                </c:pt>
                <c:pt idx="7">
                  <c:v>208196.26</c:v>
                </c:pt>
                <c:pt idx="8">
                  <c:v>161350.95000000001</c:v>
                </c:pt>
                <c:pt idx="9">
                  <c:v>137911.5</c:v>
                </c:pt>
                <c:pt idx="10">
                  <c:v>147084.65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6-4593-9131-7659F8C721F9}"/>
            </c:ext>
          </c:extLst>
        </c:ser>
        <c:ser>
          <c:idx val="3"/>
          <c:order val="1"/>
          <c:tx>
            <c:strRef>
              <c:f>'24 APRIL -30 April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APRIL -30 April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APRIL -30 April 2023 '!$B$5:$B$15</c:f>
              <c:numCache>
                <c:formatCode>General</c:formatCode>
                <c:ptCount val="11"/>
                <c:pt idx="0">
                  <c:v>430839.24</c:v>
                </c:pt>
                <c:pt idx="1">
                  <c:v>263890.23</c:v>
                </c:pt>
                <c:pt idx="2">
                  <c:v>297212.74</c:v>
                </c:pt>
                <c:pt idx="3">
                  <c:v>143917.60999999999</c:v>
                </c:pt>
                <c:pt idx="4">
                  <c:v>224112.06</c:v>
                </c:pt>
                <c:pt idx="6">
                  <c:v>158678.04</c:v>
                </c:pt>
                <c:pt idx="7">
                  <c:v>218816.35</c:v>
                </c:pt>
                <c:pt idx="8">
                  <c:v>164585.42000000001</c:v>
                </c:pt>
                <c:pt idx="9">
                  <c:v>160577.60999999999</c:v>
                </c:pt>
                <c:pt idx="10">
                  <c:v>139321.73000000001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D6-4593-9131-7659F8C7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'01 May- 07 May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'01 May- 07 May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'01 May- 07 May 2023 '!$C$5:$C$15</c:f>
              <c:numCache>
                <c:formatCode>#,##0.00</c:formatCode>
                <c:ptCount val="11"/>
                <c:pt idx="0">
                  <c:v>430839.24</c:v>
                </c:pt>
                <c:pt idx="1">
                  <c:v>263890.23</c:v>
                </c:pt>
                <c:pt idx="2">
                  <c:v>297212.74</c:v>
                </c:pt>
                <c:pt idx="3">
                  <c:v>143917.60999999999</c:v>
                </c:pt>
                <c:pt idx="4">
                  <c:v>224112.06</c:v>
                </c:pt>
                <c:pt idx="6">
                  <c:v>158678.04</c:v>
                </c:pt>
                <c:pt idx="7">
                  <c:v>218816.35</c:v>
                </c:pt>
                <c:pt idx="8">
                  <c:v>164585.42000000001</c:v>
                </c:pt>
                <c:pt idx="9">
                  <c:v>160577.60999999999</c:v>
                </c:pt>
                <c:pt idx="10">
                  <c:v>139321.73000000001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4-4C40-9D1F-781AD1CC0B22}"/>
            </c:ext>
          </c:extLst>
        </c:ser>
        <c:ser>
          <c:idx val="3"/>
          <c:order val="1"/>
          <c:tx>
            <c:strRef>
              <c:f>'01 May- 07 May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'01 May- 07 May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'01 May- 07 May 2023 '!$B$5:$B$15</c:f>
              <c:numCache>
                <c:formatCode>#,##0.00</c:formatCode>
                <c:ptCount val="11"/>
                <c:pt idx="0">
                  <c:v>282242.64</c:v>
                </c:pt>
                <c:pt idx="1">
                  <c:v>144807.54999999999</c:v>
                </c:pt>
                <c:pt idx="2">
                  <c:v>205941.29</c:v>
                </c:pt>
                <c:pt idx="3">
                  <c:v>128699.4</c:v>
                </c:pt>
                <c:pt idx="4">
                  <c:v>175734.13</c:v>
                </c:pt>
                <c:pt idx="6">
                  <c:v>130160.48</c:v>
                </c:pt>
                <c:pt idx="7">
                  <c:v>186722.27</c:v>
                </c:pt>
                <c:pt idx="8">
                  <c:v>151512.03</c:v>
                </c:pt>
                <c:pt idx="9">
                  <c:v>133343.67999999999</c:v>
                </c:pt>
                <c:pt idx="10">
                  <c:v>148004.60999999999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4-4C40-9D1F-781AD1CC0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'08 May - 14 May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'08 May - 14 May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'08 May - 14 May 2023'!$C$5:$C$15</c:f>
              <c:numCache>
                <c:formatCode>#,##0.00</c:formatCode>
                <c:ptCount val="11"/>
                <c:pt idx="0">
                  <c:v>282242.64</c:v>
                </c:pt>
                <c:pt idx="1">
                  <c:v>144807.54999999999</c:v>
                </c:pt>
                <c:pt idx="2">
                  <c:v>205941.29</c:v>
                </c:pt>
                <c:pt idx="3">
                  <c:v>128699.4</c:v>
                </c:pt>
                <c:pt idx="4">
                  <c:v>175734.13</c:v>
                </c:pt>
                <c:pt idx="6">
                  <c:v>130160.48</c:v>
                </c:pt>
                <c:pt idx="7">
                  <c:v>186722.27</c:v>
                </c:pt>
                <c:pt idx="8">
                  <c:v>151512.03</c:v>
                </c:pt>
                <c:pt idx="9">
                  <c:v>133343.67999999999</c:v>
                </c:pt>
                <c:pt idx="10">
                  <c:v>148004.60999999999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F-4738-9C28-163301265B98}"/>
            </c:ext>
          </c:extLst>
        </c:ser>
        <c:ser>
          <c:idx val="3"/>
          <c:order val="1"/>
          <c:tx>
            <c:strRef>
              <c:f>'08 May - 14 May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'08 May - 14 May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'08 May - 14 May 2023'!$B$5:$B$15</c:f>
              <c:numCache>
                <c:formatCode>#,##0.00</c:formatCode>
                <c:ptCount val="11"/>
                <c:pt idx="0">
                  <c:v>235264.63</c:v>
                </c:pt>
                <c:pt idx="1">
                  <c:v>260508.36</c:v>
                </c:pt>
                <c:pt idx="2">
                  <c:v>260704.58</c:v>
                </c:pt>
                <c:pt idx="3">
                  <c:v>146820.56</c:v>
                </c:pt>
                <c:pt idx="4">
                  <c:v>254960.91</c:v>
                </c:pt>
                <c:pt idx="6">
                  <c:v>151374.37</c:v>
                </c:pt>
                <c:pt idx="7">
                  <c:v>205520.91</c:v>
                </c:pt>
                <c:pt idx="8">
                  <c:v>176783.39</c:v>
                </c:pt>
                <c:pt idx="9">
                  <c:v>161314.92000000001</c:v>
                </c:pt>
                <c:pt idx="10">
                  <c:v>158305.73000000001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F-4738-9C28-163301265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'15 May - 21 May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'15 May - 21 May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'15 May - 21 May 2023 '!$C$5:$C$15</c:f>
              <c:numCache>
                <c:formatCode>#,##0.00</c:formatCode>
                <c:ptCount val="11"/>
                <c:pt idx="0">
                  <c:v>235264.63</c:v>
                </c:pt>
                <c:pt idx="1">
                  <c:v>260508.36</c:v>
                </c:pt>
                <c:pt idx="2">
                  <c:v>260704.58</c:v>
                </c:pt>
                <c:pt idx="3">
                  <c:v>146820.56</c:v>
                </c:pt>
                <c:pt idx="4">
                  <c:v>254960.91</c:v>
                </c:pt>
                <c:pt idx="6">
                  <c:v>151374.37</c:v>
                </c:pt>
                <c:pt idx="7">
                  <c:v>205520.91</c:v>
                </c:pt>
                <c:pt idx="8">
                  <c:v>176783.39</c:v>
                </c:pt>
                <c:pt idx="9">
                  <c:v>161314.92000000001</c:v>
                </c:pt>
                <c:pt idx="10">
                  <c:v>158305.73000000001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B-43C8-A851-2FEC9371DCD6}"/>
            </c:ext>
          </c:extLst>
        </c:ser>
        <c:ser>
          <c:idx val="3"/>
          <c:order val="1"/>
          <c:tx>
            <c:strRef>
              <c:f>'15 May - 21 May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'15 May - 21 May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'15 May - 21 May 2023 '!$B$5:$B$15</c:f>
              <c:numCache>
                <c:formatCode>#,##0.00</c:formatCode>
                <c:ptCount val="11"/>
                <c:pt idx="0">
                  <c:v>210107.49</c:v>
                </c:pt>
                <c:pt idx="1">
                  <c:v>206591.3</c:v>
                </c:pt>
                <c:pt idx="2">
                  <c:v>208209.65</c:v>
                </c:pt>
                <c:pt idx="3">
                  <c:v>123227.5</c:v>
                </c:pt>
                <c:pt idx="4" formatCode="General">
                  <c:v>208620.72</c:v>
                </c:pt>
                <c:pt idx="6">
                  <c:v>128339.83</c:v>
                </c:pt>
                <c:pt idx="7">
                  <c:v>205968.85</c:v>
                </c:pt>
                <c:pt idx="8">
                  <c:v>139225.64000000001</c:v>
                </c:pt>
                <c:pt idx="9">
                  <c:v>158859.57999999999</c:v>
                </c:pt>
                <c:pt idx="10">
                  <c:v>147176.59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B-43C8-A851-2FEC9371D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'22 May - 28 May 2023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'22 May - 28 May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'22 May - 28 May 2023  '!$C$5:$C$15</c:f>
              <c:numCache>
                <c:formatCode>#,##0.00</c:formatCode>
                <c:ptCount val="11"/>
                <c:pt idx="0">
                  <c:v>210107.49</c:v>
                </c:pt>
                <c:pt idx="1">
                  <c:v>206591.3</c:v>
                </c:pt>
                <c:pt idx="2">
                  <c:v>208209.65</c:v>
                </c:pt>
                <c:pt idx="3">
                  <c:v>123227.5</c:v>
                </c:pt>
                <c:pt idx="4">
                  <c:v>208620.72</c:v>
                </c:pt>
                <c:pt idx="6">
                  <c:v>128339.83</c:v>
                </c:pt>
                <c:pt idx="7">
                  <c:v>205968.85</c:v>
                </c:pt>
                <c:pt idx="8">
                  <c:v>139225.64000000001</c:v>
                </c:pt>
                <c:pt idx="9">
                  <c:v>158859.57999999999</c:v>
                </c:pt>
                <c:pt idx="10">
                  <c:v>147176.59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60-4D46-920E-428CB3504D1B}"/>
            </c:ext>
          </c:extLst>
        </c:ser>
        <c:ser>
          <c:idx val="3"/>
          <c:order val="1"/>
          <c:tx>
            <c:strRef>
              <c:f>'22 May - 28 May 2023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'22 May - 28 May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'22 May - 28 May 2023  '!$B$5:$B$15</c:f>
              <c:numCache>
                <c:formatCode>#,##0.00</c:formatCode>
                <c:ptCount val="11"/>
                <c:pt idx="0">
                  <c:v>200471.92</c:v>
                </c:pt>
                <c:pt idx="1">
                  <c:v>227736.26</c:v>
                </c:pt>
                <c:pt idx="2">
                  <c:v>234482.01</c:v>
                </c:pt>
                <c:pt idx="3">
                  <c:v>157775.57999999999</c:v>
                </c:pt>
                <c:pt idx="4">
                  <c:v>201028.07</c:v>
                </c:pt>
                <c:pt idx="6">
                  <c:v>147804.75</c:v>
                </c:pt>
                <c:pt idx="7">
                  <c:v>221187.54</c:v>
                </c:pt>
                <c:pt idx="8">
                  <c:v>189414.41</c:v>
                </c:pt>
                <c:pt idx="9">
                  <c:v>142449.04</c:v>
                </c:pt>
                <c:pt idx="10">
                  <c:v>146686.49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60-4D46-920E-428CB3504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'29 May - 04 June 2023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'29 May - 04 June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'29 May - 04 June 2023  '!$C$5:$C$15</c:f>
              <c:numCache>
                <c:formatCode>#,##0.00</c:formatCode>
                <c:ptCount val="11"/>
                <c:pt idx="0">
                  <c:v>200471.92</c:v>
                </c:pt>
                <c:pt idx="1">
                  <c:v>227736.26</c:v>
                </c:pt>
                <c:pt idx="2">
                  <c:v>234482.01</c:v>
                </c:pt>
                <c:pt idx="3">
                  <c:v>157775.57999999999</c:v>
                </c:pt>
                <c:pt idx="4">
                  <c:v>201028.07</c:v>
                </c:pt>
                <c:pt idx="6">
                  <c:v>147804.75</c:v>
                </c:pt>
                <c:pt idx="7">
                  <c:v>221187.54</c:v>
                </c:pt>
                <c:pt idx="8">
                  <c:v>189414.41</c:v>
                </c:pt>
                <c:pt idx="9">
                  <c:v>142449.04</c:v>
                </c:pt>
                <c:pt idx="10">
                  <c:v>146686.49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6-499A-9953-20385B6C6514}"/>
            </c:ext>
          </c:extLst>
        </c:ser>
        <c:ser>
          <c:idx val="3"/>
          <c:order val="1"/>
          <c:tx>
            <c:strRef>
              <c:f>'29 May - 04 June 2023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'29 May - 04 June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'29 May - 04 June 2023  '!$B$5:$B$15</c:f>
              <c:numCache>
                <c:formatCode>#,##0.00</c:formatCode>
                <c:ptCount val="11"/>
                <c:pt idx="0">
                  <c:v>210413.06</c:v>
                </c:pt>
                <c:pt idx="1">
                  <c:v>226130.92</c:v>
                </c:pt>
                <c:pt idx="2">
                  <c:v>229601.65</c:v>
                </c:pt>
                <c:pt idx="3">
                  <c:v>128627.21</c:v>
                </c:pt>
                <c:pt idx="4">
                  <c:v>206815.27</c:v>
                </c:pt>
                <c:pt idx="6">
                  <c:v>153031.51</c:v>
                </c:pt>
                <c:pt idx="7">
                  <c:v>206815.27</c:v>
                </c:pt>
                <c:pt idx="8">
                  <c:v>178077.76</c:v>
                </c:pt>
                <c:pt idx="9">
                  <c:v>159860.92000000001</c:v>
                </c:pt>
                <c:pt idx="10">
                  <c:v>139059.18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6-499A-9953-20385B6C6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'05 June - 11 June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'05 June - 11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'05 June - 11 June 2023'!$C$5:$C$15</c:f>
              <c:numCache>
                <c:formatCode>#,##0.00</c:formatCode>
                <c:ptCount val="11"/>
                <c:pt idx="0">
                  <c:v>210413.06</c:v>
                </c:pt>
                <c:pt idx="1">
                  <c:v>226130.92</c:v>
                </c:pt>
                <c:pt idx="2">
                  <c:v>229601.65</c:v>
                </c:pt>
                <c:pt idx="3">
                  <c:v>128627.21</c:v>
                </c:pt>
                <c:pt idx="4">
                  <c:v>206815.27</c:v>
                </c:pt>
                <c:pt idx="6">
                  <c:v>153031.51</c:v>
                </c:pt>
                <c:pt idx="7">
                  <c:v>206815.27</c:v>
                </c:pt>
                <c:pt idx="8">
                  <c:v>178077.76</c:v>
                </c:pt>
                <c:pt idx="9">
                  <c:v>159860.92000000001</c:v>
                </c:pt>
                <c:pt idx="10">
                  <c:v>139059.18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C0-4E1C-AB0B-BE3748FEB3D7}"/>
            </c:ext>
          </c:extLst>
        </c:ser>
        <c:ser>
          <c:idx val="3"/>
          <c:order val="1"/>
          <c:tx>
            <c:strRef>
              <c:f>'05 June - 11 June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'05 June - 11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'05 June - 11 June 2023'!$B$5:$B$15</c:f>
              <c:numCache>
                <c:formatCode>#,##0.00</c:formatCode>
                <c:ptCount val="11"/>
                <c:pt idx="0">
                  <c:v>181478.97</c:v>
                </c:pt>
                <c:pt idx="1">
                  <c:v>199057.23</c:v>
                </c:pt>
                <c:pt idx="2">
                  <c:v>192032.06</c:v>
                </c:pt>
                <c:pt idx="3">
                  <c:v>116136.99</c:v>
                </c:pt>
                <c:pt idx="4">
                  <c:v>165245.82</c:v>
                </c:pt>
                <c:pt idx="6">
                  <c:v>137563.87</c:v>
                </c:pt>
                <c:pt idx="7">
                  <c:v>187763.51</c:v>
                </c:pt>
                <c:pt idx="8">
                  <c:v>156087.17000000001</c:v>
                </c:pt>
                <c:pt idx="9">
                  <c:v>126323.85</c:v>
                </c:pt>
                <c:pt idx="10">
                  <c:v>120731.9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C0-4E1C-AB0B-BE3748FE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'12 June - 18 June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'12 June - 18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June - 18 June 2023'!$C$5:$C$15</c:f>
              <c:numCache>
                <c:formatCode>#,##0.00</c:formatCode>
                <c:ptCount val="11"/>
                <c:pt idx="0">
                  <c:v>181478.97</c:v>
                </c:pt>
                <c:pt idx="1">
                  <c:v>199057.23</c:v>
                </c:pt>
                <c:pt idx="2">
                  <c:v>192032.06</c:v>
                </c:pt>
                <c:pt idx="3">
                  <c:v>116136.99</c:v>
                </c:pt>
                <c:pt idx="4">
                  <c:v>165245.82</c:v>
                </c:pt>
                <c:pt idx="6">
                  <c:v>137563.87</c:v>
                </c:pt>
                <c:pt idx="7">
                  <c:v>187763.51</c:v>
                </c:pt>
                <c:pt idx="8">
                  <c:v>156087.17000000001</c:v>
                </c:pt>
                <c:pt idx="9">
                  <c:v>126323.85</c:v>
                </c:pt>
                <c:pt idx="10">
                  <c:v>120731.9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E-4D36-BBA3-8CEBB812E18F}"/>
            </c:ext>
          </c:extLst>
        </c:ser>
        <c:ser>
          <c:idx val="3"/>
          <c:order val="1"/>
          <c:tx>
            <c:strRef>
              <c:f>'12 June - 18 June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'12 June - 18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'12 June - 18 June 2023'!$B$5:$B$15</c:f>
              <c:numCache>
                <c:formatCode>#,##0.00</c:formatCode>
                <c:ptCount val="11"/>
                <c:pt idx="0">
                  <c:v>243499.44</c:v>
                </c:pt>
                <c:pt idx="1">
                  <c:v>229137.44</c:v>
                </c:pt>
                <c:pt idx="2">
                  <c:v>302389.44</c:v>
                </c:pt>
                <c:pt idx="3">
                  <c:v>136813.03</c:v>
                </c:pt>
                <c:pt idx="4">
                  <c:v>192771.42</c:v>
                </c:pt>
                <c:pt idx="6">
                  <c:v>115294.34</c:v>
                </c:pt>
                <c:pt idx="7">
                  <c:v>185620.15</c:v>
                </c:pt>
                <c:pt idx="8">
                  <c:v>146978.96</c:v>
                </c:pt>
                <c:pt idx="9">
                  <c:v>147917.28</c:v>
                </c:pt>
                <c:pt idx="10">
                  <c:v>125594.26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8E-4D36-BBA3-8CEBB812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'19 June - 25 June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'19 June - 25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June - 25 June 2023'!$C$5:$C$15</c:f>
              <c:numCache>
                <c:formatCode>#,##0.00</c:formatCode>
                <c:ptCount val="11"/>
                <c:pt idx="0">
                  <c:v>243499.44</c:v>
                </c:pt>
                <c:pt idx="1">
                  <c:v>229137.44</c:v>
                </c:pt>
                <c:pt idx="2">
                  <c:v>302389.44</c:v>
                </c:pt>
                <c:pt idx="3">
                  <c:v>136813.03</c:v>
                </c:pt>
                <c:pt idx="4">
                  <c:v>192771.42</c:v>
                </c:pt>
                <c:pt idx="6">
                  <c:v>115294.34</c:v>
                </c:pt>
                <c:pt idx="7">
                  <c:v>185620.15</c:v>
                </c:pt>
                <c:pt idx="8">
                  <c:v>146978.96</c:v>
                </c:pt>
                <c:pt idx="9">
                  <c:v>147917.28</c:v>
                </c:pt>
                <c:pt idx="10">
                  <c:v>125594.26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8-486E-B9F6-488768EA8EFE}"/>
            </c:ext>
          </c:extLst>
        </c:ser>
        <c:ser>
          <c:idx val="3"/>
          <c:order val="1"/>
          <c:tx>
            <c:strRef>
              <c:f>'19 June - 25 June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'19 June - 25 June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'19 June - 25 June 2023'!$B$5:$B$15</c:f>
              <c:numCache>
                <c:formatCode>#,##0.00</c:formatCode>
                <c:ptCount val="11"/>
                <c:pt idx="0">
                  <c:v>221631.03</c:v>
                </c:pt>
                <c:pt idx="1">
                  <c:v>219847.95</c:v>
                </c:pt>
                <c:pt idx="2">
                  <c:v>263562.12</c:v>
                </c:pt>
                <c:pt idx="3">
                  <c:v>159785.89000000001</c:v>
                </c:pt>
                <c:pt idx="4">
                  <c:v>199326.5</c:v>
                </c:pt>
                <c:pt idx="6">
                  <c:v>146351.63</c:v>
                </c:pt>
                <c:pt idx="7">
                  <c:v>200165.74</c:v>
                </c:pt>
                <c:pt idx="8">
                  <c:v>165920.04999999999</c:v>
                </c:pt>
                <c:pt idx="9">
                  <c:v>146592.32999999999</c:v>
                </c:pt>
                <c:pt idx="10">
                  <c:v>130797.48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E8-486E-B9F6-488768EA8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'26 June - 2 July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'26 June - 2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June - 2 July 2023'!$C$5:$C$15</c:f>
              <c:numCache>
                <c:formatCode>#,##0.00</c:formatCode>
                <c:ptCount val="11"/>
                <c:pt idx="0">
                  <c:v>221631.03</c:v>
                </c:pt>
                <c:pt idx="1">
                  <c:v>219847.95</c:v>
                </c:pt>
                <c:pt idx="2">
                  <c:v>263562.12</c:v>
                </c:pt>
                <c:pt idx="3">
                  <c:v>159785.89000000001</c:v>
                </c:pt>
                <c:pt idx="4">
                  <c:v>199326.5</c:v>
                </c:pt>
                <c:pt idx="6">
                  <c:v>146351.63</c:v>
                </c:pt>
                <c:pt idx="7">
                  <c:v>200165.74</c:v>
                </c:pt>
                <c:pt idx="8">
                  <c:v>165920.04999999999</c:v>
                </c:pt>
                <c:pt idx="9">
                  <c:v>146592.32999999999</c:v>
                </c:pt>
                <c:pt idx="10">
                  <c:v>130797.48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55-4218-95A5-A7D5E5785291}"/>
            </c:ext>
          </c:extLst>
        </c:ser>
        <c:ser>
          <c:idx val="3"/>
          <c:order val="1"/>
          <c:tx>
            <c:strRef>
              <c:f>'26 June - 2 July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'26 June - 2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'26 June - 2 July 2023'!$B$5:$B$15</c:f>
              <c:numCache>
                <c:formatCode>#,##0.00</c:formatCode>
                <c:ptCount val="11"/>
                <c:pt idx="0">
                  <c:v>333142.98</c:v>
                </c:pt>
                <c:pt idx="1">
                  <c:v>233802.48</c:v>
                </c:pt>
                <c:pt idx="2">
                  <c:v>300875.84000000003</c:v>
                </c:pt>
                <c:pt idx="3">
                  <c:v>173301.53</c:v>
                </c:pt>
                <c:pt idx="4">
                  <c:v>236084.36</c:v>
                </c:pt>
                <c:pt idx="6">
                  <c:v>137926.81</c:v>
                </c:pt>
                <c:pt idx="7">
                  <c:v>195510.25</c:v>
                </c:pt>
                <c:pt idx="8">
                  <c:v>182997.95</c:v>
                </c:pt>
                <c:pt idx="9">
                  <c:v>138240.4</c:v>
                </c:pt>
                <c:pt idx="10">
                  <c:v>148648.95999999999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55-4218-95A5-A7D5E5785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'03 July - 9 July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'03 July - 9 July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July - 9 July 2023 '!$C$5:$C$15</c:f>
              <c:numCache>
                <c:formatCode>#,##0.00</c:formatCode>
                <c:ptCount val="11"/>
                <c:pt idx="0">
                  <c:v>333142.98</c:v>
                </c:pt>
                <c:pt idx="1">
                  <c:v>233802.48</c:v>
                </c:pt>
                <c:pt idx="2">
                  <c:v>300875.84000000003</c:v>
                </c:pt>
                <c:pt idx="3">
                  <c:v>173301.53</c:v>
                </c:pt>
                <c:pt idx="4">
                  <c:v>236084.36</c:v>
                </c:pt>
                <c:pt idx="6">
                  <c:v>137926.81</c:v>
                </c:pt>
                <c:pt idx="7">
                  <c:v>195510.25</c:v>
                </c:pt>
                <c:pt idx="8">
                  <c:v>182997.95</c:v>
                </c:pt>
                <c:pt idx="9">
                  <c:v>138240.4</c:v>
                </c:pt>
                <c:pt idx="10">
                  <c:v>148648.95999999999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36-4C17-8F31-D59FA4CAC714}"/>
            </c:ext>
          </c:extLst>
        </c:ser>
        <c:ser>
          <c:idx val="3"/>
          <c:order val="1"/>
          <c:tx>
            <c:strRef>
              <c:f>'03 July - 9 July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'03 July - 9 July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'03 July - 9 July 2023 '!$B$5:$B$15</c:f>
              <c:numCache>
                <c:formatCode>#,##0.00</c:formatCode>
                <c:ptCount val="11"/>
                <c:pt idx="0">
                  <c:v>345609.59</c:v>
                </c:pt>
                <c:pt idx="1">
                  <c:v>209045.42</c:v>
                </c:pt>
                <c:pt idx="2">
                  <c:v>255099.92</c:v>
                </c:pt>
                <c:pt idx="4">
                  <c:v>193340.12</c:v>
                </c:pt>
                <c:pt idx="6">
                  <c:v>106095.74</c:v>
                </c:pt>
                <c:pt idx="7">
                  <c:v>221165.64</c:v>
                </c:pt>
                <c:pt idx="8">
                  <c:v>172931.57</c:v>
                </c:pt>
                <c:pt idx="9">
                  <c:v>144683.57999999999</c:v>
                </c:pt>
                <c:pt idx="10">
                  <c:v>126682.94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36-4C17-8F31-D59FA4CAC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'10 July - 16 July 2023 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'10 July - 16 July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July - 16 July 2023  '!$C$5:$C$15</c:f>
              <c:numCache>
                <c:formatCode>#,##0.00</c:formatCode>
                <c:ptCount val="11"/>
                <c:pt idx="0">
                  <c:v>345609.59</c:v>
                </c:pt>
                <c:pt idx="1">
                  <c:v>209045.42</c:v>
                </c:pt>
                <c:pt idx="2">
                  <c:v>255099.92</c:v>
                </c:pt>
                <c:pt idx="4">
                  <c:v>193340.12</c:v>
                </c:pt>
                <c:pt idx="6">
                  <c:v>106095.74</c:v>
                </c:pt>
                <c:pt idx="7">
                  <c:v>221165.64</c:v>
                </c:pt>
                <c:pt idx="8">
                  <c:v>172931.57</c:v>
                </c:pt>
                <c:pt idx="9">
                  <c:v>144683.57999999999</c:v>
                </c:pt>
                <c:pt idx="10">
                  <c:v>126682.94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8-4617-8420-F88DD109C3EB}"/>
            </c:ext>
          </c:extLst>
        </c:ser>
        <c:ser>
          <c:idx val="3"/>
          <c:order val="1"/>
          <c:tx>
            <c:strRef>
              <c:f>'10 July - 16 July 2023 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'10 July - 16 July 2023 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'10 July - 16 July 2023  '!$B$5:$B$15</c:f>
              <c:numCache>
                <c:formatCode>#,##0.00</c:formatCode>
                <c:ptCount val="11"/>
                <c:pt idx="0">
                  <c:v>336127.2</c:v>
                </c:pt>
                <c:pt idx="1">
                  <c:v>248766.27</c:v>
                </c:pt>
                <c:pt idx="2">
                  <c:v>283042.15000000002</c:v>
                </c:pt>
                <c:pt idx="4">
                  <c:v>238413.34</c:v>
                </c:pt>
                <c:pt idx="6">
                  <c:v>128332.05</c:v>
                </c:pt>
                <c:pt idx="7">
                  <c:v>230641.07</c:v>
                </c:pt>
                <c:pt idx="8">
                  <c:v>170480.68</c:v>
                </c:pt>
                <c:pt idx="9">
                  <c:v>140702.34</c:v>
                </c:pt>
                <c:pt idx="10">
                  <c:v>143628.35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08-4617-8420-F88DD109C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'17 July - 23 July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'17 July - 23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July - 23 July 2023'!$C$5:$C$15</c:f>
              <c:numCache>
                <c:formatCode>#,##0.00</c:formatCode>
                <c:ptCount val="11"/>
                <c:pt idx="0">
                  <c:v>336127.2</c:v>
                </c:pt>
                <c:pt idx="1">
                  <c:v>248766.27</c:v>
                </c:pt>
                <c:pt idx="2">
                  <c:v>283042.15000000002</c:v>
                </c:pt>
                <c:pt idx="4">
                  <c:v>238413.34</c:v>
                </c:pt>
                <c:pt idx="6">
                  <c:v>128332.05</c:v>
                </c:pt>
                <c:pt idx="7">
                  <c:v>230641.07</c:v>
                </c:pt>
                <c:pt idx="8">
                  <c:v>170480.68</c:v>
                </c:pt>
                <c:pt idx="9">
                  <c:v>140702.34</c:v>
                </c:pt>
                <c:pt idx="10">
                  <c:v>143628.35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3-43D4-ADEC-EC7BCBCAD6E9}"/>
            </c:ext>
          </c:extLst>
        </c:ser>
        <c:ser>
          <c:idx val="3"/>
          <c:order val="1"/>
          <c:tx>
            <c:strRef>
              <c:f>'17 July - 23 July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'17 July - 23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'17 July - 23 July 2023'!$B$5:$B$15</c:f>
              <c:numCache>
                <c:formatCode>#,##0.00</c:formatCode>
                <c:ptCount val="11"/>
                <c:pt idx="0">
                  <c:v>245552.6</c:v>
                </c:pt>
                <c:pt idx="1">
                  <c:v>227209.77</c:v>
                </c:pt>
                <c:pt idx="2">
                  <c:v>252535.33</c:v>
                </c:pt>
                <c:pt idx="4">
                  <c:v>178117.45</c:v>
                </c:pt>
                <c:pt idx="6">
                  <c:v>152081.29</c:v>
                </c:pt>
                <c:pt idx="7">
                  <c:v>196594.01</c:v>
                </c:pt>
                <c:pt idx="8">
                  <c:v>161398.59</c:v>
                </c:pt>
                <c:pt idx="9">
                  <c:v>139638.43</c:v>
                </c:pt>
                <c:pt idx="10">
                  <c:v>143973.43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3-43D4-ADEC-EC7BCBCA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'24 July - 30 July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'24 July - 30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July - 30 July 2023'!$C$5:$C$15</c:f>
              <c:numCache>
                <c:formatCode>#,##0.00</c:formatCode>
                <c:ptCount val="11"/>
                <c:pt idx="0">
                  <c:v>245552.6</c:v>
                </c:pt>
                <c:pt idx="1">
                  <c:v>227209.77</c:v>
                </c:pt>
                <c:pt idx="2">
                  <c:v>252535.33</c:v>
                </c:pt>
                <c:pt idx="4">
                  <c:v>178117.45</c:v>
                </c:pt>
                <c:pt idx="6">
                  <c:v>152081.29</c:v>
                </c:pt>
                <c:pt idx="7">
                  <c:v>196594.01</c:v>
                </c:pt>
                <c:pt idx="8">
                  <c:v>161398.59</c:v>
                </c:pt>
                <c:pt idx="9">
                  <c:v>139638.43</c:v>
                </c:pt>
                <c:pt idx="10">
                  <c:v>143973.43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5-4395-8E20-020E390B3B2E}"/>
            </c:ext>
          </c:extLst>
        </c:ser>
        <c:ser>
          <c:idx val="3"/>
          <c:order val="1"/>
          <c:tx>
            <c:strRef>
              <c:f>'24 July - 30 July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'24 July - 30 July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'24 July - 30 July 2023'!$B$5:$B$15</c:f>
              <c:numCache>
                <c:formatCode>#,##0.00</c:formatCode>
                <c:ptCount val="11"/>
                <c:pt idx="0">
                  <c:v>223716.88</c:v>
                </c:pt>
                <c:pt idx="1">
                  <c:v>252646.93</c:v>
                </c:pt>
                <c:pt idx="2">
                  <c:v>262968.59000000003</c:v>
                </c:pt>
                <c:pt idx="4">
                  <c:v>241619.52</c:v>
                </c:pt>
                <c:pt idx="6">
                  <c:v>148795.95000000001</c:v>
                </c:pt>
                <c:pt idx="7">
                  <c:v>245998.27</c:v>
                </c:pt>
                <c:pt idx="8">
                  <c:v>178310.37</c:v>
                </c:pt>
                <c:pt idx="9">
                  <c:v>189570.96</c:v>
                </c:pt>
                <c:pt idx="10">
                  <c:v>178531.81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5-4395-8E20-020E390B3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'31 August - 06 August 2023 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'31 August - 06 August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'31 August - 06 August 2023 '!$C$5:$C$15</c:f>
              <c:numCache>
                <c:formatCode>#,##0.00</c:formatCode>
                <c:ptCount val="11"/>
                <c:pt idx="0">
                  <c:v>223716.88</c:v>
                </c:pt>
                <c:pt idx="1">
                  <c:v>252646.93</c:v>
                </c:pt>
                <c:pt idx="2">
                  <c:v>262968.59000000003</c:v>
                </c:pt>
                <c:pt idx="4">
                  <c:v>241619.52</c:v>
                </c:pt>
                <c:pt idx="6">
                  <c:v>148795.95000000001</c:v>
                </c:pt>
                <c:pt idx="7">
                  <c:v>245998.27</c:v>
                </c:pt>
                <c:pt idx="8">
                  <c:v>178310.37</c:v>
                </c:pt>
                <c:pt idx="9">
                  <c:v>189570.96</c:v>
                </c:pt>
                <c:pt idx="10">
                  <c:v>178531.81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0-4DAE-9315-1E7A0CB390BB}"/>
            </c:ext>
          </c:extLst>
        </c:ser>
        <c:ser>
          <c:idx val="3"/>
          <c:order val="1"/>
          <c:tx>
            <c:strRef>
              <c:f>'31 August - 06 August 2023 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'31 August - 06 August 2023 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'31 August - 06 August 2023 '!$B$5:$B$15</c:f>
              <c:numCache>
                <c:formatCode>#,##0.00</c:formatCode>
                <c:ptCount val="11"/>
                <c:pt idx="0">
                  <c:v>263188.61</c:v>
                </c:pt>
                <c:pt idx="1">
                  <c:v>215281.39</c:v>
                </c:pt>
                <c:pt idx="2">
                  <c:v>244637.43</c:v>
                </c:pt>
                <c:pt idx="4">
                  <c:v>184879.71</c:v>
                </c:pt>
                <c:pt idx="6">
                  <c:v>150790.1</c:v>
                </c:pt>
                <c:pt idx="7">
                  <c:v>199450.13</c:v>
                </c:pt>
                <c:pt idx="8">
                  <c:v>177417.58</c:v>
                </c:pt>
                <c:pt idx="9">
                  <c:v>181408.54</c:v>
                </c:pt>
                <c:pt idx="10">
                  <c:v>153048.51999999999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20-4DAE-9315-1E7A0CB39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'07 August - 13 August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'07 August - 13 August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'07 August - 13 August 2023'!$C$5:$C$15</c:f>
              <c:numCache>
                <c:formatCode>#,##0.00</c:formatCode>
                <c:ptCount val="11"/>
                <c:pt idx="0">
                  <c:v>263188.61</c:v>
                </c:pt>
                <c:pt idx="1">
                  <c:v>215281.39</c:v>
                </c:pt>
                <c:pt idx="2">
                  <c:v>244637.43</c:v>
                </c:pt>
                <c:pt idx="4">
                  <c:v>184879.71</c:v>
                </c:pt>
                <c:pt idx="6">
                  <c:v>150790.1</c:v>
                </c:pt>
                <c:pt idx="7">
                  <c:v>199450.13</c:v>
                </c:pt>
                <c:pt idx="8">
                  <c:v>177417.58</c:v>
                </c:pt>
                <c:pt idx="9">
                  <c:v>181408.54</c:v>
                </c:pt>
                <c:pt idx="10">
                  <c:v>153048.51999999999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96-4181-97AC-65A232F3F39A}"/>
            </c:ext>
          </c:extLst>
        </c:ser>
        <c:ser>
          <c:idx val="3"/>
          <c:order val="1"/>
          <c:tx>
            <c:strRef>
              <c:f>'07 August - 13 August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'07 August - 13 August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'07 August - 13 August 2023'!$B$5:$B$15</c:f>
              <c:numCache>
                <c:formatCode>#,##0.00</c:formatCode>
                <c:ptCount val="11"/>
                <c:pt idx="0">
                  <c:v>328440.5</c:v>
                </c:pt>
                <c:pt idx="1">
                  <c:v>210918.38</c:v>
                </c:pt>
                <c:pt idx="2">
                  <c:v>238718.61</c:v>
                </c:pt>
                <c:pt idx="4">
                  <c:v>193770.68</c:v>
                </c:pt>
                <c:pt idx="6">
                  <c:v>138646.25</c:v>
                </c:pt>
                <c:pt idx="7">
                  <c:v>200600.97</c:v>
                </c:pt>
                <c:pt idx="8">
                  <c:v>156547.88</c:v>
                </c:pt>
                <c:pt idx="9">
                  <c:v>143985.85999999999</c:v>
                </c:pt>
                <c:pt idx="10">
                  <c:v>160438.10999999999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96-4181-97AC-65A232F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'14  August - 20 August 2023'!$C$3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'14  August - 20 August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'14  August - 20 August 2023'!$C$5:$C$15</c:f>
              <c:numCache>
                <c:formatCode>#,##0.00</c:formatCode>
                <c:ptCount val="11"/>
                <c:pt idx="0">
                  <c:v>328440.5</c:v>
                </c:pt>
                <c:pt idx="1">
                  <c:v>210918.38</c:v>
                </c:pt>
                <c:pt idx="2">
                  <c:v>238718.61</c:v>
                </c:pt>
                <c:pt idx="4">
                  <c:v>193770.68</c:v>
                </c:pt>
                <c:pt idx="6">
                  <c:v>138646.25</c:v>
                </c:pt>
                <c:pt idx="7">
                  <c:v>200600.97</c:v>
                </c:pt>
                <c:pt idx="8">
                  <c:v>156547.88</c:v>
                </c:pt>
                <c:pt idx="9">
                  <c:v>143985.85999999999</c:v>
                </c:pt>
                <c:pt idx="10">
                  <c:v>160438.10999999999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C-4592-8122-790ECBBB8871}"/>
            </c:ext>
          </c:extLst>
        </c:ser>
        <c:ser>
          <c:idx val="3"/>
          <c:order val="1"/>
          <c:tx>
            <c:strRef>
              <c:f>'14  August - 20 August 2023'!$B$3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'14  August - 20 August 2023'!$A$5:$A$15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'14  August - 20 August 2023'!$B$5:$B$15</c:f>
              <c:numCache>
                <c:formatCode>#,##0.00</c:formatCode>
                <c:ptCount val="11"/>
                <c:pt idx="0">
                  <c:v>264990.67</c:v>
                </c:pt>
                <c:pt idx="1">
                  <c:v>192141.41</c:v>
                </c:pt>
                <c:pt idx="2">
                  <c:v>190409.57</c:v>
                </c:pt>
                <c:pt idx="4">
                  <c:v>185294.29</c:v>
                </c:pt>
                <c:pt idx="6">
                  <c:v>109200.15</c:v>
                </c:pt>
                <c:pt idx="7">
                  <c:v>172061.92</c:v>
                </c:pt>
                <c:pt idx="8">
                  <c:v>160154</c:v>
                </c:pt>
                <c:pt idx="9">
                  <c:v>120612.28</c:v>
                </c:pt>
                <c:pt idx="10">
                  <c:v>134217.79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5C-4592-8122-790ECBBB8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sheet1!$C$3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sheet1!$A$5:$A$15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sheet1!$C$5:$C$15</c:f>
              <c:numCache>
                <c:formatCode>#,##0.00</c:formatCode>
                <c:ptCount val="11"/>
                <c:pt idx="0">
                  <c:v>264990.67</c:v>
                </c:pt>
                <c:pt idx="1">
                  <c:v>192141.41</c:v>
                </c:pt>
                <c:pt idx="2">
                  <c:v>190409.57</c:v>
                </c:pt>
                <c:pt idx="4">
                  <c:v>185294.29</c:v>
                </c:pt>
                <c:pt idx="6">
                  <c:v>109200.15</c:v>
                </c:pt>
                <c:pt idx="7">
                  <c:v>172061.92</c:v>
                </c:pt>
                <c:pt idx="8">
                  <c:v>160154</c:v>
                </c:pt>
                <c:pt idx="9">
                  <c:v>120612.28</c:v>
                </c:pt>
                <c:pt idx="10">
                  <c:v>134217.79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6-45F7-A4CF-DAEBE573FF44}"/>
            </c:ext>
          </c:extLst>
        </c:ser>
        <c:ser>
          <c:idx val="3"/>
          <c:order val="1"/>
          <c:tx>
            <c:strRef>
              <c:f>sheet1!$B$3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sheet1!$A$5:$A$15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sheet1!$B$5:$B$15</c:f>
              <c:numCache>
                <c:formatCode>#,##0.00</c:formatCode>
                <c:ptCount val="11"/>
                <c:pt idx="0">
                  <c:v>273101.15000000002</c:v>
                </c:pt>
                <c:pt idx="1">
                  <c:v>205533.83</c:v>
                </c:pt>
                <c:pt idx="2">
                  <c:v>199073.79</c:v>
                </c:pt>
                <c:pt idx="4">
                  <c:v>192463.68</c:v>
                </c:pt>
                <c:pt idx="6">
                  <c:v>126454.51</c:v>
                </c:pt>
                <c:pt idx="7">
                  <c:v>226860.14</c:v>
                </c:pt>
                <c:pt idx="8">
                  <c:v>128519.42</c:v>
                </c:pt>
                <c:pt idx="9">
                  <c:v>143873.67000000001</c:v>
                </c:pt>
                <c:pt idx="10">
                  <c:v>138171.04999999999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96-45F7-A4CF-DAEBE573F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482265024"/>
        <c:axId val="482265352"/>
      </c:barChart>
      <c:catAx>
        <c:axId val="4822650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265352"/>
        <c:crosses val="autoZero"/>
        <c:auto val="1"/>
        <c:lblAlgn val="ctr"/>
        <c:lblOffset val="100"/>
        <c:noMultiLvlLbl val="0"/>
      </c:catAx>
      <c:valAx>
        <c:axId val="4822653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48226502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5573116563541178E-4"/>
          <c:y val="3.4096189228696462E-4"/>
          <c:w val="0.99888648293963267"/>
          <c:h val="0.87134424958243839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sheet1!$C$3</c:f>
              <c:strCache>
                <c:ptCount val="1"/>
                <c:pt idx="0">
                  <c:v>Last Week (Net)</c:v>
                </c:pt>
              </c:strCache>
            </c:strRef>
          </c:tx>
          <c:spPr>
            <a:solidFill>
              <a:srgbClr val="92D050"/>
            </a:solidFill>
            <a:ln w="9525" cap="flat" cmpd="sng" algn="ctr">
              <a:solidFill>
                <a:schemeClr val="accent3"/>
              </a:solidFill>
              <a:prstDash val="solid"/>
              <a:miter lim="800000"/>
            </a:ln>
          </c:spPr>
          <c:invertIfNegative val="0"/>
          <c:cat>
            <c:strRef>
              <c:f>sheet1!$A$5:$A$15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sheet1!$C$5:$C$15</c:f>
              <c:numCache>
                <c:formatCode>#,##0.00</c:formatCode>
                <c:ptCount val="11"/>
                <c:pt idx="0">
                  <c:v>264990.67</c:v>
                </c:pt>
                <c:pt idx="1">
                  <c:v>192141.41</c:v>
                </c:pt>
                <c:pt idx="2">
                  <c:v>190409.57</c:v>
                </c:pt>
                <c:pt idx="4">
                  <c:v>185294.29</c:v>
                </c:pt>
                <c:pt idx="6">
                  <c:v>109200.15</c:v>
                </c:pt>
                <c:pt idx="7">
                  <c:v>172061.92</c:v>
                </c:pt>
                <c:pt idx="8">
                  <c:v>160154</c:v>
                </c:pt>
                <c:pt idx="9">
                  <c:v>120612.28</c:v>
                </c:pt>
                <c:pt idx="10">
                  <c:v>134217.79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9-4A54-8C28-AD2CA7FCB0CE}"/>
            </c:ext>
          </c:extLst>
        </c:ser>
        <c:ser>
          <c:idx val="3"/>
          <c:order val="1"/>
          <c:tx>
            <c:strRef>
              <c:f>sheet1!$B$3</c:f>
              <c:strCache>
                <c:ptCount val="1"/>
                <c:pt idx="0">
                  <c:v>Current Week (Net)</c:v>
                </c:pt>
              </c:strCache>
            </c:strRef>
          </c:tx>
          <c:spPr>
            <a:solidFill>
              <a:srgbClr val="FF0000"/>
            </a:solidFill>
            <a:ln w="9525" cap="flat" cmpd="sng" algn="ctr">
              <a:solidFill>
                <a:schemeClr val="accent5"/>
              </a:solidFill>
              <a:prstDash val="solid"/>
              <a:miter lim="800000"/>
            </a:ln>
          </c:spPr>
          <c:invertIfNegative val="0"/>
          <c:cat>
            <c:strRef>
              <c:f>sheet1!$A$5:$A$15</c:f>
              <c:strCache>
                <c:ptCount val="11"/>
                <c:pt idx="0">
                  <c:v>Hartenbos</c:v>
                </c:pt>
                <c:pt idx="1">
                  <c:v>Eagles Landing</c:v>
                </c:pt>
                <c:pt idx="2">
                  <c:v>Irene Village</c:v>
                </c:pt>
                <c:pt idx="3">
                  <c:v>Kyalami Corner</c:v>
                </c:pt>
                <c:pt idx="4">
                  <c:v>Lynnwood</c:v>
                </c:pt>
                <c:pt idx="5">
                  <c:v>Melrose Arch</c:v>
                </c:pt>
                <c:pt idx="6">
                  <c:v>Melville</c:v>
                </c:pt>
                <c:pt idx="7">
                  <c:v>Cambridge Crossing</c:v>
                </c:pt>
                <c:pt idx="8">
                  <c:v>Queenswood</c:v>
                </c:pt>
                <c:pt idx="9">
                  <c:v>Waterkloof </c:v>
                </c:pt>
                <c:pt idx="10">
                  <c:v>Stellenbosch</c:v>
                </c:pt>
              </c:strCache>
            </c:strRef>
          </c:cat>
          <c:val>
            <c:numRef>
              <c:f>sheet1!$B$5:$B$15</c:f>
              <c:numCache>
                <c:formatCode>#,##0.00</c:formatCode>
                <c:ptCount val="11"/>
                <c:pt idx="0">
                  <c:v>273101.15000000002</c:v>
                </c:pt>
                <c:pt idx="1">
                  <c:v>205533.83</c:v>
                </c:pt>
                <c:pt idx="2">
                  <c:v>199073.79</c:v>
                </c:pt>
                <c:pt idx="4">
                  <c:v>192463.68</c:v>
                </c:pt>
                <c:pt idx="6">
                  <c:v>126454.51</c:v>
                </c:pt>
                <c:pt idx="7">
                  <c:v>226860.14</c:v>
                </c:pt>
                <c:pt idx="8">
                  <c:v>128519.42</c:v>
                </c:pt>
                <c:pt idx="9">
                  <c:v>143873.67000000001</c:v>
                </c:pt>
                <c:pt idx="10">
                  <c:v>138171.04999999999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79-4A54-8C28-AD2CA7FCB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641267264"/>
        <c:axId val="641269560"/>
      </c:barChart>
      <c:catAx>
        <c:axId val="64126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269560"/>
        <c:crosses val="autoZero"/>
        <c:auto val="1"/>
        <c:lblAlgn val="ctr"/>
        <c:lblOffset val="100"/>
        <c:noMultiLvlLbl val="0"/>
      </c:catAx>
      <c:valAx>
        <c:axId val="6412695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numFmt formatCode="#,##0.00" sourceLinked="1"/>
        <c:majorTickMark val="none"/>
        <c:minorTickMark val="none"/>
        <c:tickLblPos val="nextTo"/>
        <c:crossAx val="641267264"/>
        <c:crosses val="autoZero"/>
        <c:crossBetween val="between"/>
      </c:valAx>
    </c:plotArea>
    <c:legend>
      <c:legendPos val="t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6.xml"/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8.xml"/><Relationship Id="rId2" Type="http://schemas.openxmlformats.org/officeDocument/2006/relationships/chart" Target="../charts/chart97.xml"/><Relationship Id="rId1" Type="http://schemas.openxmlformats.org/officeDocument/2006/relationships/chart" Target="../charts/chart96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1.xml"/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4.xml"/><Relationship Id="rId2" Type="http://schemas.openxmlformats.org/officeDocument/2006/relationships/chart" Target="../charts/chart103.xml"/><Relationship Id="rId1" Type="http://schemas.openxmlformats.org/officeDocument/2006/relationships/chart" Target="../charts/chart102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7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3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6.xml"/><Relationship Id="rId2" Type="http://schemas.openxmlformats.org/officeDocument/2006/relationships/chart" Target="../charts/chart115.xml"/><Relationship Id="rId1" Type="http://schemas.openxmlformats.org/officeDocument/2006/relationships/chart" Target="../charts/chart114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2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1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4.xml"/><Relationship Id="rId2" Type="http://schemas.openxmlformats.org/officeDocument/2006/relationships/chart" Target="../charts/chart133.xml"/><Relationship Id="rId1" Type="http://schemas.openxmlformats.org/officeDocument/2006/relationships/chart" Target="../charts/chart132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7.xml"/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9.xml"/><Relationship Id="rId1" Type="http://schemas.openxmlformats.org/officeDocument/2006/relationships/chart" Target="../charts/chart138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1.xml"/><Relationship Id="rId1" Type="http://schemas.openxmlformats.org/officeDocument/2006/relationships/chart" Target="../charts/chart140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5.xml"/><Relationship Id="rId1" Type="http://schemas.openxmlformats.org/officeDocument/2006/relationships/chart" Target="../charts/chart144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7.xml"/><Relationship Id="rId1" Type="http://schemas.openxmlformats.org/officeDocument/2006/relationships/chart" Target="../charts/chart146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1.xml"/><Relationship Id="rId1" Type="http://schemas.openxmlformats.org/officeDocument/2006/relationships/chart" Target="../charts/chart150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3.xml"/><Relationship Id="rId1" Type="http://schemas.openxmlformats.org/officeDocument/2006/relationships/chart" Target="../charts/chart15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7.xml"/><Relationship Id="rId1" Type="http://schemas.openxmlformats.org/officeDocument/2006/relationships/chart" Target="../charts/chart156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9.xml"/><Relationship Id="rId1" Type="http://schemas.openxmlformats.org/officeDocument/2006/relationships/chart" Target="../charts/chart158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3.xml"/><Relationship Id="rId1" Type="http://schemas.openxmlformats.org/officeDocument/2006/relationships/chart" Target="../charts/chart162.xml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5.xml"/><Relationship Id="rId1" Type="http://schemas.openxmlformats.org/officeDocument/2006/relationships/chart" Target="../charts/chart164.xml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9.xml"/><Relationship Id="rId1" Type="http://schemas.openxmlformats.org/officeDocument/2006/relationships/chart" Target="../charts/chart168.xml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1.xml"/><Relationship Id="rId1" Type="http://schemas.openxmlformats.org/officeDocument/2006/relationships/chart" Target="../charts/chart170.xml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5.xml"/><Relationship Id="rId1" Type="http://schemas.openxmlformats.org/officeDocument/2006/relationships/chart" Target="../charts/chart174.xml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7.xml"/><Relationship Id="rId1" Type="http://schemas.openxmlformats.org/officeDocument/2006/relationships/chart" Target="../charts/chart176.xml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1.xml"/><Relationship Id="rId1" Type="http://schemas.openxmlformats.org/officeDocument/2006/relationships/chart" Target="../charts/chart180.xml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3.xml"/><Relationship Id="rId1" Type="http://schemas.openxmlformats.org/officeDocument/2006/relationships/chart" Target="../charts/chart182.xml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7.xml"/><Relationship Id="rId1" Type="http://schemas.openxmlformats.org/officeDocument/2006/relationships/chart" Target="../charts/chart186.xml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9.xml"/><Relationship Id="rId1" Type="http://schemas.openxmlformats.org/officeDocument/2006/relationships/chart" Target="../charts/chart188.xml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3.xml"/><Relationship Id="rId1" Type="http://schemas.openxmlformats.org/officeDocument/2006/relationships/chart" Target="../charts/chart192.xml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5.xml"/><Relationship Id="rId1" Type="http://schemas.openxmlformats.org/officeDocument/2006/relationships/chart" Target="../charts/chart194.xml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9.xml"/><Relationship Id="rId1" Type="http://schemas.openxmlformats.org/officeDocument/2006/relationships/chart" Target="../charts/chart198.xml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1.xml"/><Relationship Id="rId1" Type="http://schemas.openxmlformats.org/officeDocument/2006/relationships/chart" Target="../charts/chart200.xml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5.xml"/><Relationship Id="rId1" Type="http://schemas.openxmlformats.org/officeDocument/2006/relationships/chart" Target="../charts/chart204.xml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7.xml"/><Relationship Id="rId1" Type="http://schemas.openxmlformats.org/officeDocument/2006/relationships/chart" Target="../charts/chart206.xml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1.xml"/><Relationship Id="rId1" Type="http://schemas.openxmlformats.org/officeDocument/2006/relationships/chart" Target="../charts/chart210.xml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3.xml"/><Relationship Id="rId1" Type="http://schemas.openxmlformats.org/officeDocument/2006/relationships/chart" Target="../charts/chart212.xml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7.xml"/><Relationship Id="rId1" Type="http://schemas.openxmlformats.org/officeDocument/2006/relationships/chart" Target="../charts/chart216.xml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9.xml"/><Relationship Id="rId1" Type="http://schemas.openxmlformats.org/officeDocument/2006/relationships/chart" Target="../charts/chart218.xml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3.xml"/><Relationship Id="rId1" Type="http://schemas.openxmlformats.org/officeDocument/2006/relationships/chart" Target="../charts/chart222.xml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5.xml"/><Relationship Id="rId1" Type="http://schemas.openxmlformats.org/officeDocument/2006/relationships/chart" Target="../charts/chart224.xml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9.xml"/><Relationship Id="rId1" Type="http://schemas.openxmlformats.org/officeDocument/2006/relationships/chart" Target="../charts/chart228.xml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1.xml"/><Relationship Id="rId1" Type="http://schemas.openxmlformats.org/officeDocument/2006/relationships/chart" Target="../charts/chart230.xml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5.xml"/><Relationship Id="rId1" Type="http://schemas.openxmlformats.org/officeDocument/2006/relationships/chart" Target="../charts/chart234.xml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7.xml"/><Relationship Id="rId1" Type="http://schemas.openxmlformats.org/officeDocument/2006/relationships/chart" Target="../charts/chart236.xml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1.xml"/><Relationship Id="rId1" Type="http://schemas.openxmlformats.org/officeDocument/2006/relationships/chart" Target="../charts/chart240.xml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3.xml"/><Relationship Id="rId1" Type="http://schemas.openxmlformats.org/officeDocument/2006/relationships/chart" Target="../charts/chart242.xml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7.xml"/><Relationship Id="rId1" Type="http://schemas.openxmlformats.org/officeDocument/2006/relationships/chart" Target="../charts/chart246.xml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9.xml"/><Relationship Id="rId1" Type="http://schemas.openxmlformats.org/officeDocument/2006/relationships/chart" Target="../charts/chart248.xml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3.xml"/><Relationship Id="rId1" Type="http://schemas.openxmlformats.org/officeDocument/2006/relationships/chart" Target="../charts/chart252.xml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5.xml"/><Relationship Id="rId1" Type="http://schemas.openxmlformats.org/officeDocument/2006/relationships/chart" Target="../charts/chart254.xml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9.xml"/><Relationship Id="rId1" Type="http://schemas.openxmlformats.org/officeDocument/2006/relationships/chart" Target="../charts/chart258.xml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1.xml"/><Relationship Id="rId1" Type="http://schemas.openxmlformats.org/officeDocument/2006/relationships/chart" Target="../charts/chart260.xml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5.xml"/><Relationship Id="rId1" Type="http://schemas.openxmlformats.org/officeDocument/2006/relationships/chart" Target="../charts/chart264.xml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7.xml"/><Relationship Id="rId1" Type="http://schemas.openxmlformats.org/officeDocument/2006/relationships/chart" Target="../charts/chart266.xml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1.xml"/><Relationship Id="rId1" Type="http://schemas.openxmlformats.org/officeDocument/2006/relationships/chart" Target="../charts/chart270.xml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3.xml"/><Relationship Id="rId1" Type="http://schemas.openxmlformats.org/officeDocument/2006/relationships/chart" Target="../charts/chart272.xml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7.xml"/><Relationship Id="rId1" Type="http://schemas.openxmlformats.org/officeDocument/2006/relationships/chart" Target="../charts/chart276.xml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9.xml"/><Relationship Id="rId1" Type="http://schemas.openxmlformats.org/officeDocument/2006/relationships/chart" Target="../charts/chart278.xml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3.xml"/><Relationship Id="rId1" Type="http://schemas.openxmlformats.org/officeDocument/2006/relationships/chart" Target="../charts/chart282.xml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5.xml"/><Relationship Id="rId1" Type="http://schemas.openxmlformats.org/officeDocument/2006/relationships/chart" Target="../charts/chart284.xml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9.xml"/><Relationship Id="rId1" Type="http://schemas.openxmlformats.org/officeDocument/2006/relationships/chart" Target="../charts/chart288.xml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1.xml"/><Relationship Id="rId1" Type="http://schemas.openxmlformats.org/officeDocument/2006/relationships/chart" Target="../charts/chart290.xml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5.xml"/><Relationship Id="rId1" Type="http://schemas.openxmlformats.org/officeDocument/2006/relationships/chart" Target="../charts/chart294.xml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7.xml"/><Relationship Id="rId1" Type="http://schemas.openxmlformats.org/officeDocument/2006/relationships/chart" Target="../charts/chart296.xml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1.xml"/><Relationship Id="rId1" Type="http://schemas.openxmlformats.org/officeDocument/2006/relationships/chart" Target="../charts/chart300.xml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3.xml"/><Relationship Id="rId1" Type="http://schemas.openxmlformats.org/officeDocument/2006/relationships/chart" Target="../charts/chart302.xml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7.xml"/><Relationship Id="rId1" Type="http://schemas.openxmlformats.org/officeDocument/2006/relationships/chart" Target="../charts/chart306.xml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9.xml"/><Relationship Id="rId1" Type="http://schemas.openxmlformats.org/officeDocument/2006/relationships/chart" Target="../charts/chart308.xml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3.xml"/><Relationship Id="rId1" Type="http://schemas.openxmlformats.org/officeDocument/2006/relationships/chart" Target="../charts/chart312.xml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5.xml"/><Relationship Id="rId1" Type="http://schemas.openxmlformats.org/officeDocument/2006/relationships/chart" Target="../charts/chart314.xml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9.xml"/><Relationship Id="rId1" Type="http://schemas.openxmlformats.org/officeDocument/2006/relationships/chart" Target="../charts/chart318.xml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1.xml"/><Relationship Id="rId1" Type="http://schemas.openxmlformats.org/officeDocument/2006/relationships/chart" Target="../charts/chart320.xml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3.xml"/><Relationship Id="rId1" Type="http://schemas.openxmlformats.org/officeDocument/2006/relationships/chart" Target="../charts/chart322.xml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5.xml"/><Relationship Id="rId1" Type="http://schemas.openxmlformats.org/officeDocument/2006/relationships/chart" Target="../charts/chart324.xml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7.xml"/><Relationship Id="rId1" Type="http://schemas.openxmlformats.org/officeDocument/2006/relationships/chart" Target="../charts/chart326.xml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1.xml"/><Relationship Id="rId1" Type="http://schemas.openxmlformats.org/officeDocument/2006/relationships/chart" Target="../charts/chart330.xml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3.xml"/><Relationship Id="rId1" Type="http://schemas.openxmlformats.org/officeDocument/2006/relationships/chart" Target="../charts/chart332.xml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5.xml"/><Relationship Id="rId1" Type="http://schemas.openxmlformats.org/officeDocument/2006/relationships/chart" Target="../charts/chart334.xml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7.xml"/><Relationship Id="rId1" Type="http://schemas.openxmlformats.org/officeDocument/2006/relationships/chart" Target="../charts/chart336.xml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9.xml"/><Relationship Id="rId1" Type="http://schemas.openxmlformats.org/officeDocument/2006/relationships/chart" Target="../charts/chart338.xml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3.xml"/><Relationship Id="rId1" Type="http://schemas.openxmlformats.org/officeDocument/2006/relationships/chart" Target="../charts/chart342.xml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5.xml"/><Relationship Id="rId1" Type="http://schemas.openxmlformats.org/officeDocument/2006/relationships/chart" Target="../charts/chart344.xml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7.xml"/><Relationship Id="rId1" Type="http://schemas.openxmlformats.org/officeDocument/2006/relationships/chart" Target="../charts/chart346.xml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9.xml"/><Relationship Id="rId1" Type="http://schemas.openxmlformats.org/officeDocument/2006/relationships/chart" Target="../charts/chart348.xml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1.xml"/><Relationship Id="rId1" Type="http://schemas.openxmlformats.org/officeDocument/2006/relationships/chart" Target="../charts/chart350.xml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3.xml"/><Relationship Id="rId1" Type="http://schemas.openxmlformats.org/officeDocument/2006/relationships/chart" Target="../charts/chart352.xml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5.xml"/><Relationship Id="rId1" Type="http://schemas.openxmlformats.org/officeDocument/2006/relationships/chart" Target="../charts/chart354.xml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7.xml"/><Relationship Id="rId1" Type="http://schemas.openxmlformats.org/officeDocument/2006/relationships/chart" Target="../charts/chart356.xml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9.xml"/><Relationship Id="rId1" Type="http://schemas.openxmlformats.org/officeDocument/2006/relationships/chart" Target="../charts/chart358.xml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1.xml"/><Relationship Id="rId1" Type="http://schemas.openxmlformats.org/officeDocument/2006/relationships/chart" Target="../charts/chart360.xml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3.xml"/><Relationship Id="rId1" Type="http://schemas.openxmlformats.org/officeDocument/2006/relationships/chart" Target="../charts/chart362.xml"/></Relationships>
</file>

<file path=xl/drawings/_rels/drawing1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5.xml"/><Relationship Id="rId1" Type="http://schemas.openxmlformats.org/officeDocument/2006/relationships/chart" Target="../charts/chart364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7.xml"/><Relationship Id="rId1" Type="http://schemas.openxmlformats.org/officeDocument/2006/relationships/chart" Target="../charts/chart366.xml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9.xml"/><Relationship Id="rId1" Type="http://schemas.openxmlformats.org/officeDocument/2006/relationships/chart" Target="../charts/chart368.xml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1.xml"/><Relationship Id="rId1" Type="http://schemas.openxmlformats.org/officeDocument/2006/relationships/chart" Target="../charts/chart370.xml"/></Relationships>
</file>

<file path=xl/drawings/_rels/drawing1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3.xml"/><Relationship Id="rId1" Type="http://schemas.openxmlformats.org/officeDocument/2006/relationships/chart" Target="../charts/chart372.xml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5.xml"/><Relationship Id="rId1" Type="http://schemas.openxmlformats.org/officeDocument/2006/relationships/chart" Target="../charts/chart374.xml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7.xml"/><Relationship Id="rId1" Type="http://schemas.openxmlformats.org/officeDocument/2006/relationships/chart" Target="../charts/chart376.xml"/></Relationships>
</file>

<file path=xl/drawings/_rels/drawing19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9.xml"/><Relationship Id="rId1" Type="http://schemas.openxmlformats.org/officeDocument/2006/relationships/chart" Target="../charts/chart378.xml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1.xml"/><Relationship Id="rId1" Type="http://schemas.openxmlformats.org/officeDocument/2006/relationships/chart" Target="../charts/chart380.xml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3.xml"/><Relationship Id="rId1" Type="http://schemas.openxmlformats.org/officeDocument/2006/relationships/chart" Target="../charts/chart382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5.xml"/><Relationship Id="rId1" Type="http://schemas.openxmlformats.org/officeDocument/2006/relationships/chart" Target="../charts/chart384.xml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7.xml"/><Relationship Id="rId1" Type="http://schemas.openxmlformats.org/officeDocument/2006/relationships/chart" Target="../charts/chart386.xml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9.xml"/><Relationship Id="rId1" Type="http://schemas.openxmlformats.org/officeDocument/2006/relationships/chart" Target="../charts/chart388.xml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1.xml"/><Relationship Id="rId1" Type="http://schemas.openxmlformats.org/officeDocument/2006/relationships/chart" Target="../charts/chart390.xml"/></Relationships>
</file>

<file path=xl/drawings/_rels/drawing20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3.xml"/><Relationship Id="rId1" Type="http://schemas.openxmlformats.org/officeDocument/2006/relationships/chart" Target="../charts/chart392.xml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5.xml"/><Relationship Id="rId1" Type="http://schemas.openxmlformats.org/officeDocument/2006/relationships/chart" Target="../charts/chart394.xml"/></Relationships>
</file>

<file path=xl/drawings/_rels/drawing20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7.xml"/><Relationship Id="rId1" Type="http://schemas.openxmlformats.org/officeDocument/2006/relationships/chart" Target="../charts/chart396.xml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9.xml"/><Relationship Id="rId1" Type="http://schemas.openxmlformats.org/officeDocument/2006/relationships/chart" Target="../charts/chart398.xml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1.xml"/><Relationship Id="rId1" Type="http://schemas.openxmlformats.org/officeDocument/2006/relationships/chart" Target="../charts/chart400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3.xml"/><Relationship Id="rId1" Type="http://schemas.openxmlformats.org/officeDocument/2006/relationships/chart" Target="../charts/chart402.xml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5.xml"/><Relationship Id="rId1" Type="http://schemas.openxmlformats.org/officeDocument/2006/relationships/chart" Target="../charts/chart404.xml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7.xml"/><Relationship Id="rId1" Type="http://schemas.openxmlformats.org/officeDocument/2006/relationships/chart" Target="../charts/chart406.xml"/></Relationships>
</file>

<file path=xl/drawings/_rels/drawing20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9.xml"/><Relationship Id="rId1" Type="http://schemas.openxmlformats.org/officeDocument/2006/relationships/chart" Target="../charts/chart408.xml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1.xml"/><Relationship Id="rId1" Type="http://schemas.openxmlformats.org/officeDocument/2006/relationships/chart" Target="../charts/chart410.xml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3.xml"/><Relationship Id="rId1" Type="http://schemas.openxmlformats.org/officeDocument/2006/relationships/chart" Target="../charts/chart412.xml"/></Relationships>
</file>

<file path=xl/drawings/_rels/drawing2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5.xml"/><Relationship Id="rId1" Type="http://schemas.openxmlformats.org/officeDocument/2006/relationships/chart" Target="../charts/chart414.xml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7.xml"/><Relationship Id="rId1" Type="http://schemas.openxmlformats.org/officeDocument/2006/relationships/chart" Target="../charts/chart416.xml"/></Relationships>
</file>

<file path=xl/drawings/_rels/drawing2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9.xml"/><Relationship Id="rId1" Type="http://schemas.openxmlformats.org/officeDocument/2006/relationships/chart" Target="../charts/chart418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1.xml"/><Relationship Id="rId1" Type="http://schemas.openxmlformats.org/officeDocument/2006/relationships/chart" Target="../charts/chart420.xml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3.xml"/><Relationship Id="rId1" Type="http://schemas.openxmlformats.org/officeDocument/2006/relationships/chart" Target="../charts/chart422.xml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5.xml"/><Relationship Id="rId1" Type="http://schemas.openxmlformats.org/officeDocument/2006/relationships/chart" Target="../charts/chart424.xml"/></Relationships>
</file>

<file path=xl/drawings/_rels/drawing2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7.xml"/><Relationship Id="rId1" Type="http://schemas.openxmlformats.org/officeDocument/2006/relationships/chart" Target="../charts/chart426.xml"/></Relationships>
</file>

<file path=xl/drawings/_rels/drawing2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9.xml"/><Relationship Id="rId1" Type="http://schemas.openxmlformats.org/officeDocument/2006/relationships/chart" Target="../charts/chart428.xml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1.xml"/><Relationship Id="rId1" Type="http://schemas.openxmlformats.org/officeDocument/2006/relationships/chart" Target="../charts/chart430.xml"/></Relationships>
</file>

<file path=xl/drawings/_rels/drawing2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3.xml"/><Relationship Id="rId1" Type="http://schemas.openxmlformats.org/officeDocument/2006/relationships/chart" Target="../charts/chart432.xml"/></Relationships>
</file>

<file path=xl/drawings/_rels/drawing2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5.xml"/><Relationship Id="rId1" Type="http://schemas.openxmlformats.org/officeDocument/2006/relationships/chart" Target="../charts/chart434.xml"/></Relationships>
</file>

<file path=xl/drawings/_rels/drawing2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7.xml"/><Relationship Id="rId1" Type="http://schemas.openxmlformats.org/officeDocument/2006/relationships/chart" Target="../charts/chart436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9.xml"/><Relationship Id="rId1" Type="http://schemas.openxmlformats.org/officeDocument/2006/relationships/chart" Target="../charts/chart438.xml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1.xml"/><Relationship Id="rId1" Type="http://schemas.openxmlformats.org/officeDocument/2006/relationships/chart" Target="../charts/chart440.xml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3.xml"/><Relationship Id="rId1" Type="http://schemas.openxmlformats.org/officeDocument/2006/relationships/chart" Target="../charts/chart442.xml"/></Relationships>
</file>

<file path=xl/drawings/_rels/drawing2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5.xml"/><Relationship Id="rId1" Type="http://schemas.openxmlformats.org/officeDocument/2006/relationships/chart" Target="../charts/chart444.xml"/></Relationships>
</file>

<file path=xl/drawings/_rels/drawing2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7.xml"/><Relationship Id="rId1" Type="http://schemas.openxmlformats.org/officeDocument/2006/relationships/chart" Target="../charts/chart446.xml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9.xml"/><Relationship Id="rId1" Type="http://schemas.openxmlformats.org/officeDocument/2006/relationships/chart" Target="../charts/chart448.xml"/></Relationships>
</file>

<file path=xl/drawings/_rels/drawing2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1.xml"/><Relationship Id="rId1" Type="http://schemas.openxmlformats.org/officeDocument/2006/relationships/chart" Target="../charts/chart450.xml"/></Relationships>
</file>

<file path=xl/drawings/_rels/drawing2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3.xml"/><Relationship Id="rId1" Type="http://schemas.openxmlformats.org/officeDocument/2006/relationships/chart" Target="../charts/chart452.xml"/></Relationships>
</file>

<file path=xl/drawings/_rels/drawing2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5.xml"/><Relationship Id="rId1" Type="http://schemas.openxmlformats.org/officeDocument/2006/relationships/chart" Target="../charts/chart454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7.xml"/><Relationship Id="rId1" Type="http://schemas.openxmlformats.org/officeDocument/2006/relationships/chart" Target="../charts/chart456.xml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9.xml"/><Relationship Id="rId1" Type="http://schemas.openxmlformats.org/officeDocument/2006/relationships/chart" Target="../charts/chart458.xml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1.xml"/><Relationship Id="rId1" Type="http://schemas.openxmlformats.org/officeDocument/2006/relationships/chart" Target="../charts/chart460.xml"/></Relationships>
</file>

<file path=xl/drawings/_rels/drawing2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3.xml"/><Relationship Id="rId1" Type="http://schemas.openxmlformats.org/officeDocument/2006/relationships/chart" Target="../charts/chart462.xml"/></Relationships>
</file>

<file path=xl/drawings/_rels/drawing2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5.xml"/><Relationship Id="rId1" Type="http://schemas.openxmlformats.org/officeDocument/2006/relationships/chart" Target="../charts/chart464.xml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7.xml"/><Relationship Id="rId1" Type="http://schemas.openxmlformats.org/officeDocument/2006/relationships/chart" Target="../charts/chart466.xml"/></Relationships>
</file>

<file path=xl/drawings/_rels/drawing2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9.xml"/><Relationship Id="rId1" Type="http://schemas.openxmlformats.org/officeDocument/2006/relationships/chart" Target="../charts/chart468.xml"/></Relationships>
</file>

<file path=xl/drawings/_rels/drawing2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1.xml"/><Relationship Id="rId1" Type="http://schemas.openxmlformats.org/officeDocument/2006/relationships/chart" Target="../charts/chart470.xml"/></Relationships>
</file>

<file path=xl/drawings/_rels/drawing2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3.xml"/><Relationship Id="rId1" Type="http://schemas.openxmlformats.org/officeDocument/2006/relationships/chart" Target="../charts/chart472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5.xml"/><Relationship Id="rId1" Type="http://schemas.openxmlformats.org/officeDocument/2006/relationships/chart" Target="../charts/chart474.xml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7.xml"/><Relationship Id="rId1" Type="http://schemas.openxmlformats.org/officeDocument/2006/relationships/chart" Target="../charts/chart476.xml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9.xml"/><Relationship Id="rId1" Type="http://schemas.openxmlformats.org/officeDocument/2006/relationships/chart" Target="../charts/chart478.xml"/></Relationships>
</file>

<file path=xl/drawings/_rels/drawing2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1.xml"/><Relationship Id="rId1" Type="http://schemas.openxmlformats.org/officeDocument/2006/relationships/chart" Target="../charts/chart480.xml"/></Relationships>
</file>

<file path=xl/drawings/_rels/drawing2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3.xml"/><Relationship Id="rId1" Type="http://schemas.openxmlformats.org/officeDocument/2006/relationships/chart" Target="../charts/chart482.xml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5.xml"/><Relationship Id="rId1" Type="http://schemas.openxmlformats.org/officeDocument/2006/relationships/chart" Target="../charts/chart484.xml"/></Relationships>
</file>

<file path=xl/drawings/_rels/drawing2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7.xml"/><Relationship Id="rId1" Type="http://schemas.openxmlformats.org/officeDocument/2006/relationships/chart" Target="../charts/chart486.xml"/></Relationships>
</file>

<file path=xl/drawings/_rels/drawing2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9.xml"/><Relationship Id="rId1" Type="http://schemas.openxmlformats.org/officeDocument/2006/relationships/chart" Target="../charts/chart488.xml"/></Relationships>
</file>

<file path=xl/drawings/_rels/drawing2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1.xml"/><Relationship Id="rId1" Type="http://schemas.openxmlformats.org/officeDocument/2006/relationships/chart" Target="../charts/chart490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3.xml"/><Relationship Id="rId1" Type="http://schemas.openxmlformats.org/officeDocument/2006/relationships/chart" Target="../charts/chart492.xml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5.xml"/><Relationship Id="rId1" Type="http://schemas.openxmlformats.org/officeDocument/2006/relationships/chart" Target="../charts/chart494.xml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7.xml"/><Relationship Id="rId1" Type="http://schemas.openxmlformats.org/officeDocument/2006/relationships/chart" Target="../charts/chart496.xml"/></Relationships>
</file>

<file path=xl/drawings/_rels/drawing2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9.xml"/><Relationship Id="rId1" Type="http://schemas.openxmlformats.org/officeDocument/2006/relationships/chart" Target="../charts/chart498.xml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1.xml"/><Relationship Id="rId1" Type="http://schemas.openxmlformats.org/officeDocument/2006/relationships/chart" Target="../charts/chart500.xml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3.xml"/><Relationship Id="rId1" Type="http://schemas.openxmlformats.org/officeDocument/2006/relationships/chart" Target="../charts/chart502.xml"/></Relationships>
</file>

<file path=xl/drawings/_rels/drawing2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5.xml"/><Relationship Id="rId1" Type="http://schemas.openxmlformats.org/officeDocument/2006/relationships/chart" Target="../charts/chart504.xml"/></Relationships>
</file>

<file path=xl/drawings/_rels/drawing2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7.xml"/><Relationship Id="rId1" Type="http://schemas.openxmlformats.org/officeDocument/2006/relationships/chart" Target="../charts/chart506.xml"/></Relationships>
</file>

<file path=xl/drawings/_rels/drawing2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9.xml"/><Relationship Id="rId1" Type="http://schemas.openxmlformats.org/officeDocument/2006/relationships/chart" Target="../charts/chart508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1.xml"/><Relationship Id="rId1" Type="http://schemas.openxmlformats.org/officeDocument/2006/relationships/chart" Target="../charts/chart510.xml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3.xml"/><Relationship Id="rId1" Type="http://schemas.openxmlformats.org/officeDocument/2006/relationships/chart" Target="../charts/chart512.xml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5.xml"/><Relationship Id="rId1" Type="http://schemas.openxmlformats.org/officeDocument/2006/relationships/chart" Target="../charts/chart514.xml"/></Relationships>
</file>

<file path=xl/drawings/_rels/drawing2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7.xml"/><Relationship Id="rId1" Type="http://schemas.openxmlformats.org/officeDocument/2006/relationships/chart" Target="../charts/chart516.xml"/></Relationships>
</file>

<file path=xl/drawings/_rels/drawing2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9.xml"/><Relationship Id="rId1" Type="http://schemas.openxmlformats.org/officeDocument/2006/relationships/chart" Target="../charts/chart518.xml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1.xml"/><Relationship Id="rId1" Type="http://schemas.openxmlformats.org/officeDocument/2006/relationships/chart" Target="../charts/chart520.xml"/></Relationships>
</file>

<file path=xl/drawings/_rels/drawing2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3.xml"/><Relationship Id="rId1" Type="http://schemas.openxmlformats.org/officeDocument/2006/relationships/chart" Target="../charts/chart522.xml"/></Relationships>
</file>

<file path=xl/drawings/_rels/drawing2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5.xml"/><Relationship Id="rId1" Type="http://schemas.openxmlformats.org/officeDocument/2006/relationships/chart" Target="../charts/chart524.xml"/></Relationships>
</file>

<file path=xl/drawings/_rels/drawing2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7.xml"/><Relationship Id="rId1" Type="http://schemas.openxmlformats.org/officeDocument/2006/relationships/chart" Target="../charts/chart526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9.xml"/><Relationship Id="rId1" Type="http://schemas.openxmlformats.org/officeDocument/2006/relationships/chart" Target="../charts/chart528.xml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1.xml"/><Relationship Id="rId1" Type="http://schemas.openxmlformats.org/officeDocument/2006/relationships/chart" Target="../charts/chart530.xml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3.xml"/><Relationship Id="rId1" Type="http://schemas.openxmlformats.org/officeDocument/2006/relationships/chart" Target="../charts/chart532.xml"/></Relationships>
</file>

<file path=xl/drawings/_rels/drawing27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5.xml"/><Relationship Id="rId1" Type="http://schemas.openxmlformats.org/officeDocument/2006/relationships/chart" Target="../charts/chart534.xml"/></Relationships>
</file>

<file path=xl/drawings/_rels/drawing27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7.xml"/><Relationship Id="rId1" Type="http://schemas.openxmlformats.org/officeDocument/2006/relationships/chart" Target="../charts/chart536.xml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9.xml"/><Relationship Id="rId1" Type="http://schemas.openxmlformats.org/officeDocument/2006/relationships/chart" Target="../charts/chart538.xml"/></Relationships>
</file>

<file path=xl/drawings/_rels/drawing27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1.xml"/><Relationship Id="rId1" Type="http://schemas.openxmlformats.org/officeDocument/2006/relationships/chart" Target="../charts/chart540.xml"/></Relationships>
</file>

<file path=xl/drawings/_rels/drawing27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3.xml"/><Relationship Id="rId1" Type="http://schemas.openxmlformats.org/officeDocument/2006/relationships/chart" Target="../charts/chart542.xml"/></Relationships>
</file>

<file path=xl/drawings/_rels/drawing27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5.xml"/><Relationship Id="rId1" Type="http://schemas.openxmlformats.org/officeDocument/2006/relationships/chart" Target="../charts/chart544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7.xml"/><Relationship Id="rId1" Type="http://schemas.openxmlformats.org/officeDocument/2006/relationships/chart" Target="../charts/chart546.xml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9.xml"/><Relationship Id="rId1" Type="http://schemas.openxmlformats.org/officeDocument/2006/relationships/chart" Target="../charts/chart548.xml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1.xml"/><Relationship Id="rId1" Type="http://schemas.openxmlformats.org/officeDocument/2006/relationships/chart" Target="../charts/chart550.xml"/></Relationships>
</file>

<file path=xl/drawings/_rels/drawing28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3.xml"/><Relationship Id="rId1" Type="http://schemas.openxmlformats.org/officeDocument/2006/relationships/chart" Target="../charts/chart552.xml"/></Relationships>
</file>

<file path=xl/drawings/_rels/drawing28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5.xml"/><Relationship Id="rId1" Type="http://schemas.openxmlformats.org/officeDocument/2006/relationships/chart" Target="../charts/chart554.xml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7.xml"/><Relationship Id="rId1" Type="http://schemas.openxmlformats.org/officeDocument/2006/relationships/chart" Target="../charts/chart556.xml"/></Relationships>
</file>

<file path=xl/drawings/_rels/drawing28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9.xml"/><Relationship Id="rId1" Type="http://schemas.openxmlformats.org/officeDocument/2006/relationships/chart" Target="../charts/chart558.xml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1.xml"/><Relationship Id="rId1" Type="http://schemas.openxmlformats.org/officeDocument/2006/relationships/chart" Target="../charts/chart560.xml"/></Relationships>
</file>

<file path=xl/drawings/_rels/drawing28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3.xml"/><Relationship Id="rId1" Type="http://schemas.openxmlformats.org/officeDocument/2006/relationships/chart" Target="../charts/chart562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5.xml"/><Relationship Id="rId1" Type="http://schemas.openxmlformats.org/officeDocument/2006/relationships/chart" Target="../charts/chart564.xml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7.xml"/><Relationship Id="rId1" Type="http://schemas.openxmlformats.org/officeDocument/2006/relationships/chart" Target="../charts/chart566.xml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9.xml"/><Relationship Id="rId1" Type="http://schemas.openxmlformats.org/officeDocument/2006/relationships/chart" Target="../charts/chart568.xml"/></Relationships>
</file>

<file path=xl/drawings/_rels/drawing29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1.xml"/><Relationship Id="rId1" Type="http://schemas.openxmlformats.org/officeDocument/2006/relationships/chart" Target="../charts/chart570.xml"/></Relationships>
</file>

<file path=xl/drawings/_rels/drawing29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3.xml"/><Relationship Id="rId1" Type="http://schemas.openxmlformats.org/officeDocument/2006/relationships/chart" Target="../charts/chart572.xml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5.xml"/><Relationship Id="rId1" Type="http://schemas.openxmlformats.org/officeDocument/2006/relationships/chart" Target="../charts/chart574.xml"/></Relationships>
</file>

<file path=xl/drawings/_rels/drawing29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7.xml"/><Relationship Id="rId1" Type="http://schemas.openxmlformats.org/officeDocument/2006/relationships/chart" Target="../charts/chart57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12370</xdr:colOff>
      <xdr:row>17</xdr:row>
      <xdr:rowOff>37111</xdr:rowOff>
    </xdr:from>
    <xdr:to>
      <xdr:col>13</xdr:col>
      <xdr:colOff>0</xdr:colOff>
      <xdr:row>38</xdr:row>
      <xdr:rowOff>148442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38349</xdr:rowOff>
    </xdr:from>
    <xdr:to>
      <xdr:col>13</xdr:col>
      <xdr:colOff>979714</xdr:colOff>
      <xdr:row>42</xdr:row>
      <xdr:rowOff>13607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50</xdr:row>
      <xdr:rowOff>50800</xdr:rowOff>
    </xdr:from>
    <xdr:to>
      <xdr:col>3</xdr:col>
      <xdr:colOff>711200</xdr:colOff>
      <xdr:row>51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22</xdr:row>
      <xdr:rowOff>25400</xdr:rowOff>
    </xdr:from>
    <xdr:to>
      <xdr:col>12</xdr:col>
      <xdr:colOff>1003300</xdr:colOff>
      <xdr:row>40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20</xdr:row>
      <xdr:rowOff>139700</xdr:rowOff>
    </xdr:from>
    <xdr:to>
      <xdr:col>13</xdr:col>
      <xdr:colOff>63500</xdr:colOff>
      <xdr:row>40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47</xdr:row>
      <xdr:rowOff>50800</xdr:rowOff>
    </xdr:from>
    <xdr:to>
      <xdr:col>3</xdr:col>
      <xdr:colOff>711200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19</xdr:row>
      <xdr:rowOff>25400</xdr:rowOff>
    </xdr:from>
    <xdr:to>
      <xdr:col>12</xdr:col>
      <xdr:colOff>1003300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139700</xdr:rowOff>
    </xdr:from>
    <xdr:to>
      <xdr:col>13</xdr:col>
      <xdr:colOff>63500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47</xdr:row>
      <xdr:rowOff>50800</xdr:rowOff>
    </xdr:from>
    <xdr:to>
      <xdr:col>3</xdr:col>
      <xdr:colOff>711200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19</xdr:row>
      <xdr:rowOff>25400</xdr:rowOff>
    </xdr:from>
    <xdr:to>
      <xdr:col>12</xdr:col>
      <xdr:colOff>1003300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139700</xdr:rowOff>
    </xdr:from>
    <xdr:to>
      <xdr:col>13</xdr:col>
      <xdr:colOff>63500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47</xdr:row>
      <xdr:rowOff>50800</xdr:rowOff>
    </xdr:from>
    <xdr:to>
      <xdr:col>3</xdr:col>
      <xdr:colOff>711200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19</xdr:row>
      <xdr:rowOff>25400</xdr:rowOff>
    </xdr:from>
    <xdr:to>
      <xdr:col>12</xdr:col>
      <xdr:colOff>1003300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139700</xdr:rowOff>
    </xdr:from>
    <xdr:to>
      <xdr:col>13</xdr:col>
      <xdr:colOff>63500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47</xdr:row>
      <xdr:rowOff>50800</xdr:rowOff>
    </xdr:from>
    <xdr:to>
      <xdr:col>3</xdr:col>
      <xdr:colOff>711200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19</xdr:row>
      <xdr:rowOff>25400</xdr:rowOff>
    </xdr:from>
    <xdr:to>
      <xdr:col>12</xdr:col>
      <xdr:colOff>1003300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17</xdr:row>
      <xdr:rowOff>139700</xdr:rowOff>
    </xdr:from>
    <xdr:to>
      <xdr:col>13</xdr:col>
      <xdr:colOff>63500</xdr:colOff>
      <xdr:row>37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48</xdr:row>
      <xdr:rowOff>50800</xdr:rowOff>
    </xdr:from>
    <xdr:to>
      <xdr:col>3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12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13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48</xdr:row>
      <xdr:rowOff>50800</xdr:rowOff>
    </xdr:from>
    <xdr:to>
      <xdr:col>3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12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13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48</xdr:row>
      <xdr:rowOff>50800</xdr:rowOff>
    </xdr:from>
    <xdr:to>
      <xdr:col>1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10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11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48</xdr:row>
      <xdr:rowOff>50800</xdr:rowOff>
    </xdr:from>
    <xdr:to>
      <xdr:col>1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10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11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48</xdr:row>
      <xdr:rowOff>50800</xdr:rowOff>
    </xdr:from>
    <xdr:to>
      <xdr:col>2</xdr:col>
      <xdr:colOff>711200</xdr:colOff>
      <xdr:row>49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4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11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12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5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20</xdr:row>
      <xdr:rowOff>25400</xdr:rowOff>
    </xdr:from>
    <xdr:to>
      <xdr:col>13</xdr:col>
      <xdr:colOff>1003300</xdr:colOff>
      <xdr:row>38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18</xdr:row>
      <xdr:rowOff>139700</xdr:rowOff>
    </xdr:from>
    <xdr:to>
      <xdr:col>14</xdr:col>
      <xdr:colOff>63500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6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13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14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7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14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15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16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17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16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17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16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17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17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18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21</xdr:row>
      <xdr:rowOff>25400</xdr:rowOff>
    </xdr:from>
    <xdr:to>
      <xdr:col>19</xdr:col>
      <xdr:colOff>1003300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19</xdr:row>
      <xdr:rowOff>139700</xdr:rowOff>
    </xdr:from>
    <xdr:to>
      <xdr:col>20</xdr:col>
      <xdr:colOff>63500</xdr:colOff>
      <xdr:row>39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F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19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20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50808</xdr:colOff>
      <xdr:row>17</xdr:row>
      <xdr:rowOff>25400</xdr:rowOff>
    </xdr:from>
    <xdr:to>
      <xdr:col>21</xdr:col>
      <xdr:colOff>1003300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</xdr:colOff>
      <xdr:row>15</xdr:row>
      <xdr:rowOff>139700</xdr:rowOff>
    </xdr:from>
    <xdr:to>
      <xdr:col>22</xdr:col>
      <xdr:colOff>63500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1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29"/>
  <sheetViews>
    <sheetView view="pageBreakPreview" zoomScale="77" zoomScaleNormal="80" zoomScaleSheetLayoutView="77" workbookViewId="0">
      <selection activeCell="B4" sqref="B4:B15"/>
    </sheetView>
  </sheetViews>
  <sheetFormatPr defaultRowHeight="14.4" outlineLevelRow="1" x14ac:dyDescent="0.3"/>
  <cols>
    <col min="1" max="1" width="19.6640625" bestFit="1" customWidth="1"/>
    <col min="2" max="4" width="15.6640625" bestFit="1" customWidth="1"/>
    <col min="5" max="5" width="12.6640625" customWidth="1"/>
    <col min="6" max="6" width="15.6640625" customWidth="1"/>
    <col min="7" max="7" width="12.5546875" customWidth="1"/>
    <col min="8" max="8" width="13.44140625" customWidth="1"/>
    <col min="9" max="9" width="9.6640625" hidden="1" customWidth="1"/>
    <col min="10" max="10" width="9.33203125" hidden="1" customWidth="1"/>
    <col min="11" max="11" width="11.5546875" hidden="1" customWidth="1"/>
    <col min="12" max="12" width="13.33203125" hidden="1" customWidth="1"/>
    <col min="13" max="13" width="15.6640625" customWidth="1"/>
    <col min="14" max="14" width="17" style="9" customWidth="1"/>
    <col min="15" max="18" width="9.33203125" style="9" customWidth="1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>
        <v>1.1399999999999999</v>
      </c>
    </row>
    <row r="2" spans="1:16" ht="15" customHeight="1" thickBot="1" x14ac:dyDescent="0.35">
      <c r="A2" s="1"/>
      <c r="B2" s="1"/>
      <c r="C2" s="1"/>
      <c r="D2" s="1"/>
      <c r="E2" s="31">
        <f>(((B4-B12-B13-B14-B9-B15)-D4)/D4)</f>
        <v>-0.56126955482332996</v>
      </c>
      <c r="F2" s="1"/>
      <c r="G2" s="34"/>
      <c r="H2" s="1"/>
      <c r="I2" s="1"/>
      <c r="J2" s="1"/>
      <c r="K2" s="1"/>
      <c r="L2" s="1"/>
      <c r="N2" s="17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SUM(B6:B15)</f>
        <v>1560252.4499999997</v>
      </c>
      <c r="C4" s="3">
        <v>1643651.1677999999</v>
      </c>
      <c r="D4" s="3">
        <f>SUM(D6:D15)</f>
        <v>1532982.4</v>
      </c>
      <c r="E4" s="44">
        <f>IFERROR((SUM(B4-D4)/D4),0)</f>
        <v>1.7788886552122071E-2</v>
      </c>
      <c r="F4" s="30">
        <f>SUM(F6:F15)</f>
        <v>1368642.5</v>
      </c>
      <c r="G4" s="62">
        <f>SUM(G6:G15)</f>
        <v>10819</v>
      </c>
      <c r="H4" s="45">
        <f>AVERAGE(H5:H15)</f>
        <v>148.24081762271516</v>
      </c>
      <c r="I4" s="46"/>
      <c r="J4" s="46"/>
      <c r="K4" s="29"/>
      <c r="L4" s="28">
        <f>J4/206494</f>
        <v>0</v>
      </c>
      <c r="M4" s="30">
        <f>SUM(M6:M15)</f>
        <v>48291.229999999996</v>
      </c>
      <c r="N4" s="24"/>
    </row>
    <row r="5" spans="1:16" ht="15.6" hidden="1" customHeight="1" outlineLevel="1" x14ac:dyDescent="0.3">
      <c r="A5" s="38" t="s">
        <v>14</v>
      </c>
      <c r="B5" s="5"/>
      <c r="C5" s="5"/>
      <c r="D5" s="6"/>
      <c r="E5" s="4">
        <f t="shared" ref="E5:E15" si="0">IFERROR(SUM(B5-D5)/D5,0)</f>
        <v>0</v>
      </c>
      <c r="F5" s="5">
        <f>IFERROR(B5/1.14,0)</f>
        <v>0</v>
      </c>
      <c r="G5" s="47"/>
      <c r="H5" s="48"/>
      <c r="I5" s="49"/>
      <c r="J5" s="46" t="e">
        <f>#REF!+#REF!+'Dec 25 - Jan 1 17'!I5</f>
        <v>#REF!</v>
      </c>
      <c r="K5" s="20"/>
      <c r="L5" s="28" t="e">
        <f>J5/206494</f>
        <v>#REF!</v>
      </c>
      <c r="M5" s="80"/>
      <c r="N5" s="25"/>
    </row>
    <row r="6" spans="1:16" ht="15.6" customHeight="1" collapsed="1" x14ac:dyDescent="0.3">
      <c r="A6" s="39" t="s">
        <v>15</v>
      </c>
      <c r="B6" s="18">
        <f t="shared" ref="B6:B15" si="1">F6*1.14</f>
        <v>262785.48119999998</v>
      </c>
      <c r="C6" s="18">
        <v>263914.34340000001</v>
      </c>
      <c r="D6" s="72">
        <v>350018.75</v>
      </c>
      <c r="E6" s="50">
        <f t="shared" si="0"/>
        <v>-0.2492245595414532</v>
      </c>
      <c r="F6" s="72">
        <v>230513.58</v>
      </c>
      <c r="G6" s="391">
        <v>1703</v>
      </c>
      <c r="H6" s="52">
        <f t="shared" ref="H6:H15" si="2">IFERROR(B6/G6,0)</f>
        <v>154.30738766881973</v>
      </c>
      <c r="I6" s="53"/>
      <c r="J6" s="54"/>
      <c r="K6" s="54"/>
      <c r="L6" s="54">
        <f>J6/18100</f>
        <v>0</v>
      </c>
      <c r="M6" s="72">
        <v>6734.25</v>
      </c>
      <c r="N6" s="26"/>
    </row>
    <row r="7" spans="1:16" ht="15.6" customHeight="1" x14ac:dyDescent="0.3">
      <c r="A7" s="39" t="s">
        <v>16</v>
      </c>
      <c r="B7" s="18">
        <f t="shared" si="1"/>
        <v>134553.88079999998</v>
      </c>
      <c r="C7" s="18">
        <v>131205.0852</v>
      </c>
      <c r="D7" s="72">
        <v>121256.48</v>
      </c>
      <c r="E7" s="50">
        <f t="shared" si="0"/>
        <v>0.10966342417328945</v>
      </c>
      <c r="F7" s="72">
        <v>118029.72</v>
      </c>
      <c r="G7" s="391">
        <v>921</v>
      </c>
      <c r="H7" s="52">
        <f t="shared" si="2"/>
        <v>146.09541889250812</v>
      </c>
      <c r="I7" s="53"/>
      <c r="J7" s="54"/>
      <c r="K7" s="54"/>
      <c r="L7" s="54">
        <f>J7/19932</f>
        <v>0</v>
      </c>
      <c r="M7" s="72">
        <v>4828.3500000000004</v>
      </c>
      <c r="N7" s="26"/>
    </row>
    <row r="8" spans="1:16" ht="15.6" customHeight="1" x14ac:dyDescent="0.3">
      <c r="A8" s="39" t="s">
        <v>17</v>
      </c>
      <c r="B8" s="18">
        <f t="shared" si="1"/>
        <v>73186.00499999999</v>
      </c>
      <c r="C8" s="18">
        <v>98530.473599999998</v>
      </c>
      <c r="D8" s="72">
        <v>101164.58</v>
      </c>
      <c r="E8" s="50">
        <f t="shared" si="0"/>
        <v>-0.27656493013661509</v>
      </c>
      <c r="F8" s="72">
        <v>64198.25</v>
      </c>
      <c r="G8" s="391">
        <v>442</v>
      </c>
      <c r="H8" s="52">
        <f t="shared" si="2"/>
        <v>165.57919683257916</v>
      </c>
      <c r="I8" s="53"/>
      <c r="J8" s="54"/>
      <c r="K8" s="54"/>
      <c r="L8" s="54">
        <f>J8/25490</f>
        <v>0</v>
      </c>
      <c r="M8" s="72">
        <v>1374</v>
      </c>
      <c r="N8" s="26"/>
    </row>
    <row r="9" spans="1:16" ht="15.6" customHeight="1" x14ac:dyDescent="0.3">
      <c r="A9" s="39" t="s">
        <v>18</v>
      </c>
      <c r="B9" s="18">
        <f t="shared" si="1"/>
        <v>262727.67179999995</v>
      </c>
      <c r="C9" s="18">
        <v>286871.59499999997</v>
      </c>
      <c r="D9" s="72">
        <v>239113.87</v>
      </c>
      <c r="E9" s="50">
        <f t="shared" si="0"/>
        <v>9.8755466590039129E-2</v>
      </c>
      <c r="F9" s="72">
        <v>230462.87</v>
      </c>
      <c r="G9" s="391">
        <v>1767</v>
      </c>
      <c r="H9" s="52">
        <f t="shared" si="2"/>
        <v>148.68572258064515</v>
      </c>
      <c r="I9" s="53"/>
      <c r="J9" s="54"/>
      <c r="K9" s="54"/>
      <c r="L9" s="54">
        <f>J9/10403</f>
        <v>0</v>
      </c>
      <c r="M9" s="72">
        <v>5402.95</v>
      </c>
      <c r="N9" s="26"/>
    </row>
    <row r="10" spans="1:16" ht="15.6" customHeight="1" x14ac:dyDescent="0.3">
      <c r="A10" s="39" t="s">
        <v>19</v>
      </c>
      <c r="B10" s="18">
        <f t="shared" si="1"/>
        <v>74739.084000000003</v>
      </c>
      <c r="C10" s="18">
        <v>112910.4336</v>
      </c>
      <c r="D10" s="72">
        <v>102757.5</v>
      </c>
      <c r="E10" s="50">
        <f t="shared" si="0"/>
        <v>-0.27266541128384786</v>
      </c>
      <c r="F10" s="72">
        <v>65560.600000000006</v>
      </c>
      <c r="G10" s="391">
        <v>444</v>
      </c>
      <c r="H10" s="52">
        <f t="shared" si="2"/>
        <v>168.33127027027027</v>
      </c>
      <c r="I10" s="53"/>
      <c r="J10" s="54"/>
      <c r="K10" s="54"/>
      <c r="L10" s="54">
        <f>J10/22707</f>
        <v>0</v>
      </c>
      <c r="M10" s="72">
        <v>3351.83</v>
      </c>
      <c r="N10" s="26"/>
    </row>
    <row r="11" spans="1:16" ht="15.6" customHeight="1" x14ac:dyDescent="0.3">
      <c r="A11" s="39" t="s">
        <v>20</v>
      </c>
      <c r="B11" s="18">
        <f t="shared" si="1"/>
        <v>127301.5998</v>
      </c>
      <c r="C11" s="18">
        <v>102979.01579999999</v>
      </c>
      <c r="D11" s="72">
        <v>182958.8</v>
      </c>
      <c r="E11" s="50">
        <f t="shared" si="0"/>
        <v>-0.3042061939627938</v>
      </c>
      <c r="F11" s="72">
        <v>111668.07</v>
      </c>
      <c r="G11" s="391">
        <v>714</v>
      </c>
      <c r="H11" s="52">
        <f t="shared" si="2"/>
        <v>178.29355714285714</v>
      </c>
      <c r="I11" s="53"/>
      <c r="J11" s="54"/>
      <c r="K11" s="54"/>
      <c r="L11" s="54">
        <f>J11/16449</f>
        <v>0</v>
      </c>
      <c r="M11" s="72">
        <v>4539</v>
      </c>
      <c r="N11" s="26"/>
    </row>
    <row r="12" spans="1:16" ht="15.6" customHeight="1" x14ac:dyDescent="0.3">
      <c r="A12" s="39" t="s">
        <v>21</v>
      </c>
      <c r="B12" s="18">
        <f t="shared" si="1"/>
        <v>228224.63699999996</v>
      </c>
      <c r="C12" s="18">
        <v>280576.34399999998</v>
      </c>
      <c r="D12" s="72">
        <v>320748.3</v>
      </c>
      <c r="E12" s="50">
        <f t="shared" si="0"/>
        <v>-0.28846189675829936</v>
      </c>
      <c r="F12" s="72">
        <v>200197.05</v>
      </c>
      <c r="G12" s="391">
        <v>1501</v>
      </c>
      <c r="H12" s="52">
        <f t="shared" si="2"/>
        <v>152.04839240506325</v>
      </c>
      <c r="I12" s="53"/>
      <c r="J12" s="54"/>
      <c r="K12" s="54"/>
      <c r="L12" s="54">
        <f>J12/18426</f>
        <v>0</v>
      </c>
      <c r="M12" s="72">
        <v>5965.9</v>
      </c>
      <c r="N12" s="26"/>
    </row>
    <row r="13" spans="1:16" ht="15.6" customHeight="1" x14ac:dyDescent="0.3">
      <c r="A13" s="40" t="s">
        <v>22</v>
      </c>
      <c r="B13" s="18">
        <f t="shared" si="1"/>
        <v>127170.81899999999</v>
      </c>
      <c r="C13" s="18">
        <v>120383.2362</v>
      </c>
      <c r="D13" s="72">
        <v>114964.12</v>
      </c>
      <c r="E13" s="50">
        <f t="shared" si="0"/>
        <v>0.10617833633658913</v>
      </c>
      <c r="F13" s="72">
        <v>111553.35</v>
      </c>
      <c r="G13" s="391">
        <v>942</v>
      </c>
      <c r="H13" s="52">
        <f t="shared" si="2"/>
        <v>135.00086942675159</v>
      </c>
      <c r="I13" s="53"/>
      <c r="J13" s="54">
        <f>I13</f>
        <v>0</v>
      </c>
      <c r="K13" s="54"/>
      <c r="L13" s="54">
        <f>J13/21444</f>
        <v>0</v>
      </c>
      <c r="M13" s="72">
        <v>6946.7</v>
      </c>
      <c r="N13" s="26"/>
    </row>
    <row r="14" spans="1:16" ht="15.6" customHeight="1" x14ac:dyDescent="0.3">
      <c r="A14" s="40" t="s">
        <v>23</v>
      </c>
      <c r="B14" s="18">
        <f t="shared" si="1"/>
        <v>129554.99219999998</v>
      </c>
      <c r="C14" s="18">
        <v>140142.30900000001</v>
      </c>
      <c r="D14" s="73">
        <v>0</v>
      </c>
      <c r="E14" s="50">
        <f t="shared" si="0"/>
        <v>0</v>
      </c>
      <c r="F14" s="72">
        <v>113644.73</v>
      </c>
      <c r="G14" s="391">
        <v>1392</v>
      </c>
      <c r="H14" s="52">
        <f t="shared" si="2"/>
        <v>93.071115086206888</v>
      </c>
      <c r="I14" s="53"/>
      <c r="J14" s="54"/>
      <c r="K14" s="54"/>
      <c r="L14" s="54">
        <f>J14/18876</f>
        <v>0</v>
      </c>
      <c r="M14" s="72">
        <v>3833.5</v>
      </c>
      <c r="N14" s="26"/>
    </row>
    <row r="15" spans="1:16" ht="15.6" customHeight="1" x14ac:dyDescent="0.3">
      <c r="A15" s="40" t="s">
        <v>24</v>
      </c>
      <c r="B15" s="18">
        <f t="shared" si="1"/>
        <v>140008.27919999999</v>
      </c>
      <c r="C15" s="18">
        <v>106138.33199999999</v>
      </c>
      <c r="D15" s="73">
        <v>0</v>
      </c>
      <c r="E15" s="50">
        <f t="shared" si="0"/>
        <v>0</v>
      </c>
      <c r="F15" s="72">
        <v>122814.28</v>
      </c>
      <c r="G15" s="391">
        <v>993</v>
      </c>
      <c r="H15" s="52">
        <f t="shared" si="2"/>
        <v>140.99524592145013</v>
      </c>
      <c r="I15" s="53"/>
      <c r="J15" s="54"/>
      <c r="K15" s="54"/>
      <c r="L15" s="54">
        <f>J15/15345</f>
        <v>0</v>
      </c>
      <c r="M15" s="72">
        <v>5314.75</v>
      </c>
      <c r="N15" s="26"/>
    </row>
    <row r="16" spans="1:16" ht="18" hidden="1" customHeight="1" thickBot="1" x14ac:dyDescent="0.35">
      <c r="A16" s="19"/>
      <c r="B16" s="42"/>
      <c r="C16" s="43"/>
      <c r="D16" s="33">
        <v>0</v>
      </c>
      <c r="E16" s="51"/>
      <c r="F16" s="32"/>
      <c r="G16" s="61"/>
      <c r="H16" s="55"/>
      <c r="I16" s="56"/>
      <c r="J16" s="57"/>
      <c r="K16" s="58"/>
      <c r="L16" s="58">
        <f>J16/9073</f>
        <v>0</v>
      </c>
      <c r="M16" s="59"/>
      <c r="N16" s="26"/>
    </row>
    <row r="17" spans="1:16" ht="18" hidden="1" customHeight="1" thickBot="1" x14ac:dyDescent="0.35">
      <c r="A17" s="12"/>
      <c r="B17" s="18"/>
      <c r="C17" s="75"/>
      <c r="D17" s="33">
        <v>0</v>
      </c>
      <c r="E17" s="50"/>
      <c r="F17" s="32"/>
      <c r="G17" s="61"/>
      <c r="H17" s="52">
        <f>IFERROR(D17/G17,0)</f>
        <v>0</v>
      </c>
      <c r="I17" s="73"/>
      <c r="J17" s="60"/>
      <c r="K17" s="54"/>
      <c r="L17" s="54">
        <f>J17/9249</f>
        <v>0</v>
      </c>
      <c r="M17" s="59"/>
      <c r="N17" s="22"/>
    </row>
    <row r="18" spans="1:16" ht="17.399999999999999" customHeight="1" x14ac:dyDescent="0.3">
      <c r="D18" s="33">
        <v>0</v>
      </c>
      <c r="F18" s="73"/>
      <c r="G18" s="74"/>
      <c r="H18" s="72"/>
      <c r="I18" s="72"/>
      <c r="J18" s="72"/>
      <c r="K18" s="72"/>
      <c r="L18" s="72"/>
      <c r="M18" s="72"/>
    </row>
    <row r="19" spans="1:16" x14ac:dyDescent="0.3">
      <c r="F19" s="8"/>
      <c r="G19" s="36"/>
      <c r="P19" s="9">
        <v>1.1399999999999999</v>
      </c>
    </row>
    <row r="20" spans="1:16" x14ac:dyDescent="0.3">
      <c r="F20" s="8"/>
      <c r="G20" s="36"/>
    </row>
    <row r="21" spans="1:16" x14ac:dyDescent="0.3">
      <c r="F21" s="8"/>
      <c r="G21" s="36"/>
    </row>
    <row r="22" spans="1:16" x14ac:dyDescent="0.3">
      <c r="F22" s="8"/>
      <c r="G22" s="36"/>
    </row>
    <row r="23" spans="1:16" x14ac:dyDescent="0.3">
      <c r="F23" s="8"/>
      <c r="G23" s="36"/>
    </row>
    <row r="24" spans="1:16" ht="15" customHeight="1" x14ac:dyDescent="0.3">
      <c r="F24" s="8"/>
      <c r="G24" s="36"/>
      <c r="M24" s="27"/>
    </row>
    <row r="25" spans="1:16" x14ac:dyDescent="0.3">
      <c r="F25" s="8"/>
      <c r="G25" s="36"/>
    </row>
    <row r="26" spans="1:16" x14ac:dyDescent="0.3">
      <c r="F26" s="8"/>
      <c r="G26" s="36"/>
    </row>
    <row r="27" spans="1:16" x14ac:dyDescent="0.3">
      <c r="F27" s="8"/>
      <c r="G27" s="36"/>
    </row>
    <row r="28" spans="1:16" x14ac:dyDescent="0.3">
      <c r="F28" s="8"/>
      <c r="G28" s="36"/>
    </row>
    <row r="29" spans="1:16" x14ac:dyDescent="0.3">
      <c r="F29" s="8">
        <f>C15*1.14</f>
        <v>120997.69847999998</v>
      </c>
      <c r="G29" s="36"/>
    </row>
  </sheetData>
  <pageMargins left="0.70866141732283472" right="0.70866141732283472" top="0.74803149606299213" bottom="0.74803149606299213" header="0.31496062992125978" footer="0.31496062992125978"/>
  <pageSetup paperSize="9" scale="86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R29"/>
  <sheetViews>
    <sheetView view="pageBreakPreview" zoomScale="80" zoomScaleNormal="80" zoomScaleSheetLayoutView="80" workbookViewId="0">
      <selection activeCell="Q21" sqref="Q2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-0.14415602646665748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2856621.1883999994</v>
      </c>
      <c r="C4" s="3">
        <v>3322466.0232000002</v>
      </c>
      <c r="D4" s="3">
        <v>2073497.6298</v>
      </c>
      <c r="E4" s="76">
        <f>IFERROR((SUM(B4-D4)/D4),0)</f>
        <v>0.37768239873779641</v>
      </c>
      <c r="F4" s="66">
        <f>SUM(F6:F20)</f>
        <v>2505808.06</v>
      </c>
      <c r="G4" s="62">
        <f>SUM(G6:G20)</f>
        <v>19281</v>
      </c>
      <c r="H4" s="45">
        <f>AVERAGE(H5:H20)</f>
        <v>135.91422891624441</v>
      </c>
      <c r="I4" s="46"/>
      <c r="J4" s="46"/>
      <c r="K4" s="29"/>
      <c r="L4" s="28">
        <f>J4/206494</f>
        <v>0</v>
      </c>
      <c r="M4" s="66">
        <f>SUM(M6:M20)</f>
        <v>79281.95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#REF!+#REF!+'Dec 25 - Dec 31 17'!I5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305952.81239999994</v>
      </c>
      <c r="C6" s="18">
        <v>318601.65960000001</v>
      </c>
      <c r="D6" s="73">
        <v>370077.21960000001</v>
      </c>
      <c r="E6" s="77">
        <f t="shared" si="0"/>
        <v>-0.1732730462829063</v>
      </c>
      <c r="F6" s="73">
        <v>268379.65999999997</v>
      </c>
      <c r="G6" s="74">
        <v>2102</v>
      </c>
      <c r="H6" s="63">
        <f t="shared" ref="H6:H15" si="2">IFERROR(B6/G6,0)</f>
        <v>145.55319333967648</v>
      </c>
      <c r="I6" s="53"/>
      <c r="J6" s="54"/>
      <c r="K6" s="54"/>
      <c r="L6" s="54">
        <f>J6/18100</f>
        <v>0</v>
      </c>
      <c r="M6" s="73">
        <v>9855.2999999999993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281625.32639999996</v>
      </c>
      <c r="C7" s="18">
        <v>469831.32359999989</v>
      </c>
      <c r="D7" s="73">
        <v>131902.43460000001</v>
      </c>
      <c r="E7" s="77">
        <f t="shared" si="0"/>
        <v>1.1351033228009875</v>
      </c>
      <c r="F7" s="73">
        <v>247039.76</v>
      </c>
      <c r="G7" s="74">
        <v>1808</v>
      </c>
      <c r="H7" s="63">
        <f t="shared" si="2"/>
        <v>155.76622035398228</v>
      </c>
      <c r="I7" s="53"/>
      <c r="J7" s="54"/>
      <c r="K7" s="54"/>
      <c r="L7" s="54">
        <f>J7/19932</f>
        <v>0</v>
      </c>
      <c r="M7" s="73">
        <v>7309.6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57697.543199999993</v>
      </c>
      <c r="C8" s="18">
        <v>106498.0704</v>
      </c>
      <c r="D8" s="73">
        <v>107724.8244</v>
      </c>
      <c r="E8" s="77">
        <f t="shared" si="0"/>
        <v>-0.4643988187369002</v>
      </c>
      <c r="F8" s="73">
        <v>50611.88</v>
      </c>
      <c r="G8" s="74">
        <v>360</v>
      </c>
      <c r="H8" s="63">
        <f t="shared" si="2"/>
        <v>160.27095333333332</v>
      </c>
      <c r="I8" s="53"/>
      <c r="J8" s="54"/>
      <c r="K8" s="54"/>
      <c r="L8" s="54">
        <f>J8/25490</f>
        <v>0</v>
      </c>
      <c r="M8" s="73">
        <v>2483.5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264574.97339999996</v>
      </c>
      <c r="C9" s="18">
        <v>369985.66619999998</v>
      </c>
      <c r="D9" s="73">
        <v>363439.64939999999</v>
      </c>
      <c r="E9" s="77">
        <f t="shared" si="0"/>
        <v>-0.2720250147808998</v>
      </c>
      <c r="F9" s="73">
        <v>232083.31</v>
      </c>
      <c r="G9" s="74">
        <v>1829</v>
      </c>
      <c r="H9" s="63">
        <f t="shared" si="2"/>
        <v>144.65553493712409</v>
      </c>
      <c r="I9" s="53"/>
      <c r="J9" s="54"/>
      <c r="K9" s="54"/>
      <c r="L9" s="54">
        <f>J9/10403</f>
        <v>0</v>
      </c>
      <c r="M9" s="73">
        <v>7288.85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116973.9636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114275.75459999999</v>
      </c>
      <c r="C11" s="18">
        <v>96134.945999999982</v>
      </c>
      <c r="D11" s="73">
        <v>155076.65100000001</v>
      </c>
      <c r="E11" s="77">
        <f t="shared" si="0"/>
        <v>-0.26310148005453138</v>
      </c>
      <c r="F11" s="73">
        <v>100241.89</v>
      </c>
      <c r="G11" s="74">
        <v>653</v>
      </c>
      <c r="H11" s="63">
        <f t="shared" si="2"/>
        <v>175.00115558958649</v>
      </c>
      <c r="I11" s="53"/>
      <c r="J11" s="54"/>
      <c r="K11" s="54"/>
      <c r="L11" s="54">
        <f>J11/16449</f>
        <v>0</v>
      </c>
      <c r="M11" s="73">
        <v>3797.5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277715.10359999997</v>
      </c>
      <c r="C12" s="18">
        <v>333290.59379999997</v>
      </c>
      <c r="D12" s="73">
        <v>346295.25780000002</v>
      </c>
      <c r="E12" s="77">
        <f t="shared" si="0"/>
        <v>-0.19803954185132952</v>
      </c>
      <c r="F12" s="73">
        <v>243609.74</v>
      </c>
      <c r="G12" s="74">
        <v>1720</v>
      </c>
      <c r="H12" s="63">
        <f t="shared" si="2"/>
        <v>161.46226953488372</v>
      </c>
      <c r="I12" s="53"/>
      <c r="J12" s="54"/>
      <c r="K12" s="54"/>
      <c r="L12" s="54">
        <f>J12/18426</f>
        <v>0</v>
      </c>
      <c r="M12" s="73">
        <v>10318.450000000001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120034.704</v>
      </c>
      <c r="C13" s="18">
        <v>146877.22380000001</v>
      </c>
      <c r="D13" s="73">
        <v>165704.15280000001</v>
      </c>
      <c r="E13" s="77">
        <f t="shared" si="0"/>
        <v>-0.2756083539748197</v>
      </c>
      <c r="F13" s="73">
        <v>105293.6</v>
      </c>
      <c r="G13" s="74">
        <v>854</v>
      </c>
      <c r="H13" s="63">
        <f t="shared" si="2"/>
        <v>140.55585948477753</v>
      </c>
      <c r="I13" s="53"/>
      <c r="J13" s="54">
        <f>I13</f>
        <v>0</v>
      </c>
      <c r="K13" s="54"/>
      <c r="L13" s="54">
        <f>J13/21444</f>
        <v>0</v>
      </c>
      <c r="M13" s="73">
        <v>6760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157076.46179999999</v>
      </c>
      <c r="C14" s="18">
        <v>208847.9088</v>
      </c>
      <c r="D14" s="73">
        <v>185355.38159999999</v>
      </c>
      <c r="E14" s="77">
        <f t="shared" si="0"/>
        <v>-0.1525659495607545</v>
      </c>
      <c r="F14" s="73">
        <v>137786.37</v>
      </c>
      <c r="G14" s="74">
        <v>923</v>
      </c>
      <c r="H14" s="63">
        <f t="shared" si="2"/>
        <v>170.18034864572047</v>
      </c>
      <c r="I14" s="53"/>
      <c r="J14" s="54"/>
      <c r="K14" s="54"/>
      <c r="L14" s="54">
        <f>J14/18876</f>
        <v>0</v>
      </c>
      <c r="M14" s="73">
        <v>4546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195637.77119999996</v>
      </c>
      <c r="C15" s="18">
        <v>125407.182</v>
      </c>
      <c r="D15" s="73">
        <v>130948.095</v>
      </c>
      <c r="E15" s="77">
        <f t="shared" si="0"/>
        <v>0.49401005948196464</v>
      </c>
      <c r="F15" s="73">
        <v>171612.08</v>
      </c>
      <c r="G15" s="74">
        <v>1138</v>
      </c>
      <c r="H15" s="63">
        <f t="shared" si="2"/>
        <v>171.9136829525483</v>
      </c>
      <c r="I15" s="53"/>
      <c r="J15" s="54"/>
      <c r="K15" s="54"/>
      <c r="L15" s="54">
        <f>J15/15345</f>
        <v>0</v>
      </c>
      <c r="M15" s="73">
        <v>9918.75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802286.55959999992</v>
      </c>
      <c r="C18" s="18">
        <v>697580.9682</v>
      </c>
      <c r="D18" s="73">
        <v>0</v>
      </c>
      <c r="E18" s="77">
        <f>IFERROR(SUM(B18-D18)/D18,0)</f>
        <v>0</v>
      </c>
      <c r="F18" s="73">
        <v>703760.14</v>
      </c>
      <c r="G18" s="74">
        <v>6286</v>
      </c>
      <c r="H18" s="63">
        <f>IFERROR(B18/G18,0)</f>
        <v>127.63069672287622</v>
      </c>
      <c r="I18" s="53"/>
      <c r="J18" s="54"/>
      <c r="K18" s="54"/>
      <c r="L18" s="54">
        <f>J18/15345</f>
        <v>0</v>
      </c>
      <c r="M18" s="73">
        <v>3250.5</v>
      </c>
      <c r="N18" s="9"/>
    </row>
    <row r="19" spans="1:14" ht="15.6" customHeight="1" x14ac:dyDescent="0.3">
      <c r="A19" s="40" t="s">
        <v>27</v>
      </c>
      <c r="B19" s="18">
        <f>F19*1.14</f>
        <v>103389.8832</v>
      </c>
      <c r="C19" s="18">
        <v>134771.73480000001</v>
      </c>
      <c r="D19" s="73">
        <v>0</v>
      </c>
      <c r="E19" s="77">
        <f>IFERROR(SUM(B19-D19)/D19,0)</f>
        <v>0</v>
      </c>
      <c r="F19" s="73">
        <v>90692.88</v>
      </c>
      <c r="G19" s="74">
        <v>580</v>
      </c>
      <c r="H19" s="63">
        <f>IFERROR(B19/G19,0)</f>
        <v>178.25841931034483</v>
      </c>
      <c r="I19" s="53"/>
      <c r="J19" s="54"/>
      <c r="K19" s="54"/>
      <c r="L19" s="54">
        <f>J19/15345</f>
        <v>0</v>
      </c>
      <c r="M19" s="73">
        <v>7798</v>
      </c>
      <c r="N19" s="9"/>
    </row>
    <row r="20" spans="1:14" ht="15.6" customHeight="1" x14ac:dyDescent="0.3">
      <c r="A20" s="40" t="s">
        <v>28</v>
      </c>
      <c r="B20" s="18">
        <f>F20*1.14</f>
        <v>176354.29499999998</v>
      </c>
      <c r="C20" s="42">
        <v>314638.74599999998</v>
      </c>
      <c r="D20" s="71">
        <v>0</v>
      </c>
      <c r="E20" s="77">
        <f>IFERROR(SUM(B20-D20)/D20,0)</f>
        <v>0</v>
      </c>
      <c r="F20" s="79">
        <v>154696.75</v>
      </c>
      <c r="G20" s="74">
        <v>1028</v>
      </c>
      <c r="H20" s="63">
        <f>IFERROR(B20/G20,0)</f>
        <v>171.55087062256808</v>
      </c>
      <c r="I20" s="80"/>
      <c r="J20" s="80"/>
      <c r="K20" s="80"/>
      <c r="L20" s="80"/>
      <c r="M20" s="73">
        <v>5955.5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142964.18747999999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R29"/>
  <sheetViews>
    <sheetView view="pageBreakPreview" zoomScale="80" zoomScaleNormal="80" zoomScaleSheetLayoutView="80" workbookViewId="0">
      <selection activeCell="F9" sqref="F9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0.22471612565005117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2979026.7618</v>
      </c>
      <c r="C4" s="3">
        <v>2856621.1883999989</v>
      </c>
      <c r="D4" s="3">
        <v>1560252.45</v>
      </c>
      <c r="E4" s="76">
        <f>IFERROR((SUM(B4-D4)/D4),0)</f>
        <v>0.90932355965856682</v>
      </c>
      <c r="F4" s="66">
        <f>SUM(F6:F20)</f>
        <v>2613181.3699999996</v>
      </c>
      <c r="G4" s="62">
        <f>SUM(G6:G20)</f>
        <v>20088</v>
      </c>
      <c r="H4" s="45">
        <f>AVERAGE(H5:H20)</f>
        <v>131.75758590460381</v>
      </c>
      <c r="I4" s="46"/>
      <c r="J4" s="46"/>
      <c r="K4" s="29"/>
      <c r="L4" s="28">
        <f>J4/206494</f>
        <v>0</v>
      </c>
      <c r="M4" s="66">
        <f>SUM(M6:M20)</f>
        <v>90829.65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#REF!+#REF!+'Jan 1 - Jan 7'!I5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344966.82719999994</v>
      </c>
      <c r="C6" s="18">
        <v>305952.81239999988</v>
      </c>
      <c r="D6" s="73">
        <v>262785.48119999998</v>
      </c>
      <c r="E6" s="77">
        <f t="shared" si="0"/>
        <v>0.31273168374722204</v>
      </c>
      <c r="F6" s="73">
        <v>302602.48</v>
      </c>
      <c r="G6" s="74">
        <v>2370</v>
      </c>
      <c r="H6" s="63">
        <f t="shared" ref="H6:H15" si="2">IFERROR(B6/G6,0)</f>
        <v>145.55562329113923</v>
      </c>
      <c r="I6" s="53"/>
      <c r="J6" s="54"/>
      <c r="K6" s="54"/>
      <c r="L6" s="54">
        <f>J6/18100</f>
        <v>0</v>
      </c>
      <c r="M6" s="73">
        <v>7828.8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255007.06739999997</v>
      </c>
      <c r="C7" s="18">
        <v>281625.32640000002</v>
      </c>
      <c r="D7" s="73">
        <v>134553.88080000001</v>
      </c>
      <c r="E7" s="77">
        <f t="shared" si="0"/>
        <v>0.89520410622002622</v>
      </c>
      <c r="F7" s="73">
        <v>223690.41</v>
      </c>
      <c r="G7" s="74">
        <v>1681</v>
      </c>
      <c r="H7" s="63">
        <f t="shared" si="2"/>
        <v>151.69962367638308</v>
      </c>
      <c r="I7" s="53"/>
      <c r="J7" s="54"/>
      <c r="K7" s="54"/>
      <c r="L7" s="54">
        <f>J7/19932</f>
        <v>0</v>
      </c>
      <c r="M7" s="73">
        <v>5783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81571.468799999988</v>
      </c>
      <c r="C8" s="18">
        <v>57697.543199999993</v>
      </c>
      <c r="D8" s="73">
        <v>73186.00499999999</v>
      </c>
      <c r="E8" s="77">
        <f t="shared" si="0"/>
        <v>0.11457742228176</v>
      </c>
      <c r="F8" s="73">
        <v>71553.919999999998</v>
      </c>
      <c r="G8" s="74">
        <v>500</v>
      </c>
      <c r="H8" s="63">
        <f t="shared" si="2"/>
        <v>163.14293759999998</v>
      </c>
      <c r="I8" s="53"/>
      <c r="J8" s="54"/>
      <c r="K8" s="54"/>
      <c r="L8" s="54">
        <f>J8/25490</f>
        <v>0</v>
      </c>
      <c r="M8" s="73">
        <v>2893.4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328490.90879999998</v>
      </c>
      <c r="C9" s="18">
        <v>264574.97340000002</v>
      </c>
      <c r="D9" s="73">
        <v>262727.67180000001</v>
      </c>
      <c r="E9" s="77">
        <f t="shared" si="0"/>
        <v>0.2503095184052857</v>
      </c>
      <c r="F9" s="73">
        <v>288149.92</v>
      </c>
      <c r="G9" s="74">
        <v>2259</v>
      </c>
      <c r="H9" s="63">
        <f t="shared" si="2"/>
        <v>145.41430225763611</v>
      </c>
      <c r="I9" s="53"/>
      <c r="J9" s="54"/>
      <c r="K9" s="54"/>
      <c r="L9" s="54">
        <f>J9/10403</f>
        <v>0</v>
      </c>
      <c r="M9" s="73">
        <v>8095.25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74739.084000000003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116016.19259999998</v>
      </c>
      <c r="C11" s="18">
        <v>114275.7546</v>
      </c>
      <c r="D11" s="73">
        <v>127301.5998</v>
      </c>
      <c r="E11" s="77">
        <f t="shared" si="0"/>
        <v>-8.8650945610504545E-2</v>
      </c>
      <c r="F11" s="73">
        <v>101768.59</v>
      </c>
      <c r="G11" s="74">
        <v>723</v>
      </c>
      <c r="H11" s="63">
        <f t="shared" si="2"/>
        <v>160.4649966804979</v>
      </c>
      <c r="I11" s="53"/>
      <c r="J11" s="54"/>
      <c r="K11" s="54"/>
      <c r="L11" s="54">
        <f>J11/16449</f>
        <v>0</v>
      </c>
      <c r="M11" s="73">
        <v>4435.6000000000004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302047.1496</v>
      </c>
      <c r="C12" s="18">
        <v>277715.10359999997</v>
      </c>
      <c r="D12" s="73">
        <v>228224.63699999999</v>
      </c>
      <c r="E12" s="77">
        <f t="shared" si="0"/>
        <v>0.32346425684094754</v>
      </c>
      <c r="F12" s="73">
        <v>264953.64</v>
      </c>
      <c r="G12" s="74">
        <v>1834</v>
      </c>
      <c r="H12" s="63">
        <f t="shared" si="2"/>
        <v>164.69310229007633</v>
      </c>
      <c r="I12" s="53"/>
      <c r="J12" s="54"/>
      <c r="K12" s="54"/>
      <c r="L12" s="54">
        <f>J12/18426</f>
        <v>0</v>
      </c>
      <c r="M12" s="73">
        <v>11245.9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132438.38279999999</v>
      </c>
      <c r="C13" s="18">
        <v>120034.704</v>
      </c>
      <c r="D13" s="73">
        <v>127170.819</v>
      </c>
      <c r="E13" s="77">
        <f t="shared" si="0"/>
        <v>4.142116754001552E-2</v>
      </c>
      <c r="F13" s="73">
        <v>116174.02</v>
      </c>
      <c r="G13" s="74">
        <v>988</v>
      </c>
      <c r="H13" s="63">
        <f t="shared" si="2"/>
        <v>134.04694615384614</v>
      </c>
      <c r="I13" s="53"/>
      <c r="J13" s="54">
        <f>I13</f>
        <v>0</v>
      </c>
      <c r="K13" s="54"/>
      <c r="L13" s="54">
        <f>J13/21444</f>
        <v>0</v>
      </c>
      <c r="M13" s="73">
        <v>12501.5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185942.43599999999</v>
      </c>
      <c r="C14" s="18">
        <v>157076.46179999999</v>
      </c>
      <c r="D14" s="73">
        <v>129554.99219999999</v>
      </c>
      <c r="E14" s="77">
        <f t="shared" si="0"/>
        <v>0.43523945193059105</v>
      </c>
      <c r="F14" s="73">
        <v>163107.4</v>
      </c>
      <c r="G14" s="74">
        <v>1332</v>
      </c>
      <c r="H14" s="63">
        <f t="shared" si="2"/>
        <v>139.5964234234234</v>
      </c>
      <c r="I14" s="53"/>
      <c r="J14" s="54"/>
      <c r="K14" s="54"/>
      <c r="L14" s="54">
        <f>J14/18876</f>
        <v>0</v>
      </c>
      <c r="M14" s="73">
        <v>5584.4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164385.90239999999</v>
      </c>
      <c r="C15" s="18">
        <v>195637.77119999999</v>
      </c>
      <c r="D15" s="73">
        <v>140008.27919999999</v>
      </c>
      <c r="E15" s="77">
        <f t="shared" si="0"/>
        <v>0.17411558330187665</v>
      </c>
      <c r="F15" s="73">
        <v>144198.16</v>
      </c>
      <c r="G15" s="74">
        <v>1027</v>
      </c>
      <c r="H15" s="63">
        <f t="shared" si="2"/>
        <v>160.06416981499513</v>
      </c>
      <c r="I15" s="53"/>
      <c r="J15" s="54"/>
      <c r="K15" s="54"/>
      <c r="L15" s="54">
        <f>J15/15345</f>
        <v>0</v>
      </c>
      <c r="M15" s="73">
        <v>11862.9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687439.07219999994</v>
      </c>
      <c r="C18" s="18">
        <v>802286.55959999992</v>
      </c>
      <c r="D18" s="73">
        <v>0</v>
      </c>
      <c r="E18" s="77">
        <f>IFERROR(SUM(B18-D18)/D18,0)</f>
        <v>0</v>
      </c>
      <c r="F18" s="73">
        <v>603016.73</v>
      </c>
      <c r="G18" s="74">
        <v>5150</v>
      </c>
      <c r="H18" s="63">
        <f>IFERROR(B18/G18,0)</f>
        <v>133.48331499029126</v>
      </c>
      <c r="I18" s="53"/>
      <c r="J18" s="54"/>
      <c r="K18" s="54"/>
      <c r="L18" s="54">
        <f>J18/15345</f>
        <v>0</v>
      </c>
      <c r="M18" s="73">
        <v>5477.5</v>
      </c>
      <c r="N18" s="9"/>
    </row>
    <row r="19" spans="1:14" ht="15.6" customHeight="1" x14ac:dyDescent="0.3">
      <c r="A19" s="40" t="s">
        <v>27</v>
      </c>
      <c r="B19" s="18">
        <f>F19*1.14</f>
        <v>121726.27019999998</v>
      </c>
      <c r="C19" s="18">
        <v>103389.8832</v>
      </c>
      <c r="D19" s="73">
        <v>0</v>
      </c>
      <c r="E19" s="77">
        <f>IFERROR(SUM(B19-D19)/D19,0)</f>
        <v>0</v>
      </c>
      <c r="F19" s="73">
        <v>106777.43</v>
      </c>
      <c r="G19" s="74">
        <v>682</v>
      </c>
      <c r="H19" s="63">
        <f>IFERROR(B19/G19,0)</f>
        <v>178.48426715542519</v>
      </c>
      <c r="I19" s="53"/>
      <c r="J19" s="54"/>
      <c r="K19" s="54"/>
      <c r="L19" s="54">
        <f>J19/15345</f>
        <v>0</v>
      </c>
      <c r="M19" s="73">
        <v>7666.4</v>
      </c>
      <c r="N19" s="9"/>
    </row>
    <row r="20" spans="1:14" ht="15.6" customHeight="1" x14ac:dyDescent="0.3">
      <c r="A20" s="40" t="s">
        <v>28</v>
      </c>
      <c r="B20" s="18">
        <f>F20*1.14</f>
        <v>258995.08379999999</v>
      </c>
      <c r="C20" s="42">
        <v>176354.29500000001</v>
      </c>
      <c r="D20" s="71">
        <v>0</v>
      </c>
      <c r="E20" s="77">
        <f>IFERROR(SUM(B20-D20)/D20,0)</f>
        <v>0</v>
      </c>
      <c r="F20" s="79">
        <v>227188.67</v>
      </c>
      <c r="G20" s="74">
        <v>1542</v>
      </c>
      <c r="H20" s="63">
        <f>IFERROR(B20/G20,0)</f>
        <v>167.96049533073929</v>
      </c>
      <c r="I20" s="80"/>
      <c r="J20" s="80"/>
      <c r="K20" s="80"/>
      <c r="L20" s="80"/>
      <c r="M20" s="73">
        <v>7455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223027.05916799998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R29"/>
  <sheetViews>
    <sheetView view="pageBreakPreview" zoomScale="80" zoomScaleNormal="80" zoomScaleSheetLayoutView="80" workbookViewId="0">
      <selection activeCell="P27" sqref="P27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-1.2694670500700561E-2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2643299.1443999996</v>
      </c>
      <c r="C4" s="3">
        <v>2979026.7618</v>
      </c>
      <c r="D4" s="3">
        <v>1856806.0194000001</v>
      </c>
      <c r="E4" s="76">
        <f>IFERROR((SUM(B4-D4)/D4),0)</f>
        <v>0.42357312330026986</v>
      </c>
      <c r="F4" s="66">
        <f>SUM(F6:F20)</f>
        <v>2318683.46</v>
      </c>
      <c r="G4" s="62">
        <f>SUM(G6:G20)</f>
        <v>17939</v>
      </c>
      <c r="H4" s="45">
        <f>AVERAGE(H5:H20)</f>
        <v>129.23448186170435</v>
      </c>
      <c r="I4" s="46"/>
      <c r="J4" s="46"/>
      <c r="K4" s="29"/>
      <c r="L4" s="28">
        <f>J4/206494</f>
        <v>0</v>
      </c>
      <c r="M4" s="66">
        <f>SUM(M6:M20)</f>
        <v>88878.05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#REF!+#REF!+'Jan 8 - Jan 14'!I5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305923.36619999999</v>
      </c>
      <c r="C6" s="18">
        <v>344966.82719999988</v>
      </c>
      <c r="D6" s="73">
        <v>277591.33380000002</v>
      </c>
      <c r="E6" s="77">
        <f t="shared" si="0"/>
        <v>0.1020638217056615</v>
      </c>
      <c r="F6" s="73">
        <v>268353.83</v>
      </c>
      <c r="G6" s="74">
        <v>2150</v>
      </c>
      <c r="H6" s="63">
        <f t="shared" ref="H6:H15" si="2">IFERROR(B6/G6,0)</f>
        <v>142.28993776744184</v>
      </c>
      <c r="I6" s="53"/>
      <c r="J6" s="54"/>
      <c r="K6" s="54"/>
      <c r="L6" s="54">
        <f>J6/18100</f>
        <v>0</v>
      </c>
      <c r="M6" s="73">
        <v>7605.6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185906.11559999999</v>
      </c>
      <c r="C7" s="18">
        <v>255007.0674</v>
      </c>
      <c r="D7" s="73">
        <v>178260.2268</v>
      </c>
      <c r="E7" s="77">
        <f t="shared" si="0"/>
        <v>4.2891725974175558E-2</v>
      </c>
      <c r="F7" s="73">
        <v>163075.54</v>
      </c>
      <c r="G7" s="74">
        <v>1177</v>
      </c>
      <c r="H7" s="63">
        <f t="shared" si="2"/>
        <v>157.94912115548001</v>
      </c>
      <c r="I7" s="53"/>
      <c r="J7" s="54"/>
      <c r="K7" s="54"/>
      <c r="L7" s="54">
        <f>J7/19932</f>
        <v>0</v>
      </c>
      <c r="M7" s="73">
        <v>5233.8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94722.178199999995</v>
      </c>
      <c r="C8" s="18">
        <v>81571.468799999988</v>
      </c>
      <c r="D8" s="73">
        <v>106379.43060000001</v>
      </c>
      <c r="E8" s="77">
        <f t="shared" si="0"/>
        <v>-0.10958182737255609</v>
      </c>
      <c r="F8" s="73">
        <v>83089.63</v>
      </c>
      <c r="G8" s="74">
        <v>630</v>
      </c>
      <c r="H8" s="63">
        <f t="shared" si="2"/>
        <v>150.35266380952379</v>
      </c>
      <c r="I8" s="53"/>
      <c r="J8" s="54"/>
      <c r="K8" s="54"/>
      <c r="L8" s="54">
        <f>J8/25490</f>
        <v>0</v>
      </c>
      <c r="M8" s="73">
        <v>4235.5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304281.76620000001</v>
      </c>
      <c r="C9" s="18">
        <v>328490.90879999998</v>
      </c>
      <c r="D9" s="73">
        <v>279925.55219999998</v>
      </c>
      <c r="E9" s="77">
        <f t="shared" si="0"/>
        <v>8.7009613122413759E-2</v>
      </c>
      <c r="F9" s="73">
        <v>266913.83</v>
      </c>
      <c r="G9" s="74">
        <v>2143</v>
      </c>
      <c r="H9" s="63">
        <f t="shared" si="2"/>
        <v>141.98869164722353</v>
      </c>
      <c r="I9" s="53"/>
      <c r="J9" s="54"/>
      <c r="K9" s="54"/>
      <c r="L9" s="54">
        <f>J9/10403</f>
        <v>0</v>
      </c>
      <c r="M9" s="73">
        <v>11304.65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121140.31020000001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134187.91799999998</v>
      </c>
      <c r="C11" s="18">
        <v>116016.19259999999</v>
      </c>
      <c r="D11" s="73">
        <v>148241.6556</v>
      </c>
      <c r="E11" s="77">
        <f t="shared" si="0"/>
        <v>-9.4802891556481125E-2</v>
      </c>
      <c r="F11" s="73">
        <v>117708.7</v>
      </c>
      <c r="G11" s="74">
        <v>847</v>
      </c>
      <c r="H11" s="63">
        <f t="shared" si="2"/>
        <v>158.42729397874851</v>
      </c>
      <c r="I11" s="53"/>
      <c r="J11" s="54"/>
      <c r="K11" s="54"/>
      <c r="L11" s="54">
        <f>J11/16449</f>
        <v>0</v>
      </c>
      <c r="M11" s="73">
        <v>5388.45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335383.86179999996</v>
      </c>
      <c r="C12" s="18">
        <v>302047.1496</v>
      </c>
      <c r="D12" s="73">
        <v>299760.30959999998</v>
      </c>
      <c r="E12" s="77">
        <f t="shared" si="0"/>
        <v>0.11884012345575713</v>
      </c>
      <c r="F12" s="73">
        <v>294196.37</v>
      </c>
      <c r="G12" s="74">
        <v>2281</v>
      </c>
      <c r="H12" s="63">
        <f t="shared" si="2"/>
        <v>147.03369653660673</v>
      </c>
      <c r="I12" s="53"/>
      <c r="J12" s="54"/>
      <c r="K12" s="54"/>
      <c r="L12" s="54">
        <f>J12/18426</f>
        <v>0</v>
      </c>
      <c r="M12" s="73">
        <v>14534.6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122355.0144</v>
      </c>
      <c r="C13" s="18">
        <v>132438.38279999999</v>
      </c>
      <c r="D13" s="73">
        <v>146501.0808</v>
      </c>
      <c r="E13" s="77">
        <f t="shared" si="0"/>
        <v>-0.16481834992714944</v>
      </c>
      <c r="F13" s="73">
        <v>107328.96000000001</v>
      </c>
      <c r="G13" s="74">
        <v>899</v>
      </c>
      <c r="H13" s="63">
        <f t="shared" si="2"/>
        <v>136.10123959955507</v>
      </c>
      <c r="I13" s="53"/>
      <c r="J13" s="54">
        <f>I13</f>
        <v>0</v>
      </c>
      <c r="K13" s="54"/>
      <c r="L13" s="54">
        <f>J13/21444</f>
        <v>0</v>
      </c>
      <c r="M13" s="73">
        <v>11202.75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231831.50579999998</v>
      </c>
      <c r="C14" s="18">
        <v>185942.43599999999</v>
      </c>
      <c r="D14" s="73">
        <v>183625.14660000001</v>
      </c>
      <c r="E14" s="77">
        <f t="shared" si="0"/>
        <v>0.26252591266821607</v>
      </c>
      <c r="F14" s="73">
        <v>203360.97</v>
      </c>
      <c r="G14" s="74">
        <v>1536</v>
      </c>
      <c r="H14" s="63">
        <f t="shared" si="2"/>
        <v>150.93196992187498</v>
      </c>
      <c r="I14" s="53"/>
      <c r="J14" s="54"/>
      <c r="K14" s="54"/>
      <c r="L14" s="54">
        <f>J14/18876</f>
        <v>0</v>
      </c>
      <c r="M14" s="73">
        <v>5449.5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118642.75259999999</v>
      </c>
      <c r="C15" s="18">
        <v>164385.90239999999</v>
      </c>
      <c r="D15" s="73">
        <v>115380.97319999999</v>
      </c>
      <c r="E15" s="77">
        <f t="shared" si="0"/>
        <v>2.8269647148374023E-2</v>
      </c>
      <c r="F15" s="73">
        <v>104072.59</v>
      </c>
      <c r="G15" s="74">
        <v>748</v>
      </c>
      <c r="H15" s="63">
        <f t="shared" si="2"/>
        <v>158.61330561497326</v>
      </c>
      <c r="I15" s="53"/>
      <c r="J15" s="54"/>
      <c r="K15" s="54"/>
      <c r="L15" s="54">
        <f>J15/15345</f>
        <v>0</v>
      </c>
      <c r="M15" s="73">
        <v>5820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392155.23479999998</v>
      </c>
      <c r="C18" s="18">
        <v>687439.07219999994</v>
      </c>
      <c r="D18" s="73">
        <v>0</v>
      </c>
      <c r="E18" s="77">
        <f>IFERROR(SUM(B18-D18)/D18,0)</f>
        <v>0</v>
      </c>
      <c r="F18" s="73">
        <v>343995.82</v>
      </c>
      <c r="G18" s="74">
        <v>3057</v>
      </c>
      <c r="H18" s="63">
        <f>IFERROR(B18/G18,0)</f>
        <v>128.28107124631993</v>
      </c>
      <c r="I18" s="53"/>
      <c r="J18" s="54"/>
      <c r="K18" s="54"/>
      <c r="L18" s="54">
        <f>J18/15345</f>
        <v>0</v>
      </c>
      <c r="M18" s="73">
        <v>3514.5</v>
      </c>
      <c r="N18" s="9"/>
    </row>
    <row r="19" spans="1:14" ht="15.6" customHeight="1" x14ac:dyDescent="0.3">
      <c r="A19" s="40" t="s">
        <v>27</v>
      </c>
      <c r="B19" s="18">
        <f>F19*1.14</f>
        <v>136168.25759999998</v>
      </c>
      <c r="C19" s="18">
        <v>121726.2702</v>
      </c>
      <c r="D19" s="73">
        <v>0</v>
      </c>
      <c r="E19" s="77">
        <f>IFERROR(SUM(B19-D19)/D19,0)</f>
        <v>0</v>
      </c>
      <c r="F19" s="73">
        <v>119445.84</v>
      </c>
      <c r="G19" s="74">
        <v>814</v>
      </c>
      <c r="H19" s="63">
        <f>IFERROR(B19/G19,0)</f>
        <v>167.28287174447172</v>
      </c>
      <c r="I19" s="53"/>
      <c r="J19" s="54"/>
      <c r="K19" s="54"/>
      <c r="L19" s="54">
        <f>J19/15345</f>
        <v>0</v>
      </c>
      <c r="M19" s="63">
        <v>7471.65</v>
      </c>
      <c r="N19" s="9"/>
    </row>
    <row r="20" spans="1:14" ht="15.6" customHeight="1" x14ac:dyDescent="0.3">
      <c r="A20" s="40" t="s">
        <v>28</v>
      </c>
      <c r="B20" s="18">
        <f>F20*1.14</f>
        <v>281741.17319999996</v>
      </c>
      <c r="C20" s="42">
        <v>258995.08379999999</v>
      </c>
      <c r="D20" s="71">
        <v>0</v>
      </c>
      <c r="E20" s="77">
        <f>IFERROR(SUM(B20-D20)/D20,0)</f>
        <v>0</v>
      </c>
      <c r="F20" s="79">
        <v>247141.38</v>
      </c>
      <c r="G20" s="74">
        <v>1657</v>
      </c>
      <c r="H20" s="63">
        <f>IFERROR(B20/G20,0)</f>
        <v>170.03088304164149</v>
      </c>
      <c r="I20" s="80"/>
      <c r="J20" s="80"/>
      <c r="K20" s="80"/>
      <c r="L20" s="80"/>
      <c r="M20" s="73">
        <v>7117.05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187399.92873599997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R29"/>
  <sheetViews>
    <sheetView view="pageBreakPreview" zoomScale="80" zoomScaleNormal="80" zoomScaleSheetLayoutView="80" workbookViewId="0">
      <selection activeCell="M19" sqref="M19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-5.4626576806484596E-3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2399014.29</v>
      </c>
      <c r="C4" s="3">
        <v>2643299.1444000001</v>
      </c>
      <c r="D4" s="3">
        <v>1841285.2842000001</v>
      </c>
      <c r="E4" s="76">
        <f>IFERROR((SUM(B4-D4)/D4),0)</f>
        <v>0.30290200578142429</v>
      </c>
      <c r="F4" s="66">
        <f>SUM(F6:F20)</f>
        <v>2104398.5</v>
      </c>
      <c r="G4" s="62">
        <f>SUM(G6:G20)</f>
        <v>15899</v>
      </c>
      <c r="H4" s="45">
        <f>AVERAGE(H5:H20)</f>
        <v>129.85523993913446</v>
      </c>
      <c r="I4" s="46"/>
      <c r="J4" s="46"/>
      <c r="K4" s="29"/>
      <c r="L4" s="28">
        <f>J4/206494</f>
        <v>0</v>
      </c>
      <c r="M4" s="66">
        <f>SUM(M6:M20)</f>
        <v>104947.47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#REF!+#REF!+'Jan 15 - Jan 21'!I5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253245.63059999997</v>
      </c>
      <c r="C6" s="18">
        <v>305923.36619999999</v>
      </c>
      <c r="D6" s="73">
        <v>218358.7464</v>
      </c>
      <c r="E6" s="77">
        <f t="shared" si="0"/>
        <v>0.15976865948887847</v>
      </c>
      <c r="F6" s="73">
        <v>222145.29</v>
      </c>
      <c r="G6" s="74">
        <v>1747</v>
      </c>
      <c r="H6" s="63">
        <f t="shared" ref="H6:H15" si="2">IFERROR(B6/G6,0)</f>
        <v>144.96029227246709</v>
      </c>
      <c r="I6" s="53"/>
      <c r="J6" s="54"/>
      <c r="K6" s="54"/>
      <c r="L6" s="54">
        <f>J6/18100</f>
        <v>0</v>
      </c>
      <c r="M6" s="73">
        <v>9116.6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206112.92339999997</v>
      </c>
      <c r="C7" s="18">
        <v>185906.11559999999</v>
      </c>
      <c r="D7" s="73">
        <v>180684.0606</v>
      </c>
      <c r="E7" s="77">
        <f t="shared" si="0"/>
        <v>0.14073661348742111</v>
      </c>
      <c r="F7" s="73">
        <v>180800.81</v>
      </c>
      <c r="G7" s="74">
        <v>1305</v>
      </c>
      <c r="H7" s="63">
        <f t="shared" si="2"/>
        <v>157.94093747126433</v>
      </c>
      <c r="I7" s="53"/>
      <c r="J7" s="54"/>
      <c r="K7" s="54"/>
      <c r="L7" s="54">
        <f>J7/19932</f>
        <v>0</v>
      </c>
      <c r="M7" s="73">
        <v>5809.5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93216.260999999984</v>
      </c>
      <c r="C8" s="18">
        <v>94722.178199999995</v>
      </c>
      <c r="D8" s="73">
        <v>111006.49679999999</v>
      </c>
      <c r="E8" s="77">
        <f t="shared" si="0"/>
        <v>-0.16026301444367363</v>
      </c>
      <c r="F8" s="73">
        <v>81768.649999999994</v>
      </c>
      <c r="G8" s="74">
        <v>600</v>
      </c>
      <c r="H8" s="63">
        <f t="shared" si="2"/>
        <v>155.36043499999997</v>
      </c>
      <c r="I8" s="53"/>
      <c r="J8" s="54"/>
      <c r="K8" s="54"/>
      <c r="L8" s="54">
        <f>J8/25490</f>
        <v>0</v>
      </c>
      <c r="M8" s="73">
        <v>5900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307859.70179999998</v>
      </c>
      <c r="C9" s="18">
        <v>304281.76620000001</v>
      </c>
      <c r="D9" s="73">
        <v>309025.61399999988</v>
      </c>
      <c r="E9" s="77">
        <f t="shared" si="0"/>
        <v>-3.772865895834462E-3</v>
      </c>
      <c r="F9" s="73">
        <v>270052.37</v>
      </c>
      <c r="G9" s="74">
        <v>2065</v>
      </c>
      <c r="H9" s="63">
        <f t="shared" si="2"/>
        <v>149.08460135593219</v>
      </c>
      <c r="I9" s="53"/>
      <c r="J9" s="54"/>
      <c r="K9" s="54"/>
      <c r="L9" s="54">
        <f>J9/10403</f>
        <v>0</v>
      </c>
      <c r="M9" s="73">
        <v>8179.1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106564.0536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155811.609</v>
      </c>
      <c r="C11" s="18">
        <v>134187.91800000001</v>
      </c>
      <c r="D11" s="73">
        <v>150071.8002</v>
      </c>
      <c r="E11" s="77">
        <f t="shared" si="0"/>
        <v>3.8247084344630915E-2</v>
      </c>
      <c r="F11" s="73">
        <v>136676.85</v>
      </c>
      <c r="G11" s="74">
        <v>973</v>
      </c>
      <c r="H11" s="63">
        <f t="shared" si="2"/>
        <v>160.13526104830422</v>
      </c>
      <c r="I11" s="53"/>
      <c r="J11" s="54"/>
      <c r="K11" s="54"/>
      <c r="L11" s="54">
        <f>J11/16449</f>
        <v>0</v>
      </c>
      <c r="M11" s="73">
        <v>5295.6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338251.48619999998</v>
      </c>
      <c r="C12" s="18">
        <v>335383.86180000001</v>
      </c>
      <c r="D12" s="73">
        <v>320712.25559999997</v>
      </c>
      <c r="E12" s="77">
        <f t="shared" si="0"/>
        <v>5.4688370318705125E-2</v>
      </c>
      <c r="F12" s="73">
        <v>296711.83</v>
      </c>
      <c r="G12" s="74">
        <v>2311</v>
      </c>
      <c r="H12" s="63">
        <f t="shared" si="2"/>
        <v>146.36585296408481</v>
      </c>
      <c r="I12" s="53"/>
      <c r="J12" s="54"/>
      <c r="K12" s="54"/>
      <c r="L12" s="54">
        <f>J12/18426</f>
        <v>0</v>
      </c>
      <c r="M12" s="73">
        <v>16994.3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136880.2788</v>
      </c>
      <c r="C13" s="18">
        <v>122355.0144</v>
      </c>
      <c r="D13" s="73">
        <v>146267.5062</v>
      </c>
      <c r="E13" s="77">
        <f t="shared" si="0"/>
        <v>-6.4178488058477631E-2</v>
      </c>
      <c r="F13" s="73">
        <v>120070.42</v>
      </c>
      <c r="G13" s="74">
        <v>1077</v>
      </c>
      <c r="H13" s="63">
        <f t="shared" si="2"/>
        <v>127.09403788300835</v>
      </c>
      <c r="I13" s="53"/>
      <c r="J13" s="54">
        <f>I13</f>
        <v>0</v>
      </c>
      <c r="K13" s="54"/>
      <c r="L13" s="54">
        <f>J13/21444</f>
        <v>0</v>
      </c>
      <c r="M13" s="73">
        <v>11544.4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237376.24919999999</v>
      </c>
      <c r="C14" s="18">
        <v>231831.50580000001</v>
      </c>
      <c r="D14" s="73">
        <v>190827.2562</v>
      </c>
      <c r="E14" s="77">
        <f t="shared" si="0"/>
        <v>0.24393262224141327</v>
      </c>
      <c r="F14" s="73">
        <v>208224.78</v>
      </c>
      <c r="G14" s="74">
        <v>1512</v>
      </c>
      <c r="H14" s="63">
        <f t="shared" si="2"/>
        <v>156.9948738095238</v>
      </c>
      <c r="I14" s="53"/>
      <c r="J14" s="54"/>
      <c r="K14" s="54"/>
      <c r="L14" s="54">
        <f>J14/18876</f>
        <v>0</v>
      </c>
      <c r="M14" s="73">
        <v>10082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102472.83299999998</v>
      </c>
      <c r="C15" s="18">
        <v>118642.75260000001</v>
      </c>
      <c r="D15" s="73">
        <v>107767.49460000001</v>
      </c>
      <c r="E15" s="77">
        <f t="shared" si="0"/>
        <v>-4.9130413763929341E-2</v>
      </c>
      <c r="F15" s="73">
        <v>89888.45</v>
      </c>
      <c r="G15" s="74">
        <v>728</v>
      </c>
      <c r="H15" s="63">
        <f t="shared" si="2"/>
        <v>140.75938598901098</v>
      </c>
      <c r="I15" s="53"/>
      <c r="J15" s="54"/>
      <c r="K15" s="54"/>
      <c r="L15" s="54">
        <f>J15/15345</f>
        <v>0</v>
      </c>
      <c r="M15" s="73">
        <v>8458.25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164762.37599999999</v>
      </c>
      <c r="C18" s="18">
        <v>392155.23479999998</v>
      </c>
      <c r="D18" s="73">
        <v>0</v>
      </c>
      <c r="E18" s="77">
        <f>IFERROR(SUM(B18-D18)/D18,0)</f>
        <v>0</v>
      </c>
      <c r="F18" s="73">
        <v>144528.4</v>
      </c>
      <c r="G18" s="74">
        <v>1224</v>
      </c>
      <c r="H18" s="63">
        <f>IFERROR(B18/G18,0)</f>
        <v>134.60978431372547</v>
      </c>
      <c r="I18" s="53"/>
      <c r="J18" s="54"/>
      <c r="K18" s="54"/>
      <c r="L18" s="54">
        <f>J18/15345</f>
        <v>0</v>
      </c>
      <c r="M18" s="73">
        <v>3023.5</v>
      </c>
      <c r="N18" s="9"/>
    </row>
    <row r="19" spans="1:14" ht="15.6" customHeight="1" x14ac:dyDescent="0.3">
      <c r="A19" s="40" t="s">
        <v>27</v>
      </c>
      <c r="B19" s="18">
        <f>F19*1.14</f>
        <v>142884.24839999998</v>
      </c>
      <c r="C19" s="18">
        <v>136168.25760000001</v>
      </c>
      <c r="D19" s="73">
        <v>0</v>
      </c>
      <c r="E19" s="77">
        <f>IFERROR(SUM(B19-D19)/D19,0)</f>
        <v>0</v>
      </c>
      <c r="F19" s="73">
        <v>125337.06</v>
      </c>
      <c r="G19" s="74">
        <v>809</v>
      </c>
      <c r="H19" s="63">
        <f>IFERROR(B19/G19,0)</f>
        <v>176.61835401730528</v>
      </c>
      <c r="I19" s="53"/>
      <c r="J19" s="54"/>
      <c r="K19" s="54"/>
      <c r="L19" s="54">
        <f>J19/15345</f>
        <v>0</v>
      </c>
      <c r="M19" s="63">
        <v>8029.97</v>
      </c>
      <c r="N19" s="9"/>
    </row>
    <row r="20" spans="1:14" ht="15.6" customHeight="1" x14ac:dyDescent="0.3">
      <c r="A20" s="40" t="s">
        <v>28</v>
      </c>
      <c r="B20" s="18">
        <f>F20*1.14</f>
        <v>260140.69259999998</v>
      </c>
      <c r="C20" s="42">
        <v>281741.17320000002</v>
      </c>
      <c r="D20" s="71">
        <v>0</v>
      </c>
      <c r="E20" s="77">
        <f>IFERROR(SUM(B20-D20)/D20,0)</f>
        <v>0</v>
      </c>
      <c r="F20" s="79">
        <v>228193.59</v>
      </c>
      <c r="G20" s="74">
        <v>1548</v>
      </c>
      <c r="H20" s="63">
        <f>IFERROR(B20/G20,0)</f>
        <v>168.04954302325581</v>
      </c>
      <c r="I20" s="80"/>
      <c r="J20" s="80"/>
      <c r="K20" s="80"/>
      <c r="L20" s="80"/>
      <c r="M20" s="73">
        <v>12514.25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135252.737964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R29"/>
  <sheetViews>
    <sheetView view="pageBreakPreview" zoomScale="80" zoomScaleNormal="80" zoomScaleSheetLayoutView="80" workbookViewId="0">
      <selection activeCell="F7" sqref="F7"/>
    </sheetView>
  </sheetViews>
  <sheetFormatPr defaultColWidth="9.33203125" defaultRowHeight="14.4" outlineLevelRow="1" x14ac:dyDescent="0.3"/>
  <cols>
    <col min="1" max="1" width="19.6640625" style="81" bestFit="1" customWidth="1"/>
    <col min="2" max="4" width="15.6640625" style="81" customWidth="1"/>
    <col min="5" max="5" width="12.6640625" style="81" customWidth="1"/>
    <col min="6" max="6" width="15.6640625" style="81" customWidth="1"/>
    <col min="7" max="7" width="12.5546875" style="81" customWidth="1"/>
    <col min="8" max="8" width="13.44140625" style="81" customWidth="1"/>
    <col min="9" max="9" width="9.6640625" style="81" hidden="1" customWidth="1"/>
    <col min="10" max="10" width="9.33203125" style="81" hidden="1" customWidth="1"/>
    <col min="11" max="11" width="11.5546875" style="81" hidden="1" customWidth="1"/>
    <col min="12" max="12" width="13.33203125" style="81" hidden="1" customWidth="1"/>
    <col min="13" max="13" width="15.6640625" style="81" customWidth="1"/>
    <col min="14" max="14" width="17" style="9" customWidth="1"/>
    <col min="15" max="18" width="9.33203125" style="9" customWidth="1"/>
    <col min="19" max="31" width="9.33203125" style="81" customWidth="1"/>
    <col min="32" max="16384" width="9.33203125" style="81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</row>
    <row r="2" spans="1:16" ht="15" customHeight="1" thickBot="1" x14ac:dyDescent="0.35">
      <c r="A2" s="1"/>
      <c r="B2" s="1"/>
      <c r="C2" s="1"/>
      <c r="D2" s="1"/>
      <c r="E2" s="31">
        <f>(((B4-B18-B19-B20)-D4)/D4)</f>
        <v>4.1279409113935926E-2</v>
      </c>
      <c r="F2" s="1"/>
      <c r="G2" s="34"/>
      <c r="H2" s="1"/>
      <c r="I2" s="1"/>
      <c r="J2" s="1"/>
      <c r="K2" s="1"/>
      <c r="L2" s="1"/>
      <c r="N2" s="17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2606599.2726000003</v>
      </c>
      <c r="C4" s="3">
        <v>2558916.2075999998</v>
      </c>
      <c r="D4" s="3">
        <v>1980443.3628</v>
      </c>
      <c r="E4" s="76">
        <f>IFERROR((SUM(B4-D4)/D4),0)</f>
        <v>0.3161695616049961</v>
      </c>
      <c r="F4" s="66">
        <f>SUM(F6:F20)</f>
        <v>2286490.59</v>
      </c>
      <c r="G4" s="62">
        <f>SUM(G6:G20)</f>
        <v>16838</v>
      </c>
      <c r="H4" s="45">
        <f>AVERAGE(H5:H20)</f>
        <v>133.05883023090777</v>
      </c>
      <c r="I4" s="46"/>
      <c r="J4" s="46"/>
      <c r="K4" s="29"/>
      <c r="L4" s="28">
        <f>J4/206494</f>
        <v>0</v>
      </c>
      <c r="M4" s="66">
        <f>SUM(M6:M20)</f>
        <v>107286.17000000001</v>
      </c>
      <c r="N4" s="24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#REF!+#REF!+'Jan 22 - Jan 28'!I5</f>
        <v>#REF!</v>
      </c>
      <c r="K5" s="20"/>
      <c r="L5" s="28" t="e">
        <f>J5/206494</f>
        <v>#REF!</v>
      </c>
      <c r="M5" s="73"/>
      <c r="N5" s="25"/>
    </row>
    <row r="6" spans="1:16" ht="15.6" customHeight="1" collapsed="1" x14ac:dyDescent="0.3">
      <c r="A6" s="39" t="s">
        <v>15</v>
      </c>
      <c r="B6" s="18">
        <f t="shared" ref="B6:B15" si="1">F6*1.14</f>
        <v>264313.37759999995</v>
      </c>
      <c r="C6" s="18">
        <v>250459.83540000001</v>
      </c>
      <c r="D6" s="73">
        <v>255430.25820000001</v>
      </c>
      <c r="E6" s="77">
        <f t="shared" si="0"/>
        <v>3.4777083430125651E-2</v>
      </c>
      <c r="F6" s="73">
        <v>231853.84</v>
      </c>
      <c r="G6" s="74">
        <v>1699</v>
      </c>
      <c r="H6" s="63">
        <f t="shared" ref="H6:H15" si="2">IFERROR(B6/G6,0)</f>
        <v>155.56996915832841</v>
      </c>
      <c r="I6" s="53"/>
      <c r="J6" s="54"/>
      <c r="K6" s="54"/>
      <c r="L6" s="54">
        <f>J6/18100</f>
        <v>0</v>
      </c>
      <c r="M6" s="73">
        <v>10940.6</v>
      </c>
      <c r="N6" s="26"/>
    </row>
    <row r="7" spans="1:16" ht="15.6" customHeight="1" x14ac:dyDescent="0.3">
      <c r="A7" s="39" t="s">
        <v>16</v>
      </c>
      <c r="B7" s="18">
        <f t="shared" si="1"/>
        <v>213566.89319999999</v>
      </c>
      <c r="C7" s="18">
        <v>221428.242</v>
      </c>
      <c r="D7" s="73">
        <v>196385.12100000001</v>
      </c>
      <c r="E7" s="77">
        <f t="shared" si="0"/>
        <v>8.7490193312557404E-2</v>
      </c>
      <c r="F7" s="73">
        <v>187339.38</v>
      </c>
      <c r="G7" s="74">
        <v>1361</v>
      </c>
      <c r="H7" s="63">
        <f t="shared" si="2"/>
        <v>156.91909860396765</v>
      </c>
      <c r="I7" s="53"/>
      <c r="J7" s="54"/>
      <c r="K7" s="54"/>
      <c r="L7" s="54">
        <f>J7/19932</f>
        <v>0</v>
      </c>
      <c r="M7" s="73">
        <v>14170.3</v>
      </c>
      <c r="N7" s="26"/>
    </row>
    <row r="8" spans="1:16" ht="15.6" customHeight="1" x14ac:dyDescent="0.3">
      <c r="A8" s="39" t="s">
        <v>17</v>
      </c>
      <c r="B8" s="18">
        <f t="shared" si="1"/>
        <v>137327.52359999999</v>
      </c>
      <c r="C8" s="18">
        <v>117640.5558</v>
      </c>
      <c r="D8" s="73">
        <v>112277.0724</v>
      </c>
      <c r="E8" s="77">
        <f t="shared" si="0"/>
        <v>0.22311279288397246</v>
      </c>
      <c r="F8" s="73">
        <v>120462.74</v>
      </c>
      <c r="G8" s="74">
        <v>817</v>
      </c>
      <c r="H8" s="63">
        <f t="shared" si="2"/>
        <v>168.0875441860465</v>
      </c>
      <c r="I8" s="53"/>
      <c r="J8" s="54"/>
      <c r="K8" s="54"/>
      <c r="L8" s="54">
        <f>J8/25490</f>
        <v>0</v>
      </c>
      <c r="M8" s="73">
        <v>6272</v>
      </c>
      <c r="N8" s="26"/>
    </row>
    <row r="9" spans="1:16" ht="15.6" customHeight="1" x14ac:dyDescent="0.3">
      <c r="A9" s="39" t="s">
        <v>18</v>
      </c>
      <c r="B9" s="18">
        <f t="shared" si="1"/>
        <v>357823.22279999999</v>
      </c>
      <c r="C9" s="18">
        <v>358315.94219999987</v>
      </c>
      <c r="D9" s="73">
        <v>340323.37920000002</v>
      </c>
      <c r="E9" s="77">
        <f t="shared" si="0"/>
        <v>5.1421220725819484E-2</v>
      </c>
      <c r="F9" s="73">
        <v>313880.02</v>
      </c>
      <c r="G9" s="74">
        <v>2444</v>
      </c>
      <c r="H9" s="63">
        <f t="shared" si="2"/>
        <v>146.40884729950901</v>
      </c>
      <c r="I9" s="53"/>
      <c r="J9" s="54"/>
      <c r="K9" s="54"/>
      <c r="L9" s="54">
        <f>J9/10403</f>
        <v>0</v>
      </c>
      <c r="M9" s="73">
        <v>11258.6</v>
      </c>
      <c r="N9" s="26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113101.1556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</row>
    <row r="11" spans="1:16" ht="15.6" customHeight="1" x14ac:dyDescent="0.3">
      <c r="A11" s="39" t="s">
        <v>20</v>
      </c>
      <c r="B11" s="18">
        <f t="shared" si="1"/>
        <v>188434.96619999997</v>
      </c>
      <c r="C11" s="18">
        <v>164641.19399999999</v>
      </c>
      <c r="D11" s="73">
        <v>162490.071</v>
      </c>
      <c r="E11" s="77">
        <f t="shared" si="0"/>
        <v>0.1596706496608028</v>
      </c>
      <c r="F11" s="73">
        <v>165293.82999999999</v>
      </c>
      <c r="G11" s="74">
        <v>1142</v>
      </c>
      <c r="H11" s="63">
        <f t="shared" si="2"/>
        <v>165.00434868651485</v>
      </c>
      <c r="I11" s="53"/>
      <c r="J11" s="54"/>
      <c r="K11" s="54"/>
      <c r="L11" s="54">
        <f>J11/16449</f>
        <v>0</v>
      </c>
      <c r="M11" s="73">
        <v>4778.3</v>
      </c>
      <c r="N11" s="26"/>
    </row>
    <row r="12" spans="1:16" ht="15.6" customHeight="1" x14ac:dyDescent="0.3">
      <c r="A12" s="39" t="s">
        <v>21</v>
      </c>
      <c r="B12" s="18">
        <f t="shared" si="1"/>
        <v>359683.1214</v>
      </c>
      <c r="C12" s="18">
        <v>374237.28480000002</v>
      </c>
      <c r="D12" s="73">
        <v>326614.24079999991</v>
      </c>
      <c r="E12" s="77">
        <f t="shared" si="0"/>
        <v>0.10124751608809857</v>
      </c>
      <c r="F12" s="73">
        <v>315511.51</v>
      </c>
      <c r="G12" s="74">
        <v>2301</v>
      </c>
      <c r="H12" s="63">
        <f t="shared" si="2"/>
        <v>156.31600234680573</v>
      </c>
      <c r="I12" s="53"/>
      <c r="J12" s="54"/>
      <c r="K12" s="54"/>
      <c r="L12" s="54">
        <f>J12/18426</f>
        <v>0</v>
      </c>
      <c r="M12" s="73">
        <v>16113.3</v>
      </c>
      <c r="N12" s="26"/>
    </row>
    <row r="13" spans="1:16" ht="15.6" customHeight="1" x14ac:dyDescent="0.3">
      <c r="A13" s="40" t="s">
        <v>22</v>
      </c>
      <c r="B13" s="18">
        <f t="shared" si="1"/>
        <v>168001.2072</v>
      </c>
      <c r="C13" s="18">
        <v>156808.25399999999</v>
      </c>
      <c r="D13" s="73">
        <v>142935.1722</v>
      </c>
      <c r="E13" s="77">
        <f t="shared" si="0"/>
        <v>0.1753664588931737</v>
      </c>
      <c r="F13" s="73">
        <v>147369.48000000001</v>
      </c>
      <c r="G13" s="74">
        <v>1199</v>
      </c>
      <c r="H13" s="63">
        <f t="shared" si="2"/>
        <v>140.11777080900751</v>
      </c>
      <c r="I13" s="53"/>
      <c r="J13" s="54">
        <f>I13</f>
        <v>0</v>
      </c>
      <c r="K13" s="54"/>
      <c r="L13" s="54">
        <f>J13/21444</f>
        <v>0</v>
      </c>
      <c r="M13" s="73">
        <v>10255.5</v>
      </c>
      <c r="N13" s="26"/>
    </row>
    <row r="14" spans="1:16" ht="15.6" customHeight="1" x14ac:dyDescent="0.3">
      <c r="A14" s="40" t="s">
        <v>23</v>
      </c>
      <c r="B14" s="18">
        <f t="shared" si="1"/>
        <v>278483.66879999998</v>
      </c>
      <c r="C14" s="18">
        <v>218636.04</v>
      </c>
      <c r="D14" s="73">
        <v>216676.36859999999</v>
      </c>
      <c r="E14" s="77">
        <f t="shared" si="0"/>
        <v>0.28525168941750484</v>
      </c>
      <c r="F14" s="73">
        <v>244283.92</v>
      </c>
      <c r="G14" s="74">
        <v>1716</v>
      </c>
      <c r="H14" s="63">
        <f t="shared" si="2"/>
        <v>162.28652027972026</v>
      </c>
      <c r="I14" s="53"/>
      <c r="J14" s="54"/>
      <c r="K14" s="54"/>
      <c r="L14" s="54">
        <f>J14/18876</f>
        <v>0</v>
      </c>
      <c r="M14" s="73">
        <v>6439.1</v>
      </c>
      <c r="N14" s="26"/>
    </row>
    <row r="15" spans="1:16" ht="15.6" customHeight="1" x14ac:dyDescent="0.3">
      <c r="A15" s="40" t="s">
        <v>24</v>
      </c>
      <c r="B15" s="18">
        <f t="shared" si="1"/>
        <v>94560.913799999995</v>
      </c>
      <c r="C15" s="18">
        <v>91792.298399999985</v>
      </c>
      <c r="D15" s="73">
        <v>114210.5238</v>
      </c>
      <c r="E15" s="77">
        <f t="shared" si="0"/>
        <v>-0.17204728028749311</v>
      </c>
      <c r="F15" s="73">
        <v>82948.17</v>
      </c>
      <c r="G15" s="74">
        <v>675</v>
      </c>
      <c r="H15" s="63">
        <f t="shared" si="2"/>
        <v>140.09024266666665</v>
      </c>
      <c r="I15" s="53"/>
      <c r="J15" s="54"/>
      <c r="K15" s="54"/>
      <c r="L15" s="54">
        <f>J15/15345</f>
        <v>0</v>
      </c>
      <c r="M15" s="73">
        <v>5754</v>
      </c>
      <c r="N15" s="26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160221.08339999997</v>
      </c>
      <c r="C18" s="18">
        <v>155666.76060000001</v>
      </c>
      <c r="D18" s="73">
        <v>0</v>
      </c>
      <c r="E18" s="77">
        <f>IFERROR(SUM(B18-D18)/D18,0)</f>
        <v>0</v>
      </c>
      <c r="F18" s="73">
        <v>140544.81</v>
      </c>
      <c r="G18" s="74">
        <v>1213</v>
      </c>
      <c r="H18" s="63">
        <f>IFERROR(B18/G18,0)</f>
        <v>132.08663099752678</v>
      </c>
      <c r="I18" s="53"/>
      <c r="J18" s="54"/>
      <c r="K18" s="54"/>
      <c r="L18" s="54">
        <f>J18/15345</f>
        <v>0</v>
      </c>
      <c r="M18" s="73">
        <v>3440</v>
      </c>
    </row>
    <row r="19" spans="1:14" ht="15.6" customHeight="1" x14ac:dyDescent="0.3">
      <c r="A19" s="40" t="s">
        <v>27</v>
      </c>
      <c r="B19" s="18">
        <f>F19*1.14</f>
        <v>135100.75019999998</v>
      </c>
      <c r="C19" s="18">
        <v>154656.84599999999</v>
      </c>
      <c r="D19" s="73">
        <v>0</v>
      </c>
      <c r="E19" s="77">
        <f>IFERROR(SUM(B19-D19)/D19,0)</f>
        <v>0</v>
      </c>
      <c r="F19" s="73">
        <v>118509.43</v>
      </c>
      <c r="G19" s="74">
        <v>783</v>
      </c>
      <c r="H19" s="63">
        <f>IFERROR(B19/G19,0)</f>
        <v>172.54246513409959</v>
      </c>
      <c r="I19" s="53"/>
      <c r="J19" s="54"/>
      <c r="K19" s="54"/>
      <c r="L19" s="54">
        <f>J19/15345</f>
        <v>0</v>
      </c>
      <c r="M19" s="63">
        <v>6092.1</v>
      </c>
    </row>
    <row r="20" spans="1:14" ht="15.6" customHeight="1" x14ac:dyDescent="0.3">
      <c r="A20" s="40" t="s">
        <v>28</v>
      </c>
      <c r="B20" s="18">
        <f>F20*1.14</f>
        <v>249082.54439999996</v>
      </c>
      <c r="C20" s="42">
        <v>294632.95439999999</v>
      </c>
      <c r="D20" s="71">
        <v>0</v>
      </c>
      <c r="E20" s="77">
        <f>IFERROR(SUM(B20-D20)/D20,0)</f>
        <v>0</v>
      </c>
      <c r="F20" s="79">
        <v>218493.46</v>
      </c>
      <c r="G20" s="74">
        <v>1488</v>
      </c>
      <c r="H20" s="63">
        <f>IFERROR(B20/G20,0)</f>
        <v>167.39418306451608</v>
      </c>
      <c r="I20" s="80"/>
      <c r="J20" s="80"/>
      <c r="K20" s="80"/>
      <c r="L20" s="80"/>
      <c r="M20" s="73">
        <v>11772.37</v>
      </c>
    </row>
    <row r="21" spans="1:14" x14ac:dyDescent="0.3">
      <c r="F21" s="83"/>
      <c r="G21" s="82"/>
    </row>
    <row r="22" spans="1:14" x14ac:dyDescent="0.3">
      <c r="F22" s="83"/>
      <c r="G22" s="82"/>
    </row>
    <row r="23" spans="1:14" x14ac:dyDescent="0.3">
      <c r="F23" s="83"/>
      <c r="G23" s="82"/>
    </row>
    <row r="24" spans="1:14" ht="15" customHeight="1" x14ac:dyDescent="0.3">
      <c r="F24" s="83"/>
      <c r="G24" s="82"/>
      <c r="M24" s="27"/>
    </row>
    <row r="25" spans="1:14" x14ac:dyDescent="0.3">
      <c r="F25" s="83"/>
      <c r="G25" s="82"/>
    </row>
    <row r="26" spans="1:14" x14ac:dyDescent="0.3">
      <c r="F26" s="83"/>
      <c r="G26" s="82"/>
    </row>
    <row r="27" spans="1:14" x14ac:dyDescent="0.3">
      <c r="F27" s="83"/>
      <c r="G27" s="82"/>
    </row>
    <row r="28" spans="1:14" x14ac:dyDescent="0.3">
      <c r="F28" s="83"/>
      <c r="G28" s="82"/>
    </row>
    <row r="29" spans="1:14" x14ac:dyDescent="0.3">
      <c r="F29" s="83">
        <f>C15*1.14</f>
        <v>104643.22017599997</v>
      </c>
      <c r="G29" s="82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R29"/>
  <sheetViews>
    <sheetView view="pageBreakPreview" zoomScale="80" zoomScaleNormal="80" zoomScaleSheetLayoutView="80" workbookViewId="0">
      <selection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-3.9049605908061265E-3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2558916.2075999998</v>
      </c>
      <c r="C4" s="3">
        <v>2399014.29</v>
      </c>
      <c r="D4" s="3">
        <v>1961619.6942</v>
      </c>
      <c r="E4" s="76">
        <f>IFERROR((SUM(B4-D4)/D4),0)</f>
        <v>0.30449149504669559</v>
      </c>
      <c r="F4" s="66">
        <f>SUM(F6:F20)</f>
        <v>2244663.3400000003</v>
      </c>
      <c r="G4" s="62">
        <f>SUM(G6:G20)</f>
        <v>17154</v>
      </c>
      <c r="H4" s="45">
        <f>AVERAGE(H5:H20)</f>
        <v>128.877993260175</v>
      </c>
      <c r="I4" s="46"/>
      <c r="J4" s="46"/>
      <c r="K4" s="29"/>
      <c r="L4" s="28">
        <f>J4/206494</f>
        <v>0</v>
      </c>
      <c r="M4" s="66">
        <f>SUM(M6:M20)</f>
        <v>89698.75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#REF!+#REF!+'Jan 29 - Feb 4'!I5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250459.83539999995</v>
      </c>
      <c r="C6" s="18">
        <v>253245.6306</v>
      </c>
      <c r="D6" s="73">
        <v>243951.92879999999</v>
      </c>
      <c r="E6" s="77">
        <f t="shared" si="0"/>
        <v>2.667700408032174E-2</v>
      </c>
      <c r="F6" s="73">
        <v>219701.61</v>
      </c>
      <c r="G6" s="74">
        <v>1634</v>
      </c>
      <c r="H6" s="63">
        <f t="shared" ref="H6:H15" si="2">IFERROR(B6/G6,0)</f>
        <v>153.28019302325578</v>
      </c>
      <c r="I6" s="53"/>
      <c r="J6" s="54"/>
      <c r="K6" s="54"/>
      <c r="L6" s="54">
        <f>J6/18100</f>
        <v>0</v>
      </c>
      <c r="M6" s="73">
        <v>9719.0499999999993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221428.24199999997</v>
      </c>
      <c r="C7" s="18">
        <v>206112.9234</v>
      </c>
      <c r="D7" s="73">
        <v>189747.6876</v>
      </c>
      <c r="E7" s="77">
        <f t="shared" si="0"/>
        <v>0.16696147816454321</v>
      </c>
      <c r="F7" s="73">
        <v>194235.3</v>
      </c>
      <c r="G7" s="74">
        <v>1671</v>
      </c>
      <c r="H7" s="63">
        <f t="shared" si="2"/>
        <v>132.51241292639136</v>
      </c>
      <c r="I7" s="53"/>
      <c r="J7" s="54"/>
      <c r="K7" s="54"/>
      <c r="L7" s="54">
        <f>J7/19932</f>
        <v>0</v>
      </c>
      <c r="M7" s="73">
        <v>5807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117640.55579999999</v>
      </c>
      <c r="C8" s="18">
        <v>93216.260999999984</v>
      </c>
      <c r="D8" s="73">
        <v>117464.34600000001</v>
      </c>
      <c r="E8" s="77">
        <f t="shared" si="0"/>
        <v>1.5001130640950604E-3</v>
      </c>
      <c r="F8" s="73">
        <v>103193.47</v>
      </c>
      <c r="G8" s="74">
        <v>716</v>
      </c>
      <c r="H8" s="63">
        <f t="shared" si="2"/>
        <v>164.30245223463686</v>
      </c>
      <c r="I8" s="53"/>
      <c r="J8" s="54"/>
      <c r="K8" s="54"/>
      <c r="L8" s="54">
        <f>J8/25490</f>
        <v>0</v>
      </c>
      <c r="M8" s="73">
        <v>4622.3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358315.94219999993</v>
      </c>
      <c r="C9" s="18">
        <v>307859.70179999998</v>
      </c>
      <c r="D9" s="73">
        <v>314432.09819999989</v>
      </c>
      <c r="E9" s="77">
        <f t="shared" si="0"/>
        <v>0.13956540776599397</v>
      </c>
      <c r="F9" s="73">
        <v>314312.23</v>
      </c>
      <c r="G9" s="74">
        <v>2419</v>
      </c>
      <c r="H9" s="63">
        <f t="shared" si="2"/>
        <v>148.12564787102104</v>
      </c>
      <c r="I9" s="53"/>
      <c r="J9" s="54"/>
      <c r="K9" s="54"/>
      <c r="L9" s="54">
        <f>J9/10403</f>
        <v>0</v>
      </c>
      <c r="M9" s="73">
        <v>7757.8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116591.5962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164641.19399999999</v>
      </c>
      <c r="C11" s="18">
        <v>155811.609</v>
      </c>
      <c r="D11" s="73">
        <v>154265.83739999999</v>
      </c>
      <c r="E11" s="77">
        <f t="shared" si="0"/>
        <v>6.7256346413869073E-2</v>
      </c>
      <c r="F11" s="73">
        <v>144422.1</v>
      </c>
      <c r="G11" s="74">
        <v>988</v>
      </c>
      <c r="H11" s="63">
        <f t="shared" si="2"/>
        <v>166.64088461538461</v>
      </c>
      <c r="I11" s="53"/>
      <c r="J11" s="54"/>
      <c r="K11" s="54"/>
      <c r="L11" s="54">
        <f>J11/16449</f>
        <v>0</v>
      </c>
      <c r="M11" s="73">
        <v>4609.05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374237.28479999996</v>
      </c>
      <c r="C12" s="18">
        <v>338251.48619999998</v>
      </c>
      <c r="D12" s="73">
        <v>348943.23839999997</v>
      </c>
      <c r="E12" s="77">
        <f t="shared" si="0"/>
        <v>7.2487567078187556E-2</v>
      </c>
      <c r="F12" s="73">
        <v>328278.32</v>
      </c>
      <c r="G12" s="74">
        <v>2509</v>
      </c>
      <c r="H12" s="63">
        <f t="shared" si="2"/>
        <v>149.1579453168593</v>
      </c>
      <c r="I12" s="53"/>
      <c r="J12" s="54"/>
      <c r="K12" s="54"/>
      <c r="L12" s="54">
        <f>J12/18426</f>
        <v>0</v>
      </c>
      <c r="M12" s="73">
        <v>14566.35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156808.25399999999</v>
      </c>
      <c r="C13" s="18">
        <v>136880.2788</v>
      </c>
      <c r="D13" s="73">
        <v>158301.1182</v>
      </c>
      <c r="E13" s="77">
        <f t="shared" si="0"/>
        <v>-9.430534774327393E-3</v>
      </c>
      <c r="F13" s="73">
        <v>137551.1</v>
      </c>
      <c r="G13" s="74">
        <v>1141</v>
      </c>
      <c r="H13" s="63">
        <f t="shared" si="2"/>
        <v>137.43054688869412</v>
      </c>
      <c r="I13" s="53"/>
      <c r="J13" s="54">
        <f>I13</f>
        <v>0</v>
      </c>
      <c r="K13" s="54"/>
      <c r="L13" s="54">
        <f>J13/21444</f>
        <v>0</v>
      </c>
      <c r="M13" s="73">
        <v>9902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218636.03999999998</v>
      </c>
      <c r="C14" s="18">
        <v>237376.24919999999</v>
      </c>
      <c r="D14" s="73">
        <v>218844.27239999999</v>
      </c>
      <c r="E14" s="77">
        <f t="shared" si="0"/>
        <v>-9.5150948076632444E-4</v>
      </c>
      <c r="F14" s="73">
        <v>191786</v>
      </c>
      <c r="G14" s="74">
        <v>1490</v>
      </c>
      <c r="H14" s="63">
        <f t="shared" si="2"/>
        <v>146.73559731543622</v>
      </c>
      <c r="I14" s="53"/>
      <c r="J14" s="54"/>
      <c r="K14" s="54"/>
      <c r="L14" s="54">
        <f>J14/18876</f>
        <v>0</v>
      </c>
      <c r="M14" s="73">
        <v>5514.7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91792.298399999985</v>
      </c>
      <c r="C15" s="18">
        <v>102472.833</v>
      </c>
      <c r="D15" s="73">
        <v>99077.570999999982</v>
      </c>
      <c r="E15" s="77">
        <f t="shared" si="0"/>
        <v>-7.3530997242554505E-2</v>
      </c>
      <c r="F15" s="73">
        <v>80519.56</v>
      </c>
      <c r="G15" s="74">
        <v>649</v>
      </c>
      <c r="H15" s="63">
        <f t="shared" si="2"/>
        <v>141.43651525423726</v>
      </c>
      <c r="I15" s="53"/>
      <c r="J15" s="54"/>
      <c r="K15" s="54"/>
      <c r="L15" s="54">
        <f>J15/15345</f>
        <v>0</v>
      </c>
      <c r="M15" s="73">
        <v>6134.75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155666.76060000001</v>
      </c>
      <c r="C18" s="18">
        <v>164762.37599999999</v>
      </c>
      <c r="D18" s="73">
        <v>0</v>
      </c>
      <c r="E18" s="77">
        <f>IFERROR(SUM(B18-D18)/D18,0)</f>
        <v>0</v>
      </c>
      <c r="F18" s="73">
        <v>136549.79</v>
      </c>
      <c r="G18" s="74">
        <v>1171</v>
      </c>
      <c r="H18" s="63">
        <f>IFERROR(B18/G18,0)</f>
        <v>132.93489376601195</v>
      </c>
      <c r="I18" s="53"/>
      <c r="J18" s="54"/>
      <c r="K18" s="54"/>
      <c r="L18" s="54">
        <f>J18/15345</f>
        <v>0</v>
      </c>
      <c r="M18" s="73">
        <v>2496</v>
      </c>
      <c r="N18" s="9"/>
    </row>
    <row r="19" spans="1:14" ht="15.6" customHeight="1" x14ac:dyDescent="0.3">
      <c r="A19" s="40" t="s">
        <v>27</v>
      </c>
      <c r="B19" s="18">
        <f>F19*1.14</f>
        <v>154656.84599999999</v>
      </c>
      <c r="C19" s="18">
        <v>142884.24840000001</v>
      </c>
      <c r="D19" s="73">
        <v>0</v>
      </c>
      <c r="E19" s="77">
        <f>IFERROR(SUM(B19-D19)/D19,0)</f>
        <v>0</v>
      </c>
      <c r="F19" s="73">
        <v>135663.9</v>
      </c>
      <c r="G19" s="74">
        <v>882</v>
      </c>
      <c r="H19" s="63">
        <f>IFERROR(B19/G19,0)</f>
        <v>175.34789795918365</v>
      </c>
      <c r="I19" s="53"/>
      <c r="J19" s="54"/>
      <c r="K19" s="54"/>
      <c r="L19" s="54">
        <f>J19/15345</f>
        <v>0</v>
      </c>
      <c r="M19" s="63">
        <v>5790.65</v>
      </c>
      <c r="N19" s="9"/>
    </row>
    <row r="20" spans="1:14" ht="15.6" customHeight="1" x14ac:dyDescent="0.3">
      <c r="A20" s="40" t="s">
        <v>28</v>
      </c>
      <c r="B20" s="18">
        <f>F20*1.14</f>
        <v>294632.95439999999</v>
      </c>
      <c r="C20" s="42">
        <v>260140.69260000001</v>
      </c>
      <c r="D20" s="71">
        <v>0</v>
      </c>
      <c r="E20" s="77">
        <f>IFERROR(SUM(B20-D20)/D20,0)</f>
        <v>0</v>
      </c>
      <c r="F20" s="79">
        <v>258449.96</v>
      </c>
      <c r="G20" s="74">
        <v>1884</v>
      </c>
      <c r="H20" s="63">
        <f>IFERROR(B20/G20,0)</f>
        <v>156.38691847133757</v>
      </c>
      <c r="I20" s="80"/>
      <c r="J20" s="80"/>
      <c r="K20" s="80"/>
      <c r="L20" s="80"/>
      <c r="M20" s="73">
        <v>12779.1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116819.02961999999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-1.1349675703953205E-2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2458264.7069999999</v>
      </c>
      <c r="C4" s="3">
        <v>2606599.2725999998</v>
      </c>
      <c r="D4" s="3">
        <v>1873856.9765999999</v>
      </c>
      <c r="E4" s="76">
        <f>IFERROR((SUM(B4-D4)/D4),0)</f>
        <v>0.31187424531213287</v>
      </c>
      <c r="F4" s="66">
        <f>SUM(F6:F20)</f>
        <v>2156372.5499999998</v>
      </c>
      <c r="G4" s="62">
        <f>SUM(G6:G20)</f>
        <v>16160</v>
      </c>
      <c r="H4" s="45">
        <f>AVERAGE(H5:H20)</f>
        <v>131.09641488279428</v>
      </c>
      <c r="I4" s="46"/>
      <c r="J4" s="46"/>
      <c r="K4" s="29"/>
      <c r="L4" s="28">
        <f>J4/206494</f>
        <v>0</v>
      </c>
      <c r="M4" s="66">
        <f>SUM(M6:M20)</f>
        <v>94881.099999999977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#REF!+#REF!+'Feb 5 - Feb 11'!I5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238102.08719999998</v>
      </c>
      <c r="C6" s="18">
        <v>264313.37759999989</v>
      </c>
      <c r="D6" s="73">
        <v>274609.58399999997</v>
      </c>
      <c r="E6" s="77">
        <f t="shared" si="0"/>
        <v>-0.13294327265722816</v>
      </c>
      <c r="F6" s="73">
        <v>208861.48</v>
      </c>
      <c r="G6" s="74">
        <v>1519</v>
      </c>
      <c r="H6" s="63">
        <f t="shared" ref="H6:H15" si="2">IFERROR(B6/G6,0)</f>
        <v>156.74923449637919</v>
      </c>
      <c r="I6" s="53"/>
      <c r="J6" s="54"/>
      <c r="K6" s="54"/>
      <c r="L6" s="54">
        <f>J6/18100</f>
        <v>0</v>
      </c>
      <c r="M6" s="73">
        <v>6939.5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197212.7838</v>
      </c>
      <c r="C7" s="18">
        <v>213566.89319999999</v>
      </c>
      <c r="D7" s="73">
        <v>194885.28</v>
      </c>
      <c r="E7" s="77">
        <f t="shared" si="0"/>
        <v>1.1942943048341086E-2</v>
      </c>
      <c r="F7" s="73">
        <v>172993.67</v>
      </c>
      <c r="G7" s="74">
        <v>1255</v>
      </c>
      <c r="H7" s="63">
        <f t="shared" si="2"/>
        <v>157.14166039840637</v>
      </c>
      <c r="I7" s="53"/>
      <c r="J7" s="54"/>
      <c r="K7" s="54"/>
      <c r="L7" s="54">
        <f>J7/19932</f>
        <v>0</v>
      </c>
      <c r="M7" s="73">
        <v>5536.4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118452.9198</v>
      </c>
      <c r="C8" s="18">
        <v>137327.52359999999</v>
      </c>
      <c r="D8" s="73">
        <v>105552.32640000001</v>
      </c>
      <c r="E8" s="77">
        <f t="shared" si="0"/>
        <v>0.12221988695078158</v>
      </c>
      <c r="F8" s="73">
        <v>103906.07</v>
      </c>
      <c r="G8" s="74">
        <v>774</v>
      </c>
      <c r="H8" s="63">
        <f t="shared" si="2"/>
        <v>153.0399480620155</v>
      </c>
      <c r="I8" s="53"/>
      <c r="J8" s="54"/>
      <c r="K8" s="54"/>
      <c r="L8" s="54">
        <f>J8/25490</f>
        <v>0</v>
      </c>
      <c r="M8" s="73">
        <v>4581.8999999999996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355813.71059999993</v>
      </c>
      <c r="C9" s="18">
        <v>357823.22279999999</v>
      </c>
      <c r="D9" s="73">
        <v>303057.42899999989</v>
      </c>
      <c r="E9" s="77">
        <f t="shared" si="0"/>
        <v>0.17408014637384145</v>
      </c>
      <c r="F9" s="73">
        <v>312117.28999999998</v>
      </c>
      <c r="G9" s="74">
        <v>2360</v>
      </c>
      <c r="H9" s="63">
        <f t="shared" si="2"/>
        <v>150.76852144067794</v>
      </c>
      <c r="I9" s="53"/>
      <c r="J9" s="54"/>
      <c r="K9" s="54"/>
      <c r="L9" s="54">
        <f>J9/10403</f>
        <v>0</v>
      </c>
      <c r="M9" s="73">
        <v>10329.9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162435.06599999999</v>
      </c>
      <c r="C11" s="18">
        <v>188434.9662</v>
      </c>
      <c r="D11" s="73">
        <v>189023.84460000001</v>
      </c>
      <c r="E11" s="77">
        <f t="shared" si="0"/>
        <v>-0.14066362186350334</v>
      </c>
      <c r="F11" s="73">
        <v>142486.9</v>
      </c>
      <c r="G11" s="74">
        <v>1020</v>
      </c>
      <c r="H11" s="63">
        <f t="shared" si="2"/>
        <v>159.25006470588235</v>
      </c>
      <c r="I11" s="53"/>
      <c r="J11" s="54"/>
      <c r="K11" s="54"/>
      <c r="L11" s="54">
        <f>J11/16449</f>
        <v>0</v>
      </c>
      <c r="M11" s="73">
        <v>6357.55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342947.11199999996</v>
      </c>
      <c r="C12" s="18">
        <v>359683.1214</v>
      </c>
      <c r="D12" s="73">
        <v>328229.93999999989</v>
      </c>
      <c r="E12" s="77">
        <f t="shared" si="0"/>
        <v>4.4837993755231724E-2</v>
      </c>
      <c r="F12" s="73">
        <v>300830.8</v>
      </c>
      <c r="G12" s="74">
        <v>2248</v>
      </c>
      <c r="H12" s="63">
        <f t="shared" si="2"/>
        <v>152.55654448398576</v>
      </c>
      <c r="I12" s="53"/>
      <c r="J12" s="54"/>
      <c r="K12" s="54"/>
      <c r="L12" s="54">
        <f>J12/18426</f>
        <v>0</v>
      </c>
      <c r="M12" s="73">
        <v>14330.7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140945.8266</v>
      </c>
      <c r="C13" s="18">
        <v>168001.2072</v>
      </c>
      <c r="D13" s="73">
        <v>151888.8462</v>
      </c>
      <c r="E13" s="77">
        <f t="shared" si="0"/>
        <v>-7.2046235610946391E-2</v>
      </c>
      <c r="F13" s="73">
        <v>123636.69</v>
      </c>
      <c r="G13" s="74">
        <v>1080</v>
      </c>
      <c r="H13" s="63">
        <f t="shared" si="2"/>
        <v>130.50539499999999</v>
      </c>
      <c r="I13" s="53"/>
      <c r="J13" s="54">
        <f>I13</f>
        <v>0</v>
      </c>
      <c r="K13" s="54"/>
      <c r="L13" s="54">
        <f>J13/21444</f>
        <v>0</v>
      </c>
      <c r="M13" s="73">
        <v>10927.75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208903.11899999998</v>
      </c>
      <c r="C14" s="18">
        <v>278483.66879999998</v>
      </c>
      <c r="D14" s="73">
        <v>199726.63200000001</v>
      </c>
      <c r="E14" s="77">
        <f t="shared" si="0"/>
        <v>4.5945234784712956E-2</v>
      </c>
      <c r="F14" s="73">
        <v>183248.35</v>
      </c>
      <c r="G14" s="74">
        <v>1389</v>
      </c>
      <c r="H14" s="63">
        <f t="shared" si="2"/>
        <v>150.39821382289415</v>
      </c>
      <c r="I14" s="53"/>
      <c r="J14" s="54"/>
      <c r="K14" s="54"/>
      <c r="L14" s="54">
        <f>J14/18876</f>
        <v>0</v>
      </c>
      <c r="M14" s="73">
        <v>6572.4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87776.682599999986</v>
      </c>
      <c r="C15" s="18">
        <v>94560.913799999995</v>
      </c>
      <c r="D15" s="73">
        <v>126883.0944</v>
      </c>
      <c r="E15" s="77">
        <f t="shared" si="0"/>
        <v>-0.30820821311873692</v>
      </c>
      <c r="F15" s="73">
        <v>76997.09</v>
      </c>
      <c r="G15" s="74">
        <v>581</v>
      </c>
      <c r="H15" s="63">
        <f t="shared" si="2"/>
        <v>151.07862753872632</v>
      </c>
      <c r="I15" s="53"/>
      <c r="J15" s="54"/>
      <c r="K15" s="54"/>
      <c r="L15" s="54">
        <f>J15/15345</f>
        <v>0</v>
      </c>
      <c r="M15" s="73">
        <v>3875.4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185732.21999999997</v>
      </c>
      <c r="C18" s="18">
        <v>160221.0834</v>
      </c>
      <c r="D18" s="73">
        <v>0</v>
      </c>
      <c r="E18" s="77">
        <f>IFERROR(SUM(B18-D18)/D18,0)</f>
        <v>0</v>
      </c>
      <c r="F18" s="73">
        <v>162923</v>
      </c>
      <c r="G18" s="74">
        <v>1411</v>
      </c>
      <c r="H18" s="63">
        <f>IFERROR(B18/G18,0)</f>
        <v>131.63162296243797</v>
      </c>
      <c r="I18" s="53"/>
      <c r="J18" s="54"/>
      <c r="K18" s="54"/>
      <c r="L18" s="54">
        <f>J18/15345</f>
        <v>0</v>
      </c>
      <c r="M18" s="73">
        <v>3184.2</v>
      </c>
      <c r="N18" s="9"/>
    </row>
    <row r="19" spans="1:14" ht="15.6" customHeight="1" x14ac:dyDescent="0.3">
      <c r="A19" s="40" t="s">
        <v>27</v>
      </c>
      <c r="B19" s="18">
        <f>F19*1.14</f>
        <v>172590.52799999999</v>
      </c>
      <c r="C19" s="18">
        <v>135100.75020000001</v>
      </c>
      <c r="D19" s="73">
        <v>0</v>
      </c>
      <c r="E19" s="77">
        <f>IFERROR(SUM(B19-D19)/D19,0)</f>
        <v>0</v>
      </c>
      <c r="F19" s="73">
        <v>151395.20000000001</v>
      </c>
      <c r="G19" s="74">
        <v>917</v>
      </c>
      <c r="H19" s="63">
        <f>IFERROR(B19/G19,0)</f>
        <v>188.21213522355507</v>
      </c>
      <c r="I19" s="53"/>
      <c r="J19" s="54"/>
      <c r="K19" s="54"/>
      <c r="L19" s="54">
        <f>J19/15345</f>
        <v>0</v>
      </c>
      <c r="M19" s="63">
        <v>7929.15</v>
      </c>
      <c r="N19" s="9"/>
    </row>
    <row r="20" spans="1:14" ht="15.6" customHeight="1" x14ac:dyDescent="0.3">
      <c r="A20" s="40" t="s">
        <v>28</v>
      </c>
      <c r="B20" s="18">
        <f>F20*1.14</f>
        <v>247352.6514</v>
      </c>
      <c r="C20" s="42">
        <v>249082.54440000001</v>
      </c>
      <c r="D20" s="71">
        <v>0</v>
      </c>
      <c r="E20" s="77">
        <f>IFERROR(SUM(B20-D20)/D20,0)</f>
        <v>0</v>
      </c>
      <c r="F20" s="79">
        <v>216976.01</v>
      </c>
      <c r="G20" s="74">
        <v>1606</v>
      </c>
      <c r="H20" s="63">
        <f>IFERROR(B20/G20,0)</f>
        <v>154.01784022415941</v>
      </c>
      <c r="I20" s="80"/>
      <c r="J20" s="80"/>
      <c r="K20" s="80"/>
      <c r="L20" s="80"/>
      <c r="M20" s="73">
        <v>14316.25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107799.44173199999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0.11361905175191361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2683693.3685999992</v>
      </c>
      <c r="C4" s="3">
        <v>2458264.7069999999</v>
      </c>
      <c r="D4" s="3">
        <v>1873856.9765999999</v>
      </c>
      <c r="E4" s="76">
        <f>IFERROR((SUM(B4-D4)/D4),0)</f>
        <v>0.4321762024065457</v>
      </c>
      <c r="F4" s="66">
        <f>SUM(F6:F20)</f>
        <v>2354116.9900000002</v>
      </c>
      <c r="G4" s="62">
        <f>SUM(G6:G20)</f>
        <v>17696</v>
      </c>
      <c r="H4" s="45">
        <f>AVERAGE(H5:H20)</f>
        <v>131.67317268487977</v>
      </c>
      <c r="I4" s="46"/>
      <c r="J4" s="46"/>
      <c r="K4" s="29"/>
      <c r="L4" s="28">
        <f>J4/206494</f>
        <v>0</v>
      </c>
      <c r="M4" s="66">
        <f>SUM(M6:M20)</f>
        <v>112096.84999999999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#REF!+#REF!+'Feb 12 - Feb 18'!I5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276311.946</v>
      </c>
      <c r="C6" s="18">
        <v>238102.08720000001</v>
      </c>
      <c r="D6" s="73">
        <v>260122.14480000001</v>
      </c>
      <c r="E6" s="77">
        <f t="shared" si="0"/>
        <v>6.2239226931055144E-2</v>
      </c>
      <c r="F6" s="73">
        <v>242378.9</v>
      </c>
      <c r="G6" s="74">
        <v>1767</v>
      </c>
      <c r="H6" s="63">
        <f t="shared" ref="H6:H15" si="2">IFERROR(B6/G6,0)</f>
        <v>156.37348387096773</v>
      </c>
      <c r="I6" s="53"/>
      <c r="J6" s="54"/>
      <c r="K6" s="54"/>
      <c r="L6" s="54">
        <f>J6/18100</f>
        <v>0</v>
      </c>
      <c r="M6" s="73">
        <v>10328.15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236601.3</v>
      </c>
      <c r="C7" s="18">
        <v>197212.7838</v>
      </c>
      <c r="D7" s="73">
        <v>175341.30239999999</v>
      </c>
      <c r="E7" s="77">
        <f t="shared" si="0"/>
        <v>0.34937574183320319</v>
      </c>
      <c r="F7" s="73">
        <v>207545</v>
      </c>
      <c r="G7" s="74">
        <v>1505</v>
      </c>
      <c r="H7" s="63">
        <f t="shared" si="2"/>
        <v>157.21016611295681</v>
      </c>
      <c r="I7" s="53"/>
      <c r="J7" s="54"/>
      <c r="K7" s="54"/>
      <c r="L7" s="54">
        <f>J7/19932</f>
        <v>0</v>
      </c>
      <c r="M7" s="73">
        <v>8225.5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130404.65699999999</v>
      </c>
      <c r="C8" s="18">
        <v>118452.9198</v>
      </c>
      <c r="D8" s="73">
        <v>118462.929</v>
      </c>
      <c r="E8" s="77">
        <f t="shared" si="0"/>
        <v>0.10080561151750678</v>
      </c>
      <c r="F8" s="73">
        <v>114390.05</v>
      </c>
      <c r="G8" s="74">
        <v>853</v>
      </c>
      <c r="H8" s="63">
        <f t="shared" si="2"/>
        <v>152.8776752637749</v>
      </c>
      <c r="I8" s="53"/>
      <c r="J8" s="54"/>
      <c r="K8" s="54"/>
      <c r="L8" s="54">
        <f>J8/25490</f>
        <v>0</v>
      </c>
      <c r="M8" s="73">
        <v>6313.3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369527.86499999999</v>
      </c>
      <c r="C9" s="18">
        <v>355813.71059999987</v>
      </c>
      <c r="D9" s="73">
        <v>341588.79059999989</v>
      </c>
      <c r="E9" s="77">
        <f t="shared" si="0"/>
        <v>8.1791543425430269E-2</v>
      </c>
      <c r="F9" s="73">
        <v>324147.25</v>
      </c>
      <c r="G9" s="74">
        <v>2536</v>
      </c>
      <c r="H9" s="63">
        <f t="shared" si="2"/>
        <v>145.71288052050474</v>
      </c>
      <c r="I9" s="53"/>
      <c r="J9" s="54"/>
      <c r="K9" s="54"/>
      <c r="L9" s="54">
        <f>J9/10403</f>
        <v>0</v>
      </c>
      <c r="M9" s="73">
        <v>14097.8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205533.21059999999</v>
      </c>
      <c r="C11" s="18">
        <v>162435.06599999999</v>
      </c>
      <c r="D11" s="73">
        <v>204963.0282</v>
      </c>
      <c r="E11" s="77">
        <f t="shared" si="0"/>
        <v>2.7818792735810611E-3</v>
      </c>
      <c r="F11" s="73">
        <v>180292.29</v>
      </c>
      <c r="G11" s="74">
        <v>1168</v>
      </c>
      <c r="H11" s="63">
        <f t="shared" si="2"/>
        <v>175.97021455479452</v>
      </c>
      <c r="I11" s="53"/>
      <c r="J11" s="54"/>
      <c r="K11" s="54"/>
      <c r="L11" s="54">
        <f>J11/16449</f>
        <v>0</v>
      </c>
      <c r="M11" s="73">
        <v>7798.6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337363.46039999998</v>
      </c>
      <c r="C12" s="18">
        <v>342947.11200000002</v>
      </c>
      <c r="D12" s="73">
        <v>327136.72559999989</v>
      </c>
      <c r="E12" s="77">
        <f t="shared" si="0"/>
        <v>3.1261347319666684E-2</v>
      </c>
      <c r="F12" s="73">
        <v>295932.86</v>
      </c>
      <c r="G12" s="74">
        <v>2215</v>
      </c>
      <c r="H12" s="63">
        <f t="shared" si="2"/>
        <v>152.30856</v>
      </c>
      <c r="I12" s="53"/>
      <c r="J12" s="54"/>
      <c r="K12" s="54"/>
      <c r="L12" s="54">
        <f>J12/18426</f>
        <v>0</v>
      </c>
      <c r="M12" s="73">
        <v>16221.6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147341.36339999997</v>
      </c>
      <c r="C13" s="18">
        <v>140945.8266</v>
      </c>
      <c r="D13" s="73">
        <v>153294.61439999999</v>
      </c>
      <c r="E13" s="77">
        <f t="shared" si="0"/>
        <v>-3.8835356501604655E-2</v>
      </c>
      <c r="F13" s="73">
        <v>129246.81</v>
      </c>
      <c r="G13" s="74">
        <v>1502</v>
      </c>
      <c r="H13" s="63">
        <f t="shared" si="2"/>
        <v>98.096779893475343</v>
      </c>
      <c r="I13" s="53"/>
      <c r="J13" s="54">
        <f>I13</f>
        <v>0</v>
      </c>
      <c r="K13" s="54"/>
      <c r="L13" s="54">
        <f>J13/21444</f>
        <v>0</v>
      </c>
      <c r="M13" s="73">
        <v>11693.25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249269.1966</v>
      </c>
      <c r="C14" s="18">
        <v>208903.11900000001</v>
      </c>
      <c r="D14" s="73">
        <v>227554.0662</v>
      </c>
      <c r="E14" s="77">
        <f t="shared" si="0"/>
        <v>9.5428443721652975E-2</v>
      </c>
      <c r="F14" s="73">
        <v>218657.19</v>
      </c>
      <c r="G14" s="74">
        <v>1612</v>
      </c>
      <c r="H14" s="63">
        <f t="shared" si="2"/>
        <v>154.63349665012407</v>
      </c>
      <c r="I14" s="53"/>
      <c r="J14" s="54"/>
      <c r="K14" s="54"/>
      <c r="L14" s="54">
        <f>J14/18876</f>
        <v>0</v>
      </c>
      <c r="M14" s="73">
        <v>5809.2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134409.83039999998</v>
      </c>
      <c r="C15" s="18">
        <v>87776.682599999986</v>
      </c>
      <c r="D15" s="73">
        <v>138458.15280000001</v>
      </c>
      <c r="E15" s="77">
        <f t="shared" si="0"/>
        <v>-2.9238598942221576E-2</v>
      </c>
      <c r="F15" s="73">
        <v>117903.36</v>
      </c>
      <c r="G15" s="74">
        <v>814</v>
      </c>
      <c r="H15" s="63">
        <f t="shared" si="2"/>
        <v>165.12264176904173</v>
      </c>
      <c r="I15" s="53"/>
      <c r="J15" s="54"/>
      <c r="K15" s="54"/>
      <c r="L15" s="54">
        <f>J15/15345</f>
        <v>0</v>
      </c>
      <c r="M15" s="73">
        <v>4957.5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182040.3414</v>
      </c>
      <c r="C18" s="18">
        <v>185732.22</v>
      </c>
      <c r="D18" s="73">
        <v>0</v>
      </c>
      <c r="E18" s="77">
        <f>IFERROR(SUM(B18-D18)/D18,0)</f>
        <v>0</v>
      </c>
      <c r="F18" s="73">
        <v>159684.51</v>
      </c>
      <c r="G18" s="74">
        <v>1335</v>
      </c>
      <c r="H18" s="63">
        <f>IFERROR(B18/G18,0)</f>
        <v>136.35980629213483</v>
      </c>
      <c r="I18" s="53"/>
      <c r="J18" s="54"/>
      <c r="K18" s="54"/>
      <c r="L18" s="54">
        <f>J18/15345</f>
        <v>0</v>
      </c>
      <c r="M18" s="73">
        <v>3533.5</v>
      </c>
      <c r="N18" s="9"/>
    </row>
    <row r="19" spans="1:14" ht="15.6" customHeight="1" x14ac:dyDescent="0.3">
      <c r="A19" s="40" t="s">
        <v>27</v>
      </c>
      <c r="B19" s="18">
        <f>F19*1.14</f>
        <v>162343.17059999998</v>
      </c>
      <c r="C19" s="18">
        <v>172590.52799999999</v>
      </c>
      <c r="D19" s="73">
        <v>0</v>
      </c>
      <c r="E19" s="77">
        <f>IFERROR(SUM(B19-D19)/D19,0)</f>
        <v>0</v>
      </c>
      <c r="F19" s="73">
        <v>142406.29</v>
      </c>
      <c r="G19" s="74">
        <v>915</v>
      </c>
      <c r="H19" s="63">
        <f>IFERROR(B19/G19,0)</f>
        <v>177.4242301639344</v>
      </c>
      <c r="I19" s="53"/>
      <c r="J19" s="54"/>
      <c r="K19" s="54"/>
      <c r="L19" s="54">
        <f>J19/15345</f>
        <v>0</v>
      </c>
      <c r="M19" s="63">
        <v>7938.9</v>
      </c>
      <c r="N19" s="9"/>
    </row>
    <row r="20" spans="1:14" ht="15.6" customHeight="1" x14ac:dyDescent="0.3">
      <c r="A20" s="40" t="s">
        <v>28</v>
      </c>
      <c r="B20" s="18">
        <f>F20*1.14</f>
        <v>252547.02719999998</v>
      </c>
      <c r="C20" s="42">
        <v>247352.6514</v>
      </c>
      <c r="D20" s="71">
        <v>0</v>
      </c>
      <c r="E20" s="77">
        <f>IFERROR(SUM(B20-D20)/D20,0)</f>
        <v>0</v>
      </c>
      <c r="F20" s="79">
        <v>221532.48</v>
      </c>
      <c r="G20" s="74">
        <v>1474</v>
      </c>
      <c r="H20" s="63">
        <f>IFERROR(B20/G20,0)</f>
        <v>171.33448249660785</v>
      </c>
      <c r="I20" s="80"/>
      <c r="J20" s="80"/>
      <c r="K20" s="80"/>
      <c r="L20" s="80"/>
      <c r="M20" s="73">
        <v>15179.55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100065.41816399997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G14" sqref="G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7.4708593257178657E-2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2641388.9147999994</v>
      </c>
      <c r="C4" s="3">
        <v>2683693.3685999992</v>
      </c>
      <c r="D4" s="3">
        <v>1838805.0318</v>
      </c>
      <c r="E4" s="76">
        <f>IFERROR((SUM(B4-D4)/D4),0)</f>
        <v>0.4364703539093282</v>
      </c>
      <c r="F4" s="66">
        <f>SUM(F6:F20)</f>
        <v>2317007.8199999998</v>
      </c>
      <c r="G4" s="62">
        <f>SUM(G6:G20)</f>
        <v>16834</v>
      </c>
      <c r="H4" s="45">
        <f>AVERAGE(H5:H20)</f>
        <v>134.4389940935587</v>
      </c>
      <c r="I4" s="46"/>
      <c r="J4" s="46"/>
      <c r="K4" s="29"/>
      <c r="L4" s="28">
        <f>J4/206494</f>
        <v>0</v>
      </c>
      <c r="M4" s="66">
        <f>SUM(M6:M20)</f>
        <v>93517.599999999991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#REF!+#REF!+'Feb 19 - Feb 25'!I5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267464.31479999999</v>
      </c>
      <c r="C6" s="18">
        <v>276311.946</v>
      </c>
      <c r="D6" s="73">
        <v>259839.97200000001</v>
      </c>
      <c r="E6" s="77">
        <f t="shared" si="0"/>
        <v>2.9342455440227587E-2</v>
      </c>
      <c r="F6" s="73">
        <v>234617.82</v>
      </c>
      <c r="G6" s="74">
        <v>1759</v>
      </c>
      <c r="H6" s="63">
        <f t="shared" ref="H6:H15" si="2">IFERROR(B6/G6,0)</f>
        <v>152.05475542922113</v>
      </c>
      <c r="I6" s="53"/>
      <c r="J6" s="54"/>
      <c r="K6" s="54"/>
      <c r="L6" s="54">
        <f>J6/18100</f>
        <v>0</v>
      </c>
      <c r="M6" s="73">
        <v>8798.85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223776.36839999998</v>
      </c>
      <c r="C7" s="18">
        <v>236601.3</v>
      </c>
      <c r="D7" s="73">
        <v>193657.386</v>
      </c>
      <c r="E7" s="77">
        <f t="shared" si="0"/>
        <v>0.15552715557154106</v>
      </c>
      <c r="F7" s="73">
        <v>196295.06</v>
      </c>
      <c r="G7" s="74">
        <v>1204</v>
      </c>
      <c r="H7" s="63">
        <f t="shared" si="2"/>
        <v>185.8607710963455</v>
      </c>
      <c r="I7" s="53"/>
      <c r="J7" s="54"/>
      <c r="K7" s="54"/>
      <c r="L7" s="54">
        <f>J7/19932</f>
        <v>0</v>
      </c>
      <c r="M7" s="73">
        <v>6474.7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121431.23819999999</v>
      </c>
      <c r="C8" s="18">
        <v>130404.65700000001</v>
      </c>
      <c r="D8" s="73">
        <v>103002.51119999999</v>
      </c>
      <c r="E8" s="77">
        <f t="shared" si="0"/>
        <v>0.17891531755198606</v>
      </c>
      <c r="F8" s="73">
        <v>106518.63</v>
      </c>
      <c r="G8" s="74">
        <v>812</v>
      </c>
      <c r="H8" s="63">
        <f t="shared" si="2"/>
        <v>149.54585985221675</v>
      </c>
      <c r="I8" s="53"/>
      <c r="J8" s="54"/>
      <c r="K8" s="54"/>
      <c r="L8" s="54">
        <f>J8/25490</f>
        <v>0</v>
      </c>
      <c r="M8" s="73">
        <v>2989.2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412933.86659999995</v>
      </c>
      <c r="C9" s="18">
        <v>369527.86499999999</v>
      </c>
      <c r="D9" s="73">
        <v>324940.24200000003</v>
      </c>
      <c r="E9" s="77">
        <f t="shared" si="0"/>
        <v>0.27079940624898013</v>
      </c>
      <c r="F9" s="73">
        <v>362222.69</v>
      </c>
      <c r="G9" s="74">
        <v>2724</v>
      </c>
      <c r="H9" s="63">
        <f t="shared" si="2"/>
        <v>151.59099361233478</v>
      </c>
      <c r="I9" s="53"/>
      <c r="J9" s="54"/>
      <c r="K9" s="54"/>
      <c r="L9" s="54">
        <f>J9/10403</f>
        <v>0</v>
      </c>
      <c r="M9" s="73">
        <v>8424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161457.72119999997</v>
      </c>
      <c r="C11" s="18">
        <v>205533.21059999999</v>
      </c>
      <c r="D11" s="73">
        <v>166134.62820000001</v>
      </c>
      <c r="E11" s="77">
        <f t="shared" si="0"/>
        <v>-2.8151307470768671E-2</v>
      </c>
      <c r="F11" s="73">
        <v>141629.57999999999</v>
      </c>
      <c r="G11" s="74">
        <v>950</v>
      </c>
      <c r="H11" s="63">
        <f t="shared" si="2"/>
        <v>169.95549599999998</v>
      </c>
      <c r="I11" s="53"/>
      <c r="J11" s="54"/>
      <c r="K11" s="54"/>
      <c r="L11" s="54">
        <f>J11/16449</f>
        <v>0</v>
      </c>
      <c r="M11" s="73">
        <v>7070.65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344235.02699999994</v>
      </c>
      <c r="C12" s="18">
        <v>337363.46039999998</v>
      </c>
      <c r="D12" s="73">
        <v>328236.32400000002</v>
      </c>
      <c r="E12" s="77">
        <f t="shared" si="0"/>
        <v>4.8741415346827736E-2</v>
      </c>
      <c r="F12" s="73">
        <v>301960.55</v>
      </c>
      <c r="G12" s="74">
        <v>2195</v>
      </c>
      <c r="H12" s="63">
        <f t="shared" si="2"/>
        <v>156.82689157175395</v>
      </c>
      <c r="I12" s="53"/>
      <c r="J12" s="54"/>
      <c r="K12" s="54"/>
      <c r="L12" s="54">
        <f>J12/18426</f>
        <v>0</v>
      </c>
      <c r="M12" s="73">
        <v>14047.6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132910.149</v>
      </c>
      <c r="C13" s="18">
        <v>147341.3634</v>
      </c>
      <c r="D13" s="73">
        <v>158152.72440000001</v>
      </c>
      <c r="E13" s="77">
        <f t="shared" si="0"/>
        <v>-0.15960885590662643</v>
      </c>
      <c r="F13" s="73">
        <v>116587.85</v>
      </c>
      <c r="G13" s="74">
        <v>1025</v>
      </c>
      <c r="H13" s="63">
        <f t="shared" si="2"/>
        <v>129.6684380487805</v>
      </c>
      <c r="I13" s="53"/>
      <c r="J13" s="54">
        <f>I13</f>
        <v>0</v>
      </c>
      <c r="K13" s="54"/>
      <c r="L13" s="54">
        <f>J13/21444</f>
        <v>0</v>
      </c>
      <c r="M13" s="73">
        <v>7284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224308.40639999998</v>
      </c>
      <c r="C14" s="18">
        <v>249269.1966</v>
      </c>
      <c r="D14" s="73">
        <v>190772.18280000001</v>
      </c>
      <c r="E14" s="77">
        <f t="shared" si="0"/>
        <v>0.17579200021608166</v>
      </c>
      <c r="F14" s="73">
        <v>196761.76</v>
      </c>
      <c r="G14" s="74">
        <v>1558</v>
      </c>
      <c r="H14" s="63">
        <f t="shared" si="2"/>
        <v>143.97201951219512</v>
      </c>
      <c r="I14" s="53"/>
      <c r="J14" s="54"/>
      <c r="K14" s="54"/>
      <c r="L14" s="54">
        <f>J14/18876</f>
        <v>0</v>
      </c>
      <c r="M14" s="73">
        <v>6105.2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87662.477400000003</v>
      </c>
      <c r="C15" s="18">
        <v>134409.83040000001</v>
      </c>
      <c r="D15" s="73">
        <v>114069.0612</v>
      </c>
      <c r="E15" s="77">
        <f t="shared" si="0"/>
        <v>-0.23149645944486824</v>
      </c>
      <c r="F15" s="73">
        <v>76896.91</v>
      </c>
      <c r="G15" s="74">
        <v>584</v>
      </c>
      <c r="H15" s="63">
        <f t="shared" si="2"/>
        <v>150.10698184931508</v>
      </c>
      <c r="I15" s="53"/>
      <c r="J15" s="54"/>
      <c r="K15" s="54"/>
      <c r="L15" s="54">
        <f>J15/15345</f>
        <v>0</v>
      </c>
      <c r="M15" s="73">
        <v>6207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171061.81079999998</v>
      </c>
      <c r="C18" s="18">
        <v>182040.3414</v>
      </c>
      <c r="D18" s="73">
        <v>0</v>
      </c>
      <c r="E18" s="77">
        <f>IFERROR(SUM(B18-D18)/D18,0)</f>
        <v>0</v>
      </c>
      <c r="F18" s="73">
        <v>150054.22</v>
      </c>
      <c r="G18" s="74">
        <v>1305</v>
      </c>
      <c r="H18" s="63">
        <f>IFERROR(B18/G18,0)</f>
        <v>131.08184735632182</v>
      </c>
      <c r="I18" s="53"/>
      <c r="J18" s="54"/>
      <c r="K18" s="54"/>
      <c r="L18" s="54">
        <f>J18/15345</f>
        <v>0</v>
      </c>
      <c r="M18" s="73">
        <v>3634</v>
      </c>
      <c r="N18" s="9"/>
    </row>
    <row r="19" spans="1:14" ht="15.6" customHeight="1" x14ac:dyDescent="0.3">
      <c r="A19" s="40" t="s">
        <v>27</v>
      </c>
      <c r="B19" s="18">
        <f>F19*1.14</f>
        <v>208108.86960000001</v>
      </c>
      <c r="C19" s="18">
        <v>162343.17060000001</v>
      </c>
      <c r="D19" s="73">
        <v>0</v>
      </c>
      <c r="E19" s="77">
        <f>IFERROR(SUM(B19-D19)/D19,0)</f>
        <v>0</v>
      </c>
      <c r="F19" s="73">
        <v>182551.64</v>
      </c>
      <c r="G19" s="74">
        <v>1224</v>
      </c>
      <c r="H19" s="63">
        <f>IFERROR(B19/G19,0)</f>
        <v>170.0235862745098</v>
      </c>
      <c r="I19" s="53"/>
      <c r="J19" s="54"/>
      <c r="K19" s="54"/>
      <c r="L19" s="54">
        <f>J19/15345</f>
        <v>0</v>
      </c>
      <c r="M19" s="63">
        <v>7683.4</v>
      </c>
      <c r="N19" s="9"/>
    </row>
    <row r="20" spans="1:14" ht="15.6" customHeight="1" x14ac:dyDescent="0.3">
      <c r="A20" s="40" t="s">
        <v>28</v>
      </c>
      <c r="B20" s="18">
        <f>F20*1.14</f>
        <v>286038.66539999994</v>
      </c>
      <c r="C20" s="42">
        <v>252547.02720000001</v>
      </c>
      <c r="D20" s="71">
        <v>0</v>
      </c>
      <c r="E20" s="77">
        <f>IFERROR(SUM(B20-D20)/D20,0)</f>
        <v>0</v>
      </c>
      <c r="F20" s="79">
        <v>250911.11</v>
      </c>
      <c r="G20" s="74">
        <v>1494</v>
      </c>
      <c r="H20" s="63">
        <f>IFERROR(B20/G20,0)</f>
        <v>191.45827670682726</v>
      </c>
      <c r="I20" s="80"/>
      <c r="J20" s="80"/>
      <c r="K20" s="80"/>
      <c r="L20" s="80"/>
      <c r="M20" s="73">
        <v>14799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153227.20665599999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0.13782460519915718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2654746.8990000002</v>
      </c>
      <c r="C4" s="3">
        <v>2641388.914799999</v>
      </c>
      <c r="D4" s="3">
        <v>1849316.1510000001</v>
      </c>
      <c r="E4" s="76">
        <f>IFERROR((SUM(B4-D4)/D4),0)</f>
        <v>0.43552896434959004</v>
      </c>
      <c r="F4" s="66">
        <f>SUM(F6:F20)</f>
        <v>2328725.35</v>
      </c>
      <c r="G4" s="62">
        <f>SUM(G6:G20)</f>
        <v>17358</v>
      </c>
      <c r="H4" s="45">
        <f>AVERAGE(H5:H20)</f>
        <v>131.79345364191346</v>
      </c>
      <c r="I4" s="46"/>
      <c r="J4" s="46"/>
      <c r="K4" s="29"/>
      <c r="L4" s="28">
        <f>J4/206494</f>
        <v>0</v>
      </c>
      <c r="M4" s="66">
        <f>SUM(M6:M20)</f>
        <v>104392.45000000001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#REF!+#REF!+'Feb 26 - Mar 4'!I5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284079.96299999999</v>
      </c>
      <c r="C6" s="18">
        <v>267464.31479999999</v>
      </c>
      <c r="D6" s="73">
        <v>250866.67860000001</v>
      </c>
      <c r="E6" s="77">
        <f t="shared" si="0"/>
        <v>0.13239416484226524</v>
      </c>
      <c r="F6" s="73">
        <v>249192.95</v>
      </c>
      <c r="G6" s="74">
        <v>1818</v>
      </c>
      <c r="H6" s="63">
        <f t="shared" ref="H6:H15" si="2">IFERROR(B6/G6,0)</f>
        <v>156.25960561056104</v>
      </c>
      <c r="I6" s="53"/>
      <c r="J6" s="54"/>
      <c r="K6" s="54"/>
      <c r="L6" s="54">
        <f>J6/18100</f>
        <v>0</v>
      </c>
      <c r="M6" s="73">
        <v>9128.4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236736.49259999997</v>
      </c>
      <c r="C7" s="18">
        <v>223776.36840000001</v>
      </c>
      <c r="D7" s="73">
        <v>188660.77739999999</v>
      </c>
      <c r="E7" s="77">
        <f t="shared" si="0"/>
        <v>0.25482623289561396</v>
      </c>
      <c r="F7" s="73">
        <v>207663.59</v>
      </c>
      <c r="G7" s="74">
        <v>1493</v>
      </c>
      <c r="H7" s="63">
        <f t="shared" si="2"/>
        <v>158.56429511051573</v>
      </c>
      <c r="I7" s="53"/>
      <c r="J7" s="54"/>
      <c r="K7" s="54"/>
      <c r="L7" s="54">
        <f>J7/19932</f>
        <v>0</v>
      </c>
      <c r="M7" s="73">
        <v>5932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121133.89199999999</v>
      </c>
      <c r="C8" s="18">
        <v>121431.23820000001</v>
      </c>
      <c r="D8" s="73">
        <v>127092.62639999999</v>
      </c>
      <c r="E8" s="77">
        <f t="shared" si="0"/>
        <v>-4.6884973336265887E-2</v>
      </c>
      <c r="F8" s="73">
        <v>106257.8</v>
      </c>
      <c r="G8" s="74">
        <v>801</v>
      </c>
      <c r="H8" s="63">
        <f t="shared" si="2"/>
        <v>151.22832958801496</v>
      </c>
      <c r="I8" s="53"/>
      <c r="J8" s="54"/>
      <c r="K8" s="54"/>
      <c r="L8" s="54">
        <f>J8/25490</f>
        <v>0</v>
      </c>
      <c r="M8" s="73">
        <v>5350.4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412964.15639999998</v>
      </c>
      <c r="C9" s="18">
        <v>412933.86660000001</v>
      </c>
      <c r="D9" s="73">
        <v>343264.18019999989</v>
      </c>
      <c r="E9" s="77">
        <f t="shared" si="0"/>
        <v>0.20305053722584748</v>
      </c>
      <c r="F9" s="73">
        <v>362249.26</v>
      </c>
      <c r="G9" s="74">
        <v>2797</v>
      </c>
      <c r="H9" s="63">
        <f t="shared" si="2"/>
        <v>147.64539020378976</v>
      </c>
      <c r="I9" s="53"/>
      <c r="J9" s="54"/>
      <c r="K9" s="54"/>
      <c r="L9" s="54">
        <f>J9/10403</f>
        <v>0</v>
      </c>
      <c r="M9" s="73">
        <v>10443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174201.92939999996</v>
      </c>
      <c r="C11" s="18">
        <v>161457.7212</v>
      </c>
      <c r="D11" s="73">
        <v>174733.13519999999</v>
      </c>
      <c r="E11" s="77">
        <f t="shared" si="0"/>
        <v>-3.0400976860628392E-3</v>
      </c>
      <c r="F11" s="73">
        <v>152808.71</v>
      </c>
      <c r="G11" s="74">
        <v>1040</v>
      </c>
      <c r="H11" s="63">
        <f t="shared" si="2"/>
        <v>167.50185519230766</v>
      </c>
      <c r="I11" s="53"/>
      <c r="J11" s="54"/>
      <c r="K11" s="54"/>
      <c r="L11" s="54">
        <f>J11/16449</f>
        <v>0</v>
      </c>
      <c r="M11" s="73">
        <v>6491.75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363190.81019999995</v>
      </c>
      <c r="C12" s="18">
        <v>344235.02699999989</v>
      </c>
      <c r="D12" s="73">
        <v>343316.7</v>
      </c>
      <c r="E12" s="77">
        <f t="shared" si="0"/>
        <v>5.7888562368215518E-2</v>
      </c>
      <c r="F12" s="73">
        <v>318588.43</v>
      </c>
      <c r="G12" s="74">
        <v>2280</v>
      </c>
      <c r="H12" s="63">
        <f t="shared" si="2"/>
        <v>159.29421499999998</v>
      </c>
      <c r="I12" s="53"/>
      <c r="J12" s="54"/>
      <c r="K12" s="54"/>
      <c r="L12" s="54">
        <f>J12/18426</f>
        <v>0</v>
      </c>
      <c r="M12" s="73">
        <v>17273.5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150563.14019999997</v>
      </c>
      <c r="C13" s="18">
        <v>132910.149</v>
      </c>
      <c r="D13" s="73">
        <v>149180.71919999999</v>
      </c>
      <c r="E13" s="77">
        <f t="shared" si="0"/>
        <v>9.2667538232378555E-3</v>
      </c>
      <c r="F13" s="73">
        <v>132072.93</v>
      </c>
      <c r="G13" s="74">
        <v>1129</v>
      </c>
      <c r="H13" s="63">
        <f t="shared" si="2"/>
        <v>133.35973445527011</v>
      </c>
      <c r="I13" s="53"/>
      <c r="J13" s="54">
        <f>I13</f>
        <v>0</v>
      </c>
      <c r="K13" s="54"/>
      <c r="L13" s="54">
        <f>J13/21444</f>
        <v>0</v>
      </c>
      <c r="M13" s="73">
        <v>10251.4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253716.87239999999</v>
      </c>
      <c r="C14" s="18">
        <v>224308.40640000001</v>
      </c>
      <c r="D14" s="73">
        <v>182243.7972</v>
      </c>
      <c r="E14" s="77">
        <f t="shared" si="0"/>
        <v>0.39218385645006737</v>
      </c>
      <c r="F14" s="73">
        <v>222558.66</v>
      </c>
      <c r="G14" s="74">
        <v>1655</v>
      </c>
      <c r="H14" s="63">
        <f t="shared" si="2"/>
        <v>153.30324616314198</v>
      </c>
      <c r="I14" s="53"/>
      <c r="J14" s="54"/>
      <c r="K14" s="54"/>
      <c r="L14" s="54">
        <f>J14/18876</f>
        <v>0</v>
      </c>
      <c r="M14" s="73">
        <v>7191.25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107610.1632</v>
      </c>
      <c r="C15" s="18">
        <v>87662.477400000003</v>
      </c>
      <c r="D15" s="73">
        <v>89957.536799999987</v>
      </c>
      <c r="E15" s="77">
        <f t="shared" si="0"/>
        <v>0.19623287862190564</v>
      </c>
      <c r="F15" s="73">
        <v>94394.880000000005</v>
      </c>
      <c r="G15" s="74">
        <v>657</v>
      </c>
      <c r="H15" s="63">
        <f t="shared" si="2"/>
        <v>163.79020273972603</v>
      </c>
      <c r="I15" s="53"/>
      <c r="J15" s="54"/>
      <c r="K15" s="54"/>
      <c r="L15" s="54">
        <f>J15/15345</f>
        <v>0</v>
      </c>
      <c r="M15" s="73">
        <v>8674.75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153225.21119999996</v>
      </c>
      <c r="C18" s="18">
        <v>171061.81080000001</v>
      </c>
      <c r="D18" s="73">
        <v>0</v>
      </c>
      <c r="E18" s="77">
        <f>IFERROR(SUM(B18-D18)/D18,0)</f>
        <v>0</v>
      </c>
      <c r="F18" s="73">
        <v>134408.07999999999</v>
      </c>
      <c r="G18" s="74">
        <v>1188</v>
      </c>
      <c r="H18" s="63">
        <f>IFERROR(B18/G18,0)</f>
        <v>128.97745050505048</v>
      </c>
      <c r="I18" s="53"/>
      <c r="J18" s="54"/>
      <c r="K18" s="54"/>
      <c r="L18" s="54">
        <f>J18/15345</f>
        <v>0</v>
      </c>
      <c r="M18" s="73">
        <v>3760</v>
      </c>
      <c r="N18" s="9"/>
    </row>
    <row r="19" spans="1:14" ht="15.6" customHeight="1" x14ac:dyDescent="0.3">
      <c r="A19" s="40" t="s">
        <v>27</v>
      </c>
      <c r="B19" s="18">
        <f>F19*1.14</f>
        <v>145563.4308</v>
      </c>
      <c r="C19" s="18">
        <v>208108.86960000001</v>
      </c>
      <c r="D19" s="73">
        <v>0</v>
      </c>
      <c r="E19" s="77">
        <f>IFERROR(SUM(B19-D19)/D19,0)</f>
        <v>0</v>
      </c>
      <c r="F19" s="73">
        <v>127687.22</v>
      </c>
      <c r="G19" s="74">
        <v>838</v>
      </c>
      <c r="H19" s="63">
        <f>IFERROR(B19/G19,0)</f>
        <v>173.70337804295943</v>
      </c>
      <c r="I19" s="53"/>
      <c r="J19" s="54"/>
      <c r="K19" s="54"/>
      <c r="L19" s="54">
        <f>J19/15345</f>
        <v>0</v>
      </c>
      <c r="M19" s="63">
        <v>7647</v>
      </c>
      <c r="N19" s="9"/>
    </row>
    <row r="20" spans="1:14" ht="15.6" customHeight="1" x14ac:dyDescent="0.3">
      <c r="A20" s="40" t="s">
        <v>28</v>
      </c>
      <c r="B20" s="18">
        <f>F20*1.14</f>
        <v>251760.83759999997</v>
      </c>
      <c r="C20" s="42">
        <v>286038.66539999988</v>
      </c>
      <c r="D20" s="71">
        <v>0</v>
      </c>
      <c r="E20" s="77">
        <f>IFERROR(SUM(B20-D20)/D20,0)</f>
        <v>0</v>
      </c>
      <c r="F20" s="79">
        <v>220842.84</v>
      </c>
      <c r="G20" s="74">
        <v>1662</v>
      </c>
      <c r="H20" s="63">
        <f>IFERROR(B20/G20,0)</f>
        <v>151.48064837545124</v>
      </c>
      <c r="I20" s="80"/>
      <c r="J20" s="80"/>
      <c r="K20" s="80"/>
      <c r="L20" s="80"/>
      <c r="M20" s="73">
        <v>12249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99935.224235999995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A6" sqref="A6:F20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0.19595207720583177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2510428.1202000002</v>
      </c>
      <c r="C4" s="3">
        <v>2654746.8990000002</v>
      </c>
      <c r="D4" s="3">
        <v>1634898.7608</v>
      </c>
      <c r="E4" s="76">
        <f>IFERROR((SUM(B4-D4)/D4),0)</f>
        <v>0.53552512265137453</v>
      </c>
      <c r="F4" s="66">
        <f>SUM(F6:F20)</f>
        <v>2202129.9299999997</v>
      </c>
      <c r="G4" s="62">
        <f>SUM(G6:G20)</f>
        <v>15753</v>
      </c>
      <c r="H4" s="45">
        <f>AVERAGE(H5:H20)</f>
        <v>137.2131193027445</v>
      </c>
      <c r="I4" s="46"/>
      <c r="J4" s="46"/>
      <c r="K4" s="29"/>
      <c r="L4" s="28">
        <f>J4/206494</f>
        <v>0</v>
      </c>
      <c r="M4" s="66">
        <f>SUM(M6:M20)</f>
        <v>91135.72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#REF!+#REF!+'Mar 5 - Mar 11'!I5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253669.09499999997</v>
      </c>
      <c r="C6" s="18">
        <v>284079.96299999999</v>
      </c>
      <c r="D6" s="73">
        <v>226151.75219999999</v>
      </c>
      <c r="E6" s="77">
        <f t="shared" si="0"/>
        <v>0.12167645190590738</v>
      </c>
      <c r="F6" s="73">
        <v>222516.75</v>
      </c>
      <c r="G6" s="74">
        <v>1558</v>
      </c>
      <c r="H6" s="63">
        <f t="shared" ref="H6:H15" si="2">IFERROR(B6/G6,0)</f>
        <v>162.81713414634146</v>
      </c>
      <c r="I6" s="53"/>
      <c r="J6" s="54"/>
      <c r="K6" s="54"/>
      <c r="L6" s="54">
        <f>J6/18100</f>
        <v>0</v>
      </c>
      <c r="M6" s="73">
        <v>9074.15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201294.24599999998</v>
      </c>
      <c r="C7" s="18">
        <v>236736.4926</v>
      </c>
      <c r="D7" s="73">
        <v>168726.21299999999</v>
      </c>
      <c r="E7" s="77">
        <f t="shared" si="0"/>
        <v>0.19302295962750018</v>
      </c>
      <c r="F7" s="73">
        <v>176573.9</v>
      </c>
      <c r="G7" s="74">
        <v>1232</v>
      </c>
      <c r="H7" s="63">
        <f t="shared" si="2"/>
        <v>163.38818668831166</v>
      </c>
      <c r="I7" s="53"/>
      <c r="J7" s="54"/>
      <c r="K7" s="54"/>
      <c r="L7" s="54">
        <f>J7/19932</f>
        <v>0</v>
      </c>
      <c r="M7" s="73">
        <v>5586.5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112541.0508</v>
      </c>
      <c r="C8" s="18">
        <v>121133.89200000001</v>
      </c>
      <c r="D8" s="73">
        <v>113762.2758</v>
      </c>
      <c r="E8" s="77">
        <f t="shared" si="0"/>
        <v>-1.0734885456642787E-2</v>
      </c>
      <c r="F8" s="73">
        <v>98720.22</v>
      </c>
      <c r="G8" s="74">
        <v>704</v>
      </c>
      <c r="H8" s="63">
        <f t="shared" si="2"/>
        <v>159.85944715909091</v>
      </c>
      <c r="I8" s="53"/>
      <c r="J8" s="54"/>
      <c r="K8" s="54"/>
      <c r="L8" s="54">
        <f>J8/25490</f>
        <v>0</v>
      </c>
      <c r="M8" s="73">
        <v>4429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373639.85639999999</v>
      </c>
      <c r="C9" s="18">
        <v>412964.15639999998</v>
      </c>
      <c r="D9" s="73">
        <v>274721.1102</v>
      </c>
      <c r="E9" s="77">
        <f t="shared" si="0"/>
        <v>0.36006969441840875</v>
      </c>
      <c r="F9" s="73">
        <v>327754.26</v>
      </c>
      <c r="G9" s="74">
        <v>2430</v>
      </c>
      <c r="H9" s="63">
        <f t="shared" si="2"/>
        <v>153.76125777777779</v>
      </c>
      <c r="I9" s="53"/>
      <c r="J9" s="54"/>
      <c r="K9" s="54"/>
      <c r="L9" s="54">
        <f>J9/10403</f>
        <v>0</v>
      </c>
      <c r="M9" s="73">
        <v>9750.5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167563.54980000001</v>
      </c>
      <c r="C11" s="18">
        <v>174201.92939999999</v>
      </c>
      <c r="D11" s="73">
        <v>144546.27720000001</v>
      </c>
      <c r="E11" s="77">
        <f t="shared" si="0"/>
        <v>0.1592380865551617</v>
      </c>
      <c r="F11" s="73">
        <v>146985.57</v>
      </c>
      <c r="G11" s="74">
        <v>1001</v>
      </c>
      <c r="H11" s="63">
        <f t="shared" si="2"/>
        <v>167.39615364635367</v>
      </c>
      <c r="I11" s="53"/>
      <c r="J11" s="54"/>
      <c r="K11" s="54"/>
      <c r="L11" s="54">
        <f>J11/16449</f>
        <v>0</v>
      </c>
      <c r="M11" s="73">
        <v>6314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358608.32939999999</v>
      </c>
      <c r="C12" s="18">
        <v>363190.81019999989</v>
      </c>
      <c r="D12" s="73">
        <v>279323.82599999988</v>
      </c>
      <c r="E12" s="77">
        <f t="shared" si="0"/>
        <v>0.28384439857987676</v>
      </c>
      <c r="F12" s="73">
        <v>314568.71000000002</v>
      </c>
      <c r="G12" s="74">
        <v>2137</v>
      </c>
      <c r="H12" s="63">
        <f t="shared" si="2"/>
        <v>167.80923228825455</v>
      </c>
      <c r="I12" s="53"/>
      <c r="J12" s="54"/>
      <c r="K12" s="54"/>
      <c r="L12" s="54">
        <f>J12/18426</f>
        <v>0</v>
      </c>
      <c r="M12" s="73">
        <v>13182.3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165013.27859999996</v>
      </c>
      <c r="C13" s="18">
        <v>150563.14019999999</v>
      </c>
      <c r="D13" s="73">
        <v>149269.36559999999</v>
      </c>
      <c r="E13" s="77">
        <f t="shared" si="0"/>
        <v>0.10547316883619134</v>
      </c>
      <c r="F13" s="73">
        <v>144748.49</v>
      </c>
      <c r="G13" s="74">
        <v>1197</v>
      </c>
      <c r="H13" s="63">
        <f t="shared" si="2"/>
        <v>137.85570476190472</v>
      </c>
      <c r="I13" s="53"/>
      <c r="J13" s="54">
        <f>I13</f>
        <v>0</v>
      </c>
      <c r="K13" s="54"/>
      <c r="L13" s="54">
        <f>J13/21444</f>
        <v>0</v>
      </c>
      <c r="M13" s="73">
        <v>9355.9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238418.40299999999</v>
      </c>
      <c r="C14" s="18">
        <v>253716.87239999999</v>
      </c>
      <c r="D14" s="73">
        <v>179858.08499999999</v>
      </c>
      <c r="E14" s="77">
        <f t="shared" si="0"/>
        <v>0.3255918020032294</v>
      </c>
      <c r="F14" s="73">
        <v>209138.95</v>
      </c>
      <c r="G14" s="74">
        <v>1663</v>
      </c>
      <c r="H14" s="63">
        <f t="shared" si="2"/>
        <v>143.36644798556824</v>
      </c>
      <c r="I14" s="53"/>
      <c r="J14" s="54"/>
      <c r="K14" s="54"/>
      <c r="L14" s="54">
        <f>J14/18876</f>
        <v>0</v>
      </c>
      <c r="M14" s="73">
        <v>5779.04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84512.76</v>
      </c>
      <c r="C15" s="18">
        <v>107610.1632</v>
      </c>
      <c r="D15" s="73">
        <v>98539.85579999999</v>
      </c>
      <c r="E15" s="77">
        <f t="shared" si="0"/>
        <v>-0.14234946546369917</v>
      </c>
      <c r="F15" s="73">
        <v>74134</v>
      </c>
      <c r="G15" s="74">
        <v>507</v>
      </c>
      <c r="H15" s="63">
        <f t="shared" si="2"/>
        <v>166.69183431952661</v>
      </c>
      <c r="I15" s="53"/>
      <c r="J15" s="54"/>
      <c r="K15" s="54"/>
      <c r="L15" s="54">
        <f>J15/15345</f>
        <v>0</v>
      </c>
      <c r="M15" s="73">
        <v>6224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152120.6538</v>
      </c>
      <c r="C18" s="18">
        <v>153225.21119999999</v>
      </c>
      <c r="D18" s="73">
        <v>0</v>
      </c>
      <c r="E18" s="77">
        <f>IFERROR(SUM(B18-D18)/D18,0)</f>
        <v>0</v>
      </c>
      <c r="F18" s="73">
        <v>133439.17000000001</v>
      </c>
      <c r="G18" s="74">
        <v>1138</v>
      </c>
      <c r="H18" s="63">
        <f>IFERROR(B18/G18,0)</f>
        <v>133.67368523725835</v>
      </c>
      <c r="I18" s="53"/>
      <c r="J18" s="54"/>
      <c r="K18" s="54"/>
      <c r="L18" s="54">
        <f>J18/15345</f>
        <v>0</v>
      </c>
      <c r="M18" s="73">
        <v>3578</v>
      </c>
      <c r="N18" s="9"/>
    </row>
    <row r="19" spans="1:14" ht="15.6" customHeight="1" x14ac:dyDescent="0.3">
      <c r="A19" s="40" t="s">
        <v>27</v>
      </c>
      <c r="B19" s="18">
        <f>F19*1.14</f>
        <v>153756.06359999996</v>
      </c>
      <c r="C19" s="18">
        <v>145563.4308</v>
      </c>
      <c r="D19" s="73">
        <v>0</v>
      </c>
      <c r="E19" s="77">
        <f>IFERROR(SUM(B19-D19)/D19,0)</f>
        <v>0</v>
      </c>
      <c r="F19" s="73">
        <v>134873.74</v>
      </c>
      <c r="G19" s="74">
        <v>909</v>
      </c>
      <c r="H19" s="63">
        <f>IFERROR(B19/G19,0)</f>
        <v>169.14858481848182</v>
      </c>
      <c r="I19" s="53"/>
      <c r="J19" s="54"/>
      <c r="K19" s="54"/>
      <c r="L19" s="54">
        <f>J19/15345</f>
        <v>0</v>
      </c>
      <c r="M19" s="63">
        <v>7316.7</v>
      </c>
      <c r="N19" s="9"/>
    </row>
    <row r="20" spans="1:14" ht="15.6" customHeight="1" x14ac:dyDescent="0.3">
      <c r="A20" s="40" t="s">
        <v>28</v>
      </c>
      <c r="B20" s="18">
        <f>F20*1.14</f>
        <v>249290.83379999999</v>
      </c>
      <c r="C20" s="42">
        <v>251760.8376</v>
      </c>
      <c r="D20" s="71">
        <v>0</v>
      </c>
      <c r="E20" s="77">
        <f>IFERROR(SUM(B20-D20)/D20,0)</f>
        <v>0</v>
      </c>
      <c r="F20" s="79">
        <v>218676.17</v>
      </c>
      <c r="G20" s="74">
        <v>1277</v>
      </c>
      <c r="H20" s="63">
        <f>IFERROR(B20/G20,0)</f>
        <v>195.21600140955363</v>
      </c>
      <c r="I20" s="80"/>
      <c r="J20" s="80"/>
      <c r="K20" s="80"/>
      <c r="L20" s="80"/>
      <c r="M20" s="73">
        <v>10545.63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122675.58604799998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-3.1609733519365198E-2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2481034.4399999995</v>
      </c>
      <c r="C4" s="3">
        <v>2510428.1201999998</v>
      </c>
      <c r="D4" s="3">
        <v>1961619.6942</v>
      </c>
      <c r="E4" s="76">
        <f>IFERROR((SUM(B4-D4)/D4),0)</f>
        <v>0.26478870870626653</v>
      </c>
      <c r="F4" s="66">
        <f>SUM(F6:F20)</f>
        <v>2176346</v>
      </c>
      <c r="G4" s="62">
        <f>SUM(G6:G20)</f>
        <v>15644</v>
      </c>
      <c r="H4" s="45">
        <f>AVERAGE(H5:H20)</f>
        <v>135.00245203356945</v>
      </c>
      <c r="I4" s="46"/>
      <c r="J4" s="46"/>
      <c r="K4" s="29"/>
      <c r="L4" s="28">
        <f>J4/206494</f>
        <v>0</v>
      </c>
      <c r="M4" s="66">
        <f>SUM(M6:M20)</f>
        <v>86261.81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#REF!+#REF!+'Mar 12 - Mar 18'!I5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245340.84779999996</v>
      </c>
      <c r="C6" s="18">
        <v>253669.095</v>
      </c>
      <c r="D6" s="73">
        <v>243951.92879999999</v>
      </c>
      <c r="E6" s="77">
        <f t="shared" si="0"/>
        <v>5.6934126605682547E-3</v>
      </c>
      <c r="F6" s="73">
        <v>215211.27</v>
      </c>
      <c r="G6" s="74">
        <v>1513</v>
      </c>
      <c r="H6" s="63">
        <f t="shared" ref="H6:H15" si="2">IFERROR(B6/G6,0)</f>
        <v>162.15521996034366</v>
      </c>
      <c r="I6" s="53"/>
      <c r="J6" s="54"/>
      <c r="K6" s="54"/>
      <c r="L6" s="54">
        <f>J6/18100</f>
        <v>0</v>
      </c>
      <c r="M6" s="73">
        <v>7682.58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186092.34599999999</v>
      </c>
      <c r="C7" s="18">
        <v>201294.24600000001</v>
      </c>
      <c r="D7" s="73">
        <v>189747.6876</v>
      </c>
      <c r="E7" s="77">
        <f t="shared" si="0"/>
        <v>-1.9264222116401771E-2</v>
      </c>
      <c r="F7" s="73">
        <v>163238.9</v>
      </c>
      <c r="G7" s="74">
        <v>1186</v>
      </c>
      <c r="H7" s="63">
        <f t="shared" si="2"/>
        <v>156.90754300168632</v>
      </c>
      <c r="I7" s="53"/>
      <c r="J7" s="54"/>
      <c r="K7" s="54"/>
      <c r="L7" s="54">
        <f>J7/19932</f>
        <v>0</v>
      </c>
      <c r="M7" s="73">
        <v>6596.5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105150.71579999999</v>
      </c>
      <c r="C8" s="18">
        <v>112541.0508</v>
      </c>
      <c r="D8" s="73">
        <v>117464.34600000001</v>
      </c>
      <c r="E8" s="77">
        <f t="shared" si="0"/>
        <v>-0.10482866179666138</v>
      </c>
      <c r="F8" s="73">
        <v>92237.47</v>
      </c>
      <c r="G8" s="74">
        <v>646</v>
      </c>
      <c r="H8" s="63">
        <f t="shared" si="2"/>
        <v>162.77200588235291</v>
      </c>
      <c r="I8" s="53"/>
      <c r="J8" s="54"/>
      <c r="K8" s="54"/>
      <c r="L8" s="54">
        <f>J8/25490</f>
        <v>0</v>
      </c>
      <c r="M8" s="73">
        <v>2825.5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367695.6</v>
      </c>
      <c r="C9" s="18">
        <v>373639.85639999999</v>
      </c>
      <c r="D9" s="73">
        <v>314432.09819999989</v>
      </c>
      <c r="E9" s="77">
        <f t="shared" si="0"/>
        <v>0.16939587944396481</v>
      </c>
      <c r="F9" s="73">
        <v>322540</v>
      </c>
      <c r="G9" s="74">
        <v>2383</v>
      </c>
      <c r="H9" s="63">
        <f t="shared" si="2"/>
        <v>154.29945446915653</v>
      </c>
      <c r="I9" s="53"/>
      <c r="J9" s="54"/>
      <c r="K9" s="54"/>
      <c r="L9" s="54">
        <f>J9/10403</f>
        <v>0</v>
      </c>
      <c r="M9" s="73">
        <v>914.25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116591.5962</v>
      </c>
      <c r="E10" s="77">
        <f t="shared" si="0"/>
        <v>-1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167414.47199999998</v>
      </c>
      <c r="C11" s="18">
        <v>167563.54980000001</v>
      </c>
      <c r="D11" s="73">
        <v>154265.83739999999</v>
      </c>
      <c r="E11" s="77">
        <f t="shared" si="0"/>
        <v>8.5233612455015206E-2</v>
      </c>
      <c r="F11" s="73">
        <v>146854.79999999999</v>
      </c>
      <c r="G11" s="74">
        <v>1025</v>
      </c>
      <c r="H11" s="63">
        <f t="shared" si="2"/>
        <v>163.33119219512193</v>
      </c>
      <c r="I11" s="53"/>
      <c r="J11" s="54"/>
      <c r="K11" s="54"/>
      <c r="L11" s="54">
        <f>J11/16449</f>
        <v>0</v>
      </c>
      <c r="M11" s="73">
        <v>5497.9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375410.81219999993</v>
      </c>
      <c r="C12" s="18">
        <v>358608.32939999999</v>
      </c>
      <c r="D12" s="73">
        <v>348943.23839999997</v>
      </c>
      <c r="E12" s="77">
        <f t="shared" si="0"/>
        <v>7.5850656746813627E-2</v>
      </c>
      <c r="F12" s="73">
        <v>329307.73</v>
      </c>
      <c r="G12" s="74">
        <v>2251</v>
      </c>
      <c r="H12" s="63">
        <f t="shared" si="2"/>
        <v>166.77512758773875</v>
      </c>
      <c r="I12" s="53"/>
      <c r="J12" s="54"/>
      <c r="K12" s="54"/>
      <c r="L12" s="54">
        <f>J12/18426</f>
        <v>0</v>
      </c>
      <c r="M12" s="73">
        <v>13765.6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128294.859</v>
      </c>
      <c r="C13" s="18">
        <v>165013.27859999999</v>
      </c>
      <c r="D13" s="73">
        <v>158301.1182</v>
      </c>
      <c r="E13" s="77">
        <f t="shared" si="0"/>
        <v>-0.18955178296396899</v>
      </c>
      <c r="F13" s="73">
        <v>112539.35</v>
      </c>
      <c r="G13" s="74">
        <v>970</v>
      </c>
      <c r="H13" s="63">
        <f t="shared" si="2"/>
        <v>132.2627412371134</v>
      </c>
      <c r="I13" s="53"/>
      <c r="J13" s="54">
        <f>I13</f>
        <v>0</v>
      </c>
      <c r="K13" s="54"/>
      <c r="L13" s="54">
        <f>J13/21444</f>
        <v>0</v>
      </c>
      <c r="M13" s="73">
        <v>10541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236653.56899999999</v>
      </c>
      <c r="C14" s="18">
        <v>238418.40299999999</v>
      </c>
      <c r="D14" s="73">
        <v>218844.27239999999</v>
      </c>
      <c r="E14" s="77">
        <f t="shared" si="0"/>
        <v>8.137885631956801E-2</v>
      </c>
      <c r="F14" s="73">
        <v>207590.85</v>
      </c>
      <c r="G14" s="74">
        <v>1623</v>
      </c>
      <c r="H14" s="63">
        <f t="shared" si="2"/>
        <v>145.812426987061</v>
      </c>
      <c r="I14" s="53"/>
      <c r="J14" s="54"/>
      <c r="K14" s="54"/>
      <c r="L14" s="54">
        <f>J14/18876</f>
        <v>0</v>
      </c>
      <c r="M14" s="73">
        <v>5776.2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87560.196599999996</v>
      </c>
      <c r="C15" s="18">
        <v>84512.76</v>
      </c>
      <c r="D15" s="73">
        <v>99077.570999999982</v>
      </c>
      <c r="E15" s="77">
        <f t="shared" si="0"/>
        <v>-0.11624603110223593</v>
      </c>
      <c r="F15" s="73">
        <v>76807.19</v>
      </c>
      <c r="G15" s="74">
        <v>633</v>
      </c>
      <c r="H15" s="63">
        <f t="shared" si="2"/>
        <v>138.32574502369667</v>
      </c>
      <c r="I15" s="53"/>
      <c r="J15" s="54"/>
      <c r="K15" s="54"/>
      <c r="L15" s="54">
        <f>J15/15345</f>
        <v>0</v>
      </c>
      <c r="M15" s="73">
        <v>4959.75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161292.19319999998</v>
      </c>
      <c r="C18" s="18">
        <v>152120.6538</v>
      </c>
      <c r="D18" s="73">
        <v>0</v>
      </c>
      <c r="E18" s="77">
        <f>IFERROR(SUM(B18-D18)/D18,0)</f>
        <v>0</v>
      </c>
      <c r="F18" s="73">
        <v>141484.38</v>
      </c>
      <c r="G18" s="74">
        <v>1208</v>
      </c>
      <c r="H18" s="63">
        <f>IFERROR(B18/G18,0)</f>
        <v>133.5200274834437</v>
      </c>
      <c r="I18" s="53"/>
      <c r="J18" s="54"/>
      <c r="K18" s="54"/>
      <c r="L18" s="54">
        <f>J18/15345</f>
        <v>0</v>
      </c>
      <c r="M18" s="73">
        <v>2391.5</v>
      </c>
      <c r="N18" s="9"/>
    </row>
    <row r="19" spans="1:14" ht="15.6" customHeight="1" x14ac:dyDescent="0.3">
      <c r="A19" s="40" t="s">
        <v>27</v>
      </c>
      <c r="B19" s="18">
        <f>F19*1.14</f>
        <v>143638.90559999997</v>
      </c>
      <c r="C19" s="18">
        <v>153756.06359999999</v>
      </c>
      <c r="D19" s="73">
        <v>0</v>
      </c>
      <c r="E19" s="77">
        <f>IFERROR(SUM(B19-D19)/D19,0)</f>
        <v>0</v>
      </c>
      <c r="F19" s="73">
        <v>125999.03999999999</v>
      </c>
      <c r="G19" s="74">
        <v>832</v>
      </c>
      <c r="H19" s="63">
        <f>IFERROR(B19/G19,0)</f>
        <v>172.64291538461535</v>
      </c>
      <c r="I19" s="53"/>
      <c r="J19" s="54"/>
      <c r="K19" s="54"/>
      <c r="L19" s="54">
        <f>J19/15345</f>
        <v>0</v>
      </c>
      <c r="M19" s="63">
        <v>5941.6</v>
      </c>
      <c r="N19" s="9"/>
    </row>
    <row r="20" spans="1:14" ht="15.6" customHeight="1" x14ac:dyDescent="0.3">
      <c r="A20" s="40" t="s">
        <v>28</v>
      </c>
      <c r="B20" s="18">
        <f>F20*1.14</f>
        <v>276489.92279999994</v>
      </c>
      <c r="C20" s="42">
        <v>249290.83379999999</v>
      </c>
      <c r="D20" s="71">
        <v>0</v>
      </c>
      <c r="E20" s="77">
        <f>IFERROR(SUM(B20-D20)/D20,0)</f>
        <v>0</v>
      </c>
      <c r="F20" s="79">
        <v>242535.02</v>
      </c>
      <c r="G20" s="74">
        <v>1374</v>
      </c>
      <c r="H20" s="63">
        <f>IFERROR(B20/G20,0)</f>
        <v>201.22992925764188</v>
      </c>
      <c r="I20" s="80"/>
      <c r="J20" s="80"/>
      <c r="K20" s="80"/>
      <c r="L20" s="80"/>
      <c r="M20" s="73">
        <v>19369.43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96344.546399999992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9.2672321424751916E-2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2779971.2022000002</v>
      </c>
      <c r="C4" s="3">
        <v>2481034.439999999</v>
      </c>
      <c r="D4" s="3">
        <v>1956083.1132</v>
      </c>
      <c r="E4" s="76">
        <f>IFERROR((SUM(B4-D4)/D4),0)</f>
        <v>0.42119278237220875</v>
      </c>
      <c r="F4" s="66">
        <f>SUM(F6:F20)</f>
        <v>2438571.23</v>
      </c>
      <c r="G4" s="62">
        <f>SUM(G6:G20)</f>
        <v>17814</v>
      </c>
      <c r="H4" s="45">
        <f>AVERAGE(H5:H20)</f>
        <v>134.0973586465596</v>
      </c>
      <c r="I4" s="46"/>
      <c r="J4" s="46"/>
      <c r="K4" s="29"/>
      <c r="L4" s="28">
        <f>J4/206494</f>
        <v>0</v>
      </c>
      <c r="M4" s="66">
        <f>SUM(M6:M20)</f>
        <v>103045.95000000001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#REF!+#REF!+'Mar 19 - Mar 25'!I5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300254.78460000001</v>
      </c>
      <c r="C6" s="18">
        <v>245340.84779999999</v>
      </c>
      <c r="D6" s="73">
        <v>279732.40199999989</v>
      </c>
      <c r="E6" s="77">
        <f t="shared" si="0"/>
        <v>7.3364338393662867E-2</v>
      </c>
      <c r="F6" s="73">
        <v>263381.39</v>
      </c>
      <c r="G6" s="74">
        <v>1992</v>
      </c>
      <c r="H6" s="63">
        <f t="shared" ref="H6:H15" si="2">IFERROR(B6/G6,0)</f>
        <v>150.73031355421688</v>
      </c>
      <c r="I6" s="53"/>
      <c r="J6" s="54"/>
      <c r="K6" s="54"/>
      <c r="L6" s="54">
        <f>J6/18100</f>
        <v>0</v>
      </c>
      <c r="M6" s="73">
        <v>10692.4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240153.67679999999</v>
      </c>
      <c r="C7" s="18">
        <v>186092.34599999999</v>
      </c>
      <c r="D7" s="73">
        <v>216442.11</v>
      </c>
      <c r="E7" s="77">
        <f t="shared" si="0"/>
        <v>0.10955154151842265</v>
      </c>
      <c r="F7" s="73">
        <v>210661.12</v>
      </c>
      <c r="G7" s="74">
        <v>1342</v>
      </c>
      <c r="H7" s="63">
        <f t="shared" si="2"/>
        <v>178.9520691505216</v>
      </c>
      <c r="I7" s="53"/>
      <c r="J7" s="54"/>
      <c r="K7" s="54"/>
      <c r="L7" s="54">
        <f>J7/19932</f>
        <v>0</v>
      </c>
      <c r="M7" s="73">
        <v>5015.95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114471.43559999998</v>
      </c>
      <c r="C8" s="18">
        <v>105150.71580000001</v>
      </c>
      <c r="D8" s="73">
        <v>133841.81400000001</v>
      </c>
      <c r="E8" s="77">
        <f t="shared" si="0"/>
        <v>-0.14472591054392037</v>
      </c>
      <c r="F8" s="73">
        <v>100413.54</v>
      </c>
      <c r="G8" s="74">
        <v>709</v>
      </c>
      <c r="H8" s="63">
        <f t="shared" si="2"/>
        <v>161.45477517630462</v>
      </c>
      <c r="I8" s="53"/>
      <c r="J8" s="54"/>
      <c r="K8" s="54"/>
      <c r="L8" s="54">
        <f>J8/25490</f>
        <v>0</v>
      </c>
      <c r="M8" s="73">
        <v>3781.5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409047.57239999995</v>
      </c>
      <c r="C9" s="18">
        <v>367695.6</v>
      </c>
      <c r="D9" s="73">
        <v>374018.04</v>
      </c>
      <c r="E9" s="77">
        <f t="shared" si="0"/>
        <v>9.3657333747858715E-2</v>
      </c>
      <c r="F9" s="73">
        <v>358813.66</v>
      </c>
      <c r="G9" s="74">
        <v>2686</v>
      </c>
      <c r="H9" s="63">
        <f t="shared" si="2"/>
        <v>152.28874623976171</v>
      </c>
      <c r="I9" s="53"/>
      <c r="J9" s="54"/>
      <c r="K9" s="54"/>
      <c r="L9" s="54">
        <f>J9/10403</f>
        <v>0</v>
      </c>
      <c r="M9" s="73">
        <v>10883.7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179567.95499999999</v>
      </c>
      <c r="C11" s="18">
        <v>167414.47200000001</v>
      </c>
      <c r="D11" s="73">
        <v>161414.31</v>
      </c>
      <c r="E11" s="77">
        <f t="shared" si="0"/>
        <v>0.11246614380100495</v>
      </c>
      <c r="F11" s="73">
        <v>157515.75</v>
      </c>
      <c r="G11" s="74">
        <v>1020</v>
      </c>
      <c r="H11" s="63">
        <f t="shared" si="2"/>
        <v>176.04701470588233</v>
      </c>
      <c r="I11" s="53"/>
      <c r="J11" s="54"/>
      <c r="K11" s="54"/>
      <c r="L11" s="54">
        <f>J11/16449</f>
        <v>0</v>
      </c>
      <c r="M11" s="73">
        <v>4337.1000000000004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385820.69939999998</v>
      </c>
      <c r="C12" s="18">
        <v>375410.81219999993</v>
      </c>
      <c r="D12" s="73">
        <v>327932.51400000002</v>
      </c>
      <c r="E12" s="77">
        <f t="shared" si="0"/>
        <v>0.17652469007693442</v>
      </c>
      <c r="F12" s="73">
        <v>338439.21</v>
      </c>
      <c r="G12" s="74">
        <v>2379</v>
      </c>
      <c r="H12" s="63">
        <f t="shared" si="2"/>
        <v>162.177679445145</v>
      </c>
      <c r="I12" s="53"/>
      <c r="J12" s="54"/>
      <c r="K12" s="54"/>
      <c r="L12" s="54">
        <f>J12/18426</f>
        <v>0</v>
      </c>
      <c r="M12" s="73">
        <v>14568.6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142139.75999999998</v>
      </c>
      <c r="C13" s="18">
        <v>128294.859</v>
      </c>
      <c r="D13" s="73">
        <v>132220.16399999999</v>
      </c>
      <c r="E13" s="77">
        <f t="shared" si="0"/>
        <v>7.5023322463886752E-2</v>
      </c>
      <c r="F13" s="73">
        <v>124684</v>
      </c>
      <c r="G13" s="74">
        <v>1106</v>
      </c>
      <c r="H13" s="63">
        <f t="shared" si="2"/>
        <v>128.51696202531645</v>
      </c>
      <c r="I13" s="53"/>
      <c r="J13" s="54">
        <f>I13</f>
        <v>0</v>
      </c>
      <c r="K13" s="54"/>
      <c r="L13" s="54">
        <f>J13/21444</f>
        <v>0</v>
      </c>
      <c r="M13" s="73">
        <v>9732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240031.12679999997</v>
      </c>
      <c r="C14" s="18">
        <v>236653.56899999999</v>
      </c>
      <c r="D14" s="73">
        <v>227734.72200000001</v>
      </c>
      <c r="E14" s="77">
        <f t="shared" si="0"/>
        <v>5.3994422510590896E-2</v>
      </c>
      <c r="F14" s="73">
        <v>210553.62</v>
      </c>
      <c r="G14" s="74">
        <v>1568</v>
      </c>
      <c r="H14" s="63">
        <f t="shared" si="2"/>
        <v>153.08107576530611</v>
      </c>
      <c r="I14" s="53"/>
      <c r="J14" s="54"/>
      <c r="K14" s="54"/>
      <c r="L14" s="54">
        <f>J14/18876</f>
        <v>0</v>
      </c>
      <c r="M14" s="73">
        <v>5266.8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125870.86559999998</v>
      </c>
      <c r="C15" s="18">
        <v>87560.196599999996</v>
      </c>
      <c r="D15" s="73">
        <v>102747.03720000001</v>
      </c>
      <c r="E15" s="77">
        <f t="shared" si="0"/>
        <v>0.22505591431302088</v>
      </c>
      <c r="F15" s="73">
        <v>110413.04</v>
      </c>
      <c r="G15" s="74">
        <v>1043</v>
      </c>
      <c r="H15" s="63">
        <f t="shared" si="2"/>
        <v>120.68155858101628</v>
      </c>
      <c r="I15" s="53"/>
      <c r="J15" s="54"/>
      <c r="K15" s="54"/>
      <c r="L15" s="54">
        <f>J15/15345</f>
        <v>0</v>
      </c>
      <c r="M15" s="73">
        <v>16499.650000000001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195653.61720000001</v>
      </c>
      <c r="C18" s="18">
        <v>161292.19320000001</v>
      </c>
      <c r="D18" s="73">
        <v>0</v>
      </c>
      <c r="E18" s="77">
        <f>IFERROR(SUM(B18-D18)/D18,0)</f>
        <v>0</v>
      </c>
      <c r="F18" s="73">
        <v>171625.98</v>
      </c>
      <c r="G18" s="74">
        <v>1437</v>
      </c>
      <c r="H18" s="63">
        <f>IFERROR(B18/G18,0)</f>
        <v>136.15422212943633</v>
      </c>
      <c r="I18" s="53"/>
      <c r="J18" s="54"/>
      <c r="K18" s="54"/>
      <c r="L18" s="54">
        <f>J18/15345</f>
        <v>0</v>
      </c>
      <c r="M18" s="73">
        <v>3996.5</v>
      </c>
      <c r="N18" s="9"/>
    </row>
    <row r="19" spans="1:14" ht="15.6" customHeight="1" x14ac:dyDescent="0.3">
      <c r="A19" s="40" t="s">
        <v>27</v>
      </c>
      <c r="B19" s="18">
        <f>F19*1.14</f>
        <v>185789.0148</v>
      </c>
      <c r="C19" s="18">
        <v>143638.9056</v>
      </c>
      <c r="D19" s="73">
        <v>0</v>
      </c>
      <c r="E19" s="77">
        <f>IFERROR(SUM(B19-D19)/D19,0)</f>
        <v>0</v>
      </c>
      <c r="F19" s="73">
        <v>162972.82</v>
      </c>
      <c r="G19" s="74">
        <v>987</v>
      </c>
      <c r="H19" s="63">
        <f>IFERROR(B19/G19,0)</f>
        <v>188.2360838905775</v>
      </c>
      <c r="I19" s="53"/>
      <c r="J19" s="54"/>
      <c r="K19" s="54"/>
      <c r="L19" s="54">
        <f>J19/15345</f>
        <v>0</v>
      </c>
      <c r="M19" s="63">
        <v>6482.35</v>
      </c>
      <c r="N19" s="9"/>
    </row>
    <row r="20" spans="1:14" ht="15.6" customHeight="1" x14ac:dyDescent="0.3">
      <c r="A20" s="40" t="s">
        <v>28</v>
      </c>
      <c r="B20" s="18">
        <f>F20*1.14</f>
        <v>261170.69399999999</v>
      </c>
      <c r="C20" s="42">
        <v>276489.92279999988</v>
      </c>
      <c r="D20" s="71">
        <v>0</v>
      </c>
      <c r="E20" s="77">
        <f>IFERROR(SUM(B20-D20)/D20,0)</f>
        <v>0</v>
      </c>
      <c r="F20" s="79">
        <v>229097.1</v>
      </c>
      <c r="G20" s="74">
        <v>1545</v>
      </c>
      <c r="H20" s="63">
        <f>IFERROR(B20/G20,0)</f>
        <v>169.04252038834952</v>
      </c>
      <c r="I20" s="80"/>
      <c r="J20" s="80"/>
      <c r="K20" s="80"/>
      <c r="L20" s="80"/>
      <c r="M20" s="73">
        <v>11789.4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99818.62412399998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3.1826712801289389E-2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2958035.0297999997</v>
      </c>
      <c r="C4" s="3">
        <v>2779971.2022000002</v>
      </c>
      <c r="D4" s="3">
        <v>2057108.7504</v>
      </c>
      <c r="E4" s="76">
        <f>IFERROR((SUM(B4-D4)/D4),0)</f>
        <v>0.4379575358982925</v>
      </c>
      <c r="F4" s="66">
        <f>SUM(F6:F20)</f>
        <v>2594767.5700000003</v>
      </c>
      <c r="G4" s="62">
        <f>SUM(G6:G20)</f>
        <v>19279</v>
      </c>
      <c r="H4" s="45">
        <f>AVERAGE(H5:H20)</f>
        <v>133.51872649913045</v>
      </c>
      <c r="I4" s="46"/>
      <c r="J4" s="46"/>
      <c r="K4" s="29"/>
      <c r="L4" s="28">
        <f>J4/206494</f>
        <v>0</v>
      </c>
      <c r="M4" s="66">
        <f>SUM(M6:M20)</f>
        <v>95935.900000000009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#REF!+#REF!+'Mar 26 - Apr 1'!I5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303521.92199999996</v>
      </c>
      <c r="C6" s="18">
        <v>300254.78460000001</v>
      </c>
      <c r="D6" s="73">
        <v>276943.48320000002</v>
      </c>
      <c r="E6" s="77">
        <f t="shared" si="0"/>
        <v>9.597062365538972E-2</v>
      </c>
      <c r="F6" s="73">
        <v>266247.3</v>
      </c>
      <c r="G6" s="74">
        <v>1965</v>
      </c>
      <c r="H6" s="63">
        <f t="shared" ref="H6:H15" si="2">IFERROR(B6/G6,0)</f>
        <v>154.46408244274807</v>
      </c>
      <c r="I6" s="53"/>
      <c r="J6" s="54"/>
      <c r="K6" s="54"/>
      <c r="L6" s="54">
        <f>J6/18100</f>
        <v>0</v>
      </c>
      <c r="M6" s="73">
        <v>9187.65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254800.25999999998</v>
      </c>
      <c r="C7" s="18">
        <v>240153.67679999999</v>
      </c>
      <c r="D7" s="73">
        <v>295727.37719999999</v>
      </c>
      <c r="E7" s="77">
        <f t="shared" si="0"/>
        <v>-0.13839475258430692</v>
      </c>
      <c r="F7" s="73">
        <v>223509</v>
      </c>
      <c r="G7" s="74">
        <v>1553</v>
      </c>
      <c r="H7" s="63">
        <f t="shared" si="2"/>
        <v>164.06971023824855</v>
      </c>
      <c r="I7" s="53"/>
      <c r="J7" s="54"/>
      <c r="K7" s="54"/>
      <c r="L7" s="54">
        <f>J7/19932</f>
        <v>0</v>
      </c>
      <c r="M7" s="73">
        <v>7587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122449.10999999999</v>
      </c>
      <c r="C8" s="18">
        <v>114471.4356</v>
      </c>
      <c r="D8" s="73">
        <v>139434.8934</v>
      </c>
      <c r="E8" s="77">
        <f t="shared" si="0"/>
        <v>-0.12181874268209548</v>
      </c>
      <c r="F8" s="73">
        <v>107411.5</v>
      </c>
      <c r="G8" s="74">
        <v>746</v>
      </c>
      <c r="H8" s="63">
        <f t="shared" si="2"/>
        <v>164.14089812332438</v>
      </c>
      <c r="I8" s="53"/>
      <c r="J8" s="54"/>
      <c r="K8" s="54"/>
      <c r="L8" s="54">
        <f>J8/25490</f>
        <v>0</v>
      </c>
      <c r="M8" s="73">
        <v>5371.4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425331.03599999996</v>
      </c>
      <c r="C9" s="18">
        <v>409047.57239999989</v>
      </c>
      <c r="D9" s="73">
        <v>369735.65279999998</v>
      </c>
      <c r="E9" s="77">
        <f t="shared" si="0"/>
        <v>0.15036522114915715</v>
      </c>
      <c r="F9" s="73">
        <v>373097.4</v>
      </c>
      <c r="G9" s="74">
        <v>3044</v>
      </c>
      <c r="H9" s="63">
        <f t="shared" si="2"/>
        <v>139.72767279894873</v>
      </c>
      <c r="I9" s="53"/>
      <c r="J9" s="54"/>
      <c r="K9" s="54"/>
      <c r="L9" s="54">
        <f>J9/10403</f>
        <v>0</v>
      </c>
      <c r="M9" s="73">
        <v>11796.5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151794.07800000001</v>
      </c>
      <c r="C11" s="18">
        <v>179567.95499999999</v>
      </c>
      <c r="D11" s="73">
        <v>164607.70079999999</v>
      </c>
      <c r="E11" s="77">
        <f t="shared" si="0"/>
        <v>-7.7843398199022681E-2</v>
      </c>
      <c r="F11" s="73">
        <v>133152.70000000001</v>
      </c>
      <c r="G11" s="74">
        <v>880</v>
      </c>
      <c r="H11" s="63">
        <f t="shared" si="2"/>
        <v>172.49327045454547</v>
      </c>
      <c r="I11" s="53"/>
      <c r="J11" s="54"/>
      <c r="K11" s="54"/>
      <c r="L11" s="54">
        <f>J11/16449</f>
        <v>0</v>
      </c>
      <c r="M11" s="73">
        <v>5162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378196.48199999996</v>
      </c>
      <c r="C12" s="18">
        <v>385820.69939999998</v>
      </c>
      <c r="D12" s="73">
        <v>376391.21220000001</v>
      </c>
      <c r="E12" s="77">
        <f t="shared" si="0"/>
        <v>4.7962591619718766E-3</v>
      </c>
      <c r="F12" s="73">
        <v>331751.3</v>
      </c>
      <c r="G12" s="74">
        <v>2270</v>
      </c>
      <c r="H12" s="63">
        <f t="shared" si="2"/>
        <v>166.60637973568279</v>
      </c>
      <c r="I12" s="53"/>
      <c r="J12" s="54"/>
      <c r="K12" s="54"/>
      <c r="L12" s="54">
        <f>J12/18426</f>
        <v>0</v>
      </c>
      <c r="M12" s="73">
        <v>14070.5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134030.484</v>
      </c>
      <c r="C13" s="18">
        <v>142139.76</v>
      </c>
      <c r="D13" s="73">
        <v>136595.1648</v>
      </c>
      <c r="E13" s="77">
        <f t="shared" si="0"/>
        <v>-1.877578026832178E-2</v>
      </c>
      <c r="F13" s="73">
        <v>117570.6</v>
      </c>
      <c r="G13" s="74">
        <v>1009</v>
      </c>
      <c r="H13" s="63">
        <f t="shared" si="2"/>
        <v>132.8349692765114</v>
      </c>
      <c r="I13" s="53"/>
      <c r="J13" s="54">
        <f>I13</f>
        <v>0</v>
      </c>
      <c r="K13" s="54"/>
      <c r="L13" s="54">
        <f>J13/21444</f>
        <v>0</v>
      </c>
      <c r="M13" s="73">
        <v>6118.25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246447.82199999996</v>
      </c>
      <c r="C14" s="18">
        <v>240031.1268</v>
      </c>
      <c r="D14" s="73">
        <v>219526.08360000001</v>
      </c>
      <c r="E14" s="77">
        <f t="shared" si="0"/>
        <v>0.122635715804297</v>
      </c>
      <c r="F14" s="73">
        <v>216182.3</v>
      </c>
      <c r="G14" s="74">
        <v>1531</v>
      </c>
      <c r="H14" s="63">
        <f t="shared" si="2"/>
        <v>160.97179751796207</v>
      </c>
      <c r="I14" s="53"/>
      <c r="J14" s="54"/>
      <c r="K14" s="54"/>
      <c r="L14" s="54">
        <f>J14/18876</f>
        <v>0</v>
      </c>
      <c r="M14" s="73">
        <v>5287.3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106008.5658</v>
      </c>
      <c r="C15" s="18">
        <v>125870.8656</v>
      </c>
      <c r="D15" s="73">
        <v>78147.182399999991</v>
      </c>
      <c r="E15" s="77">
        <f t="shared" si="0"/>
        <v>0.35652447784221086</v>
      </c>
      <c r="F15" s="73">
        <v>92989.97</v>
      </c>
      <c r="G15" s="74">
        <v>778</v>
      </c>
      <c r="H15" s="63">
        <f t="shared" si="2"/>
        <v>136.25779665809767</v>
      </c>
      <c r="I15" s="53"/>
      <c r="J15" s="54"/>
      <c r="K15" s="54"/>
      <c r="L15" s="54">
        <f>J15/15345</f>
        <v>0</v>
      </c>
      <c r="M15" s="73">
        <v>8644.2000000000007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380473.86</v>
      </c>
      <c r="C18" s="18">
        <v>195653.61720000001</v>
      </c>
      <c r="D18" s="73">
        <v>0</v>
      </c>
      <c r="E18" s="77">
        <f>IFERROR(SUM(B18-D18)/D18,0)</f>
        <v>0</v>
      </c>
      <c r="F18" s="73">
        <v>333749</v>
      </c>
      <c r="G18" s="74">
        <v>2828</v>
      </c>
      <c r="H18" s="63">
        <f>IFERROR(B18/G18,0)</f>
        <v>134.53814002828855</v>
      </c>
      <c r="I18" s="53"/>
      <c r="J18" s="54"/>
      <c r="K18" s="54"/>
      <c r="L18" s="54">
        <f>J18/15345</f>
        <v>0</v>
      </c>
      <c r="M18" s="73">
        <v>7583</v>
      </c>
      <c r="N18" s="9"/>
    </row>
    <row r="19" spans="1:14" ht="15.6" customHeight="1" x14ac:dyDescent="0.3">
      <c r="A19" s="40" t="s">
        <v>27</v>
      </c>
      <c r="B19" s="18">
        <f>F19*1.14</f>
        <v>178469.16599999997</v>
      </c>
      <c r="C19" s="18">
        <v>185789.0148</v>
      </c>
      <c r="D19" s="73">
        <v>0</v>
      </c>
      <c r="E19" s="77">
        <f>IFERROR(SUM(B19-D19)/D19,0)</f>
        <v>0</v>
      </c>
      <c r="F19" s="73">
        <v>156551.9</v>
      </c>
      <c r="G19" s="74">
        <v>1005</v>
      </c>
      <c r="H19" s="63">
        <f>IFERROR(B19/G19,0)</f>
        <v>177.58125970149251</v>
      </c>
      <c r="I19" s="53"/>
      <c r="J19" s="54"/>
      <c r="K19" s="54"/>
      <c r="L19" s="54">
        <f>J19/15345</f>
        <v>0</v>
      </c>
      <c r="M19" s="63">
        <v>4924.8</v>
      </c>
      <c r="N19" s="9"/>
    </row>
    <row r="20" spans="1:14" ht="15.6" customHeight="1" x14ac:dyDescent="0.3">
      <c r="A20" s="40" t="s">
        <v>28</v>
      </c>
      <c r="B20" s="18">
        <f>F20*1.14</f>
        <v>276512.24400000001</v>
      </c>
      <c r="C20" s="42">
        <v>261170.69399999999</v>
      </c>
      <c r="D20" s="71">
        <v>0</v>
      </c>
      <c r="E20" s="77">
        <f>IFERROR(SUM(B20-D20)/D20,0)</f>
        <v>0</v>
      </c>
      <c r="F20" s="79">
        <v>242554.6</v>
      </c>
      <c r="G20" s="74">
        <v>1670</v>
      </c>
      <c r="H20" s="63">
        <f>IFERROR(B20/G20,0)</f>
        <v>165.57619401197604</v>
      </c>
      <c r="I20" s="80"/>
      <c r="J20" s="80"/>
      <c r="K20" s="80"/>
      <c r="L20" s="80"/>
      <c r="M20" s="73">
        <v>10203.299999999999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143492.786784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P8" sqref="P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0.10222577399427991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2853967.3367999997</v>
      </c>
      <c r="C4" s="3">
        <v>2958035.0298000001</v>
      </c>
      <c r="D4" s="3">
        <v>1869451.8</v>
      </c>
      <c r="E4" s="76">
        <f>IFERROR((SUM(B4-D4)/D4),0)</f>
        <v>0.52663328190649239</v>
      </c>
      <c r="F4" s="66">
        <f>SUM(F6:F20)</f>
        <v>2503480.1199999996</v>
      </c>
      <c r="G4" s="62">
        <f>SUM(G6:G20)</f>
        <v>18695</v>
      </c>
      <c r="H4" s="45">
        <f>AVERAGE(H5:H20)</f>
        <v>133.30822283442464</v>
      </c>
      <c r="I4" s="46"/>
      <c r="J4" s="46"/>
      <c r="K4" s="29"/>
      <c r="L4" s="28">
        <f>J4/206494</f>
        <v>0</v>
      </c>
      <c r="M4" s="66">
        <f>SUM(M6:M20)</f>
        <v>86586.94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#REF!+#REF!+'Apr 2 - Apr 8'!I5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5" si="1">F6*1.14</f>
        <v>319600.49339999998</v>
      </c>
      <c r="C6" s="18">
        <v>303521.92200000002</v>
      </c>
      <c r="D6" s="73">
        <v>262972.56660000002</v>
      </c>
      <c r="E6" s="77">
        <f t="shared" si="0"/>
        <v>0.21533777280325617</v>
      </c>
      <c r="F6" s="73">
        <v>280351.31</v>
      </c>
      <c r="G6" s="74">
        <v>2116</v>
      </c>
      <c r="H6" s="63">
        <f t="shared" ref="H6:H15" si="2">IFERROR(B6/G6,0)</f>
        <v>151.03993071833648</v>
      </c>
      <c r="I6" s="53"/>
      <c r="J6" s="54"/>
      <c r="K6" s="54"/>
      <c r="L6" s="54">
        <f>J6/18100</f>
        <v>0</v>
      </c>
      <c r="M6" s="73">
        <v>8862.7000000000007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231810.25619999997</v>
      </c>
      <c r="C7" s="18">
        <v>254800.26</v>
      </c>
      <c r="D7" s="73">
        <v>212787.21299999999</v>
      </c>
      <c r="E7" s="77">
        <f t="shared" si="0"/>
        <v>8.939937194440338E-2</v>
      </c>
      <c r="F7" s="73">
        <v>203342.33</v>
      </c>
      <c r="G7" s="74">
        <v>1409</v>
      </c>
      <c r="H7" s="63">
        <f t="shared" si="2"/>
        <v>164.52111866572034</v>
      </c>
      <c r="I7" s="53"/>
      <c r="J7" s="54"/>
      <c r="K7" s="54"/>
      <c r="L7" s="54">
        <f>J7/19932</f>
        <v>0</v>
      </c>
      <c r="M7" s="73">
        <v>7190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106116.06779999999</v>
      </c>
      <c r="C8" s="18">
        <v>122449.11</v>
      </c>
      <c r="D8" s="73">
        <v>121925.4966</v>
      </c>
      <c r="E8" s="77">
        <f t="shared" si="0"/>
        <v>-0.12966466605312157</v>
      </c>
      <c r="F8" s="73">
        <v>93084.27</v>
      </c>
      <c r="G8" s="74">
        <v>628</v>
      </c>
      <c r="H8" s="63">
        <f t="shared" si="2"/>
        <v>168.97463025477705</v>
      </c>
      <c r="I8" s="53"/>
      <c r="J8" s="54"/>
      <c r="K8" s="54"/>
      <c r="L8" s="54">
        <f>J8/25490</f>
        <v>0</v>
      </c>
      <c r="M8" s="73">
        <v>4552.5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451103.1642</v>
      </c>
      <c r="C9" s="18">
        <v>425331.03600000002</v>
      </c>
      <c r="D9" s="73">
        <v>367222.73940000002</v>
      </c>
      <c r="E9" s="77">
        <f t="shared" si="0"/>
        <v>0.22841838426740949</v>
      </c>
      <c r="F9" s="73">
        <v>395704.53</v>
      </c>
      <c r="G9" s="74">
        <v>2779</v>
      </c>
      <c r="H9" s="63">
        <f t="shared" si="2"/>
        <v>162.3257157970493</v>
      </c>
      <c r="I9" s="53"/>
      <c r="J9" s="54"/>
      <c r="K9" s="54"/>
      <c r="L9" s="54">
        <f>J9/10403</f>
        <v>0</v>
      </c>
      <c r="M9" s="73">
        <v>9193.4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142761.56159999999</v>
      </c>
      <c r="C11" s="18">
        <v>151794.07800000001</v>
      </c>
      <c r="D11" s="73">
        <v>165382.65</v>
      </c>
      <c r="E11" s="77">
        <f t="shared" si="0"/>
        <v>-0.13678029950541976</v>
      </c>
      <c r="F11" s="73">
        <v>125229.44</v>
      </c>
      <c r="G11" s="74">
        <v>832</v>
      </c>
      <c r="H11" s="63">
        <f t="shared" si="2"/>
        <v>171.58841538461536</v>
      </c>
      <c r="I11" s="53"/>
      <c r="J11" s="54"/>
      <c r="K11" s="54"/>
      <c r="L11" s="54">
        <f>J11/16449</f>
        <v>0</v>
      </c>
      <c r="M11" s="73">
        <v>5258.05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350556.45239999995</v>
      </c>
      <c r="C12" s="18">
        <v>378196.48200000002</v>
      </c>
      <c r="D12" s="73">
        <v>337353.99839999998</v>
      </c>
      <c r="E12" s="77">
        <f t="shared" si="0"/>
        <v>3.91353120538558E-2</v>
      </c>
      <c r="F12" s="73">
        <v>307505.65999999997</v>
      </c>
      <c r="G12" s="74">
        <v>2115</v>
      </c>
      <c r="H12" s="63">
        <f t="shared" si="2"/>
        <v>165.74773163120565</v>
      </c>
      <c r="I12" s="53"/>
      <c r="J12" s="54"/>
      <c r="K12" s="54"/>
      <c r="L12" s="54">
        <f>J12/18426</f>
        <v>0</v>
      </c>
      <c r="M12" s="73">
        <v>12689.95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118233.07079999999</v>
      </c>
      <c r="C13" s="18">
        <v>134030.484</v>
      </c>
      <c r="D13" s="73">
        <v>132901.5306</v>
      </c>
      <c r="E13" s="77">
        <f t="shared" si="0"/>
        <v>-0.11037088687976339</v>
      </c>
      <c r="F13" s="73">
        <v>103713.22</v>
      </c>
      <c r="G13" s="74">
        <v>902</v>
      </c>
      <c r="H13" s="63">
        <f t="shared" si="2"/>
        <v>131.07879246119734</v>
      </c>
      <c r="I13" s="53"/>
      <c r="J13" s="54">
        <f>I13</f>
        <v>0</v>
      </c>
      <c r="K13" s="54"/>
      <c r="L13" s="54">
        <f>J13/21444</f>
        <v>0</v>
      </c>
      <c r="M13" s="73">
        <v>7053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232346.50079999998</v>
      </c>
      <c r="C14" s="18">
        <v>246447.82199999999</v>
      </c>
      <c r="D14" s="73">
        <v>180399.84719999999</v>
      </c>
      <c r="E14" s="77">
        <f t="shared" si="0"/>
        <v>0.28795286917515744</v>
      </c>
      <c r="F14" s="73">
        <v>203812.72</v>
      </c>
      <c r="G14" s="74">
        <v>1601</v>
      </c>
      <c r="H14" s="63">
        <f t="shared" si="2"/>
        <v>145.12585933791379</v>
      </c>
      <c r="I14" s="53"/>
      <c r="J14" s="54"/>
      <c r="K14" s="54"/>
      <c r="L14" s="54">
        <f>J14/18876</f>
        <v>0</v>
      </c>
      <c r="M14" s="73">
        <v>4556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108030.38999999998</v>
      </c>
      <c r="C15" s="18">
        <v>106008.5658</v>
      </c>
      <c r="D15" s="73">
        <v>88505.758199999997</v>
      </c>
      <c r="E15" s="77">
        <f t="shared" si="0"/>
        <v>0.22060295507417041</v>
      </c>
      <c r="F15" s="73">
        <v>94763.5</v>
      </c>
      <c r="G15" s="74">
        <v>672</v>
      </c>
      <c r="H15" s="63">
        <f t="shared" si="2"/>
        <v>160.75950892857139</v>
      </c>
      <c r="I15" s="53"/>
      <c r="J15" s="54"/>
      <c r="K15" s="54"/>
      <c r="L15" s="54">
        <f>J15/15345</f>
        <v>0</v>
      </c>
      <c r="M15" s="73">
        <v>5026.8</v>
      </c>
      <c r="N15" s="26"/>
      <c r="O15" s="9"/>
      <c r="P15" s="9"/>
    </row>
    <row r="16" spans="1:16" ht="15.6" hidden="1" customHeight="1" x14ac:dyDescent="0.3">
      <c r="A16" s="19"/>
      <c r="B16" s="42"/>
      <c r="C16" s="43"/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/>
      <c r="C17" s="75"/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>F18*1.14</f>
        <v>396546.27539999993</v>
      </c>
      <c r="C18" s="18">
        <v>380473.86</v>
      </c>
      <c r="D18" s="73">
        <v>0</v>
      </c>
      <c r="E18" s="77">
        <f>IFERROR(SUM(B18-D18)/D18,0)</f>
        <v>0</v>
      </c>
      <c r="F18" s="73">
        <v>347847.61</v>
      </c>
      <c r="G18" s="74">
        <v>3120</v>
      </c>
      <c r="H18" s="63">
        <f>IFERROR(B18/G18,0)</f>
        <v>127.09816519230768</v>
      </c>
      <c r="I18" s="53"/>
      <c r="J18" s="54"/>
      <c r="K18" s="54"/>
      <c r="L18" s="54">
        <f>J18/15345</f>
        <v>0</v>
      </c>
      <c r="M18" s="73">
        <v>7858.5</v>
      </c>
      <c r="N18" s="9"/>
    </row>
    <row r="19" spans="1:14" ht="15.6" customHeight="1" x14ac:dyDescent="0.3">
      <c r="A19" s="40" t="s">
        <v>27</v>
      </c>
      <c r="B19" s="18">
        <f>F19*1.14</f>
        <v>158941.4448</v>
      </c>
      <c r="C19" s="18">
        <v>178469.166</v>
      </c>
      <c r="D19" s="73">
        <v>0</v>
      </c>
      <c r="E19" s="77">
        <f>IFERROR(SUM(B19-D19)/D19,0)</f>
        <v>0</v>
      </c>
      <c r="F19" s="73">
        <v>139422.32</v>
      </c>
      <c r="G19" s="74">
        <v>959</v>
      </c>
      <c r="H19" s="63">
        <f>IFERROR(B19/G19,0)</f>
        <v>165.7366473409802</v>
      </c>
      <c r="I19" s="53"/>
      <c r="J19" s="54"/>
      <c r="K19" s="54"/>
      <c r="L19" s="54">
        <f>J19/15345</f>
        <v>0</v>
      </c>
      <c r="M19" s="73">
        <v>5675</v>
      </c>
      <c r="N19" s="9"/>
    </row>
    <row r="20" spans="1:14" ht="15.6" customHeight="1" x14ac:dyDescent="0.3">
      <c r="A20" s="40" t="s">
        <v>28</v>
      </c>
      <c r="B20" s="18">
        <f>F20*1.14</f>
        <v>237921.65939999997</v>
      </c>
      <c r="C20" s="42">
        <v>276512.24400000001</v>
      </c>
      <c r="D20" s="71">
        <v>0</v>
      </c>
      <c r="E20" s="77">
        <f>IFERROR(SUM(B20-D20)/D20,0)</f>
        <v>0</v>
      </c>
      <c r="F20" s="73">
        <v>208703.21</v>
      </c>
      <c r="G20" s="74">
        <v>1562</v>
      </c>
      <c r="H20" s="63">
        <f>IFERROR(B20/G20,0)</f>
        <v>152.31860396927016</v>
      </c>
      <c r="I20" s="80"/>
      <c r="J20" s="80"/>
      <c r="K20" s="80"/>
      <c r="L20" s="80"/>
      <c r="M20" s="73">
        <v>8671.0400000000009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120849.76501199999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5" sqref="F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0.17433556111021567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2364064.9934999994</v>
      </c>
      <c r="C4" s="3">
        <v>2879002.1379999998</v>
      </c>
      <c r="D4" s="3">
        <v>1583774.4918</v>
      </c>
      <c r="E4" s="76">
        <f>IFERROR((SUM(B4-D4)/D4),0)</f>
        <v>0.49267778066887508</v>
      </c>
      <c r="F4" s="66">
        <f>SUM(F6:F20)</f>
        <v>2055708.6900000002</v>
      </c>
      <c r="G4" s="62">
        <f>SUM(G6:G20)</f>
        <v>15201</v>
      </c>
      <c r="H4" s="45">
        <f>AVERAGE(H5:H20)</f>
        <v>134.46247042694171</v>
      </c>
      <c r="I4" s="46"/>
      <c r="J4" s="46"/>
      <c r="K4" s="29"/>
      <c r="L4" s="28">
        <f>J4/206494</f>
        <v>0</v>
      </c>
      <c r="M4" s="66">
        <f>SUM(M6:M20)</f>
        <v>109889.29999999999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#REF!+#REF!+'Apr 9 - Apr 15'!I5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238121.18499999997</v>
      </c>
      <c r="C6" s="18">
        <v>322404.00650000002</v>
      </c>
      <c r="D6" s="73">
        <v>279289.9338</v>
      </c>
      <c r="E6" s="77">
        <f t="shared" si="0"/>
        <v>-0.14740505767558756</v>
      </c>
      <c r="F6" s="73">
        <v>207061.9</v>
      </c>
      <c r="G6" s="74">
        <v>1542</v>
      </c>
      <c r="H6" s="63">
        <f t="shared" ref="H6:H15" si="2">IFERROR(B6/G6,0)</f>
        <v>154.42359597924772</v>
      </c>
      <c r="I6" s="53"/>
      <c r="J6" s="54"/>
      <c r="K6" s="54"/>
      <c r="L6" s="54">
        <f>J6/18100</f>
        <v>0</v>
      </c>
      <c r="M6" s="73">
        <v>8792.6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219594.85749999998</v>
      </c>
      <c r="C7" s="18">
        <v>233843.6795</v>
      </c>
      <c r="D7" s="73">
        <v>184820.84700000001</v>
      </c>
      <c r="E7" s="77">
        <f t="shared" si="0"/>
        <v>0.18814982760034626</v>
      </c>
      <c r="F7" s="73">
        <v>190952.05</v>
      </c>
      <c r="G7" s="74">
        <v>1161</v>
      </c>
      <c r="H7" s="63">
        <f t="shared" si="2"/>
        <v>189.14285745047371</v>
      </c>
      <c r="I7" s="53"/>
      <c r="J7" s="54"/>
      <c r="K7" s="54"/>
      <c r="L7" s="54">
        <f>J7/19932</f>
        <v>0</v>
      </c>
      <c r="M7" s="73">
        <v>7709.55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120943.60249999999</v>
      </c>
      <c r="C8" s="18">
        <v>107046.9105</v>
      </c>
      <c r="D8" s="73">
        <v>75321.555599999992</v>
      </c>
      <c r="E8" s="77">
        <f t="shared" si="0"/>
        <v>0.60569708812546097</v>
      </c>
      <c r="F8" s="73">
        <v>105168.35</v>
      </c>
      <c r="G8" s="74">
        <v>768</v>
      </c>
      <c r="H8" s="63">
        <f t="shared" si="2"/>
        <v>157.47864908854166</v>
      </c>
      <c r="I8" s="53"/>
      <c r="J8" s="54"/>
      <c r="K8" s="54"/>
      <c r="L8" s="54">
        <f>J8/25490</f>
        <v>0</v>
      </c>
      <c r="M8" s="73">
        <v>5063.3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352254.82099999994</v>
      </c>
      <c r="C9" s="18">
        <v>455060.2095</v>
      </c>
      <c r="D9" s="73">
        <v>300394.51439999999</v>
      </c>
      <c r="E9" s="77">
        <f t="shared" si="0"/>
        <v>0.17264065791475702</v>
      </c>
      <c r="F9" s="73">
        <v>306308.53999999998</v>
      </c>
      <c r="G9" s="74">
        <v>2397</v>
      </c>
      <c r="H9" s="63">
        <f t="shared" si="2"/>
        <v>146.95653775552771</v>
      </c>
      <c r="I9" s="53"/>
      <c r="J9" s="54"/>
      <c r="K9" s="54"/>
      <c r="L9" s="54">
        <f>J9/10403</f>
        <v>0</v>
      </c>
      <c r="M9" s="73">
        <v>8903.5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142021.59599999999</v>
      </c>
      <c r="C11" s="18">
        <v>144013.856</v>
      </c>
      <c r="D11" s="73">
        <v>126081.7884</v>
      </c>
      <c r="E11" s="77">
        <f t="shared" si="0"/>
        <v>0.12642434567496971</v>
      </c>
      <c r="F11" s="73">
        <v>123497.04</v>
      </c>
      <c r="G11" s="74">
        <v>842</v>
      </c>
      <c r="H11" s="63">
        <f t="shared" si="2"/>
        <v>168.67172921615202</v>
      </c>
      <c r="I11" s="53"/>
      <c r="J11" s="54"/>
      <c r="K11" s="54"/>
      <c r="L11" s="54">
        <f>J11/16449</f>
        <v>0</v>
      </c>
      <c r="M11" s="73">
        <v>5296.6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343079.00549999997</v>
      </c>
      <c r="C12" s="18">
        <v>353631.50900000002</v>
      </c>
      <c r="D12" s="73">
        <v>290540.62800000003</v>
      </c>
      <c r="E12" s="77">
        <f t="shared" si="0"/>
        <v>0.18082970998465639</v>
      </c>
      <c r="F12" s="73">
        <v>298329.57</v>
      </c>
      <c r="G12" s="74">
        <v>2109</v>
      </c>
      <c r="H12" s="63">
        <f t="shared" si="2"/>
        <v>162.67378165007111</v>
      </c>
      <c r="I12" s="53"/>
      <c r="J12" s="54"/>
      <c r="K12" s="54"/>
      <c r="L12" s="54">
        <f>J12/18426</f>
        <v>0</v>
      </c>
      <c r="M12" s="73">
        <v>22241.45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138440.55349999998</v>
      </c>
      <c r="C13" s="18">
        <v>119270.20299999999</v>
      </c>
      <c r="D13" s="73">
        <v>107629.07580000001</v>
      </c>
      <c r="E13" s="77">
        <f t="shared" si="0"/>
        <v>0.28627466575347077</v>
      </c>
      <c r="F13" s="73">
        <v>120383.09</v>
      </c>
      <c r="G13" s="74">
        <v>1028</v>
      </c>
      <c r="H13" s="63">
        <f t="shared" si="2"/>
        <v>134.66979912451359</v>
      </c>
      <c r="I13" s="53"/>
      <c r="J13" s="54">
        <f>I13</f>
        <v>0</v>
      </c>
      <c r="K13" s="54"/>
      <c r="L13" s="54">
        <f>J13/21444</f>
        <v>0</v>
      </c>
      <c r="M13" s="73">
        <v>11452.15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220998.674</v>
      </c>
      <c r="C14" s="18">
        <v>234384.628</v>
      </c>
      <c r="D14" s="73">
        <v>151682.8026</v>
      </c>
      <c r="E14" s="77">
        <f t="shared" si="0"/>
        <v>0.45697910515796342</v>
      </c>
      <c r="F14" s="73">
        <v>192172.76</v>
      </c>
      <c r="G14" s="74">
        <v>1458</v>
      </c>
      <c r="H14" s="63">
        <f t="shared" si="2"/>
        <v>151.57659396433471</v>
      </c>
      <c r="I14" s="53"/>
      <c r="J14" s="54"/>
      <c r="K14" s="54"/>
      <c r="L14" s="54">
        <f>J14/18876</f>
        <v>0</v>
      </c>
      <c r="M14" s="73">
        <v>9663.4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84428.411499999987</v>
      </c>
      <c r="C15" s="18">
        <v>108978.02499999999</v>
      </c>
      <c r="D15" s="73">
        <v>68013.3462</v>
      </c>
      <c r="E15" s="77">
        <f t="shared" si="0"/>
        <v>0.2413506497934958</v>
      </c>
      <c r="F15" s="73">
        <v>73416.009999999995</v>
      </c>
      <c r="G15" s="74">
        <v>546</v>
      </c>
      <c r="H15" s="63">
        <f t="shared" si="2"/>
        <v>154.63079029304026</v>
      </c>
      <c r="I15" s="53"/>
      <c r="J15" s="54"/>
      <c r="K15" s="54"/>
      <c r="L15" s="54">
        <f>J15/15345</f>
        <v>0</v>
      </c>
      <c r="M15" s="73">
        <v>9325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164805.70649999997</v>
      </c>
      <c r="C18" s="18">
        <v>400024.75150000001</v>
      </c>
      <c r="D18" s="73">
        <v>0</v>
      </c>
      <c r="E18" s="77">
        <f>IFERROR(SUM(B18-D18)/D18,0)</f>
        <v>0</v>
      </c>
      <c r="F18" s="73">
        <v>143309.31</v>
      </c>
      <c r="G18" s="74">
        <v>1280</v>
      </c>
      <c r="H18" s="63">
        <f>IFERROR(B18/G18,0)</f>
        <v>128.75445820312498</v>
      </c>
      <c r="I18" s="53"/>
      <c r="J18" s="54"/>
      <c r="K18" s="54"/>
      <c r="L18" s="54">
        <f>J18/15345</f>
        <v>0</v>
      </c>
      <c r="M18" s="73">
        <v>2605</v>
      </c>
      <c r="N18" s="9"/>
    </row>
    <row r="19" spans="1:14" ht="15.6" customHeight="1" x14ac:dyDescent="0.3">
      <c r="A19" s="40" t="s">
        <v>27</v>
      </c>
      <c r="B19" s="18">
        <f t="shared" si="1"/>
        <v>133908.04699999999</v>
      </c>
      <c r="C19" s="18">
        <v>160335.66800000001</v>
      </c>
      <c r="D19" s="73">
        <v>0</v>
      </c>
      <c r="E19" s="77">
        <f>IFERROR(SUM(B19-D19)/D19,0)</f>
        <v>0</v>
      </c>
      <c r="F19" s="73">
        <v>116441.78</v>
      </c>
      <c r="G19" s="74">
        <v>756</v>
      </c>
      <c r="H19" s="63">
        <f>IFERROR(B19/G19,0)</f>
        <v>177.12704629629627</v>
      </c>
      <c r="I19" s="53"/>
      <c r="J19" s="54"/>
      <c r="K19" s="54"/>
      <c r="L19" s="54">
        <f>J19/15345</f>
        <v>0</v>
      </c>
      <c r="M19" s="73">
        <v>5346.1</v>
      </c>
      <c r="N19" s="9"/>
    </row>
    <row r="20" spans="1:14" ht="15.6" customHeight="1" x14ac:dyDescent="0.3">
      <c r="A20" s="40" t="s">
        <v>28</v>
      </c>
      <c r="B20" s="18">
        <f t="shared" si="1"/>
        <v>205468.53349999999</v>
      </c>
      <c r="C20" s="42">
        <v>240008.69149999999</v>
      </c>
      <c r="D20" s="71">
        <v>0</v>
      </c>
      <c r="E20" s="77">
        <f>IFERROR(SUM(B20-D20)/D20,0)</f>
        <v>0</v>
      </c>
      <c r="F20" s="73">
        <v>178668.29</v>
      </c>
      <c r="G20" s="74">
        <v>1314</v>
      </c>
      <c r="H20" s="63">
        <f>IFERROR(B20/G20,0)</f>
        <v>156.36874695585996</v>
      </c>
      <c r="I20" s="80"/>
      <c r="J20" s="80"/>
      <c r="K20" s="80"/>
      <c r="L20" s="80"/>
      <c r="M20" s="73">
        <v>13490.65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124234.94849999998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9" sqref="F9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5.7455530229347469E-2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2341702.2545000003</v>
      </c>
      <c r="C4" s="3">
        <v>2364064.9934999989</v>
      </c>
      <c r="D4" s="3">
        <v>1755740.3681999999</v>
      </c>
      <c r="E4" s="76">
        <f>IFERROR((SUM(B4-D4)/D4),0)</f>
        <v>0.333740624133814</v>
      </c>
      <c r="F4" s="66">
        <f>SUM(F6:F20)</f>
        <v>2036262.8300000003</v>
      </c>
      <c r="G4" s="62">
        <f>SUM(G6:G20)</f>
        <v>14791</v>
      </c>
      <c r="H4" s="45">
        <f>AVERAGE(H5:H20)</f>
        <v>136.41355700129864</v>
      </c>
      <c r="I4" s="46"/>
      <c r="J4" s="46"/>
      <c r="K4" s="29"/>
      <c r="L4" s="28">
        <f>J4/206494</f>
        <v>0</v>
      </c>
      <c r="M4" s="66">
        <f>SUM(M6:M20)</f>
        <v>86384.11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#REF!+#REF!+'Apr 16 - Apr 22'!I5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227619.05149999997</v>
      </c>
      <c r="C6" s="18">
        <v>238121.185</v>
      </c>
      <c r="D6" s="73">
        <v>226149.32399999999</v>
      </c>
      <c r="E6" s="77">
        <f t="shared" si="0"/>
        <v>6.498925020001294E-3</v>
      </c>
      <c r="F6" s="73">
        <v>197929.61</v>
      </c>
      <c r="G6" s="74">
        <v>1424</v>
      </c>
      <c r="H6" s="63">
        <f t="shared" ref="H6:H15" si="2">IFERROR(B6/G6,0)</f>
        <v>159.84483953651684</v>
      </c>
      <c r="I6" s="53"/>
      <c r="J6" s="54"/>
      <c r="K6" s="54"/>
      <c r="L6" s="54">
        <f>J6/18100</f>
        <v>0</v>
      </c>
      <c r="M6" s="73">
        <v>7396.15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197273.53</v>
      </c>
      <c r="C7" s="18">
        <v>219594.85750000001</v>
      </c>
      <c r="D7" s="73">
        <v>229817.046</v>
      </c>
      <c r="E7" s="77">
        <f t="shared" si="0"/>
        <v>-0.14160618877678902</v>
      </c>
      <c r="F7" s="73">
        <v>171542.2</v>
      </c>
      <c r="G7" s="74">
        <v>1145</v>
      </c>
      <c r="H7" s="63">
        <f t="shared" si="2"/>
        <v>172.29129257641921</v>
      </c>
      <c r="I7" s="53"/>
      <c r="J7" s="54"/>
      <c r="K7" s="54"/>
      <c r="L7" s="54">
        <f>J7/19932</f>
        <v>0</v>
      </c>
      <c r="M7" s="73">
        <v>6092.7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119502.3995</v>
      </c>
      <c r="C8" s="18">
        <v>120943.60249999999</v>
      </c>
      <c r="D8" s="73">
        <v>98994.111599999989</v>
      </c>
      <c r="E8" s="77">
        <f t="shared" si="0"/>
        <v>0.20716674525922016</v>
      </c>
      <c r="F8" s="73">
        <v>103915.13</v>
      </c>
      <c r="G8" s="74">
        <v>763</v>
      </c>
      <c r="H8" s="63">
        <f t="shared" si="2"/>
        <v>156.62175557011795</v>
      </c>
      <c r="I8" s="53"/>
      <c r="J8" s="54"/>
      <c r="K8" s="54"/>
      <c r="L8" s="54">
        <f>J8/25490</f>
        <v>0</v>
      </c>
      <c r="M8" s="73">
        <v>6158.75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344611.76</v>
      </c>
      <c r="C9" s="18">
        <v>352254.82099999988</v>
      </c>
      <c r="D9" s="73">
        <v>330781.14600000001</v>
      </c>
      <c r="E9" s="77">
        <f t="shared" si="0"/>
        <v>4.1811978001914295E-2</v>
      </c>
      <c r="F9" s="73">
        <v>299662.40000000002</v>
      </c>
      <c r="G9" s="74">
        <v>2263</v>
      </c>
      <c r="H9" s="63">
        <f t="shared" si="2"/>
        <v>152.28093680954487</v>
      </c>
      <c r="I9" s="53"/>
      <c r="J9" s="54"/>
      <c r="K9" s="54"/>
      <c r="L9" s="54">
        <f>J9/10403</f>
        <v>0</v>
      </c>
      <c r="M9" s="73">
        <v>8631.25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172918.96799999999</v>
      </c>
      <c r="C11" s="18">
        <v>142021.59599999999</v>
      </c>
      <c r="D11" s="73">
        <v>169039.77</v>
      </c>
      <c r="E11" s="77">
        <f t="shared" si="0"/>
        <v>2.2948433969118654E-2</v>
      </c>
      <c r="F11" s="73">
        <v>150364.32</v>
      </c>
      <c r="G11" s="74">
        <v>988</v>
      </c>
      <c r="H11" s="63">
        <f t="shared" si="2"/>
        <v>175.01919838056679</v>
      </c>
      <c r="I11" s="53"/>
      <c r="J11" s="54"/>
      <c r="K11" s="54"/>
      <c r="L11" s="54">
        <f>J11/16449</f>
        <v>0</v>
      </c>
      <c r="M11" s="73">
        <v>8352.25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350921.91349999997</v>
      </c>
      <c r="C12" s="18">
        <v>343079.00550000003</v>
      </c>
      <c r="D12" s="73">
        <v>331280.69400000002</v>
      </c>
      <c r="E12" s="77">
        <f t="shared" si="0"/>
        <v>5.9288753784124675E-2</v>
      </c>
      <c r="F12" s="73">
        <v>305149.49</v>
      </c>
      <c r="G12" s="74">
        <v>2250</v>
      </c>
      <c r="H12" s="63">
        <f t="shared" si="2"/>
        <v>155.96529488888888</v>
      </c>
      <c r="I12" s="53"/>
      <c r="J12" s="54"/>
      <c r="K12" s="54"/>
      <c r="L12" s="54">
        <f>J12/18426</f>
        <v>0</v>
      </c>
      <c r="M12" s="73">
        <v>16097.8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145714.70600000001</v>
      </c>
      <c r="C13" s="18">
        <v>138440.55350000001</v>
      </c>
      <c r="D13" s="73">
        <v>119260.986</v>
      </c>
      <c r="E13" s="77">
        <f t="shared" si="0"/>
        <v>0.22181369521798186</v>
      </c>
      <c r="F13" s="73">
        <v>126708.44</v>
      </c>
      <c r="G13" s="74">
        <v>941</v>
      </c>
      <c r="H13" s="63">
        <f t="shared" si="2"/>
        <v>154.85090967056323</v>
      </c>
      <c r="I13" s="53"/>
      <c r="J13" s="54">
        <f>I13</f>
        <v>0</v>
      </c>
      <c r="K13" s="54"/>
      <c r="L13" s="54">
        <f>J13/21444</f>
        <v>0</v>
      </c>
      <c r="M13" s="73">
        <v>9326.2000000000007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231992.5245</v>
      </c>
      <c r="C14" s="18">
        <v>220998.674</v>
      </c>
      <c r="D14" s="73">
        <v>186751.266</v>
      </c>
      <c r="E14" s="77">
        <f t="shared" si="0"/>
        <v>0.24225409267105047</v>
      </c>
      <c r="F14" s="73">
        <v>201732.63</v>
      </c>
      <c r="G14" s="74">
        <v>1532</v>
      </c>
      <c r="H14" s="63">
        <f t="shared" si="2"/>
        <v>151.4311517624021</v>
      </c>
      <c r="I14" s="53"/>
      <c r="J14" s="54"/>
      <c r="K14" s="54"/>
      <c r="L14" s="54">
        <f>J14/18876</f>
        <v>0</v>
      </c>
      <c r="M14" s="73">
        <v>4541.6000000000004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66062.509000000005</v>
      </c>
      <c r="C15" s="18">
        <v>84428.411499999987</v>
      </c>
      <c r="D15" s="73">
        <v>63666.024599999997</v>
      </c>
      <c r="E15" s="77">
        <f t="shared" si="0"/>
        <v>3.7641495837954494E-2</v>
      </c>
      <c r="F15" s="73">
        <v>57445.66</v>
      </c>
      <c r="G15" s="74">
        <v>452</v>
      </c>
      <c r="H15" s="63">
        <f t="shared" si="2"/>
        <v>146.15599336283188</v>
      </c>
      <c r="I15" s="53"/>
      <c r="J15" s="54"/>
      <c r="K15" s="54"/>
      <c r="L15" s="54">
        <f>J15/15345</f>
        <v>0</v>
      </c>
      <c r="M15" s="73">
        <v>3548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139554.05249999999</v>
      </c>
      <c r="C18" s="18">
        <v>164805.7065</v>
      </c>
      <c r="D18" s="73">
        <v>0</v>
      </c>
      <c r="E18" s="77">
        <f>IFERROR(SUM(B18-D18)/D18,0)</f>
        <v>0</v>
      </c>
      <c r="F18" s="73">
        <v>121351.35</v>
      </c>
      <c r="G18" s="74">
        <v>1017</v>
      </c>
      <c r="H18" s="63">
        <f>IFERROR(B18/G18,0)</f>
        <v>137.22129056047197</v>
      </c>
      <c r="I18" s="53"/>
      <c r="J18" s="54"/>
      <c r="K18" s="54"/>
      <c r="L18" s="54">
        <f>J18/15345</f>
        <v>0</v>
      </c>
      <c r="M18" s="73">
        <v>2012.96</v>
      </c>
      <c r="N18" s="9"/>
    </row>
    <row r="19" spans="1:14" ht="15.6" customHeight="1" x14ac:dyDescent="0.3">
      <c r="A19" s="40" t="s">
        <v>27</v>
      </c>
      <c r="B19" s="18">
        <f t="shared" si="1"/>
        <v>122721.4105</v>
      </c>
      <c r="C19" s="18">
        <v>133908.04699999999</v>
      </c>
      <c r="D19" s="73">
        <v>0</v>
      </c>
      <c r="E19" s="77">
        <f>IFERROR(SUM(B19-D19)/D19,0)</f>
        <v>0</v>
      </c>
      <c r="F19" s="73">
        <v>106714.27</v>
      </c>
      <c r="G19" s="74">
        <v>674</v>
      </c>
      <c r="H19" s="63">
        <f>IFERROR(B19/G19,0)</f>
        <v>182.0792440652819</v>
      </c>
      <c r="I19" s="53"/>
      <c r="J19" s="54"/>
      <c r="K19" s="54"/>
      <c r="L19" s="54">
        <f>J19/15345</f>
        <v>0</v>
      </c>
      <c r="M19" s="73">
        <v>4581</v>
      </c>
      <c r="N19" s="9"/>
    </row>
    <row r="20" spans="1:14" ht="15.6" customHeight="1" x14ac:dyDescent="0.3">
      <c r="A20" s="40" t="s">
        <v>28</v>
      </c>
      <c r="B20" s="18">
        <f t="shared" si="1"/>
        <v>222809.42949999997</v>
      </c>
      <c r="C20" s="42">
        <v>205468.53349999999</v>
      </c>
      <c r="D20" s="71">
        <v>0</v>
      </c>
      <c r="E20" s="77">
        <f>IFERROR(SUM(B20-D20)/D20,0)</f>
        <v>0</v>
      </c>
      <c r="F20" s="73">
        <v>193747.33</v>
      </c>
      <c r="G20" s="74">
        <v>1342</v>
      </c>
      <c r="H20" s="63">
        <f>IFERROR(B20/G20,0)</f>
        <v>166.02789083457523</v>
      </c>
      <c r="I20" s="80"/>
      <c r="J20" s="80"/>
      <c r="K20" s="80"/>
      <c r="L20" s="80"/>
      <c r="M20" s="73">
        <v>9645.4500000000007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96248.389109999975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20" sqref="F20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1.9554690630941302E-2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2563724.4054999994</v>
      </c>
      <c r="C4" s="3">
        <v>2341702.2544999998</v>
      </c>
      <c r="D4" s="3">
        <v>1914675.6912</v>
      </c>
      <c r="E4" s="76">
        <f>IFERROR((SUM(B4-D4)/D4),0)</f>
        <v>0.33898624048087012</v>
      </c>
      <c r="F4" s="66">
        <f>SUM(F6:F20)</f>
        <v>2229325.5699999998</v>
      </c>
      <c r="G4" s="62">
        <f>SUM(G6:G20)</f>
        <v>16245</v>
      </c>
      <c r="H4" s="45">
        <f>AVERAGE(H5:H20)</f>
        <v>136.76489002870605</v>
      </c>
      <c r="I4" s="46"/>
      <c r="J4" s="46"/>
      <c r="K4" s="29"/>
      <c r="L4" s="28">
        <f>J4/206494</f>
        <v>0</v>
      </c>
      <c r="M4" s="66">
        <f>SUM(M6:M20)</f>
        <v>92372.2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65"/>
      <c r="I5" s="49"/>
      <c r="J5" s="46" t="e">
        <f>#REF!+#REF!+'Apr 23 - Apr 29'!I5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295203.74650000001</v>
      </c>
      <c r="C6" s="18">
        <v>227619.0515</v>
      </c>
      <c r="D6" s="73">
        <v>298021.35359999997</v>
      </c>
      <c r="E6" s="77">
        <f t="shared" si="0"/>
        <v>-9.4543799159496362E-3</v>
      </c>
      <c r="F6" s="73">
        <v>256698.91</v>
      </c>
      <c r="G6" s="74">
        <v>1859</v>
      </c>
      <c r="H6" s="63">
        <f t="shared" ref="H6:H15" si="2">IFERROR(B6/G6,0)</f>
        <v>158.79706643356644</v>
      </c>
      <c r="I6" s="53"/>
      <c r="J6" s="54"/>
      <c r="K6" s="54"/>
      <c r="L6" s="54">
        <f>J6/18100</f>
        <v>0</v>
      </c>
      <c r="M6" s="73">
        <v>8570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208560.527</v>
      </c>
      <c r="C7" s="18">
        <v>197273.53</v>
      </c>
      <c r="D7" s="73">
        <v>216389.8524</v>
      </c>
      <c r="E7" s="77">
        <f t="shared" si="0"/>
        <v>-3.6181573734462243E-2</v>
      </c>
      <c r="F7" s="73">
        <v>181356.98</v>
      </c>
      <c r="G7" s="74">
        <v>1281</v>
      </c>
      <c r="H7" s="63">
        <f t="shared" si="2"/>
        <v>162.81071584699453</v>
      </c>
      <c r="I7" s="53"/>
      <c r="J7" s="54"/>
      <c r="K7" s="54"/>
      <c r="L7" s="54">
        <f>J7/19932</f>
        <v>0</v>
      </c>
      <c r="M7" s="73">
        <v>6305.5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126109.80499999999</v>
      </c>
      <c r="C8" s="18">
        <v>119502.3995</v>
      </c>
      <c r="D8" s="73">
        <v>108355.8714</v>
      </c>
      <c r="E8" s="77">
        <f t="shared" si="0"/>
        <v>0.16384837637879943</v>
      </c>
      <c r="F8" s="73">
        <v>109660.7</v>
      </c>
      <c r="G8" s="74">
        <v>746</v>
      </c>
      <c r="H8" s="63">
        <f t="shared" si="2"/>
        <v>169.04799597855228</v>
      </c>
      <c r="I8" s="53"/>
      <c r="J8" s="54"/>
      <c r="K8" s="54"/>
      <c r="L8" s="54">
        <f>J8/25490</f>
        <v>0</v>
      </c>
      <c r="M8" s="73">
        <v>3871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381447.38699999999</v>
      </c>
      <c r="C9" s="18">
        <v>344611.76</v>
      </c>
      <c r="D9" s="73">
        <v>386566.35059999989</v>
      </c>
      <c r="E9" s="77">
        <f t="shared" si="0"/>
        <v>-1.3242134479772029E-2</v>
      </c>
      <c r="F9" s="73">
        <v>331693.38</v>
      </c>
      <c r="G9" s="74">
        <v>2537</v>
      </c>
      <c r="H9" s="63">
        <f t="shared" si="2"/>
        <v>150.35371974773355</v>
      </c>
      <c r="I9" s="53"/>
      <c r="J9" s="54"/>
      <c r="K9" s="54"/>
      <c r="L9" s="54">
        <f>J9/10403</f>
        <v>0</v>
      </c>
      <c r="M9" s="73">
        <v>10218.4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148167.72499999998</v>
      </c>
      <c r="C11" s="18">
        <v>172918.96799999999</v>
      </c>
      <c r="D11" s="73">
        <v>178544.75940000001</v>
      </c>
      <c r="E11" s="77">
        <f t="shared" si="0"/>
        <v>-0.17013680212223597</v>
      </c>
      <c r="F11" s="73">
        <v>128841.5</v>
      </c>
      <c r="G11" s="74">
        <v>874</v>
      </c>
      <c r="H11" s="63">
        <f t="shared" si="2"/>
        <v>169.5282894736842</v>
      </c>
      <c r="I11" s="53"/>
      <c r="J11" s="54"/>
      <c r="K11" s="54"/>
      <c r="L11" s="54">
        <f>J11/16449</f>
        <v>0</v>
      </c>
      <c r="M11" s="73">
        <v>5595.65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351388.18099999998</v>
      </c>
      <c r="C12" s="18">
        <v>350921.91350000002</v>
      </c>
      <c r="D12" s="73">
        <v>326398.51860000001</v>
      </c>
      <c r="E12" s="77">
        <f t="shared" si="0"/>
        <v>7.6561813169944856E-2</v>
      </c>
      <c r="F12" s="73">
        <v>305554.94</v>
      </c>
      <c r="G12" s="74">
        <v>2152</v>
      </c>
      <c r="H12" s="63">
        <f t="shared" si="2"/>
        <v>163.28447072490707</v>
      </c>
      <c r="I12" s="53"/>
      <c r="J12" s="54"/>
      <c r="K12" s="54"/>
      <c r="L12" s="54">
        <f>J12/18426</f>
        <v>0</v>
      </c>
      <c r="M12" s="73">
        <v>16364.75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115042.64199999999</v>
      </c>
      <c r="C13" s="18">
        <v>145714.70600000001</v>
      </c>
      <c r="D13" s="73">
        <v>125185.07580000001</v>
      </c>
      <c r="E13" s="77">
        <f t="shared" si="0"/>
        <v>-8.1019512391428475E-2</v>
      </c>
      <c r="F13" s="73">
        <v>100037.08</v>
      </c>
      <c r="G13" s="74">
        <v>826</v>
      </c>
      <c r="H13" s="63">
        <f t="shared" si="2"/>
        <v>139.2768062953995</v>
      </c>
      <c r="I13" s="53"/>
      <c r="J13" s="54">
        <f>I13</f>
        <v>0</v>
      </c>
      <c r="K13" s="54"/>
      <c r="L13" s="54">
        <f>J13/21444</f>
        <v>0</v>
      </c>
      <c r="M13" s="73">
        <v>8543.75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236706.36299999998</v>
      </c>
      <c r="C14" s="18">
        <v>231992.5245</v>
      </c>
      <c r="D14" s="73">
        <v>193691.26680000001</v>
      </c>
      <c r="E14" s="77">
        <f t="shared" si="0"/>
        <v>0.22208072109113786</v>
      </c>
      <c r="F14" s="73">
        <v>205831.62</v>
      </c>
      <c r="G14" s="74">
        <v>1456</v>
      </c>
      <c r="H14" s="63">
        <f t="shared" si="2"/>
        <v>162.57305151098899</v>
      </c>
      <c r="I14" s="53"/>
      <c r="J14" s="54"/>
      <c r="K14" s="54"/>
      <c r="L14" s="54">
        <f>J14/18876</f>
        <v>0</v>
      </c>
      <c r="M14" s="73">
        <v>6511.7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89490.205499999996</v>
      </c>
      <c r="C15" s="18">
        <v>66062.509000000005</v>
      </c>
      <c r="D15" s="73">
        <v>81522.642599999992</v>
      </c>
      <c r="E15" s="77">
        <f t="shared" si="0"/>
        <v>9.7734355093145681E-2</v>
      </c>
      <c r="F15" s="73">
        <v>77817.570000000007</v>
      </c>
      <c r="G15" s="74">
        <v>562</v>
      </c>
      <c r="H15" s="63">
        <f t="shared" si="2"/>
        <v>159.23524110320284</v>
      </c>
      <c r="I15" s="53"/>
      <c r="J15" s="54"/>
      <c r="K15" s="54"/>
      <c r="L15" s="54">
        <f>J15/15345</f>
        <v>0</v>
      </c>
      <c r="M15" s="73">
        <v>5919.25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266909.14649999997</v>
      </c>
      <c r="C18" s="18">
        <v>139554.05249999999</v>
      </c>
      <c r="D18" s="73">
        <v>0</v>
      </c>
      <c r="E18" s="77">
        <f>IFERROR(SUM(B18-D18)/D18,0)</f>
        <v>0</v>
      </c>
      <c r="F18" s="73">
        <v>232094.91</v>
      </c>
      <c r="G18" s="74">
        <v>1922</v>
      </c>
      <c r="H18" s="63">
        <f>IFERROR(B18/G18,0)</f>
        <v>138.870523673257</v>
      </c>
      <c r="I18" s="53"/>
      <c r="J18" s="54"/>
      <c r="K18" s="54"/>
      <c r="L18" s="54">
        <f>J18/15345</f>
        <v>0</v>
      </c>
      <c r="M18" s="73">
        <v>6533</v>
      </c>
      <c r="N18" s="9"/>
    </row>
    <row r="19" spans="1:14" ht="15.6" customHeight="1" x14ac:dyDescent="0.3">
      <c r="A19" s="40" t="s">
        <v>27</v>
      </c>
      <c r="B19" s="18">
        <f t="shared" si="1"/>
        <v>129033.30049999998</v>
      </c>
      <c r="C19" s="18">
        <v>122721.4105</v>
      </c>
      <c r="D19" s="73">
        <v>0</v>
      </c>
      <c r="E19" s="77">
        <f>IFERROR(SUM(B19-D19)/D19,0)</f>
        <v>0</v>
      </c>
      <c r="F19" s="73">
        <v>112202.87</v>
      </c>
      <c r="G19" s="74">
        <v>746</v>
      </c>
      <c r="H19" s="63">
        <f>IFERROR(B19/G19,0)</f>
        <v>172.96689075067022</v>
      </c>
      <c r="I19" s="53"/>
      <c r="J19" s="54"/>
      <c r="K19" s="54"/>
      <c r="L19" s="54">
        <f>J19/15345</f>
        <v>0</v>
      </c>
      <c r="M19" s="73">
        <v>4134</v>
      </c>
      <c r="N19" s="9"/>
    </row>
    <row r="20" spans="1:14" ht="15.6" customHeight="1" x14ac:dyDescent="0.3">
      <c r="A20" s="40" t="s">
        <v>28</v>
      </c>
      <c r="B20" s="18">
        <f t="shared" si="1"/>
        <v>215665.37649999995</v>
      </c>
      <c r="C20" s="42">
        <v>222809.4295</v>
      </c>
      <c r="D20" s="71">
        <v>0</v>
      </c>
      <c r="E20" s="77">
        <f>IFERROR(SUM(B20-D20)/D20,0)</f>
        <v>0</v>
      </c>
      <c r="F20" s="73">
        <v>187535.11</v>
      </c>
      <c r="G20" s="74">
        <v>1284</v>
      </c>
      <c r="H20" s="63">
        <f>IFERROR(B20/G20,0)</f>
        <v>167.96368886292831</v>
      </c>
      <c r="I20" s="80"/>
      <c r="J20" s="80"/>
      <c r="K20" s="80"/>
      <c r="L20" s="80"/>
      <c r="M20" s="73">
        <v>9805.2000000000007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75311.260259999995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P18" sqref="P1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0.14165017646813716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2620510.9109999998</v>
      </c>
      <c r="C4" s="3">
        <v>2563724.4054999989</v>
      </c>
      <c r="D4" s="3">
        <v>1801556.8428</v>
      </c>
      <c r="E4" s="76">
        <f>IFERROR((SUM(B4-D4)/D4),0)</f>
        <v>0.45458130920097545</v>
      </c>
      <c r="F4" s="66">
        <f>SUM(F6:F20)</f>
        <v>2278705.14</v>
      </c>
      <c r="G4" s="62">
        <f>SUM(G6:G20)</f>
        <v>17162</v>
      </c>
      <c r="H4" s="85">
        <f>AVERAGE(H5:H20)</f>
        <v>131.87231477858006</v>
      </c>
      <c r="I4" s="46"/>
      <c r="J4" s="46"/>
      <c r="K4" s="29"/>
      <c r="L4" s="28">
        <f>J4/206494</f>
        <v>0</v>
      </c>
      <c r="M4" s="66">
        <f>SUM(M6:M20)</f>
        <v>90330.23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#REF!+#REF!+'Apr 30 - May 6'!I5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309723.6925</v>
      </c>
      <c r="C6" s="18">
        <v>295203.74650000001</v>
      </c>
      <c r="D6" s="73">
        <v>268465.44</v>
      </c>
      <c r="E6" s="77">
        <f t="shared" si="0"/>
        <v>0.15368180165014908</v>
      </c>
      <c r="F6" s="73">
        <v>269324.95</v>
      </c>
      <c r="G6" s="74">
        <v>1899</v>
      </c>
      <c r="H6" s="63">
        <f t="shared" ref="H6:H15" si="2">IFERROR(B6/G6,0)</f>
        <v>163.09831095313322</v>
      </c>
      <c r="I6" s="53"/>
      <c r="J6" s="54"/>
      <c r="K6" s="54"/>
      <c r="L6" s="54">
        <f>J6/18100</f>
        <v>0</v>
      </c>
      <c r="M6" s="73">
        <v>9817.9500000000007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216188.73</v>
      </c>
      <c r="C7" s="18">
        <v>208560.527</v>
      </c>
      <c r="D7" s="73">
        <v>243261.522</v>
      </c>
      <c r="E7" s="77">
        <f t="shared" si="0"/>
        <v>-0.11129089293455949</v>
      </c>
      <c r="F7" s="73">
        <v>187990.2</v>
      </c>
      <c r="G7" s="74">
        <v>1384</v>
      </c>
      <c r="H7" s="63">
        <f t="shared" si="2"/>
        <v>156.20572976878614</v>
      </c>
      <c r="I7" s="53"/>
      <c r="J7" s="54"/>
      <c r="K7" s="54"/>
      <c r="L7" s="54">
        <f>J7/19932</f>
        <v>0</v>
      </c>
      <c r="M7" s="73">
        <v>7558.95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112359.00199999999</v>
      </c>
      <c r="C8" s="18">
        <v>126109.80499999999</v>
      </c>
      <c r="D8" s="73">
        <v>99002.900999999983</v>
      </c>
      <c r="E8" s="77">
        <f t="shared" si="0"/>
        <v>0.13490615795187672</v>
      </c>
      <c r="F8" s="73">
        <v>97703.48</v>
      </c>
      <c r="G8" s="74">
        <v>678</v>
      </c>
      <c r="H8" s="63">
        <f t="shared" si="2"/>
        <v>165.72124188790559</v>
      </c>
      <c r="I8" s="53"/>
      <c r="J8" s="54"/>
      <c r="K8" s="54"/>
      <c r="L8" s="54">
        <f>J8/25490</f>
        <v>0</v>
      </c>
      <c r="M8" s="73">
        <v>3108.7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368213.4975</v>
      </c>
      <c r="C9" s="18">
        <v>381447.38699999999</v>
      </c>
      <c r="D9" s="73">
        <v>308306.38799999998</v>
      </c>
      <c r="E9" s="77">
        <f t="shared" si="0"/>
        <v>0.19431030893852264</v>
      </c>
      <c r="F9" s="73">
        <v>320185.65000000002</v>
      </c>
      <c r="G9" s="74">
        <v>2751</v>
      </c>
      <c r="H9" s="63">
        <f t="shared" si="2"/>
        <v>133.84714558342421</v>
      </c>
      <c r="I9" s="53"/>
      <c r="J9" s="54"/>
      <c r="K9" s="54"/>
      <c r="L9" s="54">
        <f>J9/10403</f>
        <v>0</v>
      </c>
      <c r="M9" s="73">
        <v>9099.25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195822.81649999999</v>
      </c>
      <c r="C11" s="18">
        <v>148167.72500000001</v>
      </c>
      <c r="D11" s="73">
        <v>175644.36</v>
      </c>
      <c r="E11" s="77">
        <f t="shared" si="0"/>
        <v>0.11488246192476663</v>
      </c>
      <c r="F11" s="73">
        <v>170280.71</v>
      </c>
      <c r="G11" s="74">
        <v>1059</v>
      </c>
      <c r="H11" s="63">
        <f t="shared" si="2"/>
        <v>184.9129523135033</v>
      </c>
      <c r="I11" s="53"/>
      <c r="J11" s="54"/>
      <c r="K11" s="54"/>
      <c r="L11" s="54">
        <f>J11/16449</f>
        <v>0</v>
      </c>
      <c r="M11" s="73">
        <v>6230.7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377023.2795</v>
      </c>
      <c r="C12" s="18">
        <v>351388.18099999998</v>
      </c>
      <c r="D12" s="73">
        <v>340751.92800000001</v>
      </c>
      <c r="E12" s="77">
        <f t="shared" si="0"/>
        <v>0.10644503675412803</v>
      </c>
      <c r="F12" s="73">
        <v>327846.33</v>
      </c>
      <c r="G12" s="74">
        <v>2303</v>
      </c>
      <c r="H12" s="63">
        <f t="shared" si="2"/>
        <v>163.70963069908814</v>
      </c>
      <c r="I12" s="53"/>
      <c r="J12" s="54"/>
      <c r="K12" s="54"/>
      <c r="L12" s="54">
        <f>J12/18426</f>
        <v>0</v>
      </c>
      <c r="M12" s="73">
        <v>13497.1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122978.723</v>
      </c>
      <c r="C13" s="18">
        <v>115042.64200000001</v>
      </c>
      <c r="D13" s="73">
        <v>117742.39200000001</v>
      </c>
      <c r="E13" s="77">
        <f t="shared" si="0"/>
        <v>4.4472775786651174E-2</v>
      </c>
      <c r="F13" s="73">
        <v>106938.02</v>
      </c>
      <c r="G13" s="74">
        <v>973</v>
      </c>
      <c r="H13" s="63">
        <f t="shared" si="2"/>
        <v>126.39128776978417</v>
      </c>
      <c r="I13" s="53"/>
      <c r="J13" s="54">
        <f>I13</f>
        <v>0</v>
      </c>
      <c r="K13" s="54"/>
      <c r="L13" s="54">
        <f>J13/21444</f>
        <v>0</v>
      </c>
      <c r="M13" s="73">
        <v>9520.6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255109.78999999998</v>
      </c>
      <c r="C14" s="18">
        <v>236706.36300000001</v>
      </c>
      <c r="D14" s="73">
        <v>180887.448</v>
      </c>
      <c r="E14" s="77">
        <f t="shared" si="0"/>
        <v>0.4103233409539836</v>
      </c>
      <c r="F14" s="73">
        <v>221834.6</v>
      </c>
      <c r="G14" s="74">
        <v>1652</v>
      </c>
      <c r="H14" s="63">
        <f t="shared" si="2"/>
        <v>154.42481234866827</v>
      </c>
      <c r="I14" s="53"/>
      <c r="J14" s="54"/>
      <c r="K14" s="54"/>
      <c r="L14" s="54">
        <f>J14/18876</f>
        <v>0</v>
      </c>
      <c r="M14" s="73">
        <v>6107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99328.156499999983</v>
      </c>
      <c r="C15" s="18">
        <v>89490.205499999996</v>
      </c>
      <c r="D15" s="73">
        <v>67494.463799999998</v>
      </c>
      <c r="E15" s="77">
        <f t="shared" si="0"/>
        <v>0.47164894582064948</v>
      </c>
      <c r="F15" s="73">
        <v>86372.31</v>
      </c>
      <c r="G15" s="74">
        <v>733</v>
      </c>
      <c r="H15" s="63">
        <f t="shared" si="2"/>
        <v>135.50908117326054</v>
      </c>
      <c r="I15" s="53"/>
      <c r="J15" s="54"/>
      <c r="K15" s="54"/>
      <c r="L15" s="54">
        <f>J15/15345</f>
        <v>0</v>
      </c>
      <c r="M15" s="73">
        <v>4726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193192.45599999998</v>
      </c>
      <c r="C18" s="18">
        <v>266909.14649999997</v>
      </c>
      <c r="D18" s="73">
        <v>0</v>
      </c>
      <c r="E18" s="77">
        <f>IFERROR(SUM(B18-D18)/D18,0)</f>
        <v>0</v>
      </c>
      <c r="F18" s="73">
        <v>167993.44</v>
      </c>
      <c r="G18" s="74">
        <v>1475</v>
      </c>
      <c r="H18" s="63">
        <f>IFERROR(B18/G18,0)</f>
        <v>130.97793627118642</v>
      </c>
      <c r="I18" s="53"/>
      <c r="J18" s="54"/>
      <c r="K18" s="54"/>
      <c r="L18" s="54">
        <f>J18/15345</f>
        <v>0</v>
      </c>
      <c r="M18" s="73">
        <v>4112.4799999999996</v>
      </c>
      <c r="N18" s="9"/>
    </row>
    <row r="19" spans="1:14" ht="15.6" customHeight="1" x14ac:dyDescent="0.3">
      <c r="A19" s="40" t="s">
        <v>27</v>
      </c>
      <c r="B19" s="18">
        <f t="shared" si="1"/>
        <v>144844.74249999999</v>
      </c>
      <c r="C19" s="18">
        <v>129033.3005</v>
      </c>
      <c r="D19" s="73">
        <v>0</v>
      </c>
      <c r="E19" s="77">
        <f>IFERROR(SUM(B19-D19)/D19,0)</f>
        <v>0</v>
      </c>
      <c r="F19" s="73">
        <v>125951.95</v>
      </c>
      <c r="G19" s="74">
        <v>846</v>
      </c>
      <c r="H19" s="63">
        <f>IFERROR(B19/G19,0)</f>
        <v>171.21127955082741</v>
      </c>
      <c r="I19" s="53"/>
      <c r="J19" s="54"/>
      <c r="K19" s="54"/>
      <c r="L19" s="54">
        <f>J19/15345</f>
        <v>0</v>
      </c>
      <c r="M19" s="73">
        <v>5791.2</v>
      </c>
      <c r="N19" s="9"/>
    </row>
    <row r="20" spans="1:14" ht="15.6" customHeight="1" x14ac:dyDescent="0.3">
      <c r="A20" s="40" t="s">
        <v>28</v>
      </c>
      <c r="B20" s="18">
        <f t="shared" si="1"/>
        <v>225726.02499999999</v>
      </c>
      <c r="C20" s="42">
        <v>215665.37650000001</v>
      </c>
      <c r="D20" s="71">
        <v>0</v>
      </c>
      <c r="E20" s="77">
        <f>IFERROR(SUM(B20-D20)/D20,0)</f>
        <v>0</v>
      </c>
      <c r="F20" s="73">
        <v>196283.5</v>
      </c>
      <c r="G20" s="74">
        <v>1409</v>
      </c>
      <c r="H20" s="63">
        <f>IFERROR(B20/G20,0)</f>
        <v>160.20299858055358</v>
      </c>
      <c r="I20" s="80"/>
      <c r="J20" s="80"/>
      <c r="K20" s="80"/>
      <c r="L20" s="80"/>
      <c r="M20" s="73">
        <v>10760.3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102018.83426999999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1" sqref="F1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0.12903595043122368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2465060.8684999999</v>
      </c>
      <c r="C4" s="3">
        <v>2620510.9109999998</v>
      </c>
      <c r="D4" s="3">
        <v>1696499.094</v>
      </c>
      <c r="E4" s="76">
        <f>IFERROR((SUM(B4-D4)/D4),0)</f>
        <v>0.45302810783581815</v>
      </c>
      <c r="F4" s="66">
        <f>SUM(F6:F20)</f>
        <v>2143531.1900000004</v>
      </c>
      <c r="G4" s="62">
        <f>SUM(G6:G20)</f>
        <v>15496</v>
      </c>
      <c r="H4" s="85">
        <f>AVERAGE(H5:H20)</f>
        <v>135.90783454031339</v>
      </c>
      <c r="I4" s="46"/>
      <c r="J4" s="46"/>
      <c r="K4" s="29"/>
      <c r="L4" s="28">
        <f>J4/206494</f>
        <v>0</v>
      </c>
      <c r="M4" s="66">
        <f>SUM(M6:M20)</f>
        <v>84078.15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#REF!+#REF!+'May 7 - May 13'!I5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273062.23300000001</v>
      </c>
      <c r="C6" s="18">
        <v>309723.6925</v>
      </c>
      <c r="D6" s="73">
        <v>230487.3204</v>
      </c>
      <c r="E6" s="77">
        <f t="shared" si="0"/>
        <v>0.18471694029030852</v>
      </c>
      <c r="F6" s="73">
        <v>237445.42</v>
      </c>
      <c r="G6" s="74">
        <v>1655</v>
      </c>
      <c r="H6" s="63">
        <f t="shared" ref="H6:H15" si="2">IFERROR(B6/G6,0)</f>
        <v>164.99228580060424</v>
      </c>
      <c r="I6" s="53"/>
      <c r="J6" s="54"/>
      <c r="K6" s="54"/>
      <c r="L6" s="54">
        <f>J6/18100</f>
        <v>0</v>
      </c>
      <c r="M6" s="73">
        <v>9654.15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213723.47499999998</v>
      </c>
      <c r="C7" s="18">
        <v>216188.73</v>
      </c>
      <c r="D7" s="73">
        <v>190477.356</v>
      </c>
      <c r="E7" s="77">
        <f t="shared" si="0"/>
        <v>0.12204137797880803</v>
      </c>
      <c r="F7" s="73">
        <v>185846.5</v>
      </c>
      <c r="G7" s="74">
        <v>1213</v>
      </c>
      <c r="H7" s="63">
        <f t="shared" si="2"/>
        <v>176.19412613355314</v>
      </c>
      <c r="I7" s="53"/>
      <c r="J7" s="54"/>
      <c r="K7" s="54"/>
      <c r="L7" s="54">
        <f>J7/19932</f>
        <v>0</v>
      </c>
      <c r="M7" s="73">
        <v>6091.9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122921.65999999999</v>
      </c>
      <c r="C8" s="18">
        <v>112359.00199999999</v>
      </c>
      <c r="D8" s="73">
        <v>96202.661999999997</v>
      </c>
      <c r="E8" s="77">
        <f t="shared" si="0"/>
        <v>0.27773657656167555</v>
      </c>
      <c r="F8" s="73">
        <v>106888.4</v>
      </c>
      <c r="G8" s="74">
        <v>795</v>
      </c>
      <c r="H8" s="63">
        <f t="shared" si="2"/>
        <v>154.61844025157231</v>
      </c>
      <c r="I8" s="53"/>
      <c r="J8" s="54"/>
      <c r="K8" s="54"/>
      <c r="L8" s="54">
        <f>J8/25490</f>
        <v>0</v>
      </c>
      <c r="M8" s="73">
        <v>4881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357525.56999999995</v>
      </c>
      <c r="C9" s="18">
        <v>368213.4975</v>
      </c>
      <c r="D9" s="73">
        <v>332690.39520000003</v>
      </c>
      <c r="E9" s="77">
        <f t="shared" si="0"/>
        <v>7.464950944877749E-2</v>
      </c>
      <c r="F9" s="73">
        <v>310891.8</v>
      </c>
      <c r="G9" s="74">
        <v>2317</v>
      </c>
      <c r="H9" s="63">
        <f t="shared" si="2"/>
        <v>154.30538195943026</v>
      </c>
      <c r="I9" s="53"/>
      <c r="J9" s="54"/>
      <c r="K9" s="54"/>
      <c r="L9" s="54">
        <f>J9/10403</f>
        <v>0</v>
      </c>
      <c r="M9" s="73">
        <v>10940.35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165839.53349999999</v>
      </c>
      <c r="C11" s="18">
        <v>195822.81649999999</v>
      </c>
      <c r="D11" s="73">
        <v>185135.31599999999</v>
      </c>
      <c r="E11" s="77">
        <f t="shared" si="0"/>
        <v>-0.10422529270428341</v>
      </c>
      <c r="F11" s="73">
        <v>144208.29</v>
      </c>
      <c r="G11" s="74">
        <v>915</v>
      </c>
      <c r="H11" s="63">
        <f t="shared" si="2"/>
        <v>181.24539180327866</v>
      </c>
      <c r="I11" s="53"/>
      <c r="J11" s="54"/>
      <c r="K11" s="54"/>
      <c r="L11" s="54">
        <f>J11/16449</f>
        <v>0</v>
      </c>
      <c r="M11" s="73">
        <v>3444.6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343697.73999999993</v>
      </c>
      <c r="C12" s="18">
        <v>377023.2795</v>
      </c>
      <c r="D12" s="73">
        <v>314880.6312</v>
      </c>
      <c r="E12" s="77">
        <f t="shared" si="0"/>
        <v>9.1517565530083098E-2</v>
      </c>
      <c r="F12" s="73">
        <v>298867.59999999998</v>
      </c>
      <c r="G12" s="74">
        <v>2050</v>
      </c>
      <c r="H12" s="63">
        <f t="shared" si="2"/>
        <v>167.65743414634144</v>
      </c>
      <c r="I12" s="53"/>
      <c r="J12" s="54"/>
      <c r="K12" s="54"/>
      <c r="L12" s="54">
        <f>J12/18426</f>
        <v>0</v>
      </c>
      <c r="M12" s="73">
        <v>10595.5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128537.8805</v>
      </c>
      <c r="C13" s="18">
        <v>122978.723</v>
      </c>
      <c r="D13" s="73">
        <v>123490.6254</v>
      </c>
      <c r="E13" s="77">
        <f t="shared" si="0"/>
        <v>4.0871564814344154E-2</v>
      </c>
      <c r="F13" s="73">
        <v>111772.07</v>
      </c>
      <c r="G13" s="74">
        <v>919</v>
      </c>
      <c r="H13" s="63">
        <f t="shared" si="2"/>
        <v>139.86711697497279</v>
      </c>
      <c r="I13" s="53"/>
      <c r="J13" s="54">
        <f>I13</f>
        <v>0</v>
      </c>
      <c r="K13" s="54"/>
      <c r="L13" s="54">
        <f>J13/21444</f>
        <v>0</v>
      </c>
      <c r="M13" s="73">
        <v>9576.25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237333.3775</v>
      </c>
      <c r="C14" s="18">
        <v>255109.79</v>
      </c>
      <c r="D14" s="73">
        <v>183686.37599999999</v>
      </c>
      <c r="E14" s="77">
        <f t="shared" si="0"/>
        <v>0.29205759658517089</v>
      </c>
      <c r="F14" s="73">
        <v>206376.85</v>
      </c>
      <c r="G14" s="74">
        <v>1509</v>
      </c>
      <c r="H14" s="63">
        <f t="shared" si="2"/>
        <v>157.27858018555335</v>
      </c>
      <c r="I14" s="53"/>
      <c r="J14" s="54"/>
      <c r="K14" s="54"/>
      <c r="L14" s="54">
        <f>J14/18876</f>
        <v>0</v>
      </c>
      <c r="M14" s="73">
        <v>5494.8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72766.997499999998</v>
      </c>
      <c r="C15" s="18">
        <v>99328.156499999983</v>
      </c>
      <c r="D15" s="73">
        <v>39448.411800000002</v>
      </c>
      <c r="E15" s="77">
        <f t="shared" si="0"/>
        <v>0.84461158712604989</v>
      </c>
      <c r="F15" s="73">
        <v>63275.65</v>
      </c>
      <c r="G15" s="74">
        <v>467</v>
      </c>
      <c r="H15" s="63">
        <f t="shared" si="2"/>
        <v>155.81798179871521</v>
      </c>
      <c r="I15" s="53"/>
      <c r="J15" s="54"/>
      <c r="K15" s="54"/>
      <c r="L15" s="54">
        <f>J15/15345</f>
        <v>0</v>
      </c>
      <c r="M15" s="73">
        <v>3688.5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127554.66499999999</v>
      </c>
      <c r="C18" s="18">
        <v>193192.45600000001</v>
      </c>
      <c r="D18" s="73">
        <v>0</v>
      </c>
      <c r="E18" s="77">
        <f>IFERROR(SUM(B18-D18)/D18,0)</f>
        <v>0</v>
      </c>
      <c r="F18" s="73">
        <v>110917.1</v>
      </c>
      <c r="G18" s="74">
        <v>1186</v>
      </c>
      <c r="H18" s="63">
        <f>IFERROR(B18/G18,0)</f>
        <v>107.55030775716695</v>
      </c>
      <c r="I18" s="53"/>
      <c r="J18" s="54"/>
      <c r="K18" s="54"/>
      <c r="L18" s="54">
        <f>J18/15345</f>
        <v>0</v>
      </c>
      <c r="M18" s="73">
        <v>3302.9</v>
      </c>
      <c r="N18" s="9"/>
    </row>
    <row r="19" spans="1:14" ht="15.6" customHeight="1" x14ac:dyDescent="0.3">
      <c r="A19" s="40" t="s">
        <v>27</v>
      </c>
      <c r="B19" s="18">
        <f t="shared" si="1"/>
        <v>164792.82649999997</v>
      </c>
      <c r="C19" s="18">
        <v>144844.74249999999</v>
      </c>
      <c r="D19" s="73">
        <v>0</v>
      </c>
      <c r="E19" s="77">
        <f>IFERROR(SUM(B19-D19)/D19,0)</f>
        <v>0</v>
      </c>
      <c r="F19" s="73">
        <v>143298.10999999999</v>
      </c>
      <c r="G19" s="74">
        <v>944</v>
      </c>
      <c r="H19" s="63">
        <f>IFERROR(B19/G19,0)</f>
        <v>174.56867213983048</v>
      </c>
      <c r="I19" s="53"/>
      <c r="J19" s="54"/>
      <c r="K19" s="54"/>
      <c r="L19" s="54">
        <f>J19/15345</f>
        <v>0</v>
      </c>
      <c r="M19" s="73">
        <v>5925.7</v>
      </c>
      <c r="N19" s="9"/>
    </row>
    <row r="20" spans="1:14" ht="15.6" customHeight="1" x14ac:dyDescent="0.3">
      <c r="A20" s="40" t="s">
        <v>28</v>
      </c>
      <c r="B20" s="18">
        <f t="shared" si="1"/>
        <v>257304.90999999997</v>
      </c>
      <c r="C20" s="42">
        <v>225726.02499999999</v>
      </c>
      <c r="D20" s="71">
        <v>0</v>
      </c>
      <c r="E20" s="77">
        <f>IFERROR(SUM(B20-D20)/D20,0)</f>
        <v>0</v>
      </c>
      <c r="F20" s="73">
        <v>223743.4</v>
      </c>
      <c r="G20" s="74">
        <v>1526</v>
      </c>
      <c r="H20" s="63">
        <f>IFERROR(B20/G20,0)</f>
        <v>168.61396461336827</v>
      </c>
      <c r="I20" s="80"/>
      <c r="J20" s="80"/>
      <c r="K20" s="80"/>
      <c r="L20" s="80"/>
      <c r="M20" s="73">
        <v>10482.5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113234.09840999998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M8" sqref="M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-3.4975744660336934E-2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2051415.2294999999</v>
      </c>
      <c r="C4" s="3">
        <v>2465060.8684999999</v>
      </c>
      <c r="D4" s="3">
        <v>1700822.6466000001</v>
      </c>
      <c r="E4" s="76">
        <f>IFERROR((SUM(B4-D4)/D4),0)</f>
        <v>0.20613118222575752</v>
      </c>
      <c r="F4" s="66">
        <f>SUM(F6:F20)</f>
        <v>1783839.3299999998</v>
      </c>
      <c r="G4" s="62">
        <f>SUM(G6:G20)</f>
        <v>13223</v>
      </c>
      <c r="H4" s="85">
        <f>AVERAGE(H5:H20)</f>
        <v>132.52561717613443</v>
      </c>
      <c r="I4" s="46"/>
      <c r="J4" s="46"/>
      <c r="K4" s="29"/>
      <c r="L4" s="28">
        <f>J4/206494</f>
        <v>0</v>
      </c>
      <c r="M4" s="66">
        <f>SUM(M6:M20)</f>
        <v>76513.25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#REF!+#REF!+'May 14 - May 20'!I5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213604.79499999998</v>
      </c>
      <c r="C6" s="18">
        <v>273062.23300000001</v>
      </c>
      <c r="D6" s="73">
        <v>192784.46520000001</v>
      </c>
      <c r="E6" s="77">
        <f t="shared" si="0"/>
        <v>0.10799796435050088</v>
      </c>
      <c r="F6" s="73">
        <v>185743.3</v>
      </c>
      <c r="G6" s="74">
        <v>1379</v>
      </c>
      <c r="H6" s="63">
        <f t="shared" ref="H6:H15" si="2">IFERROR(B6/G6,0)</f>
        <v>154.89832849891224</v>
      </c>
      <c r="I6" s="53"/>
      <c r="J6" s="54"/>
      <c r="K6" s="54"/>
      <c r="L6" s="54">
        <f>J6/18100</f>
        <v>0</v>
      </c>
      <c r="M6" s="73">
        <v>5332.25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195955.21599999999</v>
      </c>
      <c r="C7" s="18">
        <v>213723.47500000001</v>
      </c>
      <c r="D7" s="73">
        <v>219700.6746</v>
      </c>
      <c r="E7" s="77">
        <f t="shared" si="0"/>
        <v>-0.10808095443144357</v>
      </c>
      <c r="F7" s="73">
        <v>170395.84</v>
      </c>
      <c r="G7" s="74">
        <v>1194</v>
      </c>
      <c r="H7" s="63">
        <f t="shared" si="2"/>
        <v>164.11659631490787</v>
      </c>
      <c r="I7" s="53"/>
      <c r="J7" s="54"/>
      <c r="K7" s="54"/>
      <c r="L7" s="54">
        <f>J7/19932</f>
        <v>0</v>
      </c>
      <c r="M7" s="73">
        <v>8295.5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91718.180999999997</v>
      </c>
      <c r="C8" s="18">
        <v>122921.66</v>
      </c>
      <c r="D8" s="73">
        <v>124098.4506</v>
      </c>
      <c r="E8" s="77">
        <f t="shared" si="0"/>
        <v>-0.2609240441234002</v>
      </c>
      <c r="F8" s="73">
        <v>79754.94</v>
      </c>
      <c r="G8" s="74">
        <v>581</v>
      </c>
      <c r="H8" s="63">
        <f t="shared" si="2"/>
        <v>157.86261790017213</v>
      </c>
      <c r="I8" s="53"/>
      <c r="J8" s="54"/>
      <c r="K8" s="54"/>
      <c r="L8" s="54">
        <f>J8/25490</f>
        <v>0</v>
      </c>
      <c r="M8" s="73">
        <v>5529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298811.99799999996</v>
      </c>
      <c r="C9" s="18">
        <v>357525.56999999989</v>
      </c>
      <c r="D9" s="73">
        <v>319344.5748</v>
      </c>
      <c r="E9" s="77">
        <f t="shared" si="0"/>
        <v>-6.4295993795602246E-2</v>
      </c>
      <c r="F9" s="73">
        <v>259836.52</v>
      </c>
      <c r="G9" s="74">
        <v>1856</v>
      </c>
      <c r="H9" s="63">
        <f t="shared" si="2"/>
        <v>160.99784374999999</v>
      </c>
      <c r="I9" s="53"/>
      <c r="J9" s="54"/>
      <c r="K9" s="54"/>
      <c r="L9" s="54">
        <f>J9/10403</f>
        <v>0</v>
      </c>
      <c r="M9" s="73">
        <v>8710.7999999999993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148748.79699999999</v>
      </c>
      <c r="C11" s="18">
        <v>165839.53349999999</v>
      </c>
      <c r="D11" s="73">
        <v>177577.74299999999</v>
      </c>
      <c r="E11" s="77">
        <f t="shared" si="0"/>
        <v>-0.16234549168698467</v>
      </c>
      <c r="F11" s="73">
        <v>129346.78</v>
      </c>
      <c r="G11" s="74">
        <v>811</v>
      </c>
      <c r="H11" s="63">
        <f t="shared" si="2"/>
        <v>183.41405302096177</v>
      </c>
      <c r="I11" s="53"/>
      <c r="J11" s="54"/>
      <c r="K11" s="54"/>
      <c r="L11" s="54">
        <f>J11/16449</f>
        <v>0</v>
      </c>
      <c r="M11" s="73">
        <v>4189.2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330866.62649999995</v>
      </c>
      <c r="C12" s="18">
        <v>343697.73999999987</v>
      </c>
      <c r="D12" s="73">
        <v>320830.25699999998</v>
      </c>
      <c r="E12" s="77">
        <f t="shared" si="0"/>
        <v>3.1282490603746181E-2</v>
      </c>
      <c r="F12" s="73">
        <v>287710.11</v>
      </c>
      <c r="G12" s="74">
        <v>2199</v>
      </c>
      <c r="H12" s="63">
        <f t="shared" si="2"/>
        <v>150.4623130968622</v>
      </c>
      <c r="I12" s="53"/>
      <c r="J12" s="54"/>
      <c r="K12" s="54"/>
      <c r="L12" s="54">
        <f>J12/18426</f>
        <v>0</v>
      </c>
      <c r="M12" s="73">
        <v>9139.2999999999993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119245.10999999999</v>
      </c>
      <c r="C13" s="18">
        <v>128537.8805</v>
      </c>
      <c r="D13" s="73">
        <v>103652.4252</v>
      </c>
      <c r="E13" s="77">
        <f t="shared" si="0"/>
        <v>0.1504324165104049</v>
      </c>
      <c r="F13" s="73">
        <v>103691.4</v>
      </c>
      <c r="G13" s="74">
        <v>938</v>
      </c>
      <c r="H13" s="63">
        <f t="shared" si="2"/>
        <v>127.12698294243069</v>
      </c>
      <c r="I13" s="53"/>
      <c r="J13" s="54">
        <f>I13</f>
        <v>0</v>
      </c>
      <c r="K13" s="54"/>
      <c r="L13" s="54">
        <f>J13/21444</f>
        <v>0</v>
      </c>
      <c r="M13" s="73">
        <v>7863.75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194762.10249999998</v>
      </c>
      <c r="C14" s="18">
        <v>237333.3775</v>
      </c>
      <c r="D14" s="73">
        <v>170720.83679999999</v>
      </c>
      <c r="E14" s="77">
        <f t="shared" si="0"/>
        <v>0.14082209383828412</v>
      </c>
      <c r="F14" s="73">
        <v>169358.35</v>
      </c>
      <c r="G14" s="74">
        <v>1216</v>
      </c>
      <c r="H14" s="63">
        <f t="shared" si="2"/>
        <v>160.16620271381578</v>
      </c>
      <c r="I14" s="53"/>
      <c r="J14" s="54"/>
      <c r="K14" s="54"/>
      <c r="L14" s="54">
        <f>J14/18876</f>
        <v>0</v>
      </c>
      <c r="M14" s="73">
        <v>6638.5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47622.281999999999</v>
      </c>
      <c r="C15" s="18">
        <v>72766.997499999998</v>
      </c>
      <c r="D15" s="73">
        <v>72113.219399999987</v>
      </c>
      <c r="E15" s="77">
        <f t="shared" si="0"/>
        <v>-0.33961786207536854</v>
      </c>
      <c r="F15" s="73">
        <v>41410.68</v>
      </c>
      <c r="G15" s="74">
        <v>347</v>
      </c>
      <c r="H15" s="63">
        <f t="shared" si="2"/>
        <v>137.24000576368877</v>
      </c>
      <c r="I15" s="53"/>
      <c r="J15" s="54"/>
      <c r="K15" s="54"/>
      <c r="L15" s="54">
        <f>J15/15345</f>
        <v>0</v>
      </c>
      <c r="M15" s="73">
        <v>4906.8500000000004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109177.14749999999</v>
      </c>
      <c r="C18" s="18">
        <v>127554.66499999999</v>
      </c>
      <c r="D18" s="73">
        <v>0</v>
      </c>
      <c r="E18" s="77">
        <f>IFERROR(SUM(B18-D18)/D18,0)</f>
        <v>0</v>
      </c>
      <c r="F18" s="73">
        <v>94936.65</v>
      </c>
      <c r="G18" s="74">
        <v>801</v>
      </c>
      <c r="H18" s="63">
        <f>IFERROR(B18/G18,0)</f>
        <v>136.30105805243446</v>
      </c>
      <c r="I18" s="53"/>
      <c r="J18" s="54"/>
      <c r="K18" s="54"/>
      <c r="L18" s="54">
        <f>J18/15345</f>
        <v>0</v>
      </c>
      <c r="M18" s="73">
        <v>2138.5</v>
      </c>
      <c r="N18" s="9"/>
    </row>
    <row r="19" spans="1:14" ht="15.6" customHeight="1" x14ac:dyDescent="0.3">
      <c r="A19" s="40" t="s">
        <v>27</v>
      </c>
      <c r="B19" s="18">
        <f t="shared" si="1"/>
        <v>121823.00749999999</v>
      </c>
      <c r="C19" s="18">
        <v>164792.8265</v>
      </c>
      <c r="D19" s="73">
        <v>0</v>
      </c>
      <c r="E19" s="77">
        <f>IFERROR(SUM(B19-D19)/D19,0)</f>
        <v>0</v>
      </c>
      <c r="F19" s="73">
        <v>105933.05</v>
      </c>
      <c r="G19" s="74">
        <v>703</v>
      </c>
      <c r="H19" s="63">
        <f>IFERROR(B19/G19,0)</f>
        <v>173.29019559032716</v>
      </c>
      <c r="I19" s="53"/>
      <c r="J19" s="54"/>
      <c r="K19" s="54"/>
      <c r="L19" s="54">
        <f>J19/15345</f>
        <v>0</v>
      </c>
      <c r="M19" s="73">
        <v>5234.3999999999996</v>
      </c>
      <c r="N19" s="9"/>
    </row>
    <row r="20" spans="1:14" ht="15.6" customHeight="1" x14ac:dyDescent="0.3">
      <c r="A20" s="40" t="s">
        <v>28</v>
      </c>
      <c r="B20" s="18">
        <f t="shared" si="1"/>
        <v>179079.96649999998</v>
      </c>
      <c r="C20" s="42">
        <v>257304.91</v>
      </c>
      <c r="D20" s="71">
        <v>0</v>
      </c>
      <c r="E20" s="77">
        <f>IFERROR(SUM(B20-D20)/D20,0)</f>
        <v>0</v>
      </c>
      <c r="F20" s="73">
        <v>155721.71</v>
      </c>
      <c r="G20" s="74">
        <v>1198</v>
      </c>
      <c r="H20" s="63">
        <f>IFERROR(B20/G20,0)</f>
        <v>149.48244282136892</v>
      </c>
      <c r="I20" s="80"/>
      <c r="J20" s="80"/>
      <c r="K20" s="80"/>
      <c r="L20" s="80"/>
      <c r="M20" s="73">
        <v>8535.2000000000007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82954.377149999986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R29"/>
  <sheetViews>
    <sheetView view="pageBreakPreview" topLeftCell="A2" zoomScale="80" zoomScaleNormal="80" zoomScaleSheetLayoutView="80" workbookViewId="0">
      <pane xSplit="1" topLeftCell="B1" activePane="topRight" state="frozen"/>
      <selection pane="topRight" activeCell="M12" sqref="M12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3.3891466345023824E-2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2362997.5865000002</v>
      </c>
      <c r="C4" s="3">
        <v>2051415.2294999999</v>
      </c>
      <c r="D4" s="3">
        <v>1818532.8563999999</v>
      </c>
      <c r="E4" s="76">
        <f>IFERROR((SUM(B4-D4)/D4),0)</f>
        <v>0.29939779651704085</v>
      </c>
      <c r="F4" s="66">
        <f>SUM(F6:F20)</f>
        <v>2054780.5099999998</v>
      </c>
      <c r="G4" s="62">
        <f>SUM(G6:G20)</f>
        <v>14817</v>
      </c>
      <c r="H4" s="85">
        <f>AVERAGE(H5:H20)</f>
        <v>136.18309702282625</v>
      </c>
      <c r="I4" s="46"/>
      <c r="J4" s="46"/>
      <c r="K4" s="29"/>
      <c r="L4" s="28">
        <f>J4/206494</f>
        <v>0</v>
      </c>
      <c r="M4" s="66">
        <f>SUM(M6:M20)</f>
        <v>76630.049999999988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#REF!+#REF!+'May 21 - May 27'!I5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255099.52049999998</v>
      </c>
      <c r="C6" s="18">
        <v>213604.79500000001</v>
      </c>
      <c r="D6" s="73">
        <v>266564.76359999989</v>
      </c>
      <c r="E6" s="77">
        <f t="shared" si="0"/>
        <v>-4.3011097735349405E-2</v>
      </c>
      <c r="F6" s="73">
        <v>221825.67</v>
      </c>
      <c r="G6" s="74">
        <v>1595</v>
      </c>
      <c r="H6" s="63">
        <f t="shared" ref="H6:H15" si="2">IFERROR(B6/G6,0)</f>
        <v>159.93700344827585</v>
      </c>
      <c r="I6" s="53"/>
      <c r="J6" s="54"/>
      <c r="K6" s="54"/>
      <c r="L6" s="54">
        <f>J6/18100</f>
        <v>0</v>
      </c>
      <c r="M6" s="73">
        <v>9227.6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214635.7585</v>
      </c>
      <c r="C7" s="18">
        <v>195955.21599999999</v>
      </c>
      <c r="D7" s="73">
        <v>177411.85019999999</v>
      </c>
      <c r="E7" s="77">
        <f t="shared" si="0"/>
        <v>0.20981635814088373</v>
      </c>
      <c r="F7" s="73">
        <v>186639.79</v>
      </c>
      <c r="G7" s="74">
        <v>1172</v>
      </c>
      <c r="H7" s="63">
        <f t="shared" si="2"/>
        <v>183.13631271331059</v>
      </c>
      <c r="I7" s="53"/>
      <c r="J7" s="54"/>
      <c r="K7" s="54"/>
      <c r="L7" s="54">
        <f>J7/19932</f>
        <v>0</v>
      </c>
      <c r="M7" s="73">
        <v>6727.5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101687.47349999999</v>
      </c>
      <c r="C8" s="18">
        <v>91718.180999999997</v>
      </c>
      <c r="D8" s="73">
        <v>125343.62699999999</v>
      </c>
      <c r="E8" s="77">
        <f t="shared" si="0"/>
        <v>-0.18873040509670269</v>
      </c>
      <c r="F8" s="73">
        <v>88423.89</v>
      </c>
      <c r="G8" s="74">
        <v>677</v>
      </c>
      <c r="H8" s="63">
        <f t="shared" si="2"/>
        <v>150.20306277695715</v>
      </c>
      <c r="I8" s="53"/>
      <c r="J8" s="54"/>
      <c r="K8" s="54"/>
      <c r="L8" s="54">
        <f>J8/25490</f>
        <v>0</v>
      </c>
      <c r="M8" s="73">
        <v>3174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344683.27850000001</v>
      </c>
      <c r="C9" s="18">
        <v>298811.99800000002</v>
      </c>
      <c r="D9" s="73">
        <v>318817.17659999989</v>
      </c>
      <c r="E9" s="77">
        <f t="shared" si="0"/>
        <v>8.1131456516386868E-2</v>
      </c>
      <c r="F9" s="73">
        <v>299724.59000000003</v>
      </c>
      <c r="G9" s="74">
        <v>2107</v>
      </c>
      <c r="H9" s="63">
        <f t="shared" si="2"/>
        <v>163.58959587090652</v>
      </c>
      <c r="I9" s="53"/>
      <c r="J9" s="54"/>
      <c r="K9" s="54"/>
      <c r="L9" s="54">
        <f>J9/10403</f>
        <v>0</v>
      </c>
      <c r="M9" s="73">
        <v>7843.5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193456.48449999999</v>
      </c>
      <c r="C11" s="18">
        <v>148748.79699999999</v>
      </c>
      <c r="D11" s="73">
        <v>197336.80439999999</v>
      </c>
      <c r="E11" s="77">
        <f t="shared" si="0"/>
        <v>-1.9663437399820398E-2</v>
      </c>
      <c r="F11" s="73">
        <v>168223.03</v>
      </c>
      <c r="G11" s="74">
        <v>1139</v>
      </c>
      <c r="H11" s="63">
        <f t="shared" si="2"/>
        <v>169.84765978928885</v>
      </c>
      <c r="I11" s="53"/>
      <c r="J11" s="54"/>
      <c r="K11" s="54"/>
      <c r="L11" s="54">
        <f>J11/16449</f>
        <v>0</v>
      </c>
      <c r="M11" s="73">
        <v>5311.5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350859.83649999998</v>
      </c>
      <c r="C12" s="18">
        <v>330866.62650000001</v>
      </c>
      <c r="D12" s="73">
        <v>382925.58960000001</v>
      </c>
      <c r="E12" s="77">
        <f t="shared" si="0"/>
        <v>-8.3738861990120789E-2</v>
      </c>
      <c r="F12" s="73">
        <v>305095.51</v>
      </c>
      <c r="G12" s="74">
        <v>2193</v>
      </c>
      <c r="H12" s="63">
        <f t="shared" si="2"/>
        <v>159.99080551755586</v>
      </c>
      <c r="I12" s="53"/>
      <c r="J12" s="54"/>
      <c r="K12" s="54"/>
      <c r="L12" s="54">
        <f>J12/18426</f>
        <v>0</v>
      </c>
      <c r="M12" s="73">
        <v>10874.85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128439.08399999999</v>
      </c>
      <c r="C13" s="18">
        <v>119245.11</v>
      </c>
      <c r="D13" s="73">
        <v>118424.7276</v>
      </c>
      <c r="E13" s="77">
        <f t="shared" si="0"/>
        <v>8.4563052015835832E-2</v>
      </c>
      <c r="F13" s="73">
        <v>111686.16</v>
      </c>
      <c r="G13" s="74">
        <v>1139</v>
      </c>
      <c r="H13" s="63">
        <f t="shared" si="2"/>
        <v>112.76477963125548</v>
      </c>
      <c r="I13" s="53"/>
      <c r="J13" s="54">
        <f>I13</f>
        <v>0</v>
      </c>
      <c r="K13" s="54"/>
      <c r="L13" s="54">
        <f>J13/21444</f>
        <v>0</v>
      </c>
      <c r="M13" s="73">
        <v>9152.5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230164.90999999997</v>
      </c>
      <c r="C14" s="18">
        <v>194762.10250000001</v>
      </c>
      <c r="D14" s="73">
        <v>182258.00159999999</v>
      </c>
      <c r="E14" s="77">
        <f t="shared" si="0"/>
        <v>0.26285215452510474</v>
      </c>
      <c r="F14" s="73">
        <v>200143.4</v>
      </c>
      <c r="G14" s="74">
        <v>1462</v>
      </c>
      <c r="H14" s="63">
        <f t="shared" si="2"/>
        <v>157.43153898768807</v>
      </c>
      <c r="I14" s="53"/>
      <c r="J14" s="54"/>
      <c r="K14" s="54"/>
      <c r="L14" s="54">
        <f>J14/18876</f>
        <v>0</v>
      </c>
      <c r="M14" s="73">
        <v>6788.25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61139.255499999992</v>
      </c>
      <c r="C15" s="18">
        <v>47622.281999999999</v>
      </c>
      <c r="D15" s="73">
        <v>49450.315799999997</v>
      </c>
      <c r="E15" s="77">
        <f t="shared" si="0"/>
        <v>0.23637745302326252</v>
      </c>
      <c r="F15" s="73">
        <v>53164.57</v>
      </c>
      <c r="G15" s="74">
        <v>376</v>
      </c>
      <c r="H15" s="63">
        <f t="shared" si="2"/>
        <v>162.6044029255319</v>
      </c>
      <c r="I15" s="53"/>
      <c r="J15" s="54"/>
      <c r="K15" s="54"/>
      <c r="L15" s="54">
        <f>J15/15345</f>
        <v>0</v>
      </c>
      <c r="M15" s="73">
        <v>2121.75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125713.57249999998</v>
      </c>
      <c r="C18" s="18">
        <v>109177.14750000001</v>
      </c>
      <c r="D18" s="73">
        <v>0</v>
      </c>
      <c r="E18" s="77">
        <f>IFERROR(SUM(B18-D18)/D18,0)</f>
        <v>0</v>
      </c>
      <c r="F18" s="73">
        <v>109316.15</v>
      </c>
      <c r="G18" s="74">
        <v>856</v>
      </c>
      <c r="H18" s="63">
        <f>IFERROR(B18/G18,0)</f>
        <v>146.8616501168224</v>
      </c>
      <c r="I18" s="53"/>
      <c r="J18" s="54"/>
      <c r="K18" s="54"/>
      <c r="L18" s="54">
        <f>J18/15345</f>
        <v>0</v>
      </c>
      <c r="M18" s="73">
        <v>1923</v>
      </c>
      <c r="N18" s="9"/>
    </row>
    <row r="19" spans="1:14" ht="15.6" customHeight="1" x14ac:dyDescent="0.3">
      <c r="A19" s="40" t="s">
        <v>27</v>
      </c>
      <c r="B19" s="18">
        <f t="shared" si="1"/>
        <v>144610.28049999999</v>
      </c>
      <c r="C19" s="18">
        <v>121823.00750000001</v>
      </c>
      <c r="D19" s="73">
        <v>0</v>
      </c>
      <c r="E19" s="77">
        <f>IFERROR(SUM(B19-D19)/D19,0)</f>
        <v>0</v>
      </c>
      <c r="F19" s="73">
        <v>125748.07</v>
      </c>
      <c r="G19" s="74">
        <v>847</v>
      </c>
      <c r="H19" s="63">
        <f>IFERROR(B19/G19,0)</f>
        <v>170.73232644628098</v>
      </c>
      <c r="I19" s="53"/>
      <c r="J19" s="54"/>
      <c r="K19" s="54"/>
      <c r="L19" s="54">
        <f>J19/15345</f>
        <v>0</v>
      </c>
      <c r="M19" s="73">
        <v>5431.4</v>
      </c>
      <c r="N19" s="9"/>
    </row>
    <row r="20" spans="1:14" ht="15.6" customHeight="1" x14ac:dyDescent="0.3">
      <c r="A20" s="40" t="s">
        <v>28</v>
      </c>
      <c r="B20" s="18">
        <f t="shared" si="1"/>
        <v>212508.13199999998</v>
      </c>
      <c r="C20" s="42">
        <v>179079.96650000001</v>
      </c>
      <c r="D20" s="71">
        <v>0</v>
      </c>
      <c r="E20" s="77">
        <f>IFERROR(SUM(B20-D20)/D20,0)</f>
        <v>0</v>
      </c>
      <c r="F20" s="73">
        <v>184789.68</v>
      </c>
      <c r="G20" s="74">
        <v>1254</v>
      </c>
      <c r="H20" s="63">
        <f>IFERROR(B20/G20,0)</f>
        <v>169.46422009569378</v>
      </c>
      <c r="I20" s="80"/>
      <c r="J20" s="80"/>
      <c r="K20" s="80"/>
      <c r="L20" s="80"/>
      <c r="M20" s="73">
        <v>8054.2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54289.401479999993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0.10618375364913006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2318776.2455000002</v>
      </c>
      <c r="C4" s="3">
        <v>2362997.5865000002</v>
      </c>
      <c r="D4" s="3">
        <v>1680888.2646000001</v>
      </c>
      <c r="E4" s="76">
        <f>IFERROR((SUM(B4-D4)/D4),0)</f>
        <v>0.37949457696511307</v>
      </c>
      <c r="F4" s="66">
        <f>SUM(F6:F20)</f>
        <v>2016327.17</v>
      </c>
      <c r="G4" s="62">
        <f>SUM(G6:G20)</f>
        <v>14140</v>
      </c>
      <c r="H4" s="85">
        <f>AVERAGE(H5:H20)</f>
        <v>140.0402113305548</v>
      </c>
      <c r="I4" s="46"/>
      <c r="J4" s="46"/>
      <c r="K4" s="29"/>
      <c r="L4" s="28">
        <f>J4/206494</f>
        <v>0</v>
      </c>
      <c r="M4" s="66">
        <f>SUM(M6:M20)</f>
        <v>77509.600000000006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#REF!+#REF!+'May 28 - Jun 3'!I5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249507.30049999998</v>
      </c>
      <c r="C6" s="18">
        <v>255099.52050000001</v>
      </c>
      <c r="D6" s="73">
        <v>223132.99799999999</v>
      </c>
      <c r="E6" s="77">
        <f t="shared" si="0"/>
        <v>0.11819991994191729</v>
      </c>
      <c r="F6" s="73">
        <v>216962.87</v>
      </c>
      <c r="G6" s="74">
        <v>1531</v>
      </c>
      <c r="H6" s="63">
        <f t="shared" ref="H6:H15" si="2">IFERROR(B6/G6,0)</f>
        <v>162.97015055519267</v>
      </c>
      <c r="I6" s="53"/>
      <c r="J6" s="54"/>
      <c r="K6" s="54"/>
      <c r="L6" s="54">
        <f>J6/18100</f>
        <v>0</v>
      </c>
      <c r="M6" s="73">
        <v>9500.0499999999993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203383.30749999997</v>
      </c>
      <c r="C7" s="18">
        <v>214635.7585</v>
      </c>
      <c r="D7" s="73">
        <v>182723.19</v>
      </c>
      <c r="E7" s="77">
        <f t="shared" si="0"/>
        <v>0.11306784595868737</v>
      </c>
      <c r="F7" s="73">
        <v>176855.05</v>
      </c>
      <c r="G7" s="74">
        <v>1144</v>
      </c>
      <c r="H7" s="63">
        <f t="shared" si="2"/>
        <v>177.78261145104892</v>
      </c>
      <c r="I7" s="53"/>
      <c r="J7" s="54"/>
      <c r="K7" s="54"/>
      <c r="L7" s="54">
        <f>J7/19932</f>
        <v>0</v>
      </c>
      <c r="M7" s="73">
        <v>4818.3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119282.08249999999</v>
      </c>
      <c r="C8" s="18">
        <v>101687.47349999999</v>
      </c>
      <c r="D8" s="73">
        <v>108279.79919999999</v>
      </c>
      <c r="E8" s="77">
        <f t="shared" si="0"/>
        <v>0.10160974975284214</v>
      </c>
      <c r="F8" s="73">
        <v>103723.55</v>
      </c>
      <c r="G8" s="74">
        <v>717</v>
      </c>
      <c r="H8" s="63">
        <f t="shared" si="2"/>
        <v>166.36273709902369</v>
      </c>
      <c r="I8" s="53"/>
      <c r="J8" s="54"/>
      <c r="K8" s="54"/>
      <c r="L8" s="54">
        <f>J8/25490</f>
        <v>0</v>
      </c>
      <c r="M8" s="73">
        <v>3062.5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374041.42149999994</v>
      </c>
      <c r="C9" s="18">
        <v>344683.27850000001</v>
      </c>
      <c r="D9" s="73">
        <v>292489.00199999998</v>
      </c>
      <c r="E9" s="77">
        <f t="shared" si="0"/>
        <v>0.27882217431204459</v>
      </c>
      <c r="F9" s="73">
        <v>325253.40999999997</v>
      </c>
      <c r="G9" s="74">
        <v>2311</v>
      </c>
      <c r="H9" s="63">
        <f t="shared" si="2"/>
        <v>161.85262721765466</v>
      </c>
      <c r="I9" s="53"/>
      <c r="J9" s="54"/>
      <c r="K9" s="54"/>
      <c r="L9" s="54">
        <f>J9/10403</f>
        <v>0</v>
      </c>
      <c r="M9" s="73">
        <v>10199.049999999999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77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148581.62149999998</v>
      </c>
      <c r="C11" s="18">
        <v>193456.48449999999</v>
      </c>
      <c r="D11" s="73">
        <v>183151.03200000001</v>
      </c>
      <c r="E11" s="77">
        <f t="shared" si="0"/>
        <v>-0.18874810653537583</v>
      </c>
      <c r="F11" s="73">
        <v>129201.41</v>
      </c>
      <c r="G11" s="74">
        <v>804</v>
      </c>
      <c r="H11" s="63">
        <f t="shared" si="2"/>
        <v>184.80301181592037</v>
      </c>
      <c r="I11" s="53"/>
      <c r="J11" s="54"/>
      <c r="K11" s="54"/>
      <c r="L11" s="54">
        <f>J11/16449</f>
        <v>0</v>
      </c>
      <c r="M11" s="73">
        <v>3729.5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362904.6605</v>
      </c>
      <c r="C12" s="18">
        <v>350859.83649999998</v>
      </c>
      <c r="D12" s="73">
        <v>340070.55</v>
      </c>
      <c r="E12" s="77">
        <f t="shared" si="0"/>
        <v>6.7145215897113142E-2</v>
      </c>
      <c r="F12" s="73">
        <v>315569.27</v>
      </c>
      <c r="G12" s="74">
        <v>2194</v>
      </c>
      <c r="H12" s="63">
        <f t="shared" si="2"/>
        <v>165.40777597994531</v>
      </c>
      <c r="I12" s="53"/>
      <c r="J12" s="54"/>
      <c r="K12" s="54"/>
      <c r="L12" s="54">
        <f>J12/18426</f>
        <v>0</v>
      </c>
      <c r="M12" s="73">
        <v>9367.75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128569.5745</v>
      </c>
      <c r="C13" s="18">
        <v>128439.084</v>
      </c>
      <c r="D13" s="73">
        <v>126452.22</v>
      </c>
      <c r="E13" s="77">
        <f t="shared" si="0"/>
        <v>1.6744304686782101E-2</v>
      </c>
      <c r="F13" s="73">
        <v>111799.63</v>
      </c>
      <c r="G13" s="74">
        <v>941</v>
      </c>
      <c r="H13" s="63">
        <f t="shared" si="2"/>
        <v>136.63079117959617</v>
      </c>
      <c r="I13" s="53"/>
      <c r="J13" s="54">
        <f>I13</f>
        <v>0</v>
      </c>
      <c r="K13" s="54"/>
      <c r="L13" s="54">
        <f>J13/21444</f>
        <v>0</v>
      </c>
      <c r="M13" s="73">
        <v>9154.7999999999993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225445.37899999999</v>
      </c>
      <c r="C14" s="18">
        <v>230164.91</v>
      </c>
      <c r="D14" s="73">
        <v>184063.60200000001</v>
      </c>
      <c r="E14" s="77">
        <f t="shared" si="0"/>
        <v>0.22482324886807317</v>
      </c>
      <c r="F14" s="73">
        <v>196039.46</v>
      </c>
      <c r="G14" s="74">
        <v>1394</v>
      </c>
      <c r="H14" s="63">
        <f t="shared" si="2"/>
        <v>161.72552295552367</v>
      </c>
      <c r="I14" s="53"/>
      <c r="J14" s="54"/>
      <c r="K14" s="54"/>
      <c r="L14" s="54">
        <f>J14/18876</f>
        <v>0</v>
      </c>
      <c r="M14" s="73">
        <v>5971.2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47655.94249999999</v>
      </c>
      <c r="C15" s="18">
        <v>61139.255499999992</v>
      </c>
      <c r="D15" s="73">
        <v>40525.871400000004</v>
      </c>
      <c r="E15" s="77">
        <f t="shared" si="0"/>
        <v>0.17593874859899955</v>
      </c>
      <c r="F15" s="73">
        <v>41439.949999999997</v>
      </c>
      <c r="G15" s="74">
        <v>319</v>
      </c>
      <c r="H15" s="63">
        <f t="shared" si="2"/>
        <v>149.39166927899683</v>
      </c>
      <c r="I15" s="53"/>
      <c r="J15" s="54"/>
      <c r="K15" s="54"/>
      <c r="L15" s="54">
        <f>J15/15345</f>
        <v>0</v>
      </c>
      <c r="M15" s="73">
        <v>5038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43">
        <v>0</v>
      </c>
      <c r="D16" s="72">
        <v>0</v>
      </c>
      <c r="E16" s="78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2">
        <v>0</v>
      </c>
      <c r="E17" s="77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123453.46599999999</v>
      </c>
      <c r="C18" s="18">
        <v>125713.57249999999</v>
      </c>
      <c r="D18" s="73">
        <v>0</v>
      </c>
      <c r="E18" s="77">
        <f>IFERROR(SUM(B18-D18)/D18,0)</f>
        <v>0</v>
      </c>
      <c r="F18" s="73">
        <v>107350.84</v>
      </c>
      <c r="G18" s="74">
        <v>883</v>
      </c>
      <c r="H18" s="63">
        <f>IFERROR(B18/G18,0)</f>
        <v>139.81139977349943</v>
      </c>
      <c r="I18" s="53"/>
      <c r="J18" s="54"/>
      <c r="K18" s="54"/>
      <c r="L18" s="54">
        <f>J18/15345</f>
        <v>0</v>
      </c>
      <c r="M18" s="73">
        <v>3390.6</v>
      </c>
      <c r="N18" s="9"/>
    </row>
    <row r="19" spans="1:14" ht="15.6" customHeight="1" x14ac:dyDescent="0.3">
      <c r="A19" s="40" t="s">
        <v>27</v>
      </c>
      <c r="B19" s="18">
        <f t="shared" si="1"/>
        <v>145407.89749999999</v>
      </c>
      <c r="C19" s="18">
        <v>144610.28049999999</v>
      </c>
      <c r="D19" s="73">
        <v>0</v>
      </c>
      <c r="E19" s="77">
        <f>IFERROR(SUM(B19-D19)/D19,0)</f>
        <v>0</v>
      </c>
      <c r="F19" s="73">
        <v>126441.65</v>
      </c>
      <c r="G19" s="74">
        <v>813</v>
      </c>
      <c r="H19" s="63">
        <f>IFERROR(B19/G19,0)</f>
        <v>178.8535024600246</v>
      </c>
      <c r="I19" s="53"/>
      <c r="J19" s="54"/>
      <c r="K19" s="54"/>
      <c r="L19" s="54">
        <f>J19/15345</f>
        <v>0</v>
      </c>
      <c r="M19" s="73">
        <v>4123.5</v>
      </c>
      <c r="N19" s="9"/>
    </row>
    <row r="20" spans="1:14" ht="15.6" customHeight="1" x14ac:dyDescent="0.3">
      <c r="A20" s="40" t="s">
        <v>28</v>
      </c>
      <c r="B20" s="18">
        <f t="shared" si="1"/>
        <v>190543.59199999998</v>
      </c>
      <c r="C20" s="42">
        <v>212508.13200000001</v>
      </c>
      <c r="D20" s="71">
        <v>0</v>
      </c>
      <c r="E20" s="77">
        <f>IFERROR(SUM(B20-D20)/D20,0)</f>
        <v>0</v>
      </c>
      <c r="F20" s="73">
        <v>165690.07999999999</v>
      </c>
      <c r="G20" s="74">
        <v>1089</v>
      </c>
      <c r="H20" s="63">
        <f>IFERROR(B20/G20,0)</f>
        <v>174.97115886134065</v>
      </c>
      <c r="I20" s="80"/>
      <c r="J20" s="80"/>
      <c r="K20" s="80"/>
      <c r="L20" s="80"/>
      <c r="M20" s="73">
        <v>9154.35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69698.751269999979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H11" sqref="H1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0.11587211035969149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2201735.4440000001</v>
      </c>
      <c r="C4" s="3">
        <v>2318776.2455000002</v>
      </c>
      <c r="D4" s="3">
        <v>1559877.1277999999</v>
      </c>
      <c r="E4" s="76">
        <f>IFERROR((SUM(B4-D4)/D4),0)</f>
        <v>0.41148004849924069</v>
      </c>
      <c r="F4" s="66">
        <f>SUM(F6:F20)</f>
        <v>1914552.5600000003</v>
      </c>
      <c r="G4" s="62">
        <f>SUM(G6:G20)</f>
        <v>13463</v>
      </c>
      <c r="H4" s="85">
        <f>AVERAGE(H5:H20)</f>
        <v>139.53911248274304</v>
      </c>
      <c r="I4" s="46"/>
      <c r="J4" s="46"/>
      <c r="K4" s="29"/>
      <c r="L4" s="28">
        <f>J4/206494</f>
        <v>0</v>
      </c>
      <c r="M4" s="66">
        <f>SUM(M6:M20)</f>
        <v>86904.040000000008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#REF!+#REF!+'Jun 4 - Jun 10'!I5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226121.10749999998</v>
      </c>
      <c r="C6" s="18">
        <v>249507.30050000001</v>
      </c>
      <c r="D6" s="73">
        <v>194546.7</v>
      </c>
      <c r="E6" s="86">
        <f t="shared" si="0"/>
        <v>0.16229731730222086</v>
      </c>
      <c r="F6" s="73">
        <v>196627.05</v>
      </c>
      <c r="G6" s="74">
        <v>1333</v>
      </c>
      <c r="H6" s="63">
        <f t="shared" ref="H6:H15" si="2">IFERROR(B6/G6,0)</f>
        <v>169.63323893473367</v>
      </c>
      <c r="I6" s="53"/>
      <c r="J6" s="54"/>
      <c r="K6" s="54"/>
      <c r="L6" s="54">
        <f>J6/18100</f>
        <v>0</v>
      </c>
      <c r="M6" s="73">
        <v>13565.85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200063.48749999999</v>
      </c>
      <c r="C7" s="18">
        <v>203383.3075</v>
      </c>
      <c r="D7" s="73">
        <v>168788.28599999999</v>
      </c>
      <c r="E7" s="86">
        <f t="shared" si="0"/>
        <v>0.18529248824767375</v>
      </c>
      <c r="F7" s="73">
        <v>173968.25</v>
      </c>
      <c r="G7" s="74">
        <v>1144</v>
      </c>
      <c r="H7" s="63">
        <f t="shared" si="2"/>
        <v>174.88067089160839</v>
      </c>
      <c r="I7" s="53"/>
      <c r="J7" s="54"/>
      <c r="K7" s="54"/>
      <c r="L7" s="54">
        <f>J7/19932</f>
        <v>0</v>
      </c>
      <c r="M7" s="73">
        <v>4416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123465.16149999999</v>
      </c>
      <c r="C8" s="18">
        <v>119282.0825</v>
      </c>
      <c r="D8" s="73">
        <v>108277.0404</v>
      </c>
      <c r="E8" s="86">
        <f t="shared" si="0"/>
        <v>0.14027092949614819</v>
      </c>
      <c r="F8" s="73">
        <v>107361.01</v>
      </c>
      <c r="G8" s="74">
        <v>724</v>
      </c>
      <c r="H8" s="63">
        <f t="shared" si="2"/>
        <v>170.53199102209942</v>
      </c>
      <c r="I8" s="53"/>
      <c r="J8" s="54"/>
      <c r="K8" s="54"/>
      <c r="L8" s="54">
        <f>J8/25490</f>
        <v>0</v>
      </c>
      <c r="M8" s="73">
        <v>4316.5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327882.72149999993</v>
      </c>
      <c r="C9" s="18">
        <v>374041.42149999988</v>
      </c>
      <c r="D9" s="73">
        <v>292111.66200000001</v>
      </c>
      <c r="E9" s="86">
        <f t="shared" si="0"/>
        <v>0.12245680044092151</v>
      </c>
      <c r="F9" s="73">
        <v>285115.40999999997</v>
      </c>
      <c r="G9" s="74">
        <v>1989</v>
      </c>
      <c r="H9" s="63">
        <f t="shared" si="2"/>
        <v>164.84802488687779</v>
      </c>
      <c r="I9" s="53"/>
      <c r="J9" s="54"/>
      <c r="K9" s="54"/>
      <c r="L9" s="54">
        <f>J9/10403</f>
        <v>0</v>
      </c>
      <c r="M9" s="73">
        <v>9372.5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131483.98499999999</v>
      </c>
      <c r="C11" s="18">
        <v>148581.62150000001</v>
      </c>
      <c r="D11" s="73">
        <v>152013.75599999999</v>
      </c>
      <c r="E11" s="86">
        <f t="shared" si="0"/>
        <v>-0.13505206068324507</v>
      </c>
      <c r="F11" s="73">
        <v>114333.9</v>
      </c>
      <c r="G11" s="74">
        <v>743</v>
      </c>
      <c r="H11" s="63">
        <f t="shared" si="2"/>
        <v>176.9636406460296</v>
      </c>
      <c r="I11" s="53"/>
      <c r="J11" s="54"/>
      <c r="K11" s="54"/>
      <c r="L11" s="54">
        <f>J11/16449</f>
        <v>0</v>
      </c>
      <c r="M11" s="73">
        <v>4556.32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327159.68199999997</v>
      </c>
      <c r="C12" s="18">
        <v>362904.6605</v>
      </c>
      <c r="D12" s="73">
        <v>344101.02</v>
      </c>
      <c r="E12" s="86">
        <f t="shared" si="0"/>
        <v>-4.9233617499884322E-2</v>
      </c>
      <c r="F12" s="73">
        <v>284486.68</v>
      </c>
      <c r="G12" s="74">
        <v>1986</v>
      </c>
      <c r="H12" s="63">
        <f t="shared" si="2"/>
        <v>164.73297180261832</v>
      </c>
      <c r="I12" s="53"/>
      <c r="J12" s="54"/>
      <c r="K12" s="54"/>
      <c r="L12" s="54">
        <f>J12/18426</f>
        <v>0</v>
      </c>
      <c r="M12" s="73">
        <v>9190.5499999999993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125528.74449999999</v>
      </c>
      <c r="C13" s="18">
        <v>128569.5745</v>
      </c>
      <c r="D13" s="73">
        <v>109126.3518</v>
      </c>
      <c r="E13" s="86">
        <f t="shared" si="0"/>
        <v>0.15030643313414591</v>
      </c>
      <c r="F13" s="73">
        <v>109155.43</v>
      </c>
      <c r="G13" s="74">
        <v>938</v>
      </c>
      <c r="H13" s="63">
        <f t="shared" si="2"/>
        <v>133.82595362473347</v>
      </c>
      <c r="I13" s="53"/>
      <c r="J13" s="54">
        <f>I13</f>
        <v>0</v>
      </c>
      <c r="K13" s="54"/>
      <c r="L13" s="54">
        <f>J13/21444</f>
        <v>0</v>
      </c>
      <c r="M13" s="73">
        <v>8865.52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211024.48249999998</v>
      </c>
      <c r="C14" s="18">
        <v>225445.37899999999</v>
      </c>
      <c r="D14" s="73">
        <v>165258.96</v>
      </c>
      <c r="E14" s="86">
        <f t="shared" si="0"/>
        <v>0.27693217057640923</v>
      </c>
      <c r="F14" s="73">
        <v>183499.55</v>
      </c>
      <c r="G14" s="74">
        <v>1351</v>
      </c>
      <c r="H14" s="63">
        <f t="shared" si="2"/>
        <v>156.19872871946706</v>
      </c>
      <c r="I14" s="53"/>
      <c r="J14" s="54"/>
      <c r="K14" s="54"/>
      <c r="L14" s="54">
        <f>J14/18876</f>
        <v>0</v>
      </c>
      <c r="M14" s="73">
        <v>6523.5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67894.010499999989</v>
      </c>
      <c r="C15" s="18">
        <v>47655.94249999999</v>
      </c>
      <c r="D15" s="73">
        <v>25653.351599999991</v>
      </c>
      <c r="E15" s="86">
        <f t="shared" si="0"/>
        <v>1.6465941588700639</v>
      </c>
      <c r="F15" s="73">
        <v>59038.27</v>
      </c>
      <c r="G15" s="74">
        <v>463</v>
      </c>
      <c r="H15" s="63">
        <f t="shared" si="2"/>
        <v>146.6393315334773</v>
      </c>
      <c r="I15" s="53"/>
      <c r="J15" s="54"/>
      <c r="K15" s="54"/>
      <c r="L15" s="54">
        <f>J15/15345</f>
        <v>0</v>
      </c>
      <c r="M15" s="73">
        <v>3824.5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114671.20349999999</v>
      </c>
      <c r="C18" s="18">
        <v>123453.466</v>
      </c>
      <c r="D18" s="73">
        <v>0</v>
      </c>
      <c r="E18" s="86">
        <f>IFERROR(SUM(B18-D18)/D18,0)</f>
        <v>0</v>
      </c>
      <c r="F18" s="73">
        <v>99714.09</v>
      </c>
      <c r="G18" s="74">
        <v>786</v>
      </c>
      <c r="H18" s="63">
        <f>IFERROR(B18/G18,0)</f>
        <v>145.89211641221374</v>
      </c>
      <c r="I18" s="53"/>
      <c r="J18" s="54"/>
      <c r="K18" s="54"/>
      <c r="L18" s="54">
        <f>J18/15345</f>
        <v>0</v>
      </c>
      <c r="M18" s="73">
        <v>1766</v>
      </c>
      <c r="N18" s="9"/>
    </row>
    <row r="19" spans="1:14" ht="15.6" customHeight="1" x14ac:dyDescent="0.3">
      <c r="A19" s="40" t="s">
        <v>27</v>
      </c>
      <c r="B19" s="18">
        <f t="shared" si="1"/>
        <v>134713.66800000001</v>
      </c>
      <c r="C19" s="18">
        <v>145407.89749999999</v>
      </c>
      <c r="D19" s="73">
        <v>0</v>
      </c>
      <c r="E19" s="86">
        <f>IFERROR(SUM(B19-D19)/D19,0)</f>
        <v>0</v>
      </c>
      <c r="F19" s="73">
        <v>117142.32</v>
      </c>
      <c r="G19" s="74">
        <v>739</v>
      </c>
      <c r="H19" s="63">
        <f>IFERROR(B19/G19,0)</f>
        <v>182.29183761840326</v>
      </c>
      <c r="I19" s="53"/>
      <c r="J19" s="54"/>
      <c r="K19" s="54"/>
      <c r="L19" s="54">
        <f>J19/15345</f>
        <v>0</v>
      </c>
      <c r="M19" s="73">
        <v>7213.45</v>
      </c>
      <c r="N19" s="9"/>
    </row>
    <row r="20" spans="1:14" ht="15.6" customHeight="1" x14ac:dyDescent="0.3">
      <c r="A20" s="40" t="s">
        <v>28</v>
      </c>
      <c r="B20" s="18">
        <f t="shared" si="1"/>
        <v>211727.19</v>
      </c>
      <c r="C20" s="18">
        <v>190543.592</v>
      </c>
      <c r="D20" s="73">
        <v>0</v>
      </c>
      <c r="E20" s="86">
        <f>IFERROR(SUM(B20-D20)/D20,0)</f>
        <v>0</v>
      </c>
      <c r="F20" s="73">
        <v>184110.6</v>
      </c>
      <c r="G20" s="74">
        <v>1267</v>
      </c>
      <c r="H20" s="63">
        <f>IFERROR(B20/G20,0)</f>
        <v>167.1090686661405</v>
      </c>
      <c r="I20" s="80"/>
      <c r="J20" s="80"/>
      <c r="K20" s="80"/>
      <c r="L20" s="80"/>
      <c r="M20" s="73">
        <v>13293.35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54327.774449999983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0.12068633046698302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2312870.0064999997</v>
      </c>
      <c r="C4" s="3">
        <v>2201735.4440000001</v>
      </c>
      <c r="D4" s="3">
        <v>1618146.9852</v>
      </c>
      <c r="E4" s="76">
        <f>IFERROR((SUM(B4-D4)/D4),0)</f>
        <v>0.42933245722058627</v>
      </c>
      <c r="F4" s="66">
        <f>SUM(F6:F20)</f>
        <v>2011191.3099999998</v>
      </c>
      <c r="G4" s="62">
        <f>SUM(G6:G20)</f>
        <v>14092</v>
      </c>
      <c r="H4" s="85">
        <f>AVERAGE(H5:H20)</f>
        <v>139.16371292674123</v>
      </c>
      <c r="I4" s="46"/>
      <c r="J4" s="46"/>
      <c r="K4" s="29"/>
      <c r="L4" s="28">
        <f>J4/206494</f>
        <v>0</v>
      </c>
      <c r="M4" s="66">
        <f>SUM(M6:M20)</f>
        <v>87098.31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#REF!+#REF!+'Jun 11 - Jun 17'!I5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252186.88099999999</v>
      </c>
      <c r="C6" s="18">
        <v>226121.10750000001</v>
      </c>
      <c r="D6" s="73">
        <v>240390.546</v>
      </c>
      <c r="E6" s="86">
        <f t="shared" si="0"/>
        <v>4.9071542938298379E-2</v>
      </c>
      <c r="F6" s="73">
        <v>219292.94</v>
      </c>
      <c r="G6" s="74">
        <v>1519</v>
      </c>
      <c r="H6" s="63">
        <f t="shared" ref="H6:H15" si="2">IFERROR(B6/G6,0)</f>
        <v>166.02164647794601</v>
      </c>
      <c r="I6" s="53"/>
      <c r="J6" s="54"/>
      <c r="K6" s="54"/>
      <c r="L6" s="54">
        <f>J6/18100</f>
        <v>0</v>
      </c>
      <c r="M6" s="73">
        <v>10981.61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251201.57249999998</v>
      </c>
      <c r="C7" s="18">
        <v>200063.48749999999</v>
      </c>
      <c r="D7" s="73">
        <v>188616.42</v>
      </c>
      <c r="E7" s="86">
        <f t="shared" si="0"/>
        <v>0.33181179294994551</v>
      </c>
      <c r="F7" s="73">
        <v>218436.15</v>
      </c>
      <c r="G7" s="74">
        <v>1361</v>
      </c>
      <c r="H7" s="63">
        <f t="shared" si="2"/>
        <v>184.57132439382806</v>
      </c>
      <c r="I7" s="53"/>
      <c r="J7" s="54"/>
      <c r="K7" s="54"/>
      <c r="L7" s="54">
        <f>J7/19932</f>
        <v>0</v>
      </c>
      <c r="M7" s="73">
        <v>6423.1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117657.93749999999</v>
      </c>
      <c r="C8" s="18">
        <v>123465.1615</v>
      </c>
      <c r="D8" s="73">
        <v>99364.953599999993</v>
      </c>
      <c r="E8" s="86">
        <f t="shared" si="0"/>
        <v>0.18409895277201632</v>
      </c>
      <c r="F8" s="73">
        <v>102311.25</v>
      </c>
      <c r="G8" s="74">
        <v>763</v>
      </c>
      <c r="H8" s="63">
        <f t="shared" si="2"/>
        <v>154.20437418086499</v>
      </c>
      <c r="I8" s="53"/>
      <c r="J8" s="54"/>
      <c r="K8" s="54"/>
      <c r="L8" s="54">
        <f>J8/25490</f>
        <v>0</v>
      </c>
      <c r="M8" s="73">
        <v>4128.3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302908.27499999997</v>
      </c>
      <c r="C9" s="18">
        <v>327882.72149999993</v>
      </c>
      <c r="D9" s="73">
        <v>293901.91800000001</v>
      </c>
      <c r="E9" s="86">
        <f t="shared" si="0"/>
        <v>3.0644090590793489E-2</v>
      </c>
      <c r="F9" s="73">
        <v>263398.5</v>
      </c>
      <c r="G9" s="74">
        <v>1874</v>
      </c>
      <c r="H9" s="63">
        <f t="shared" si="2"/>
        <v>161.63728655282816</v>
      </c>
      <c r="I9" s="53"/>
      <c r="J9" s="54"/>
      <c r="K9" s="54"/>
      <c r="L9" s="54">
        <f>J9/10403</f>
        <v>0</v>
      </c>
      <c r="M9" s="73">
        <v>8852.9500000000007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160493.5055</v>
      </c>
      <c r="C11" s="18">
        <v>131483.98499999999</v>
      </c>
      <c r="D11" s="73">
        <v>144357.74400000001</v>
      </c>
      <c r="E11" s="86">
        <f t="shared" si="0"/>
        <v>0.1117762099413246</v>
      </c>
      <c r="F11" s="73">
        <v>139559.57</v>
      </c>
      <c r="G11" s="74">
        <v>890</v>
      </c>
      <c r="H11" s="63">
        <f t="shared" si="2"/>
        <v>180.32978146067416</v>
      </c>
      <c r="I11" s="53"/>
      <c r="J11" s="54"/>
      <c r="K11" s="54"/>
      <c r="L11" s="54">
        <f>J11/16449</f>
        <v>0</v>
      </c>
      <c r="M11" s="73">
        <v>4228.55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335839.80149999994</v>
      </c>
      <c r="C12" s="18">
        <v>327159.68199999997</v>
      </c>
      <c r="D12" s="73">
        <v>340284.18599999999</v>
      </c>
      <c r="E12" s="86">
        <f t="shared" si="0"/>
        <v>-1.3060802361235923E-2</v>
      </c>
      <c r="F12" s="73">
        <v>292034.61</v>
      </c>
      <c r="G12" s="74">
        <v>1987</v>
      </c>
      <c r="H12" s="63">
        <f t="shared" si="2"/>
        <v>169.01852113739304</v>
      </c>
      <c r="I12" s="53"/>
      <c r="J12" s="54"/>
      <c r="K12" s="54"/>
      <c r="L12" s="54">
        <f>J12/18426</f>
        <v>0</v>
      </c>
      <c r="M12" s="73">
        <v>8927.65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122803.72749999999</v>
      </c>
      <c r="C13" s="18">
        <v>125528.7445</v>
      </c>
      <c r="D13" s="73">
        <v>115199.622</v>
      </c>
      <c r="E13" s="86">
        <f t="shared" si="0"/>
        <v>6.6008076832057574E-2</v>
      </c>
      <c r="F13" s="73">
        <v>106785.85</v>
      </c>
      <c r="G13" s="74">
        <v>868</v>
      </c>
      <c r="H13" s="63">
        <f t="shared" si="2"/>
        <v>141.47894873271889</v>
      </c>
      <c r="I13" s="53"/>
      <c r="J13" s="54">
        <f>I13</f>
        <v>0</v>
      </c>
      <c r="K13" s="54"/>
      <c r="L13" s="54">
        <f>J13/21444</f>
        <v>0</v>
      </c>
      <c r="M13" s="73">
        <v>8436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219619.4215</v>
      </c>
      <c r="C14" s="18">
        <v>211024.48250000001</v>
      </c>
      <c r="D14" s="73">
        <v>135956.856</v>
      </c>
      <c r="E14" s="86">
        <f t="shared" si="0"/>
        <v>0.61536113706542317</v>
      </c>
      <c r="F14" s="73">
        <v>190973.41</v>
      </c>
      <c r="G14" s="74">
        <v>1380</v>
      </c>
      <c r="H14" s="63">
        <f t="shared" si="2"/>
        <v>159.14450833333333</v>
      </c>
      <c r="I14" s="53"/>
      <c r="J14" s="54"/>
      <c r="K14" s="54"/>
      <c r="L14" s="54">
        <f>J14/18876</f>
        <v>0</v>
      </c>
      <c r="M14" s="73">
        <v>5894.6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50724.084999999999</v>
      </c>
      <c r="C15" s="18">
        <v>67894.010499999989</v>
      </c>
      <c r="D15" s="73">
        <v>60074.739599999994</v>
      </c>
      <c r="E15" s="86">
        <f t="shared" si="0"/>
        <v>-0.15565035591098916</v>
      </c>
      <c r="F15" s="73">
        <v>44107.9</v>
      </c>
      <c r="G15" s="74">
        <v>347</v>
      </c>
      <c r="H15" s="63">
        <f t="shared" si="2"/>
        <v>146.17891930835734</v>
      </c>
      <c r="I15" s="53"/>
      <c r="J15" s="54"/>
      <c r="K15" s="54"/>
      <c r="L15" s="54">
        <f>J15/15345</f>
        <v>0</v>
      </c>
      <c r="M15" s="73">
        <v>3261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148960.81099999999</v>
      </c>
      <c r="C18" s="18">
        <v>114671.2035</v>
      </c>
      <c r="D18" s="73">
        <v>0</v>
      </c>
      <c r="E18" s="86">
        <f>IFERROR(SUM(B18-D18)/D18,0)</f>
        <v>0</v>
      </c>
      <c r="F18" s="73">
        <v>129531.14</v>
      </c>
      <c r="G18" s="74">
        <v>1102</v>
      </c>
      <c r="H18" s="63">
        <f>IFERROR(B18/G18,0)</f>
        <v>135.17314972776768</v>
      </c>
      <c r="I18" s="53"/>
      <c r="J18" s="54"/>
      <c r="K18" s="54"/>
      <c r="L18" s="54">
        <f>J18/15345</f>
        <v>0</v>
      </c>
      <c r="M18" s="73">
        <v>3797.15</v>
      </c>
      <c r="N18" s="9"/>
    </row>
    <row r="19" spans="1:14" ht="15.6" customHeight="1" x14ac:dyDescent="0.3">
      <c r="A19" s="40" t="s">
        <v>27</v>
      </c>
      <c r="B19" s="18">
        <f t="shared" si="1"/>
        <v>131624.4345</v>
      </c>
      <c r="C19" s="18">
        <v>134713.66800000001</v>
      </c>
      <c r="D19" s="73">
        <v>0</v>
      </c>
      <c r="E19" s="86">
        <f>IFERROR(SUM(B19-D19)/D19,0)</f>
        <v>0</v>
      </c>
      <c r="F19" s="73">
        <v>114456.03</v>
      </c>
      <c r="G19" s="74">
        <v>749</v>
      </c>
      <c r="H19" s="63">
        <f>IFERROR(B19/G19,0)</f>
        <v>175.73355740987984</v>
      </c>
      <c r="I19" s="53"/>
      <c r="J19" s="54"/>
      <c r="K19" s="54"/>
      <c r="L19" s="54">
        <f>J19/15345</f>
        <v>0</v>
      </c>
      <c r="M19" s="73">
        <v>6307.25</v>
      </c>
      <c r="N19" s="9"/>
    </row>
    <row r="20" spans="1:14" ht="15.6" customHeight="1" x14ac:dyDescent="0.3">
      <c r="A20" s="40" t="s">
        <v>28</v>
      </c>
      <c r="B20" s="18">
        <f t="shared" si="1"/>
        <v>218849.55399999997</v>
      </c>
      <c r="C20" s="18">
        <v>211727.19</v>
      </c>
      <c r="D20" s="73">
        <v>0</v>
      </c>
      <c r="E20" s="86">
        <f>IFERROR(SUM(B20-D20)/D20,0)</f>
        <v>0</v>
      </c>
      <c r="F20" s="73">
        <v>190303.96</v>
      </c>
      <c r="G20" s="74">
        <v>1252</v>
      </c>
      <c r="H20" s="63">
        <f>IFERROR(B20/G20,0)</f>
        <v>174.79996325878591</v>
      </c>
      <c r="I20" s="80"/>
      <c r="J20" s="80"/>
      <c r="K20" s="80"/>
      <c r="L20" s="80"/>
      <c r="M20" s="73">
        <v>15860.15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77399.171969999981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4" sqref="F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1.1896591610997872E-2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2176873.8125</v>
      </c>
      <c r="C4" s="3">
        <v>2312870.0065000001</v>
      </c>
      <c r="D4" s="3">
        <v>1701687.3707999999</v>
      </c>
      <c r="E4" s="76">
        <f>IFERROR((SUM(B4-D4)/D4),0)</f>
        <v>0.27924426651683071</v>
      </c>
      <c r="F4" s="66">
        <f>SUM(F6:F20)</f>
        <v>1892933.7499999998</v>
      </c>
      <c r="G4" s="62">
        <f>SUM(G6:G20)</f>
        <v>13629</v>
      </c>
      <c r="H4" s="85">
        <f>AVERAGE(H5:H20)</f>
        <v>135.60255434120162</v>
      </c>
      <c r="I4" s="46"/>
      <c r="J4" s="46"/>
      <c r="K4" s="29"/>
      <c r="L4" s="28">
        <f>J4/206494</f>
        <v>0</v>
      </c>
      <c r="M4" s="66">
        <f>SUM(M6:M20)</f>
        <v>69797.651000000013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#REF!+#REF!+'Jun 18 - Jun 24'!I5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255010.49899999998</v>
      </c>
      <c r="C6" s="18">
        <v>252186.88099999999</v>
      </c>
      <c r="D6" s="73">
        <v>248213.34</v>
      </c>
      <c r="E6" s="86">
        <f t="shared" si="0"/>
        <v>2.7384342034154914E-2</v>
      </c>
      <c r="F6" s="73">
        <v>221748.26</v>
      </c>
      <c r="G6" s="74">
        <v>1636</v>
      </c>
      <c r="H6" s="63">
        <f t="shared" ref="H6:H15" si="2">IFERROR(B6/G6,0)</f>
        <v>155.87438814180928</v>
      </c>
      <c r="I6" s="53"/>
      <c r="J6" s="54"/>
      <c r="K6" s="54"/>
      <c r="L6" s="54">
        <f>J6/18100</f>
        <v>0</v>
      </c>
      <c r="M6" s="73">
        <v>6336.4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300945.67349999998</v>
      </c>
      <c r="C7" s="18">
        <v>251201.57250000001</v>
      </c>
      <c r="D7" s="73">
        <v>206469.27600000001</v>
      </c>
      <c r="E7" s="86">
        <f t="shared" si="0"/>
        <v>0.45758090177058575</v>
      </c>
      <c r="F7" s="73">
        <v>261691.89</v>
      </c>
      <c r="G7" s="74">
        <v>1539</v>
      </c>
      <c r="H7" s="63">
        <f t="shared" si="2"/>
        <v>195.54624658869395</v>
      </c>
      <c r="I7" s="53"/>
      <c r="J7" s="54"/>
      <c r="K7" s="54"/>
      <c r="L7" s="54">
        <f>J7/19932</f>
        <v>0</v>
      </c>
      <c r="M7" s="73">
        <v>4362.05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113351.63599999998</v>
      </c>
      <c r="C8" s="18">
        <v>117657.9375</v>
      </c>
      <c r="D8" s="73">
        <v>107665.4304</v>
      </c>
      <c r="E8" s="86">
        <f t="shared" si="0"/>
        <v>5.281366153346085E-2</v>
      </c>
      <c r="F8" s="73">
        <v>98566.64</v>
      </c>
      <c r="G8" s="74">
        <v>720</v>
      </c>
      <c r="H8" s="63">
        <f t="shared" si="2"/>
        <v>157.43282777777776</v>
      </c>
      <c r="I8" s="53"/>
      <c r="J8" s="54"/>
      <c r="K8" s="54"/>
      <c r="L8" s="54">
        <f>J8/25490</f>
        <v>0</v>
      </c>
      <c r="M8" s="73">
        <v>5344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294870.98249999998</v>
      </c>
      <c r="C9" s="18">
        <v>302908.27500000002</v>
      </c>
      <c r="D9" s="73">
        <v>309815.06400000001</v>
      </c>
      <c r="E9" s="86">
        <f t="shared" si="0"/>
        <v>-4.8235490253630886E-2</v>
      </c>
      <c r="F9" s="73">
        <v>256409.55</v>
      </c>
      <c r="G9" s="74">
        <v>1906</v>
      </c>
      <c r="H9" s="63">
        <f t="shared" si="2"/>
        <v>154.70670645330534</v>
      </c>
      <c r="I9" s="53"/>
      <c r="J9" s="54"/>
      <c r="K9" s="54"/>
      <c r="L9" s="54">
        <f>J9/10403</f>
        <v>0</v>
      </c>
      <c r="M9" s="73">
        <v>12609.9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153460.10550000001</v>
      </c>
      <c r="C11" s="18">
        <v>160493.5055</v>
      </c>
      <c r="D11" s="73">
        <v>148009.04999999999</v>
      </c>
      <c r="E11" s="86">
        <f t="shared" si="0"/>
        <v>3.6829204025024265E-2</v>
      </c>
      <c r="F11" s="73">
        <v>133443.57</v>
      </c>
      <c r="G11" s="74">
        <v>855</v>
      </c>
      <c r="H11" s="63">
        <f t="shared" si="2"/>
        <v>179.48550350877193</v>
      </c>
      <c r="I11" s="53"/>
      <c r="J11" s="54"/>
      <c r="K11" s="54"/>
      <c r="L11" s="54">
        <f>J11/16449</f>
        <v>0</v>
      </c>
      <c r="M11" s="73">
        <v>7091.3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255010.49899999998</v>
      </c>
      <c r="C12" s="18">
        <v>335839.80149999988</v>
      </c>
      <c r="D12" s="73">
        <v>339472.05</v>
      </c>
      <c r="E12" s="86">
        <f t="shared" si="0"/>
        <v>-0.24880266578647642</v>
      </c>
      <c r="F12" s="73">
        <v>221748.26</v>
      </c>
      <c r="G12" s="74">
        <v>1636</v>
      </c>
      <c r="H12" s="63">
        <f t="shared" si="2"/>
        <v>155.87438814180928</v>
      </c>
      <c r="I12" s="53"/>
      <c r="J12" s="54"/>
      <c r="K12" s="54"/>
      <c r="L12" s="54">
        <f>J12/18426</f>
        <v>0</v>
      </c>
      <c r="M12" s="73">
        <v>6336.4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109295.85049999999</v>
      </c>
      <c r="C13" s="18">
        <v>122803.72749999999</v>
      </c>
      <c r="D13" s="73">
        <v>110395.5024</v>
      </c>
      <c r="E13" s="86">
        <f t="shared" si="0"/>
        <v>-9.9610208395592356E-3</v>
      </c>
      <c r="F13" s="73">
        <v>95039.87</v>
      </c>
      <c r="G13" s="74">
        <v>746</v>
      </c>
      <c r="H13" s="63">
        <f t="shared" si="2"/>
        <v>146.50918297587128</v>
      </c>
      <c r="I13" s="53"/>
      <c r="J13" s="54">
        <f>I13</f>
        <v>0</v>
      </c>
      <c r="K13" s="54"/>
      <c r="L13" s="54">
        <f>J13/21444</f>
        <v>0</v>
      </c>
      <c r="M13" s="73">
        <v>6832.75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198512.30999999997</v>
      </c>
      <c r="C14" s="18">
        <v>219619.4215</v>
      </c>
      <c r="D14" s="73">
        <v>163999.37400000001</v>
      </c>
      <c r="E14" s="86">
        <f t="shared" si="0"/>
        <v>0.21044553499332233</v>
      </c>
      <c r="F14" s="73">
        <v>172619.4</v>
      </c>
      <c r="G14" s="74">
        <v>1332</v>
      </c>
      <c r="H14" s="63">
        <f t="shared" si="2"/>
        <v>149.03326576576575</v>
      </c>
      <c r="I14" s="53"/>
      <c r="J14" s="54"/>
      <c r="K14" s="54"/>
      <c r="L14" s="54">
        <f>J14/18876</f>
        <v>0</v>
      </c>
      <c r="M14" s="73">
        <v>5135.8010000000004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41474.094499999999</v>
      </c>
      <c r="C15" s="18">
        <v>50724.084999999999</v>
      </c>
      <c r="D15" s="73">
        <v>67648.284</v>
      </c>
      <c r="E15" s="86">
        <f t="shared" si="0"/>
        <v>-0.38691579375465018</v>
      </c>
      <c r="F15" s="73">
        <v>36064.43</v>
      </c>
      <c r="G15" s="74">
        <v>311</v>
      </c>
      <c r="H15" s="63">
        <f t="shared" si="2"/>
        <v>133.35721704180065</v>
      </c>
      <c r="I15" s="53"/>
      <c r="J15" s="54"/>
      <c r="K15" s="54"/>
      <c r="L15" s="54">
        <f>J15/15345</f>
        <v>0</v>
      </c>
      <c r="M15" s="73">
        <v>1639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139389.522</v>
      </c>
      <c r="C18" s="18">
        <v>148960.81099999999</v>
      </c>
      <c r="D18" s="73">
        <v>0</v>
      </c>
      <c r="E18" s="86">
        <f>IFERROR(SUM(B18-D18)/D18,0)</f>
        <v>0</v>
      </c>
      <c r="F18" s="73">
        <v>121208.28</v>
      </c>
      <c r="G18" s="74">
        <v>1110</v>
      </c>
      <c r="H18" s="63">
        <f>IFERROR(B18/G18,0)</f>
        <v>125.57614594594594</v>
      </c>
      <c r="I18" s="53"/>
      <c r="J18" s="54"/>
      <c r="K18" s="54"/>
      <c r="L18" s="54">
        <f>J18/15345</f>
        <v>0</v>
      </c>
      <c r="M18" s="73">
        <v>3215.15</v>
      </c>
      <c r="N18" s="9"/>
    </row>
    <row r="19" spans="1:14" ht="15.6" customHeight="1" x14ac:dyDescent="0.3">
      <c r="A19" s="40" t="s">
        <v>27</v>
      </c>
      <c r="B19" s="18">
        <f t="shared" si="1"/>
        <v>124161.62449999999</v>
      </c>
      <c r="C19" s="18">
        <v>131624.4345</v>
      </c>
      <c r="D19" s="73">
        <v>0</v>
      </c>
      <c r="E19" s="86">
        <f>IFERROR(SUM(B19-D19)/D19,0)</f>
        <v>0</v>
      </c>
      <c r="F19" s="73">
        <v>107966.63</v>
      </c>
      <c r="G19" s="74">
        <v>705</v>
      </c>
      <c r="H19" s="63">
        <f>IFERROR(B19/G19,0)</f>
        <v>176.11577943262409</v>
      </c>
      <c r="I19" s="53"/>
      <c r="J19" s="54"/>
      <c r="K19" s="54"/>
      <c r="L19" s="54">
        <f>J19/15345</f>
        <v>0</v>
      </c>
      <c r="M19" s="73">
        <v>3895.3</v>
      </c>
      <c r="N19" s="9"/>
    </row>
    <row r="20" spans="1:14" ht="15.6" customHeight="1" x14ac:dyDescent="0.3">
      <c r="A20" s="40" t="s">
        <v>28</v>
      </c>
      <c r="B20" s="18">
        <f t="shared" si="1"/>
        <v>191391.01549999998</v>
      </c>
      <c r="C20" s="18">
        <v>218849.554</v>
      </c>
      <c r="D20" s="73">
        <v>0</v>
      </c>
      <c r="E20" s="86">
        <f>IFERROR(SUM(B20-D20)/D20,0)</f>
        <v>0</v>
      </c>
      <c r="F20" s="73">
        <v>166426.97</v>
      </c>
      <c r="G20" s="74">
        <v>1133</v>
      </c>
      <c r="H20" s="63">
        <f>IFERROR(B20/G20,0)</f>
        <v>168.92410900264781</v>
      </c>
      <c r="I20" s="80"/>
      <c r="J20" s="80"/>
      <c r="K20" s="80"/>
      <c r="L20" s="80"/>
      <c r="M20" s="73">
        <v>6999.6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57825.456899999997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8.1383091306486063E-2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2600622.8340000003</v>
      </c>
      <c r="C4" s="3">
        <v>2176873.8125</v>
      </c>
      <c r="D4" s="3">
        <v>1909746.1488000001</v>
      </c>
      <c r="E4" s="76">
        <f>IFERROR((SUM(B4-D4)/D4),0)</f>
        <v>0.36176362268572526</v>
      </c>
      <c r="F4" s="66">
        <f>SUM(F6:F20)</f>
        <v>2261411.16</v>
      </c>
      <c r="G4" s="62">
        <f>SUM(G6:G20)</f>
        <v>16503</v>
      </c>
      <c r="H4" s="85">
        <f>AVERAGE(H5:H20)</f>
        <v>134.182068296084</v>
      </c>
      <c r="I4" s="46"/>
      <c r="J4" s="46"/>
      <c r="K4" s="29"/>
      <c r="L4" s="28">
        <f>J4/206494</f>
        <v>0</v>
      </c>
      <c r="M4" s="66">
        <f>SUM(M6:M20)</f>
        <v>86571.05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#REF!+#REF!+'Jun 25 - Jul 1'!I5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324420.17499999999</v>
      </c>
      <c r="C6" s="18">
        <v>255010.49900000001</v>
      </c>
      <c r="D6" s="73">
        <v>276857.32199999999</v>
      </c>
      <c r="E6" s="86">
        <f t="shared" si="0"/>
        <v>0.17179553950897497</v>
      </c>
      <c r="F6" s="73">
        <v>282104.5</v>
      </c>
      <c r="G6" s="74">
        <v>1893</v>
      </c>
      <c r="H6" s="63">
        <f t="shared" ref="H6:H15" si="2">IFERROR(B6/G6,0)</f>
        <v>171.3788563127311</v>
      </c>
      <c r="I6" s="53"/>
      <c r="J6" s="54"/>
      <c r="K6" s="54"/>
      <c r="L6" s="54">
        <f>J6/18100</f>
        <v>0</v>
      </c>
      <c r="M6" s="73">
        <v>10715.95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283167.83499999996</v>
      </c>
      <c r="C7" s="18">
        <v>300945.67349999998</v>
      </c>
      <c r="D7" s="73">
        <v>227719.21799999999</v>
      </c>
      <c r="E7" s="86">
        <f t="shared" si="0"/>
        <v>0.24349555337046683</v>
      </c>
      <c r="F7" s="73">
        <v>246232.9</v>
      </c>
      <c r="G7" s="74">
        <v>1592</v>
      </c>
      <c r="H7" s="63">
        <f t="shared" si="2"/>
        <v>177.86924309045224</v>
      </c>
      <c r="I7" s="53"/>
      <c r="J7" s="54"/>
      <c r="K7" s="54"/>
      <c r="L7" s="54">
        <f>J7/19932</f>
        <v>0</v>
      </c>
      <c r="M7" s="73">
        <v>5048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128034.09999999999</v>
      </c>
      <c r="C8" s="18">
        <v>113351.636</v>
      </c>
      <c r="D8" s="73">
        <v>114731.652</v>
      </c>
      <c r="E8" s="86">
        <f t="shared" si="0"/>
        <v>0.11594401168388989</v>
      </c>
      <c r="F8" s="73">
        <v>111334</v>
      </c>
      <c r="G8" s="74">
        <v>800</v>
      </c>
      <c r="H8" s="63">
        <f t="shared" si="2"/>
        <v>160.04262499999999</v>
      </c>
      <c r="I8" s="53"/>
      <c r="J8" s="54"/>
      <c r="K8" s="54"/>
      <c r="L8" s="54">
        <f>J8/25490</f>
        <v>0</v>
      </c>
      <c r="M8" s="73">
        <v>3864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412261.08500000002</v>
      </c>
      <c r="C9" s="18">
        <v>294870.98249999998</v>
      </c>
      <c r="D9" s="73">
        <v>332015.42399999988</v>
      </c>
      <c r="E9" s="86">
        <f t="shared" si="0"/>
        <v>0.2416925696801368</v>
      </c>
      <c r="F9" s="73">
        <v>358487.9</v>
      </c>
      <c r="G9" s="74">
        <v>2578</v>
      </c>
      <c r="H9" s="63">
        <f t="shared" si="2"/>
        <v>159.91508339798295</v>
      </c>
      <c r="I9" s="53"/>
      <c r="J9" s="54"/>
      <c r="K9" s="54"/>
      <c r="L9" s="54">
        <f>J9/10403</f>
        <v>0</v>
      </c>
      <c r="M9" s="73">
        <v>8598.5499999999993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149924.465</v>
      </c>
      <c r="C11" s="18">
        <v>153460.10550000001</v>
      </c>
      <c r="D11" s="73">
        <v>193661.49</v>
      </c>
      <c r="E11" s="86">
        <f t="shared" si="0"/>
        <v>-0.22584265462379741</v>
      </c>
      <c r="F11" s="73">
        <v>130369.1</v>
      </c>
      <c r="G11" s="74">
        <v>830</v>
      </c>
      <c r="H11" s="63">
        <f t="shared" si="2"/>
        <v>180.63188554216867</v>
      </c>
      <c r="I11" s="53"/>
      <c r="J11" s="54"/>
      <c r="K11" s="54"/>
      <c r="L11" s="54">
        <f>J11/16449</f>
        <v>0</v>
      </c>
      <c r="M11" s="73">
        <v>8820.5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372551.69999999995</v>
      </c>
      <c r="C12" s="18">
        <v>255010.49900000001</v>
      </c>
      <c r="D12" s="73">
        <v>376781.51400000002</v>
      </c>
      <c r="E12" s="86">
        <f t="shared" si="0"/>
        <v>-1.1226171780816377E-2</v>
      </c>
      <c r="F12" s="73">
        <v>323958</v>
      </c>
      <c r="G12" s="74">
        <v>2138</v>
      </c>
      <c r="H12" s="63">
        <f t="shared" si="2"/>
        <v>174.2524321796071</v>
      </c>
      <c r="I12" s="53"/>
      <c r="J12" s="54"/>
      <c r="K12" s="54"/>
      <c r="L12" s="54">
        <f>J12/18426</f>
        <v>0</v>
      </c>
      <c r="M12" s="73">
        <v>9805.5499999999993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121594.55999999998</v>
      </c>
      <c r="C13" s="18">
        <v>109295.8505</v>
      </c>
      <c r="D13" s="73">
        <v>128776.908</v>
      </c>
      <c r="E13" s="86">
        <f t="shared" si="0"/>
        <v>-5.5773570833056597E-2</v>
      </c>
      <c r="F13" s="73">
        <v>105734.39999999999</v>
      </c>
      <c r="G13" s="74">
        <v>799</v>
      </c>
      <c r="H13" s="63">
        <f t="shared" si="2"/>
        <v>152.18342928660823</v>
      </c>
      <c r="I13" s="53"/>
      <c r="J13" s="54">
        <f>I13</f>
        <v>0</v>
      </c>
      <c r="K13" s="54"/>
      <c r="L13" s="54">
        <f>J13/21444</f>
        <v>0</v>
      </c>
      <c r="M13" s="73">
        <v>7126.9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227722.76999999996</v>
      </c>
      <c r="C14" s="18">
        <v>198512.31</v>
      </c>
      <c r="D14" s="73">
        <v>191629.78200000001</v>
      </c>
      <c r="E14" s="86">
        <f t="shared" si="0"/>
        <v>0.18834748765721579</v>
      </c>
      <c r="F14" s="73">
        <v>198019.8</v>
      </c>
      <c r="G14" s="74">
        <v>1527</v>
      </c>
      <c r="H14" s="63">
        <f t="shared" si="2"/>
        <v>149.13082514734771</v>
      </c>
      <c r="I14" s="53"/>
      <c r="J14" s="54"/>
      <c r="K14" s="54"/>
      <c r="L14" s="54">
        <f>J14/18876</f>
        <v>0</v>
      </c>
      <c r="M14" s="73">
        <v>7087.1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45490.503999999994</v>
      </c>
      <c r="C15" s="18">
        <v>41474.094499999999</v>
      </c>
      <c r="D15" s="73">
        <v>67572.838799999998</v>
      </c>
      <c r="E15" s="86">
        <f t="shared" si="0"/>
        <v>-0.3267930605277457</v>
      </c>
      <c r="F15" s="73">
        <v>39556.959999999999</v>
      </c>
      <c r="G15" s="74">
        <v>412</v>
      </c>
      <c r="H15" s="63">
        <f t="shared" si="2"/>
        <v>110.41384466019416</v>
      </c>
      <c r="I15" s="53"/>
      <c r="J15" s="54"/>
      <c r="K15" s="54"/>
      <c r="L15" s="54">
        <f>J15/15345</f>
        <v>0</v>
      </c>
      <c r="M15" s="73">
        <v>4736.5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206561.04499999998</v>
      </c>
      <c r="C18" s="18">
        <v>139389.522</v>
      </c>
      <c r="D18" s="73">
        <v>0</v>
      </c>
      <c r="E18" s="86">
        <f>IFERROR(SUM(B18-D18)/D18,0)</f>
        <v>0</v>
      </c>
      <c r="F18" s="73">
        <v>179618.3</v>
      </c>
      <c r="G18" s="74">
        <v>2001</v>
      </c>
      <c r="H18" s="63">
        <f>IFERROR(B18/G18,0)</f>
        <v>103.22890804597701</v>
      </c>
      <c r="I18" s="53"/>
      <c r="J18" s="54"/>
      <c r="K18" s="54"/>
      <c r="L18" s="54">
        <f>J18/15345</f>
        <v>0</v>
      </c>
      <c r="M18" s="73">
        <v>3585.5</v>
      </c>
      <c r="N18" s="9"/>
    </row>
    <row r="19" spans="1:14" ht="15.6" customHeight="1" x14ac:dyDescent="0.3">
      <c r="A19" s="40" t="s">
        <v>27</v>
      </c>
      <c r="B19" s="18">
        <f t="shared" si="1"/>
        <v>138414.11499999999</v>
      </c>
      <c r="C19" s="18">
        <v>124161.62450000001</v>
      </c>
      <c r="D19" s="73">
        <v>0</v>
      </c>
      <c r="E19" s="86">
        <f>IFERROR(SUM(B19-D19)/D19,0)</f>
        <v>0</v>
      </c>
      <c r="F19" s="73">
        <v>120360.1</v>
      </c>
      <c r="G19" s="74">
        <v>829</v>
      </c>
      <c r="H19" s="63">
        <f>IFERROR(B19/G19,0)</f>
        <v>166.96515681544028</v>
      </c>
      <c r="I19" s="53"/>
      <c r="J19" s="54"/>
      <c r="K19" s="54"/>
      <c r="L19" s="54">
        <f>J19/15345</f>
        <v>0</v>
      </c>
      <c r="M19" s="73">
        <v>7284.5</v>
      </c>
      <c r="N19" s="9"/>
    </row>
    <row r="20" spans="1:14" ht="15.6" customHeight="1" x14ac:dyDescent="0.3">
      <c r="A20" s="40" t="s">
        <v>28</v>
      </c>
      <c r="B20" s="18">
        <f t="shared" si="1"/>
        <v>190480.48</v>
      </c>
      <c r="C20" s="18">
        <v>191391.01550000001</v>
      </c>
      <c r="D20" s="73">
        <v>0</v>
      </c>
      <c r="E20" s="86">
        <f>IFERROR(SUM(B20-D20)/D20,0)</f>
        <v>0</v>
      </c>
      <c r="F20" s="73">
        <v>165635.20000000001</v>
      </c>
      <c r="G20" s="74">
        <v>1104</v>
      </c>
      <c r="H20" s="63">
        <f>IFERROR(B20/G20,0)</f>
        <v>172.53666666666669</v>
      </c>
      <c r="I20" s="80"/>
      <c r="J20" s="80"/>
      <c r="K20" s="80"/>
      <c r="L20" s="80"/>
      <c r="M20" s="73">
        <v>9898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47280.467729999997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4" sqref="F4:M20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7.4359972948124048E-2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2388360.1809999994</v>
      </c>
      <c r="C4" s="3">
        <v>2600622.8339999998</v>
      </c>
      <c r="D4" s="3">
        <v>1730906.6651999999</v>
      </c>
      <c r="E4" s="76">
        <f>IFERROR((SUM(B4-D4)/D4),0)</f>
        <v>0.37983187020891918</v>
      </c>
      <c r="F4" s="66">
        <f>SUM(F6:F20)</f>
        <v>2076834.94</v>
      </c>
      <c r="G4" s="62">
        <f>SUM(G6:G20)</f>
        <v>14985</v>
      </c>
      <c r="H4" s="85">
        <f>AVERAGE(H5:H20)</f>
        <v>136.70165162604422</v>
      </c>
      <c r="I4" s="46"/>
      <c r="J4" s="46"/>
      <c r="K4" s="29"/>
      <c r="L4" s="28">
        <f>J4/206494</f>
        <v>0</v>
      </c>
      <c r="M4" s="66">
        <f>SUM(M6:M20)</f>
        <v>94644.64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#REF!+#REF!+'Jul 2 - Jul 8'!I5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282378.00349999999</v>
      </c>
      <c r="C6" s="18">
        <v>324420.17499999999</v>
      </c>
      <c r="D6" s="73">
        <v>290486.478</v>
      </c>
      <c r="E6" s="86">
        <f t="shared" si="0"/>
        <v>-2.7913431825904167E-2</v>
      </c>
      <c r="F6" s="73">
        <v>245546.09</v>
      </c>
      <c r="G6" s="74">
        <v>1735</v>
      </c>
      <c r="H6" s="63">
        <f t="shared" ref="H6:H15" si="2">IFERROR(B6/G6,0)</f>
        <v>162.7538925072046</v>
      </c>
      <c r="I6" s="53"/>
      <c r="J6" s="54"/>
      <c r="K6" s="54"/>
      <c r="L6" s="54">
        <f>J6/18100</f>
        <v>0</v>
      </c>
      <c r="M6" s="73">
        <v>8446.15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241097.84499999997</v>
      </c>
      <c r="C7" s="18">
        <v>283167.83500000002</v>
      </c>
      <c r="D7" s="73">
        <v>179896.10399999999</v>
      </c>
      <c r="E7" s="86">
        <f t="shared" si="0"/>
        <v>0.34020603914801834</v>
      </c>
      <c r="F7" s="73">
        <v>209650.3</v>
      </c>
      <c r="G7" s="74">
        <v>1227</v>
      </c>
      <c r="H7" s="63">
        <f t="shared" si="2"/>
        <v>196.49376120619394</v>
      </c>
      <c r="I7" s="53"/>
      <c r="J7" s="54"/>
      <c r="K7" s="54"/>
      <c r="L7" s="54">
        <f>J7/19932</f>
        <v>0</v>
      </c>
      <c r="M7" s="73">
        <v>8423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109274.08099999999</v>
      </c>
      <c r="C8" s="18">
        <v>128034.1</v>
      </c>
      <c r="D8" s="73">
        <v>110253.4584</v>
      </c>
      <c r="E8" s="86">
        <f t="shared" si="0"/>
        <v>-8.8829630762857961E-3</v>
      </c>
      <c r="F8" s="73">
        <v>95020.94</v>
      </c>
      <c r="G8" s="74">
        <v>631</v>
      </c>
      <c r="H8" s="63">
        <f t="shared" si="2"/>
        <v>173.17603961965133</v>
      </c>
      <c r="I8" s="53"/>
      <c r="J8" s="54"/>
      <c r="K8" s="54"/>
      <c r="L8" s="54">
        <f>J8/25490</f>
        <v>0</v>
      </c>
      <c r="M8" s="73">
        <v>9191.7999999999993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328733.27299999999</v>
      </c>
      <c r="C9" s="18">
        <v>412261.08500000002</v>
      </c>
      <c r="D9" s="73">
        <v>332856.67560000002</v>
      </c>
      <c r="E9" s="86">
        <f t="shared" si="0"/>
        <v>-1.2387922196745121E-2</v>
      </c>
      <c r="F9" s="73">
        <v>285855.02</v>
      </c>
      <c r="G9" s="74">
        <v>2056</v>
      </c>
      <c r="H9" s="63">
        <f t="shared" si="2"/>
        <v>159.88972422178989</v>
      </c>
      <c r="I9" s="53"/>
      <c r="J9" s="54"/>
      <c r="K9" s="54"/>
      <c r="L9" s="54">
        <f>J9/10403</f>
        <v>0</v>
      </c>
      <c r="M9" s="73">
        <v>11140.8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154008</v>
      </c>
      <c r="C11" s="18">
        <v>149924.465</v>
      </c>
      <c r="D11" s="73">
        <v>138932.94</v>
      </c>
      <c r="E11" s="86">
        <f t="shared" si="0"/>
        <v>0.10850601736348484</v>
      </c>
      <c r="F11" s="73">
        <v>133920</v>
      </c>
      <c r="G11" s="74">
        <v>892</v>
      </c>
      <c r="H11" s="63">
        <f t="shared" si="2"/>
        <v>172.65470852017938</v>
      </c>
      <c r="I11" s="53"/>
      <c r="J11" s="54"/>
      <c r="K11" s="54"/>
      <c r="L11" s="54">
        <f>J11/16449</f>
        <v>0</v>
      </c>
      <c r="M11" s="73">
        <v>9039.7000000000007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338962.03999999992</v>
      </c>
      <c r="C12" s="18">
        <v>372551.7</v>
      </c>
      <c r="D12" s="73">
        <v>338414.66580000002</v>
      </c>
      <c r="E12" s="86">
        <f t="shared" si="0"/>
        <v>1.6174659532143237E-3</v>
      </c>
      <c r="F12" s="73">
        <v>294749.59999999998</v>
      </c>
      <c r="G12" s="74">
        <v>2001</v>
      </c>
      <c r="H12" s="63">
        <f t="shared" si="2"/>
        <v>169.39632183908043</v>
      </c>
      <c r="I12" s="53"/>
      <c r="J12" s="54"/>
      <c r="K12" s="54"/>
      <c r="L12" s="54">
        <f>J12/18426</f>
        <v>0</v>
      </c>
      <c r="M12" s="73">
        <v>10400.549999999999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110776.7055</v>
      </c>
      <c r="C13" s="18">
        <v>121594.56</v>
      </c>
      <c r="D13" s="73">
        <v>106864.455</v>
      </c>
      <c r="E13" s="86">
        <f t="shared" si="0"/>
        <v>3.6609464765435751E-2</v>
      </c>
      <c r="F13" s="73">
        <v>96327.57</v>
      </c>
      <c r="G13" s="74">
        <v>807</v>
      </c>
      <c r="H13" s="63">
        <f t="shared" si="2"/>
        <v>137.26977137546467</v>
      </c>
      <c r="I13" s="53"/>
      <c r="J13" s="54">
        <f>I13</f>
        <v>0</v>
      </c>
      <c r="K13" s="54"/>
      <c r="L13" s="54">
        <f>J13/21444</f>
        <v>0</v>
      </c>
      <c r="M13" s="73">
        <v>8722.5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210470.34349999999</v>
      </c>
      <c r="C14" s="18">
        <v>227722.77</v>
      </c>
      <c r="D14" s="73">
        <v>176645.052</v>
      </c>
      <c r="E14" s="86">
        <f t="shared" si="0"/>
        <v>0.19148734208530219</v>
      </c>
      <c r="F14" s="73">
        <v>183017.69</v>
      </c>
      <c r="G14" s="74">
        <v>1409</v>
      </c>
      <c r="H14" s="63">
        <f t="shared" si="2"/>
        <v>149.37568736692688</v>
      </c>
      <c r="I14" s="53"/>
      <c r="J14" s="54"/>
      <c r="K14" s="54"/>
      <c r="L14" s="54">
        <f>J14/18876</f>
        <v>0</v>
      </c>
      <c r="M14" s="73">
        <v>6055.55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83916.546499999997</v>
      </c>
      <c r="C15" s="18">
        <v>45490.503999999994</v>
      </c>
      <c r="D15" s="73">
        <v>56556.8364</v>
      </c>
      <c r="E15" s="86">
        <f t="shared" si="0"/>
        <v>0.48375602034204296</v>
      </c>
      <c r="F15" s="73">
        <v>72970.91</v>
      </c>
      <c r="G15" s="74">
        <v>622</v>
      </c>
      <c r="H15" s="63">
        <f t="shared" si="2"/>
        <v>134.91406189710611</v>
      </c>
      <c r="I15" s="53"/>
      <c r="J15" s="54"/>
      <c r="K15" s="54"/>
      <c r="L15" s="54">
        <f>J15/15345</f>
        <v>0</v>
      </c>
      <c r="M15" s="73">
        <v>5842.75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224616.758</v>
      </c>
      <c r="C18" s="18">
        <v>206561.04500000001</v>
      </c>
      <c r="D18" s="73">
        <v>0</v>
      </c>
      <c r="E18" s="86">
        <f>IFERROR(SUM(B18-D18)/D18,0)</f>
        <v>0</v>
      </c>
      <c r="F18" s="73">
        <v>195318.92</v>
      </c>
      <c r="G18" s="74">
        <v>1800</v>
      </c>
      <c r="H18" s="63">
        <f>IFERROR(B18/G18,0)</f>
        <v>124.78708777777778</v>
      </c>
      <c r="I18" s="53"/>
      <c r="J18" s="54"/>
      <c r="K18" s="54"/>
      <c r="L18" s="54">
        <f>J18/15345</f>
        <v>0</v>
      </c>
      <c r="M18" s="73">
        <v>5348.9</v>
      </c>
      <c r="N18" s="9"/>
    </row>
    <row r="19" spans="1:14" ht="15.6" customHeight="1" x14ac:dyDescent="0.3">
      <c r="A19" s="40" t="s">
        <v>27</v>
      </c>
      <c r="B19" s="18">
        <f t="shared" si="1"/>
        <v>116426.1495</v>
      </c>
      <c r="C19" s="18">
        <v>138414.11499999999</v>
      </c>
      <c r="D19" s="73">
        <v>0</v>
      </c>
      <c r="E19" s="86">
        <f>IFERROR(SUM(B19-D19)/D19,0)</f>
        <v>0</v>
      </c>
      <c r="F19" s="73">
        <v>101240.13</v>
      </c>
      <c r="G19" s="74">
        <v>751</v>
      </c>
      <c r="H19" s="63">
        <f>IFERROR(B19/G19,0)</f>
        <v>155.02816178428762</v>
      </c>
      <c r="I19" s="53"/>
      <c r="J19" s="54"/>
      <c r="K19" s="54"/>
      <c r="L19" s="54">
        <f>J19/15345</f>
        <v>0</v>
      </c>
      <c r="M19" s="73">
        <v>4670.99</v>
      </c>
      <c r="N19" s="9"/>
    </row>
    <row r="20" spans="1:14" ht="15.6" customHeight="1" x14ac:dyDescent="0.3">
      <c r="A20" s="40" t="s">
        <v>28</v>
      </c>
      <c r="B20" s="18">
        <f t="shared" si="1"/>
        <v>187700.43549999996</v>
      </c>
      <c r="C20" s="18">
        <v>190480.48</v>
      </c>
      <c r="D20" s="73">
        <v>0</v>
      </c>
      <c r="E20" s="86">
        <f>IFERROR(SUM(B20-D20)/D20,0)</f>
        <v>0</v>
      </c>
      <c r="F20" s="73">
        <v>163217.76999999999</v>
      </c>
      <c r="G20" s="74">
        <v>1054</v>
      </c>
      <c r="H20" s="63">
        <f>IFERROR(B20/G20,0)</f>
        <v>178.08390464895632</v>
      </c>
      <c r="I20" s="80"/>
      <c r="J20" s="80"/>
      <c r="K20" s="80"/>
      <c r="L20" s="80"/>
      <c r="M20" s="73">
        <v>7361.95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51859.174559999985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B1" activePane="topRight" state="frozen"/>
      <selection pane="topRight" activeCell="F21" sqref="F2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hidden="1" customWidth="1"/>
    <col min="10" max="10" width="9.33203125" style="69" hidden="1" customWidth="1"/>
    <col min="11" max="11" width="11.5546875" style="69" hidden="1" customWidth="1"/>
    <col min="12" max="12" width="13.332031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>
        <v>8053.9</v>
      </c>
      <c r="I1" s="7"/>
      <c r="J1" s="7"/>
      <c r="K1" s="7"/>
      <c r="L1" s="7"/>
      <c r="M1" s="81">
        <v>1.1399999999999999</v>
      </c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7.753100713699565E-2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9</v>
      </c>
      <c r="K3" s="15" t="s">
        <v>10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2428497.0324999997</v>
      </c>
      <c r="C4" s="3">
        <v>2388360.1809999989</v>
      </c>
      <c r="D4" s="3">
        <v>1775345.6891999999</v>
      </c>
      <c r="E4" s="76">
        <f>IFERROR((SUM(B4-D4)/D4),0)</f>
        <v>0.36790093741930374</v>
      </c>
      <c r="F4" s="66">
        <f>SUM(F6:F20)</f>
        <v>2111736.5499999998</v>
      </c>
      <c r="G4" s="62">
        <f>SUM(G6:G20)</f>
        <v>15583</v>
      </c>
      <c r="H4" s="85">
        <f>AVERAGE(H5:H20)</f>
        <v>132.70827395857069</v>
      </c>
      <c r="I4" s="46"/>
      <c r="J4" s="46"/>
      <c r="K4" s="29"/>
      <c r="L4" s="28">
        <f>J4/206494</f>
        <v>0</v>
      </c>
      <c r="M4" s="66">
        <f>SUM(M6:M20)</f>
        <v>91340.39999999998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0">IFERROR(SUM(B5-D5)/D5,0)</f>
        <v>0</v>
      </c>
      <c r="F5" s="67"/>
      <c r="G5" s="68"/>
      <c r="H5" s="84"/>
      <c r="I5" s="49"/>
      <c r="J5" s="46" t="e">
        <f>#REF!+#REF!+'Jul 9 - Jul 15'!I5</f>
        <v>#REF!</v>
      </c>
      <c r="K5" s="20"/>
      <c r="L5" s="28" t="e">
        <f>J5/206494</f>
        <v>#REF!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1">F6*1.15</f>
        <v>295284.11999999994</v>
      </c>
      <c r="C6" s="18">
        <v>282378.00349999999</v>
      </c>
      <c r="D6" s="73">
        <v>261492.97200000001</v>
      </c>
      <c r="E6" s="86">
        <f t="shared" si="0"/>
        <v>0.12922392422844897</v>
      </c>
      <c r="F6" s="73">
        <v>256768.8</v>
      </c>
      <c r="G6" s="74">
        <v>1833</v>
      </c>
      <c r="H6" s="63">
        <f t="shared" ref="H6:H15" si="2">IFERROR(B6/G6,0)</f>
        <v>161.09335515548278</v>
      </c>
      <c r="I6" s="53"/>
      <c r="J6" s="54"/>
      <c r="K6" s="54"/>
      <c r="L6" s="54">
        <f>J6/18100</f>
        <v>0</v>
      </c>
      <c r="M6" s="73">
        <v>9932.7999999999993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1"/>
        <v>242308.10499999998</v>
      </c>
      <c r="C7" s="18">
        <v>241097.845</v>
      </c>
      <c r="D7" s="73">
        <v>203673.084</v>
      </c>
      <c r="E7" s="86">
        <f t="shared" si="0"/>
        <v>0.18969134380073499</v>
      </c>
      <c r="F7" s="73">
        <v>210702.7</v>
      </c>
      <c r="G7" s="74">
        <v>1360</v>
      </c>
      <c r="H7" s="63">
        <f t="shared" si="2"/>
        <v>178.16772426470587</v>
      </c>
      <c r="I7" s="53"/>
      <c r="J7" s="54"/>
      <c r="K7" s="54"/>
      <c r="L7" s="54">
        <f>J7/19932</f>
        <v>0</v>
      </c>
      <c r="M7" s="73">
        <v>8348.1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1"/>
        <v>103187.30349999999</v>
      </c>
      <c r="C8" s="18">
        <v>109274.08100000001</v>
      </c>
      <c r="D8" s="73">
        <v>98425.901399999988</v>
      </c>
      <c r="E8" s="86">
        <f t="shared" si="0"/>
        <v>4.8375499053341736E-2</v>
      </c>
      <c r="F8" s="73">
        <v>89728.09</v>
      </c>
      <c r="G8" s="74">
        <v>663</v>
      </c>
      <c r="H8" s="63">
        <f t="shared" si="2"/>
        <v>155.63695852187027</v>
      </c>
      <c r="I8" s="53"/>
      <c r="J8" s="54"/>
      <c r="K8" s="54"/>
      <c r="L8" s="54">
        <f>J8/25490</f>
        <v>0</v>
      </c>
      <c r="M8" s="73">
        <v>3641.6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1"/>
        <v>347258.36999999994</v>
      </c>
      <c r="C9" s="18">
        <v>328733.27299999999</v>
      </c>
      <c r="D9" s="73">
        <v>325311.08399999997</v>
      </c>
      <c r="E9" s="86">
        <f t="shared" si="0"/>
        <v>6.7465534005598057E-2</v>
      </c>
      <c r="F9" s="73">
        <v>301963.8</v>
      </c>
      <c r="G9" s="74">
        <v>2203</v>
      </c>
      <c r="H9" s="63">
        <f t="shared" si="2"/>
        <v>157.62976395823873</v>
      </c>
      <c r="I9" s="53"/>
      <c r="J9" s="54"/>
      <c r="K9" s="54"/>
      <c r="L9" s="54">
        <f>J9/10403</f>
        <v>0</v>
      </c>
      <c r="M9" s="73">
        <v>12613.2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1"/>
        <v>0</v>
      </c>
      <c r="C10" s="18">
        <v>0</v>
      </c>
      <c r="D10" s="73">
        <v>0</v>
      </c>
      <c r="E10" s="86">
        <f t="shared" si="0"/>
        <v>0</v>
      </c>
      <c r="F10" s="73"/>
      <c r="G10" s="74"/>
      <c r="H10" s="63">
        <f t="shared" si="2"/>
        <v>0</v>
      </c>
      <c r="I10" s="53"/>
      <c r="J10" s="54"/>
      <c r="K10" s="54"/>
      <c r="L10" s="54">
        <f>J10/22707</f>
        <v>0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1"/>
        <v>168733.51999999996</v>
      </c>
      <c r="C11" s="18">
        <v>154008</v>
      </c>
      <c r="D11" s="73">
        <v>156693.53580000001</v>
      </c>
      <c r="E11" s="86">
        <f t="shared" si="0"/>
        <v>7.6837784906248485E-2</v>
      </c>
      <c r="F11" s="73">
        <v>146724.79999999999</v>
      </c>
      <c r="G11" s="74">
        <v>926</v>
      </c>
      <c r="H11" s="63">
        <f t="shared" si="2"/>
        <v>182.21762419006475</v>
      </c>
      <c r="I11" s="53"/>
      <c r="J11" s="54"/>
      <c r="K11" s="54"/>
      <c r="L11" s="54">
        <f>J11/16449</f>
        <v>0</v>
      </c>
      <c r="M11" s="73">
        <v>5870.6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1"/>
        <v>322983.48</v>
      </c>
      <c r="C12" s="18">
        <v>338962.03999999992</v>
      </c>
      <c r="D12" s="73">
        <v>361336.33799999999</v>
      </c>
      <c r="E12" s="86">
        <f t="shared" si="0"/>
        <v>-0.10614171331973815</v>
      </c>
      <c r="F12" s="73">
        <v>280855.2</v>
      </c>
      <c r="G12" s="74">
        <v>2021</v>
      </c>
      <c r="H12" s="63">
        <f t="shared" si="2"/>
        <v>159.81369619000495</v>
      </c>
      <c r="I12" s="53"/>
      <c r="J12" s="54"/>
      <c r="K12" s="54"/>
      <c r="L12" s="54">
        <f>J12/18426</f>
        <v>0</v>
      </c>
      <c r="M12" s="73">
        <v>8198.2999999999993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1"/>
        <v>115153.52499999999</v>
      </c>
      <c r="C13" s="18">
        <v>110776.7055</v>
      </c>
      <c r="D13" s="73">
        <v>124060.47719999999</v>
      </c>
      <c r="E13" s="86">
        <f t="shared" si="0"/>
        <v>-7.1795243747458354E-2</v>
      </c>
      <c r="F13" s="73">
        <v>100133.5</v>
      </c>
      <c r="G13" s="74">
        <v>860</v>
      </c>
      <c r="H13" s="63">
        <f t="shared" si="2"/>
        <v>133.89944767441861</v>
      </c>
      <c r="I13" s="53"/>
      <c r="J13" s="54">
        <f>I13</f>
        <v>0</v>
      </c>
      <c r="K13" s="54"/>
      <c r="L13" s="54">
        <f>J13/21444</f>
        <v>0</v>
      </c>
      <c r="M13" s="73">
        <v>8916.15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1"/>
        <v>248501.31499999997</v>
      </c>
      <c r="C14" s="18">
        <v>210470.34349999999</v>
      </c>
      <c r="D14" s="73">
        <v>181569.38459999999</v>
      </c>
      <c r="E14" s="86">
        <f t="shared" si="0"/>
        <v>0.36863004491341977</v>
      </c>
      <c r="F14" s="73">
        <v>216088.1</v>
      </c>
      <c r="G14" s="74">
        <v>1689</v>
      </c>
      <c r="H14" s="63">
        <f t="shared" si="2"/>
        <v>147.12925695677913</v>
      </c>
      <c r="I14" s="53"/>
      <c r="J14" s="54"/>
      <c r="K14" s="54"/>
      <c r="L14" s="54">
        <f>J14/18876</f>
        <v>0</v>
      </c>
      <c r="M14" s="73">
        <v>7850.3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1"/>
        <v>69580.289999999994</v>
      </c>
      <c r="C15" s="18">
        <v>83916.546499999997</v>
      </c>
      <c r="D15" s="73">
        <v>62782.912199999999</v>
      </c>
      <c r="E15" s="86">
        <f t="shared" si="0"/>
        <v>0.108267959573879</v>
      </c>
      <c r="F15" s="73">
        <v>60504.6</v>
      </c>
      <c r="G15" s="74">
        <v>557</v>
      </c>
      <c r="H15" s="63">
        <f t="shared" si="2"/>
        <v>124.91973070017953</v>
      </c>
      <c r="I15" s="53"/>
      <c r="J15" s="54"/>
      <c r="K15" s="54"/>
      <c r="L15" s="54">
        <f>J15/15345</f>
        <v>0</v>
      </c>
      <c r="M15" s="73">
        <v>5409.25</v>
      </c>
      <c r="N15" s="26"/>
      <c r="O15" s="9"/>
      <c r="P15" s="9"/>
    </row>
    <row r="16" spans="1:16" ht="15.6" hidden="1" customHeight="1" x14ac:dyDescent="0.3">
      <c r="A16" s="19"/>
      <c r="B16" s="18">
        <f t="shared" si="1"/>
        <v>0</v>
      </c>
      <c r="C16" s="87">
        <v>0</v>
      </c>
      <c r="D16" s="73">
        <v>0</v>
      </c>
      <c r="E16" s="86"/>
      <c r="F16" s="32"/>
      <c r="G16" s="61"/>
      <c r="H16" s="63"/>
      <c r="I16" s="53"/>
      <c r="J16" s="54"/>
      <c r="K16" s="54"/>
      <c r="L16" s="54">
        <f>J16/9073</f>
        <v>0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1"/>
        <v>0</v>
      </c>
      <c r="C17" s="75">
        <v>0</v>
      </c>
      <c r="D17" s="73">
        <v>0</v>
      </c>
      <c r="E17" s="86"/>
      <c r="F17" s="32"/>
      <c r="G17" s="61"/>
      <c r="H17" s="63">
        <f>IFERROR(D17/G17,0)</f>
        <v>0</v>
      </c>
      <c r="I17" s="73"/>
      <c r="J17" s="54"/>
      <c r="K17" s="54"/>
      <c r="L17" s="54">
        <f>J17/9249</f>
        <v>0</v>
      </c>
      <c r="M17" s="64"/>
      <c r="N17" s="22"/>
    </row>
    <row r="18" spans="1:14" ht="15.6" customHeight="1" x14ac:dyDescent="0.3">
      <c r="A18" s="40" t="s">
        <v>26</v>
      </c>
      <c r="B18" s="18">
        <f t="shared" si="1"/>
        <v>203570.12499999997</v>
      </c>
      <c r="C18" s="18">
        <v>224616.758</v>
      </c>
      <c r="D18" s="73">
        <v>0</v>
      </c>
      <c r="E18" s="86">
        <f>IFERROR(SUM(B18-D18)/D18,0)</f>
        <v>0</v>
      </c>
      <c r="F18" s="73">
        <v>177017.5</v>
      </c>
      <c r="G18" s="74">
        <v>1582</v>
      </c>
      <c r="H18" s="63">
        <f>IFERROR(B18/G18,0)</f>
        <v>128.67896649810365</v>
      </c>
      <c r="I18" s="53"/>
      <c r="J18" s="54"/>
      <c r="K18" s="54"/>
      <c r="L18" s="54">
        <f>J18/15345</f>
        <v>0</v>
      </c>
      <c r="M18" s="73">
        <v>3293</v>
      </c>
      <c r="N18" s="9"/>
    </row>
    <row r="19" spans="1:14" ht="15.6" customHeight="1" x14ac:dyDescent="0.3">
      <c r="A19" s="40" t="s">
        <v>27</v>
      </c>
      <c r="B19" s="18">
        <f t="shared" si="1"/>
        <v>128252.82999999999</v>
      </c>
      <c r="C19" s="18">
        <v>116426.1495</v>
      </c>
      <c r="D19" s="73">
        <v>0</v>
      </c>
      <c r="E19" s="86">
        <f>IFERROR(SUM(B19-D19)/D19,0)</f>
        <v>0</v>
      </c>
      <c r="F19" s="73">
        <v>111524.2</v>
      </c>
      <c r="G19" s="74">
        <v>806</v>
      </c>
      <c r="H19" s="63">
        <f>IFERROR(B19/G19,0)</f>
        <v>159.12261786600496</v>
      </c>
      <c r="I19" s="53"/>
      <c r="J19" s="54"/>
      <c r="K19" s="54"/>
      <c r="L19" s="54">
        <f>J19/15345</f>
        <v>0</v>
      </c>
      <c r="M19" s="73">
        <v>7838.7</v>
      </c>
      <c r="N19" s="9"/>
    </row>
    <row r="20" spans="1:14" ht="15.6" customHeight="1" x14ac:dyDescent="0.3">
      <c r="A20" s="40" t="s">
        <v>28</v>
      </c>
      <c r="B20" s="18">
        <f t="shared" si="1"/>
        <v>183684.049</v>
      </c>
      <c r="C20" s="18">
        <v>187700.43549999999</v>
      </c>
      <c r="D20" s="73">
        <v>0</v>
      </c>
      <c r="E20" s="86">
        <f>IFERROR(SUM(B20-D20)/D20,0)</f>
        <v>0</v>
      </c>
      <c r="F20" s="73">
        <v>159725.26</v>
      </c>
      <c r="G20" s="74">
        <v>1083</v>
      </c>
      <c r="H20" s="63">
        <f>IFERROR(B20/G20,0)</f>
        <v>169.60669344413665</v>
      </c>
      <c r="I20" s="80"/>
      <c r="J20" s="80"/>
      <c r="K20" s="80"/>
      <c r="L20" s="80"/>
      <c r="M20" s="73">
        <v>9428.4</v>
      </c>
      <c r="N20" s="9"/>
    </row>
    <row r="21" spans="1:14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81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95664.863009999986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29"/>
  <sheetViews>
    <sheetView view="pageBreakPreview" zoomScale="80" zoomScaleNormal="80" zoomScaleSheetLayoutView="80" workbookViewId="0">
      <pane xSplit="1" topLeftCell="C1" activePane="topRight" state="frozen"/>
      <selection pane="topRight" activeCell="H1" sqref="H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3.332031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5.2497255579468292E-2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2360880.2524999999</v>
      </c>
      <c r="C4" s="3">
        <v>2428497.0325000002</v>
      </c>
      <c r="D4" s="3">
        <v>1814137.0619999999</v>
      </c>
      <c r="E4" s="76">
        <f>IFERROR((SUM(B4-D4)/D4),0)</f>
        <v>0.30137920775249566</v>
      </c>
      <c r="F4" s="66">
        <f>SUM(F6:F20)</f>
        <v>2052939.35</v>
      </c>
      <c r="G4" s="62">
        <f>SUM(G6:G20)</f>
        <v>14926</v>
      </c>
      <c r="H4" s="85">
        <f>AVERAGE(H5:H20)</f>
        <v>133.4321795755115</v>
      </c>
      <c r="I4" s="46"/>
      <c r="J4" s="46"/>
      <c r="K4" s="46">
        <f t="shared" ref="K4:K20" si="0">I4</f>
        <v>0</v>
      </c>
      <c r="L4" s="28">
        <f t="shared" ref="L4:L20" si="1">K4/G4</f>
        <v>0</v>
      </c>
      <c r="M4" s="66">
        <f>SUM(M6:M20)</f>
        <v>99139.430000000008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2">IFERROR(SUM(B5-D5)/D5,0)</f>
        <v>0</v>
      </c>
      <c r="F5" s="67"/>
      <c r="G5" s="68"/>
      <c r="H5" s="84"/>
      <c r="I5" s="49"/>
      <c r="J5" s="49"/>
      <c r="K5" s="46">
        <f t="shared" si="0"/>
        <v>0</v>
      </c>
      <c r="L5" s="28" t="e">
        <f t="shared" si="1"/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3">F6*1.15</f>
        <v>250004.73300000001</v>
      </c>
      <c r="C6" s="18">
        <v>295284.11999999988</v>
      </c>
      <c r="D6" s="73">
        <v>251348.682</v>
      </c>
      <c r="E6" s="77">
        <f t="shared" si="2"/>
        <v>-5.3469506555836772E-3</v>
      </c>
      <c r="F6" s="73">
        <v>217395.42</v>
      </c>
      <c r="G6" s="74">
        <v>1509</v>
      </c>
      <c r="H6" s="63">
        <f t="shared" ref="H6:H15" si="4">IFERROR(B6/G6,0)</f>
        <v>165.67576739562625</v>
      </c>
      <c r="I6" s="53"/>
      <c r="J6" s="53"/>
      <c r="K6" s="46">
        <f t="shared" si="0"/>
        <v>0</v>
      </c>
      <c r="L6" s="28">
        <f t="shared" si="1"/>
        <v>0</v>
      </c>
      <c r="M6" s="73">
        <v>9557.93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236538.1985</v>
      </c>
      <c r="C7" s="18">
        <v>242308.10500000001</v>
      </c>
      <c r="D7" s="73">
        <v>200063.84400000001</v>
      </c>
      <c r="E7" s="77">
        <f t="shared" si="2"/>
        <v>0.18231357436079246</v>
      </c>
      <c r="F7" s="73">
        <v>205685.39</v>
      </c>
      <c r="G7" s="74">
        <v>1599</v>
      </c>
      <c r="H7" s="63">
        <f t="shared" si="4"/>
        <v>147.92882958098812</v>
      </c>
      <c r="I7" s="53"/>
      <c r="J7" s="53"/>
      <c r="K7" s="46">
        <f t="shared" si="0"/>
        <v>0</v>
      </c>
      <c r="L7" s="28">
        <f t="shared" si="1"/>
        <v>0</v>
      </c>
      <c r="M7" s="73">
        <v>6806.25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99894.209499999997</v>
      </c>
      <c r="C8" s="18">
        <v>103187.30349999999</v>
      </c>
      <c r="D8" s="73">
        <v>125206.542</v>
      </c>
      <c r="E8" s="77">
        <f t="shared" si="2"/>
        <v>-0.20216461612684747</v>
      </c>
      <c r="F8" s="73">
        <v>86864.53</v>
      </c>
      <c r="G8" s="74">
        <v>635</v>
      </c>
      <c r="H8" s="63">
        <f t="shared" si="4"/>
        <v>157.31371574803148</v>
      </c>
      <c r="I8" s="53"/>
      <c r="J8" s="53"/>
      <c r="K8" s="46">
        <f t="shared" si="0"/>
        <v>0</v>
      </c>
      <c r="L8" s="28">
        <f t="shared" si="1"/>
        <v>0</v>
      </c>
      <c r="M8" s="73">
        <v>3648.75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360815.68550000002</v>
      </c>
      <c r="C9" s="18">
        <v>347258.36999999988</v>
      </c>
      <c r="D9" s="73">
        <v>364647.58199999988</v>
      </c>
      <c r="E9" s="77">
        <f t="shared" si="2"/>
        <v>-1.0508492827466106E-2</v>
      </c>
      <c r="F9" s="73">
        <v>313752.77</v>
      </c>
      <c r="G9" s="74">
        <v>2167</v>
      </c>
      <c r="H9" s="63">
        <f t="shared" si="4"/>
        <v>166.5047002768805</v>
      </c>
      <c r="I9" s="53"/>
      <c r="J9" s="53"/>
      <c r="K9" s="46">
        <f t="shared" si="0"/>
        <v>0</v>
      </c>
      <c r="L9" s="28">
        <f t="shared" si="1"/>
        <v>0</v>
      </c>
      <c r="M9" s="73">
        <v>10360.5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3"/>
        <v>0</v>
      </c>
      <c r="C10" s="18">
        <v>0</v>
      </c>
      <c r="D10" s="73">
        <v>0</v>
      </c>
      <c r="E10" s="77">
        <f t="shared" si="2"/>
        <v>0</v>
      </c>
      <c r="F10" s="73"/>
      <c r="G10" s="74"/>
      <c r="H10" s="63">
        <f t="shared" si="4"/>
        <v>0</v>
      </c>
      <c r="I10" s="53"/>
      <c r="J10" s="53"/>
      <c r="K10" s="46">
        <f t="shared" si="0"/>
        <v>0</v>
      </c>
      <c r="L10" s="28" t="e">
        <f t="shared" si="1"/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3"/>
        <v>158107.91099999999</v>
      </c>
      <c r="C11" s="18">
        <v>168733.52</v>
      </c>
      <c r="D11" s="73">
        <v>159800.29800000001</v>
      </c>
      <c r="E11" s="77">
        <f t="shared" si="2"/>
        <v>-1.0590637321590081E-2</v>
      </c>
      <c r="F11" s="73">
        <v>137485.14000000001</v>
      </c>
      <c r="G11" s="74">
        <v>884</v>
      </c>
      <c r="H11" s="63">
        <f t="shared" si="4"/>
        <v>178.85510294117645</v>
      </c>
      <c r="I11" s="53"/>
      <c r="J11" s="53"/>
      <c r="K11" s="46">
        <f t="shared" si="0"/>
        <v>0</v>
      </c>
      <c r="L11" s="28">
        <f t="shared" si="1"/>
        <v>0</v>
      </c>
      <c r="M11" s="73">
        <v>4731.5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3"/>
        <v>384128.77299999999</v>
      </c>
      <c r="C12" s="18">
        <v>322983.48</v>
      </c>
      <c r="D12" s="73">
        <v>334666.83600000001</v>
      </c>
      <c r="E12" s="77">
        <f t="shared" si="2"/>
        <v>0.1477945576896062</v>
      </c>
      <c r="F12" s="73">
        <v>334025.02</v>
      </c>
      <c r="G12" s="74">
        <v>2141</v>
      </c>
      <c r="H12" s="63">
        <f t="shared" si="4"/>
        <v>179.41558757589911</v>
      </c>
      <c r="I12" s="53"/>
      <c r="J12" s="53"/>
      <c r="K12" s="46">
        <f t="shared" si="0"/>
        <v>0</v>
      </c>
      <c r="L12" s="28">
        <f t="shared" si="1"/>
        <v>0</v>
      </c>
      <c r="M12" s="73">
        <v>11220.35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3"/>
        <v>125685.65049999999</v>
      </c>
      <c r="C13" s="18">
        <v>115153.52499999999</v>
      </c>
      <c r="D13" s="73">
        <v>135374.658</v>
      </c>
      <c r="E13" s="77">
        <f t="shared" si="2"/>
        <v>-7.1571796694769915E-2</v>
      </c>
      <c r="F13" s="73">
        <v>109291.87</v>
      </c>
      <c r="G13" s="74">
        <v>914</v>
      </c>
      <c r="H13" s="63">
        <f t="shared" si="4"/>
        <v>137.51165262582055</v>
      </c>
      <c r="I13" s="53"/>
      <c r="J13" s="53"/>
      <c r="K13" s="46">
        <f t="shared" si="0"/>
        <v>0</v>
      </c>
      <c r="L13" s="28">
        <f t="shared" si="1"/>
        <v>0</v>
      </c>
      <c r="M13" s="73">
        <v>10139.25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3"/>
        <v>215519.38399999999</v>
      </c>
      <c r="C14" s="18">
        <v>248501.315</v>
      </c>
      <c r="D14" s="73">
        <v>180191.364</v>
      </c>
      <c r="E14" s="77">
        <f t="shared" si="2"/>
        <v>0.19605834161952396</v>
      </c>
      <c r="F14" s="73">
        <v>187408.16</v>
      </c>
      <c r="G14" s="74">
        <v>1459</v>
      </c>
      <c r="H14" s="63">
        <f t="shared" si="4"/>
        <v>147.71719259766962</v>
      </c>
      <c r="I14" s="53"/>
      <c r="J14" s="53"/>
      <c r="K14" s="46">
        <f t="shared" si="0"/>
        <v>0</v>
      </c>
      <c r="L14" s="28">
        <f t="shared" si="1"/>
        <v>0</v>
      </c>
      <c r="M14" s="73">
        <v>6717.6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3"/>
        <v>78679.733999999997</v>
      </c>
      <c r="C15" s="18">
        <v>69580.289999999994</v>
      </c>
      <c r="D15" s="73">
        <v>62837.255999999987</v>
      </c>
      <c r="E15" s="77">
        <f t="shared" si="2"/>
        <v>0.252119188654578</v>
      </c>
      <c r="F15" s="73">
        <v>68417.16</v>
      </c>
      <c r="G15" s="74">
        <v>587</v>
      </c>
      <c r="H15" s="63">
        <f t="shared" si="4"/>
        <v>134.03702555366269</v>
      </c>
      <c r="I15" s="53"/>
      <c r="J15" s="53"/>
      <c r="K15" s="46">
        <f t="shared" si="0"/>
        <v>0</v>
      </c>
      <c r="L15" s="28">
        <f t="shared" si="1"/>
        <v>0</v>
      </c>
      <c r="M15" s="73">
        <v>8506.25</v>
      </c>
      <c r="N15" s="26"/>
      <c r="O15" s="9"/>
      <c r="P15" s="9"/>
    </row>
    <row r="16" spans="1:16" ht="15.6" hidden="1" customHeight="1" x14ac:dyDescent="0.3">
      <c r="A16" s="19"/>
      <c r="B16" s="18">
        <f t="shared" si="3"/>
        <v>0</v>
      </c>
      <c r="C16" s="87">
        <v>0</v>
      </c>
      <c r="D16" s="73">
        <v>0</v>
      </c>
      <c r="E16" s="77"/>
      <c r="F16" s="32"/>
      <c r="G16" s="61"/>
      <c r="H16" s="63"/>
      <c r="I16" s="53"/>
      <c r="J16" s="53"/>
      <c r="K16" s="46">
        <f t="shared" si="0"/>
        <v>0</v>
      </c>
      <c r="L16" s="28" t="e">
        <f t="shared" si="1"/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3"/>
        <v>0</v>
      </c>
      <c r="C17" s="75">
        <v>0</v>
      </c>
      <c r="D17" s="73">
        <v>0</v>
      </c>
      <c r="E17" s="77"/>
      <c r="F17" s="32"/>
      <c r="G17" s="61"/>
      <c r="H17" s="63">
        <f>IFERROR(D17/G17,0)</f>
        <v>0</v>
      </c>
      <c r="I17" s="73"/>
      <c r="J17" s="73"/>
      <c r="K17" s="46">
        <f t="shared" si="0"/>
        <v>0</v>
      </c>
      <c r="L17" s="28" t="e">
        <f t="shared" si="1"/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3"/>
        <v>151525.0465</v>
      </c>
      <c r="C18" s="18">
        <v>203570.125</v>
      </c>
      <c r="D18" s="73">
        <v>0</v>
      </c>
      <c r="E18" s="77">
        <f>IFERROR(SUM(B18-D18)/D18,0)</f>
        <v>0</v>
      </c>
      <c r="F18" s="73">
        <v>131760.91</v>
      </c>
      <c r="G18" s="74">
        <v>1145</v>
      </c>
      <c r="H18" s="63">
        <f>IFERROR(B18/G18,0)</f>
        <v>132.33628515283843</v>
      </c>
      <c r="I18" s="53"/>
      <c r="J18" s="53"/>
      <c r="K18" s="46">
        <f t="shared" si="0"/>
        <v>0</v>
      </c>
      <c r="L18" s="28">
        <f t="shared" si="1"/>
        <v>0</v>
      </c>
      <c r="M18" s="73">
        <v>3353.8</v>
      </c>
      <c r="N18" s="9"/>
    </row>
    <row r="19" spans="1:14" ht="15.6" customHeight="1" x14ac:dyDescent="0.3">
      <c r="A19" s="40" t="s">
        <v>27</v>
      </c>
      <c r="B19" s="18">
        <f t="shared" si="3"/>
        <v>115131.80149999999</v>
      </c>
      <c r="C19" s="18">
        <v>128252.83</v>
      </c>
      <c r="D19" s="73">
        <v>0</v>
      </c>
      <c r="E19" s="77">
        <f>IFERROR(SUM(B19-D19)/D19,0)</f>
        <v>0</v>
      </c>
      <c r="F19" s="73">
        <v>100114.61</v>
      </c>
      <c r="G19" s="74">
        <v>696</v>
      </c>
      <c r="H19" s="63">
        <f>IFERROR(B19/G19,0)</f>
        <v>165.41925502873562</v>
      </c>
      <c r="I19" s="53"/>
      <c r="J19" s="53"/>
      <c r="K19" s="46">
        <f t="shared" si="0"/>
        <v>0</v>
      </c>
      <c r="L19" s="28">
        <f t="shared" si="1"/>
        <v>0</v>
      </c>
      <c r="M19" s="73">
        <v>14884.3</v>
      </c>
      <c r="N19" s="9"/>
    </row>
    <row r="20" spans="1:14" ht="15.6" customHeight="1" x14ac:dyDescent="0.3">
      <c r="A20" s="40" t="s">
        <v>28</v>
      </c>
      <c r="B20" s="18">
        <f t="shared" si="3"/>
        <v>184849.12549999999</v>
      </c>
      <c r="C20" s="18">
        <v>183684.049</v>
      </c>
      <c r="D20" s="73">
        <v>0</v>
      </c>
      <c r="E20" s="77">
        <f>IFERROR(SUM(B20-D20)/D20,0)</f>
        <v>0</v>
      </c>
      <c r="F20" s="73">
        <v>160738.37</v>
      </c>
      <c r="G20" s="74">
        <v>1190</v>
      </c>
      <c r="H20" s="63">
        <f>IFERROR(B20/G20,0)</f>
        <v>155.33539957983191</v>
      </c>
      <c r="I20" s="80"/>
      <c r="J20" s="80"/>
      <c r="K20" s="46">
        <f t="shared" si="0"/>
        <v>0</v>
      </c>
      <c r="L20" s="28">
        <f t="shared" si="1"/>
        <v>0</v>
      </c>
      <c r="M20" s="73">
        <v>9212.9500000000007</v>
      </c>
      <c r="N20" s="9"/>
    </row>
    <row r="21" spans="1:14" x14ac:dyDescent="0.3">
      <c r="A21" s="81"/>
      <c r="B21" s="81"/>
      <c r="C21" s="81"/>
      <c r="D21" s="81"/>
      <c r="E21" s="81"/>
      <c r="F21" s="392"/>
      <c r="G21" s="393"/>
      <c r="H21" s="394"/>
      <c r="I21" s="394"/>
      <c r="J21" s="394"/>
      <c r="K21" s="394"/>
      <c r="L21" s="394"/>
      <c r="M21" s="394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79321.530599999984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3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O15" sqref="O15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3.332031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0.13264425716625841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2542468.4495000001</v>
      </c>
      <c r="C4" s="3">
        <v>2360880.2524999999</v>
      </c>
      <c r="D4" s="3">
        <v>1814460.5484</v>
      </c>
      <c r="E4" s="76">
        <f>IFERROR((SUM(B4-D4)/D4),0)</f>
        <v>0.40122553325392551</v>
      </c>
      <c r="F4" s="66">
        <f>SUM(F6:F20)</f>
        <v>2210842.13</v>
      </c>
      <c r="G4" s="62">
        <f>SUM(G6:G20)</f>
        <v>15948</v>
      </c>
      <c r="H4" s="85">
        <f>AVERAGE(H5:H20)</f>
        <v>136.02893173018779</v>
      </c>
      <c r="I4" s="88">
        <f>SUM(I6:I20)</f>
        <v>248</v>
      </c>
      <c r="J4" s="28">
        <f t="shared" ref="J4:J20" si="0">I4/G4</f>
        <v>1.5550539252570855E-2</v>
      </c>
      <c r="K4" s="46">
        <f t="shared" ref="K4:K20" si="1">I4</f>
        <v>248</v>
      </c>
      <c r="L4" s="89">
        <f t="shared" ref="L4:L20" si="2">K4/G4</f>
        <v>1.5550539252570855E-2</v>
      </c>
      <c r="M4" s="66">
        <f>SUM(M6:M20)</f>
        <v>74672.649999999994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3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 t="shared" si="1"/>
        <v>0</v>
      </c>
      <c r="L5" s="89" t="e">
        <f t="shared" si="2"/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4">F6*1.15</f>
        <v>288124.44999999995</v>
      </c>
      <c r="C6" s="18">
        <v>250004.73300000001</v>
      </c>
      <c r="D6" s="73">
        <v>227359.092</v>
      </c>
      <c r="E6" s="77">
        <f t="shared" si="3"/>
        <v>0.26726601283224666</v>
      </c>
      <c r="F6" s="73">
        <v>250543</v>
      </c>
      <c r="G6" s="74">
        <v>1731</v>
      </c>
      <c r="H6" s="63">
        <f t="shared" ref="H6:H15" si="5">IFERROR(B6/G6,0)</f>
        <v>166.44971114962448</v>
      </c>
      <c r="I6" s="61">
        <v>16</v>
      </c>
      <c r="J6" s="28">
        <f t="shared" si="0"/>
        <v>9.2432120161756205E-3</v>
      </c>
      <c r="K6" s="46">
        <f t="shared" si="1"/>
        <v>16</v>
      </c>
      <c r="L6" s="89">
        <f t="shared" si="2"/>
        <v>9.2432120161756205E-3</v>
      </c>
      <c r="M6" s="73">
        <v>7623.4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4"/>
        <v>208364.86599999998</v>
      </c>
      <c r="C7" s="18">
        <v>236538.1985</v>
      </c>
      <c r="D7" s="73">
        <v>199465.91399999999</v>
      </c>
      <c r="E7" s="77">
        <f t="shared" si="3"/>
        <v>4.4613898292416972E-2</v>
      </c>
      <c r="F7" s="73">
        <v>181186.84</v>
      </c>
      <c r="G7" s="74">
        <v>1226</v>
      </c>
      <c r="H7" s="63">
        <f t="shared" si="5"/>
        <v>169.95502936378466</v>
      </c>
      <c r="I7" s="61">
        <v>5</v>
      </c>
      <c r="J7" s="28">
        <f t="shared" si="0"/>
        <v>4.0783034257748773E-3</v>
      </c>
      <c r="K7" s="46">
        <f t="shared" si="1"/>
        <v>5</v>
      </c>
      <c r="L7" s="89">
        <f t="shared" si="2"/>
        <v>4.0783034257748773E-3</v>
      </c>
      <c r="M7" s="73">
        <v>6277.4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4"/>
        <v>142163.46</v>
      </c>
      <c r="C8" s="18">
        <v>99894.209499999997</v>
      </c>
      <c r="D8" s="73">
        <v>138165.15</v>
      </c>
      <c r="E8" s="77">
        <f t="shared" si="3"/>
        <v>2.8938628880003373E-2</v>
      </c>
      <c r="F8" s="73">
        <v>123620.4</v>
      </c>
      <c r="G8" s="74">
        <v>918</v>
      </c>
      <c r="H8" s="63">
        <f t="shared" si="5"/>
        <v>154.86215686274508</v>
      </c>
      <c r="I8" s="61">
        <v>8</v>
      </c>
      <c r="J8" s="28">
        <f t="shared" si="0"/>
        <v>8.7145969498910684E-3</v>
      </c>
      <c r="K8" s="46">
        <f t="shared" si="1"/>
        <v>8</v>
      </c>
      <c r="L8" s="89">
        <f t="shared" si="2"/>
        <v>8.7145969498910684E-3</v>
      </c>
      <c r="M8" s="73">
        <v>4387.25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4"/>
        <v>387776.46949999995</v>
      </c>
      <c r="C9" s="18">
        <v>360815.68550000002</v>
      </c>
      <c r="D9" s="73">
        <v>349565.49599999998</v>
      </c>
      <c r="E9" s="77">
        <f t="shared" si="3"/>
        <v>0.10930991169677674</v>
      </c>
      <c r="F9" s="73">
        <v>337196.93</v>
      </c>
      <c r="G9" s="74">
        <v>2526</v>
      </c>
      <c r="H9" s="63">
        <f t="shared" si="5"/>
        <v>153.51404176563736</v>
      </c>
      <c r="I9" s="61">
        <v>20</v>
      </c>
      <c r="J9" s="28">
        <f t="shared" si="0"/>
        <v>7.91765637371338E-3</v>
      </c>
      <c r="K9" s="46">
        <f t="shared" si="1"/>
        <v>20</v>
      </c>
      <c r="L9" s="89">
        <f t="shared" si="2"/>
        <v>7.91765637371338E-3</v>
      </c>
      <c r="M9" s="73">
        <v>8061.1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4"/>
        <v>0</v>
      </c>
      <c r="C10" s="18">
        <v>0</v>
      </c>
      <c r="D10" s="73">
        <v>0</v>
      </c>
      <c r="E10" s="77">
        <f t="shared" si="3"/>
        <v>0</v>
      </c>
      <c r="F10" s="73"/>
      <c r="G10" s="74"/>
      <c r="H10" s="63">
        <f t="shared" si="5"/>
        <v>0</v>
      </c>
      <c r="I10" s="61"/>
      <c r="J10" s="28" t="e">
        <f t="shared" si="0"/>
        <v>#DIV/0!</v>
      </c>
      <c r="K10" s="46">
        <f t="shared" si="1"/>
        <v>0</v>
      </c>
      <c r="L10" s="89" t="e">
        <f t="shared" si="2"/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4"/>
        <v>183051.1465</v>
      </c>
      <c r="C11" s="18">
        <v>158107.91099999999</v>
      </c>
      <c r="D11" s="73">
        <v>159906.774</v>
      </c>
      <c r="E11" s="77">
        <f t="shared" si="3"/>
        <v>0.14473666074959399</v>
      </c>
      <c r="F11" s="73">
        <v>159174.91</v>
      </c>
      <c r="G11" s="74">
        <v>1013</v>
      </c>
      <c r="H11" s="63">
        <f t="shared" si="5"/>
        <v>180.70202023692005</v>
      </c>
      <c r="I11" s="61">
        <v>84</v>
      </c>
      <c r="J11" s="28">
        <f t="shared" si="0"/>
        <v>8.2922013820335636E-2</v>
      </c>
      <c r="K11" s="46">
        <f t="shared" si="1"/>
        <v>84</v>
      </c>
      <c r="L11" s="89">
        <f t="shared" si="2"/>
        <v>8.2922013820335636E-2</v>
      </c>
      <c r="M11" s="73">
        <v>3315.8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4"/>
        <v>412081.8</v>
      </c>
      <c r="C12" s="18">
        <v>384128.77299999999</v>
      </c>
      <c r="D12" s="73">
        <v>374137.96799999999</v>
      </c>
      <c r="E12" s="77">
        <f t="shared" si="3"/>
        <v>0.10141668380472947</v>
      </c>
      <c r="F12" s="73">
        <v>358332</v>
      </c>
      <c r="G12" s="74">
        <v>2429</v>
      </c>
      <c r="H12" s="63">
        <f t="shared" si="5"/>
        <v>169.65080279950595</v>
      </c>
      <c r="I12" s="61">
        <v>36</v>
      </c>
      <c r="J12" s="28">
        <f t="shared" si="0"/>
        <v>1.4820913956360642E-2</v>
      </c>
      <c r="K12" s="46">
        <f t="shared" si="1"/>
        <v>36</v>
      </c>
      <c r="L12" s="89">
        <f t="shared" si="2"/>
        <v>1.4820913956360642E-2</v>
      </c>
      <c r="M12" s="73">
        <v>10412.5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4"/>
        <v>133113.21299999999</v>
      </c>
      <c r="C13" s="18">
        <v>125685.6505</v>
      </c>
      <c r="D13" s="73">
        <v>137934.29999999999</v>
      </c>
      <c r="E13" s="77">
        <f t="shared" si="3"/>
        <v>-3.4952053260139067E-2</v>
      </c>
      <c r="F13" s="73">
        <v>115750.62</v>
      </c>
      <c r="G13" s="74">
        <v>951</v>
      </c>
      <c r="H13" s="63">
        <f t="shared" si="5"/>
        <v>139.97183280757096</v>
      </c>
      <c r="I13" s="61">
        <v>6</v>
      </c>
      <c r="J13" s="28">
        <f t="shared" si="0"/>
        <v>6.3091482649842269E-3</v>
      </c>
      <c r="K13" s="46">
        <f t="shared" si="1"/>
        <v>6</v>
      </c>
      <c r="L13" s="89">
        <f t="shared" si="2"/>
        <v>6.3091482649842269E-3</v>
      </c>
      <c r="M13" s="73">
        <v>9081.2999999999993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4"/>
        <v>223734.8</v>
      </c>
      <c r="C14" s="18">
        <v>215519.38399999999</v>
      </c>
      <c r="D14" s="73">
        <v>173729.16</v>
      </c>
      <c r="E14" s="77">
        <f t="shared" si="3"/>
        <v>0.28783676845038553</v>
      </c>
      <c r="F14" s="73">
        <v>194552</v>
      </c>
      <c r="G14" s="74">
        <v>1503</v>
      </c>
      <c r="H14" s="63">
        <f t="shared" si="5"/>
        <v>148.85881570192947</v>
      </c>
      <c r="I14" s="61">
        <v>26</v>
      </c>
      <c r="J14" s="28">
        <f t="shared" si="0"/>
        <v>1.7298735861610112E-2</v>
      </c>
      <c r="K14" s="46">
        <f t="shared" si="1"/>
        <v>26</v>
      </c>
      <c r="L14" s="89">
        <f t="shared" si="2"/>
        <v>1.7298735861610112E-2</v>
      </c>
      <c r="M14" s="73">
        <v>8018.25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4"/>
        <v>76728.115000000005</v>
      </c>
      <c r="C15" s="18">
        <v>78679.733999999997</v>
      </c>
      <c r="D15" s="73">
        <v>54196.694399999993</v>
      </c>
      <c r="E15" s="77">
        <f t="shared" si="3"/>
        <v>0.41573422234401097</v>
      </c>
      <c r="F15" s="73">
        <v>66720.100000000006</v>
      </c>
      <c r="G15" s="74">
        <v>519</v>
      </c>
      <c r="H15" s="63">
        <f t="shared" si="5"/>
        <v>147.83837186897881</v>
      </c>
      <c r="I15" s="61">
        <v>0</v>
      </c>
      <c r="J15" s="28">
        <f t="shared" si="0"/>
        <v>0</v>
      </c>
      <c r="K15" s="46">
        <f t="shared" si="1"/>
        <v>0</v>
      </c>
      <c r="L15" s="89">
        <f t="shared" si="2"/>
        <v>0</v>
      </c>
      <c r="M15" s="73">
        <v>995</v>
      </c>
      <c r="N15" s="26"/>
      <c r="O15" s="9"/>
      <c r="P15" s="9"/>
    </row>
    <row r="16" spans="1:16" ht="15.6" hidden="1" customHeight="1" x14ac:dyDescent="0.3">
      <c r="A16" s="19"/>
      <c r="B16" s="18">
        <f t="shared" si="4"/>
        <v>0</v>
      </c>
      <c r="C16" s="87">
        <v>0</v>
      </c>
      <c r="D16" s="73">
        <v>0</v>
      </c>
      <c r="E16" s="77"/>
      <c r="F16" s="32"/>
      <c r="G16" s="61"/>
      <c r="H16" s="63"/>
      <c r="I16" s="61"/>
      <c r="J16" s="28" t="e">
        <f t="shared" si="0"/>
        <v>#DIV/0!</v>
      </c>
      <c r="K16" s="46">
        <f t="shared" si="1"/>
        <v>0</v>
      </c>
      <c r="L16" s="89" t="e">
        <f t="shared" si="2"/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4"/>
        <v>0</v>
      </c>
      <c r="C17" s="75">
        <v>0</v>
      </c>
      <c r="D17" s="73">
        <v>0</v>
      </c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 t="shared" si="1"/>
        <v>0</v>
      </c>
      <c r="L17" s="89" t="e">
        <f t="shared" si="2"/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4"/>
        <v>144128.34999999998</v>
      </c>
      <c r="C18" s="18">
        <v>151525.0465</v>
      </c>
      <c r="D18" s="73">
        <v>0</v>
      </c>
      <c r="E18" s="77">
        <f>IFERROR(SUM(B18-D18)/D18,0)</f>
        <v>0</v>
      </c>
      <c r="F18" s="73">
        <v>125329</v>
      </c>
      <c r="G18" s="74">
        <v>1136</v>
      </c>
      <c r="H18" s="63">
        <f>IFERROR(B18/G18,0)</f>
        <v>126.87354753521124</v>
      </c>
      <c r="I18" s="61">
        <v>26</v>
      </c>
      <c r="J18" s="28">
        <f t="shared" si="0"/>
        <v>2.2887323943661973E-2</v>
      </c>
      <c r="K18" s="46">
        <f t="shared" si="1"/>
        <v>26</v>
      </c>
      <c r="L18" s="89">
        <f t="shared" si="2"/>
        <v>2.2887323943661973E-2</v>
      </c>
      <c r="M18" s="73">
        <v>3553.6</v>
      </c>
      <c r="N18" s="9"/>
    </row>
    <row r="19" spans="1:14" ht="15.6" customHeight="1" x14ac:dyDescent="0.3">
      <c r="A19" s="40" t="s">
        <v>27</v>
      </c>
      <c r="B19" s="18">
        <f t="shared" si="4"/>
        <v>129434.02949999999</v>
      </c>
      <c r="C19" s="18">
        <v>115131.8015</v>
      </c>
      <c r="D19" s="73">
        <v>0</v>
      </c>
      <c r="E19" s="77">
        <f>IFERROR(SUM(B19-D19)/D19,0)</f>
        <v>0</v>
      </c>
      <c r="F19" s="73">
        <v>112551.33</v>
      </c>
      <c r="G19" s="74">
        <v>734</v>
      </c>
      <c r="H19" s="63">
        <f>IFERROR(B19/G19,0)</f>
        <v>176.34063964577655</v>
      </c>
      <c r="I19" s="61">
        <v>10</v>
      </c>
      <c r="J19" s="28">
        <f t="shared" si="0"/>
        <v>1.3623978201634877E-2</v>
      </c>
      <c r="K19" s="46">
        <f t="shared" si="1"/>
        <v>10</v>
      </c>
      <c r="L19" s="89">
        <f t="shared" si="2"/>
        <v>1.3623978201634877E-2</v>
      </c>
      <c r="M19" s="73">
        <v>7450.4</v>
      </c>
      <c r="N19" s="9"/>
    </row>
    <row r="20" spans="1:14" ht="15.6" customHeight="1" x14ac:dyDescent="0.3">
      <c r="A20" s="40" t="s">
        <v>28</v>
      </c>
      <c r="B20" s="18">
        <f t="shared" si="4"/>
        <v>213767.74999999997</v>
      </c>
      <c r="C20" s="18">
        <v>184849.12549999999</v>
      </c>
      <c r="D20" s="73">
        <v>0</v>
      </c>
      <c r="E20" s="77">
        <f>IFERROR(SUM(B20-D20)/D20,0)</f>
        <v>0</v>
      </c>
      <c r="F20" s="73">
        <v>185885</v>
      </c>
      <c r="G20" s="74">
        <v>1262</v>
      </c>
      <c r="H20" s="63">
        <f>IFERROR(B20/G20,0)</f>
        <v>169.3880744849445</v>
      </c>
      <c r="I20" s="74">
        <v>11</v>
      </c>
      <c r="J20" s="28">
        <f t="shared" si="0"/>
        <v>8.7163232963549924E-3</v>
      </c>
      <c r="K20" s="46">
        <f t="shared" si="1"/>
        <v>11</v>
      </c>
      <c r="L20" s="89">
        <f t="shared" si="2"/>
        <v>8.7163232963549924E-3</v>
      </c>
      <c r="M20" s="73">
        <v>5496.65</v>
      </c>
      <c r="N20" s="9"/>
    </row>
    <row r="21" spans="1:14" x14ac:dyDescent="0.3">
      <c r="A21" s="81"/>
      <c r="B21" s="81"/>
      <c r="C21" s="81"/>
      <c r="D21" s="81"/>
      <c r="E21" s="81"/>
      <c r="F21" s="392"/>
      <c r="G21" s="393"/>
      <c r="H21" s="394"/>
      <c r="I21" s="394"/>
      <c r="J21" s="394"/>
      <c r="K21" s="394"/>
      <c r="L21" s="394"/>
      <c r="M21" s="394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89694.896759999989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3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O14" sqref="O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0.16559597541390611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2532568.3525</v>
      </c>
      <c r="C4" s="3">
        <v>2542468.4495000001</v>
      </c>
      <c r="D4" s="3">
        <v>1740025.89</v>
      </c>
      <c r="E4" s="76">
        <f>IFERROR((SUM(B4-D4)/D4),0)</f>
        <v>0.45547739666103487</v>
      </c>
      <c r="F4" s="66">
        <f>SUM(F6:F20)</f>
        <v>2202233.35</v>
      </c>
      <c r="G4" s="62">
        <f>SUM(G6:G20)</f>
        <v>15476</v>
      </c>
      <c r="H4" s="85">
        <f>AVERAGE(H5:H20)</f>
        <v>136.62991259965435</v>
      </c>
      <c r="I4" s="88">
        <f>SUM(I6:I20)</f>
        <v>224</v>
      </c>
      <c r="J4" s="28">
        <f t="shared" ref="J4:J20" si="0">I4/G4</f>
        <v>1.4474024295683639E-2</v>
      </c>
      <c r="K4" s="46">
        <f>I4+'Jul 23 - Jul 29'!I4</f>
        <v>472</v>
      </c>
      <c r="L4" s="89">
        <f>K4/SUM(G4+'Jul 23 - Jul 29'!G4)</f>
        <v>1.5020366598778005E-2</v>
      </c>
      <c r="M4" s="66">
        <f>SUM(M6:M20)</f>
        <v>81594.040000000008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I5+'Jul 23 - Jul 29'!I5</f>
        <v>0</v>
      </c>
      <c r="L5" s="89" t="e">
        <f>K5/SUM(G5+'Jul 23 - Jul 29'!G5)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268907.35200000001</v>
      </c>
      <c r="C6" s="18">
        <v>288124.45</v>
      </c>
      <c r="D6" s="73">
        <v>195643.00380000001</v>
      </c>
      <c r="E6" s="77">
        <f t="shared" si="1"/>
        <v>0.37447977580070257</v>
      </c>
      <c r="F6" s="73">
        <v>233832.48</v>
      </c>
      <c r="G6" s="74">
        <v>1589</v>
      </c>
      <c r="H6" s="63">
        <f t="shared" ref="H6:H15" si="3">IFERROR(B6/G6,0)</f>
        <v>169.23055506607929</v>
      </c>
      <c r="I6" s="61">
        <v>33</v>
      </c>
      <c r="J6" s="28">
        <f t="shared" si="0"/>
        <v>2.076777847702958E-2</v>
      </c>
      <c r="K6" s="46">
        <f>I6+'Jul 23 - Jul 29'!I6</f>
        <v>49</v>
      </c>
      <c r="L6" s="89">
        <f>K6/SUM(G6+'Jul 23 - Jul 29'!G6)</f>
        <v>1.4759036144578313E-2</v>
      </c>
      <c r="M6" s="73">
        <v>7875.2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198892.05149999997</v>
      </c>
      <c r="C7" s="18">
        <v>208364.86600000001</v>
      </c>
      <c r="D7" s="73">
        <v>176425.48800000001</v>
      </c>
      <c r="E7" s="77">
        <f t="shared" si="1"/>
        <v>0.12734307131404934</v>
      </c>
      <c r="F7" s="73">
        <v>172949.61</v>
      </c>
      <c r="G7" s="74">
        <v>1185</v>
      </c>
      <c r="H7" s="63">
        <f t="shared" si="3"/>
        <v>167.84139367088605</v>
      </c>
      <c r="I7" s="61">
        <v>1</v>
      </c>
      <c r="J7" s="28">
        <f t="shared" si="0"/>
        <v>8.438818565400844E-4</v>
      </c>
      <c r="K7" s="46">
        <f>I7+'Jul 23 - Jul 29'!I7</f>
        <v>6</v>
      </c>
      <c r="L7" s="89">
        <f>K7/SUM(G7+'Jul 23 - Jul 29'!G7)</f>
        <v>2.4885939444214021E-3</v>
      </c>
      <c r="M7" s="73">
        <v>6357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127879.43649999998</v>
      </c>
      <c r="C8" s="18">
        <v>142163.46</v>
      </c>
      <c r="D8" s="73">
        <v>121027.758</v>
      </c>
      <c r="E8" s="77">
        <f t="shared" si="1"/>
        <v>5.6612454970866928E-2</v>
      </c>
      <c r="F8" s="73">
        <v>111199.51</v>
      </c>
      <c r="G8" s="74">
        <v>821</v>
      </c>
      <c r="H8" s="63">
        <f t="shared" si="3"/>
        <v>155.76058038976856</v>
      </c>
      <c r="I8" s="61">
        <v>11</v>
      </c>
      <c r="J8" s="28">
        <f t="shared" si="0"/>
        <v>1.3398294762484775E-2</v>
      </c>
      <c r="K8" s="46">
        <f>I8+'Jul 23 - Jul 29'!I8</f>
        <v>19</v>
      </c>
      <c r="L8" s="89">
        <f>K8/SUM(G8+'Jul 23 - Jul 29'!G8)</f>
        <v>1.0925819436457734E-2</v>
      </c>
      <c r="M8" s="73">
        <v>6504.45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443807.9425</v>
      </c>
      <c r="C9" s="18">
        <v>387776.46949999989</v>
      </c>
      <c r="D9" s="73">
        <v>437278.12199999997</v>
      </c>
      <c r="E9" s="77">
        <f t="shared" si="1"/>
        <v>1.493287720440775E-2</v>
      </c>
      <c r="F9" s="73">
        <v>385919.95</v>
      </c>
      <c r="G9" s="74">
        <v>2264</v>
      </c>
      <c r="H9" s="63">
        <f t="shared" si="3"/>
        <v>196.02824315371024</v>
      </c>
      <c r="I9" s="61">
        <v>15</v>
      </c>
      <c r="J9" s="28">
        <f t="shared" si="0"/>
        <v>6.6254416961130744E-3</v>
      </c>
      <c r="K9" s="46">
        <f>I9+'Jul 23 - Jul 29'!I9</f>
        <v>35</v>
      </c>
      <c r="L9" s="89">
        <f>K9/SUM(G9+'Jul 23 - Jul 29'!G9)</f>
        <v>7.3068893528183713E-3</v>
      </c>
      <c r="M9" s="73">
        <v>9018.4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I10+'Jul 23 - Jul 29'!I10</f>
        <v>0</v>
      </c>
      <c r="L10" s="89" t="e">
        <f>K10/SUM(G10+'Jul 23 - Jul 29'!G10)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198263.35800000001</v>
      </c>
      <c r="C11" s="18">
        <v>183051.1465</v>
      </c>
      <c r="D11" s="73">
        <v>142579.57199999999</v>
      </c>
      <c r="E11" s="77">
        <f t="shared" si="1"/>
        <v>0.39054533001403613</v>
      </c>
      <c r="F11" s="73">
        <v>172402.92</v>
      </c>
      <c r="G11" s="74">
        <v>1234</v>
      </c>
      <c r="H11" s="63">
        <f t="shared" si="3"/>
        <v>160.66722690437601</v>
      </c>
      <c r="I11" s="61">
        <v>29</v>
      </c>
      <c r="J11" s="28">
        <f t="shared" si="0"/>
        <v>2.3500810372771474E-2</v>
      </c>
      <c r="K11" s="46">
        <f>I11+'Jul 23 - Jul 29'!I11</f>
        <v>113</v>
      </c>
      <c r="L11" s="89">
        <f>K11/SUM(G11+'Jul 23 - Jul 29'!G11)</f>
        <v>5.0289274588340011E-2</v>
      </c>
      <c r="M11" s="73">
        <v>6014.64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347478.30749999994</v>
      </c>
      <c r="C12" s="18">
        <v>412081.8</v>
      </c>
      <c r="D12" s="73">
        <v>332026.25400000002</v>
      </c>
      <c r="E12" s="77">
        <f t="shared" si="1"/>
        <v>4.653864962136374E-2</v>
      </c>
      <c r="F12" s="73">
        <v>302155.05</v>
      </c>
      <c r="G12" s="74">
        <v>2217</v>
      </c>
      <c r="H12" s="63">
        <f t="shared" si="3"/>
        <v>156.73356224627872</v>
      </c>
      <c r="I12" s="61">
        <v>43</v>
      </c>
      <c r="J12" s="28">
        <f t="shared" si="0"/>
        <v>1.9395579612088407E-2</v>
      </c>
      <c r="K12" s="46">
        <f>I12+'Jul 23 - Jul 29'!I12</f>
        <v>79</v>
      </c>
      <c r="L12" s="89">
        <f>K12/SUM(G12+'Jul 23 - Jul 29'!G12)</f>
        <v>1.7003874300473527E-2</v>
      </c>
      <c r="M12" s="73">
        <v>10314.65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132900.47449999998</v>
      </c>
      <c r="C13" s="18">
        <v>133113.21299999999</v>
      </c>
      <c r="D13" s="73">
        <v>112176.46739999999</v>
      </c>
      <c r="E13" s="77">
        <f t="shared" si="1"/>
        <v>0.18474469360941909</v>
      </c>
      <c r="F13" s="73">
        <v>115565.63</v>
      </c>
      <c r="G13" s="74">
        <v>937</v>
      </c>
      <c r="H13" s="63">
        <f t="shared" si="3"/>
        <v>141.8361520811099</v>
      </c>
      <c r="I13" s="61">
        <v>7</v>
      </c>
      <c r="J13" s="28">
        <f t="shared" si="0"/>
        <v>7.470651013874066E-3</v>
      </c>
      <c r="K13" s="46">
        <f>I13+'Jul 23 - Jul 29'!I13</f>
        <v>13</v>
      </c>
      <c r="L13" s="89">
        <f>K13/SUM(G13+'Jul 23 - Jul 29'!G13)</f>
        <v>6.8855932203389829E-3</v>
      </c>
      <c r="M13" s="73">
        <v>8496.75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236788.30049999998</v>
      </c>
      <c r="C14" s="18">
        <v>223734.8</v>
      </c>
      <c r="D14" s="73">
        <v>164502.114</v>
      </c>
      <c r="E14" s="77">
        <f t="shared" si="1"/>
        <v>0.43942405810055413</v>
      </c>
      <c r="F14" s="73">
        <v>205902.87</v>
      </c>
      <c r="G14" s="74">
        <v>1491</v>
      </c>
      <c r="H14" s="63">
        <f t="shared" si="3"/>
        <v>158.81173742454726</v>
      </c>
      <c r="I14" s="61">
        <v>26</v>
      </c>
      <c r="J14" s="28">
        <f t="shared" si="0"/>
        <v>1.7437961099932932E-2</v>
      </c>
      <c r="K14" s="46">
        <f>I14+'Jul 23 - Jul 29'!I14</f>
        <v>52</v>
      </c>
      <c r="L14" s="89">
        <f>K14/SUM(G14+'Jul 23 - Jul 29'!G14)</f>
        <v>1.736806947227789E-2</v>
      </c>
      <c r="M14" s="73">
        <v>5406.9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73249.951499999996</v>
      </c>
      <c r="C15" s="18">
        <v>76728.115000000005</v>
      </c>
      <c r="D15" s="73">
        <v>58367.110799999988</v>
      </c>
      <c r="E15" s="77">
        <f t="shared" si="1"/>
        <v>0.25498676388141539</v>
      </c>
      <c r="F15" s="73">
        <v>63695.61</v>
      </c>
      <c r="G15" s="74">
        <v>551</v>
      </c>
      <c r="H15" s="63">
        <f t="shared" si="3"/>
        <v>132.94002087114336</v>
      </c>
      <c r="I15" s="61">
        <v>1</v>
      </c>
      <c r="J15" s="28">
        <f t="shared" si="0"/>
        <v>1.8148820326678765E-3</v>
      </c>
      <c r="K15" s="46">
        <f>I15+'Jul 23 - Jul 29'!I15</f>
        <v>1</v>
      </c>
      <c r="L15" s="89">
        <f>K15/SUM(G15+'Jul 23 - Jul 29'!G15)</f>
        <v>9.3457943925233649E-4</v>
      </c>
      <c r="M15" s="73">
        <v>4313.5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>
        <v>0</v>
      </c>
      <c r="E16" s="77"/>
      <c r="F16" s="32"/>
      <c r="G16" s="61"/>
      <c r="H16" s="63"/>
      <c r="I16" s="61"/>
      <c r="J16" s="28" t="e">
        <f t="shared" si="0"/>
        <v>#DIV/0!</v>
      </c>
      <c r="K16" s="46">
        <f>I16+'Jul 23 - Jul 29'!I16</f>
        <v>0</v>
      </c>
      <c r="L16" s="89" t="e">
        <f>K16/SUM(G16+'Jul 23 - Jul 29'!G16)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>
        <v>0</v>
      </c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I17+'Jul 23 - Jul 29'!I17</f>
        <v>0</v>
      </c>
      <c r="L17" s="89" t="e">
        <f>K17/SUM(G17+'Jul 23 - Jul 29'!G17)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144312.63749999998</v>
      </c>
      <c r="C18" s="18">
        <v>144128.35</v>
      </c>
      <c r="D18" s="73">
        <v>0</v>
      </c>
      <c r="E18" s="77">
        <f>IFERROR(SUM(B18-D18)/D18,0)</f>
        <v>0</v>
      </c>
      <c r="F18" s="73">
        <v>125489.25</v>
      </c>
      <c r="G18" s="74">
        <v>1072</v>
      </c>
      <c r="H18" s="63">
        <f>IFERROR(B18/G18,0)</f>
        <v>134.61999766791044</v>
      </c>
      <c r="I18" s="61">
        <v>19</v>
      </c>
      <c r="J18" s="28">
        <f t="shared" si="0"/>
        <v>1.7723880597014924E-2</v>
      </c>
      <c r="K18" s="46">
        <f>I18+'Jul 23 - Jul 29'!I18</f>
        <v>45</v>
      </c>
      <c r="L18" s="89">
        <f>K18/SUM(G18+'Jul 23 - Jul 29'!G18)</f>
        <v>2.0380434782608696E-2</v>
      </c>
      <c r="M18" s="73">
        <v>3075</v>
      </c>
      <c r="N18" s="9"/>
    </row>
    <row r="19" spans="1:14" ht="15.6" customHeight="1" x14ac:dyDescent="0.3">
      <c r="A19" s="40" t="s">
        <v>27</v>
      </c>
      <c r="B19" s="18">
        <f t="shared" si="2"/>
        <v>132394.22149999999</v>
      </c>
      <c r="C19" s="18">
        <v>129434.0295</v>
      </c>
      <c r="D19" s="73">
        <v>0</v>
      </c>
      <c r="E19" s="77">
        <f>IFERROR(SUM(B19-D19)/D19,0)</f>
        <v>0</v>
      </c>
      <c r="F19" s="73">
        <v>115125.41</v>
      </c>
      <c r="G19" s="74">
        <v>804</v>
      </c>
      <c r="H19" s="63">
        <f>IFERROR(B19/G19,0)</f>
        <v>164.66942972636815</v>
      </c>
      <c r="I19" s="61">
        <v>7</v>
      </c>
      <c r="J19" s="28">
        <f t="shared" si="0"/>
        <v>8.7064676616915426E-3</v>
      </c>
      <c r="K19" s="46">
        <f>I19+'Jul 23 - Jul 29'!I19</f>
        <v>17</v>
      </c>
      <c r="L19" s="89">
        <f>K19/SUM(G19+'Jul 23 - Jul 29'!G19)</f>
        <v>1.1053315994798439E-2</v>
      </c>
      <c r="M19" s="73">
        <v>6906</v>
      </c>
      <c r="N19" s="9"/>
    </row>
    <row r="20" spans="1:14" ht="15.6" customHeight="1" x14ac:dyDescent="0.3">
      <c r="A20" s="40" t="s">
        <v>28</v>
      </c>
      <c r="B20" s="18">
        <f t="shared" si="2"/>
        <v>227694.31899999999</v>
      </c>
      <c r="C20" s="18">
        <v>213767.75</v>
      </c>
      <c r="D20" s="73">
        <v>0</v>
      </c>
      <c r="E20" s="77">
        <f>IFERROR(SUM(B20-D20)/D20,0)</f>
        <v>0</v>
      </c>
      <c r="F20" s="73">
        <v>197995.06</v>
      </c>
      <c r="G20" s="74">
        <v>1311</v>
      </c>
      <c r="H20" s="63">
        <f>IFERROR(B20/G20,0)</f>
        <v>173.67987719298245</v>
      </c>
      <c r="I20" s="74">
        <v>32</v>
      </c>
      <c r="J20" s="28">
        <f t="shared" si="0"/>
        <v>2.4408848207475211E-2</v>
      </c>
      <c r="K20" s="46">
        <f>I20+'Jul 23 - Jul 29'!I20</f>
        <v>43</v>
      </c>
      <c r="L20" s="89">
        <f>K20/SUM(G20+'Jul 23 - Jul 29'!G20)</f>
        <v>1.6712009327633112E-2</v>
      </c>
      <c r="M20" s="73">
        <v>7311.55</v>
      </c>
      <c r="N20" s="9"/>
    </row>
    <row r="21" spans="1:14" x14ac:dyDescent="0.3">
      <c r="A21" s="81"/>
      <c r="B21" s="81"/>
      <c r="C21" s="81"/>
      <c r="D21" s="81"/>
      <c r="E21" s="81"/>
      <c r="F21" s="392"/>
      <c r="G21" s="393"/>
      <c r="H21" s="394"/>
      <c r="I21" s="394"/>
      <c r="J21" s="394"/>
      <c r="K21" s="394"/>
      <c r="L21" s="394"/>
      <c r="M21" s="394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87470.051099999997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D1" activePane="topRight" state="frozen"/>
      <selection pane="topRight" activeCell="K4" sqref="K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5.7766856984622215E-2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2507940.5159999998</v>
      </c>
      <c r="C4" s="3">
        <v>2532568.3525</v>
      </c>
      <c r="D4" s="3">
        <v>1877648.4798000001</v>
      </c>
      <c r="E4" s="76">
        <f>IFERROR((SUM(B4-D4)/D4),0)</f>
        <v>0.33568159481434778</v>
      </c>
      <c r="F4" s="66">
        <f>SUM(F6:F20)</f>
        <v>2180817.84</v>
      </c>
      <c r="G4" s="62">
        <f>SUM(G6:G20)</f>
        <v>15983</v>
      </c>
      <c r="H4" s="85">
        <f>AVERAGE(H5:H20)</f>
        <v>135.64852394010146</v>
      </c>
      <c r="I4" s="88">
        <f>SUM(I6:I20)</f>
        <v>200</v>
      </c>
      <c r="J4" s="28">
        <f t="shared" ref="J4:J20" si="0">I4/G4</f>
        <v>1.2513295376337358E-2</v>
      </c>
      <c r="K4" s="46">
        <f>I4+'Jul 23 - Jul 29'!I4+'Jul 30 - Aug 5'!I4</f>
        <v>672</v>
      </c>
      <c r="L4" s="89">
        <f>K4/SUM(G4+'Jul 23 - Jul 29'!G4+'Jul 30 - Aug 5'!G4)</f>
        <v>1.4175121817453118E-2</v>
      </c>
      <c r="M4" s="66">
        <f>SUM(M6:M20)</f>
        <v>78166.58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I5+'Jul 23 - Jul 29'!I5+'Jul 30 - Aug 5'!I5</f>
        <v>0</v>
      </c>
      <c r="L5" s="89" t="e">
        <f>K5/SUM(G5+'Jul 23 - Jul 29'!G5+'Jul 30 - Aug 5'!G5)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325090.73999999993</v>
      </c>
      <c r="C6" s="18">
        <v>268907.35200000001</v>
      </c>
      <c r="D6" s="73">
        <v>254404.45199999999</v>
      </c>
      <c r="E6" s="77">
        <f t="shared" si="1"/>
        <v>0.27785004328461965</v>
      </c>
      <c r="F6" s="73">
        <v>282687.59999999998</v>
      </c>
      <c r="G6" s="74">
        <v>1948</v>
      </c>
      <c r="H6" s="63">
        <f t="shared" ref="H6:H15" si="3">IFERROR(B6/G6,0)</f>
        <v>166.88436344969196</v>
      </c>
      <c r="I6" s="61">
        <v>12</v>
      </c>
      <c r="J6" s="28">
        <f t="shared" si="0"/>
        <v>6.1601642710472282E-3</v>
      </c>
      <c r="K6" s="46">
        <f>I6+'Jul 23 - Jul 29'!I6+'Jul 30 - Aug 5'!I6</f>
        <v>61</v>
      </c>
      <c r="L6" s="89">
        <f>K6/SUM(G6+'Jul 23 - Jul 29'!G6+'Jul 30 - Aug 5'!G6)</f>
        <v>1.1579347000759301E-2</v>
      </c>
      <c r="M6" s="73">
        <v>6871.05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187993.49</v>
      </c>
      <c r="C7" s="18">
        <v>198892.0515</v>
      </c>
      <c r="D7" s="73">
        <v>216526.98300000001</v>
      </c>
      <c r="E7" s="77">
        <f t="shared" si="1"/>
        <v>-0.13177800108174054</v>
      </c>
      <c r="F7" s="73">
        <v>163472.6</v>
      </c>
      <c r="G7" s="74">
        <v>1010</v>
      </c>
      <c r="H7" s="63">
        <f t="shared" si="3"/>
        <v>186.13216831683167</v>
      </c>
      <c r="I7" s="61">
        <v>13</v>
      </c>
      <c r="J7" s="28">
        <f t="shared" si="0"/>
        <v>1.2871287128712871E-2</v>
      </c>
      <c r="K7" s="46">
        <f>I7+'Jul 23 - Jul 29'!I7+'Jul 30 - Aug 5'!I7</f>
        <v>19</v>
      </c>
      <c r="L7" s="89">
        <f>K7/SUM(G7+'Jul 23 - Jul 29'!G7+'Jul 30 - Aug 5'!G7)</f>
        <v>5.553931598947676E-3</v>
      </c>
      <c r="M7" s="73">
        <v>4738.45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148943.745</v>
      </c>
      <c r="C8" s="18">
        <v>127879.4365</v>
      </c>
      <c r="D8" s="73">
        <v>116799.7602</v>
      </c>
      <c r="E8" s="77">
        <f t="shared" si="1"/>
        <v>0.27520591433543018</v>
      </c>
      <c r="F8" s="73">
        <v>129516.3</v>
      </c>
      <c r="G8" s="74">
        <v>1017</v>
      </c>
      <c r="H8" s="63">
        <f t="shared" si="3"/>
        <v>146.45402654867257</v>
      </c>
      <c r="I8" s="61">
        <v>4</v>
      </c>
      <c r="J8" s="28">
        <f t="shared" si="0"/>
        <v>3.9331366764995086E-3</v>
      </c>
      <c r="K8" s="46">
        <f>I8+'Jul 23 - Jul 29'!I8+'Jul 30 - Aug 5'!I8</f>
        <v>23</v>
      </c>
      <c r="L8" s="89">
        <f>K8/SUM(G8+'Jul 23 - Jul 29'!G8+'Jul 30 - Aug 5'!G8)</f>
        <v>8.3454281567489109E-3</v>
      </c>
      <c r="M8" s="73">
        <v>3766.2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315484.44499999995</v>
      </c>
      <c r="C9" s="18">
        <v>443807.9425</v>
      </c>
      <c r="D9" s="73">
        <v>343726.5528</v>
      </c>
      <c r="E9" s="77">
        <f t="shared" si="1"/>
        <v>-8.2164463495588452E-2</v>
      </c>
      <c r="F9" s="73">
        <v>274334.3</v>
      </c>
      <c r="G9" s="74">
        <v>2052</v>
      </c>
      <c r="H9" s="63">
        <f t="shared" si="3"/>
        <v>153.74485623781675</v>
      </c>
      <c r="I9" s="61">
        <v>12</v>
      </c>
      <c r="J9" s="28">
        <f t="shared" si="0"/>
        <v>5.8479532163742687E-3</v>
      </c>
      <c r="K9" s="46">
        <f>I9+'Jul 23 - Jul 29'!I9+'Jul 30 - Aug 5'!I9</f>
        <v>47</v>
      </c>
      <c r="L9" s="89">
        <f>K9/SUM(G9+'Jul 23 - Jul 29'!G9+'Jul 30 - Aug 5'!G9)</f>
        <v>6.8693364513300204E-3</v>
      </c>
      <c r="M9" s="73">
        <v>9119.4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I10+'Jul 23 - Jul 29'!I10+'Jul 30 - Aug 5'!I10</f>
        <v>0</v>
      </c>
      <c r="L10" s="89" t="e">
        <f>K10/SUM(G10+'Jul 23 - Jul 29'!G10+'Jul 30 - Aug 5'!G10)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165803.31999999998</v>
      </c>
      <c r="C11" s="18">
        <v>198263.35800000001</v>
      </c>
      <c r="D11" s="73">
        <v>156203.826</v>
      </c>
      <c r="E11" s="77">
        <f t="shared" si="1"/>
        <v>6.1454922365345756E-2</v>
      </c>
      <c r="F11" s="73">
        <v>144176.79999999999</v>
      </c>
      <c r="G11" s="74">
        <v>964</v>
      </c>
      <c r="H11" s="63">
        <f t="shared" si="3"/>
        <v>171.99514522821573</v>
      </c>
      <c r="I11" s="61">
        <v>25</v>
      </c>
      <c r="J11" s="28">
        <f t="shared" si="0"/>
        <v>2.5933609958506226E-2</v>
      </c>
      <c r="K11" s="46">
        <f>I11+'Jul 23 - Jul 29'!I11+'Jul 30 - Aug 5'!I11</f>
        <v>138</v>
      </c>
      <c r="L11" s="89">
        <f>K11/SUM(G11+'Jul 23 - Jul 29'!G11+'Jul 30 - Aug 5'!G11)</f>
        <v>4.2977265649330423E-2</v>
      </c>
      <c r="M11" s="73">
        <v>4003.2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365933.33500000002</v>
      </c>
      <c r="C12" s="18">
        <v>347478.30749999988</v>
      </c>
      <c r="D12" s="73">
        <v>387803.60399999988</v>
      </c>
      <c r="E12" s="77">
        <f t="shared" si="1"/>
        <v>-5.6395218544693725E-2</v>
      </c>
      <c r="F12" s="73">
        <v>318202.90000000002</v>
      </c>
      <c r="G12" s="74">
        <v>2473</v>
      </c>
      <c r="H12" s="63">
        <f t="shared" si="3"/>
        <v>147.97142539425801</v>
      </c>
      <c r="I12" s="61">
        <v>31</v>
      </c>
      <c r="J12" s="28">
        <f t="shared" si="0"/>
        <v>1.2535382126971291E-2</v>
      </c>
      <c r="K12" s="46">
        <f>I12+'Jul 23 - Jul 29'!I12+'Jul 30 - Aug 5'!I12</f>
        <v>110</v>
      </c>
      <c r="L12" s="89">
        <f>K12/SUM(G12+'Jul 23 - Jul 29'!G12+'Jul 30 - Aug 5'!G12)</f>
        <v>1.5451608371962354E-2</v>
      </c>
      <c r="M12" s="73">
        <v>9472.25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135906.30999999997</v>
      </c>
      <c r="C13" s="18">
        <v>132900.47450000001</v>
      </c>
      <c r="D13" s="73">
        <v>135093.99</v>
      </c>
      <c r="E13" s="77">
        <f t="shared" si="1"/>
        <v>6.0129988017970154E-3</v>
      </c>
      <c r="F13" s="73">
        <v>118179.4</v>
      </c>
      <c r="G13" s="74">
        <v>966</v>
      </c>
      <c r="H13" s="63">
        <f t="shared" si="3"/>
        <v>140.68976190476187</v>
      </c>
      <c r="I13" s="61">
        <v>15</v>
      </c>
      <c r="J13" s="28">
        <f t="shared" si="0"/>
        <v>1.5527950310559006E-2</v>
      </c>
      <c r="K13" s="46">
        <f>I13+'Jul 23 - Jul 29'!I13+'Jul 30 - Aug 5'!I13</f>
        <v>28</v>
      </c>
      <c r="L13" s="89">
        <f>K13/SUM(G13+'Jul 23 - Jul 29'!G13+'Jul 30 - Aug 5'!G13)</f>
        <v>9.8107918710581641E-3</v>
      </c>
      <c r="M13" s="73">
        <v>9625.15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237098.94999999998</v>
      </c>
      <c r="C14" s="18">
        <v>236788.30050000001</v>
      </c>
      <c r="D14" s="73">
        <v>190541.709</v>
      </c>
      <c r="E14" s="77">
        <f t="shared" si="1"/>
        <v>0.24434146856528918</v>
      </c>
      <c r="F14" s="73">
        <v>206173</v>
      </c>
      <c r="G14" s="74">
        <v>1465</v>
      </c>
      <c r="H14" s="63">
        <f t="shared" si="3"/>
        <v>161.84228668941978</v>
      </c>
      <c r="I14" s="61">
        <v>21</v>
      </c>
      <c r="J14" s="28">
        <f t="shared" si="0"/>
        <v>1.4334470989761093E-2</v>
      </c>
      <c r="K14" s="46">
        <f>I14+'Jul 23 - Jul 29'!I14+'Jul 30 - Aug 5'!I14</f>
        <v>73</v>
      </c>
      <c r="L14" s="89">
        <f>K14/SUM(G14+'Jul 23 - Jul 29'!G14+'Jul 30 - Aug 5'!G14)</f>
        <v>1.6371383718322495E-2</v>
      </c>
      <c r="M14" s="73">
        <v>6470.43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103859.99599999998</v>
      </c>
      <c r="C15" s="18">
        <v>73249.951499999996</v>
      </c>
      <c r="D15" s="73">
        <v>76547.602799999993</v>
      </c>
      <c r="E15" s="77">
        <f t="shared" si="1"/>
        <v>0.3568027240691069</v>
      </c>
      <c r="F15" s="73">
        <v>90313.04</v>
      </c>
      <c r="G15" s="74">
        <v>739</v>
      </c>
      <c r="H15" s="63">
        <f t="shared" si="3"/>
        <v>140.54126657645466</v>
      </c>
      <c r="I15" s="61">
        <v>0</v>
      </c>
      <c r="J15" s="28">
        <f t="shared" si="0"/>
        <v>0</v>
      </c>
      <c r="K15" s="46">
        <f>I15+'Jul 23 - Jul 29'!I15+'Jul 30 - Aug 5'!I15</f>
        <v>1</v>
      </c>
      <c r="L15" s="89">
        <f>K15/SUM(G15+'Jul 23 - Jul 29'!G15+'Jul 30 - Aug 5'!G15)</f>
        <v>5.5279159756771695E-4</v>
      </c>
      <c r="M15" s="73">
        <v>6602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>
        <v>0</v>
      </c>
      <c r="E16" s="77"/>
      <c r="F16" s="32"/>
      <c r="G16" s="61"/>
      <c r="H16" s="63"/>
      <c r="I16" s="61"/>
      <c r="J16" s="28" t="e">
        <f t="shared" si="0"/>
        <v>#DIV/0!</v>
      </c>
      <c r="K16" s="46">
        <f>I16+'Jul 23 - Jul 29'!I16+'Jul 30 - Aug 5'!I16</f>
        <v>0</v>
      </c>
      <c r="L16" s="89" t="e">
        <f>K16/SUM(G16+'Jul 23 - Jul 29'!G16+'Jul 30 - Aug 5'!G16)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>
        <v>0</v>
      </c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I17+'Jul 23 - Jul 29'!I17+'Jul 30 - Aug 5'!I17</f>
        <v>0</v>
      </c>
      <c r="L17" s="89" t="e">
        <f>K17/SUM(G17+'Jul 23 - Jul 29'!G17+'Jul 30 - Aug 5'!G17)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207232.75999999998</v>
      </c>
      <c r="C18" s="18">
        <v>144312.63750000001</v>
      </c>
      <c r="D18" s="73">
        <v>0</v>
      </c>
      <c r="E18" s="77">
        <f>IFERROR(SUM(B18-D18)/D18,0)</f>
        <v>0</v>
      </c>
      <c r="F18" s="73">
        <v>180202.4</v>
      </c>
      <c r="G18" s="74">
        <v>1550</v>
      </c>
      <c r="H18" s="63">
        <f>IFERROR(B18/G18,0)</f>
        <v>133.69855483870967</v>
      </c>
      <c r="I18" s="61">
        <v>36</v>
      </c>
      <c r="J18" s="28">
        <f t="shared" si="0"/>
        <v>2.3225806451612905E-2</v>
      </c>
      <c r="K18" s="46">
        <f>I18+'Jul 23 - Jul 29'!I18+'Jul 30 - Aug 5'!I18</f>
        <v>81</v>
      </c>
      <c r="L18" s="89">
        <f>K18/SUM(G18+'Jul 23 - Jul 29'!G18+'Jul 30 - Aug 5'!G18)</f>
        <v>2.1554018094731241E-2</v>
      </c>
      <c r="M18" s="73">
        <v>4945.45</v>
      </c>
      <c r="N18" s="9"/>
    </row>
    <row r="19" spans="1:14" ht="15.6" customHeight="1" x14ac:dyDescent="0.3">
      <c r="A19" s="40" t="s">
        <v>27</v>
      </c>
      <c r="B19" s="18">
        <f t="shared" si="2"/>
        <v>123234.80499999999</v>
      </c>
      <c r="C19" s="18">
        <v>132394.22150000001</v>
      </c>
      <c r="D19" s="73">
        <v>0</v>
      </c>
      <c r="E19" s="77">
        <f>IFERROR(SUM(B19-D19)/D19,0)</f>
        <v>0</v>
      </c>
      <c r="F19" s="73">
        <v>107160.7</v>
      </c>
      <c r="G19" s="74">
        <v>712</v>
      </c>
      <c r="H19" s="63">
        <f>IFERROR(B19/G19,0)</f>
        <v>173.08259129213482</v>
      </c>
      <c r="I19" s="61">
        <v>10</v>
      </c>
      <c r="J19" s="28">
        <f t="shared" si="0"/>
        <v>1.4044943820224719E-2</v>
      </c>
      <c r="K19" s="46">
        <f>I19+'Jul 23 - Jul 29'!I19+'Jul 30 - Aug 5'!I19</f>
        <v>27</v>
      </c>
      <c r="L19" s="89">
        <f>K19/SUM(G19+'Jul 23 - Jul 29'!G19+'Jul 30 - Aug 5'!G19)</f>
        <v>1.2E-2</v>
      </c>
      <c r="M19" s="73">
        <v>5520.7</v>
      </c>
      <c r="N19" s="9"/>
    </row>
    <row r="20" spans="1:14" ht="15.6" customHeight="1" x14ac:dyDescent="0.3">
      <c r="A20" s="40" t="s">
        <v>28</v>
      </c>
      <c r="B20" s="18">
        <f t="shared" si="2"/>
        <v>191358.61999999997</v>
      </c>
      <c r="C20" s="18">
        <v>227694.31899999999</v>
      </c>
      <c r="D20" s="73">
        <v>0</v>
      </c>
      <c r="E20" s="77">
        <f>IFERROR(SUM(B20-D20)/D20,0)</f>
        <v>0</v>
      </c>
      <c r="F20" s="73">
        <v>166398.79999999999</v>
      </c>
      <c r="G20" s="74">
        <v>1087</v>
      </c>
      <c r="H20" s="63">
        <f>IFERROR(B20/G20,0)</f>
        <v>176.04288868445258</v>
      </c>
      <c r="I20" s="74">
        <v>21</v>
      </c>
      <c r="J20" s="28">
        <f t="shared" si="0"/>
        <v>1.9319227230910764E-2</v>
      </c>
      <c r="K20" s="46">
        <f>I20+'Jul 23 - Jul 29'!I20+'Jul 30 - Aug 5'!I20</f>
        <v>64</v>
      </c>
      <c r="L20" s="89">
        <f>K20/SUM(G20+'Jul 23 - Jul 29'!G20+'Jul 30 - Aug 5'!G20)</f>
        <v>1.7486338797814208E-2</v>
      </c>
      <c r="M20" s="73">
        <v>7032.3</v>
      </c>
      <c r="N20" s="9"/>
    </row>
    <row r="21" spans="1:14" x14ac:dyDescent="0.3">
      <c r="A21" s="81"/>
      <c r="B21" s="81"/>
      <c r="C21" s="81"/>
      <c r="D21" s="81"/>
      <c r="E21" s="81"/>
      <c r="F21" s="392"/>
      <c r="G21" s="393"/>
      <c r="H21" s="394"/>
      <c r="I21" s="394"/>
      <c r="J21" s="394"/>
      <c r="K21" s="394"/>
      <c r="L21" s="394"/>
      <c r="M21" s="394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83504.944709999982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C1" activePane="topRight" state="frozen"/>
      <selection pane="topRight" activeCell="L4" sqref="L4:L20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(((B4-B18-B19-B20)-D4)/D4)</f>
        <v>-6.3831588867350991E-2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2190352.2034999998</v>
      </c>
      <c r="C4" s="3">
        <v>2507940.5159999998</v>
      </c>
      <c r="D4" s="3">
        <v>1877648.4798000001</v>
      </c>
      <c r="E4" s="76">
        <f>IFERROR((SUM(B4-D4)/D4),0)</f>
        <v>0.16654007768978554</v>
      </c>
      <c r="F4" s="66">
        <f>SUM(F6:F20)</f>
        <v>1904654.0899999999</v>
      </c>
      <c r="G4" s="62">
        <f>SUM(G6:G20)</f>
        <v>13862</v>
      </c>
      <c r="H4" s="85">
        <f>AVERAGE(H5:H20)</f>
        <v>134.85035656626599</v>
      </c>
      <c r="I4" s="88">
        <f>SUM(I6:I20)</f>
        <v>192</v>
      </c>
      <c r="J4" s="28">
        <f t="shared" ref="J4:J20" si="0">I4/G4</f>
        <v>1.3850815178184966E-2</v>
      </c>
      <c r="K4" s="46">
        <f>I4+'Jul 23 - Jul 29'!I4+'Jul 30 - Aug 5'!I4+'Aug 6 - Aug 12'!I4</f>
        <v>864</v>
      </c>
      <c r="L4" s="89">
        <f>K4/SUM(G4+'Jul 23 - Jul 29'!G4+'Jul 30 - Aug 5'!G4+'Aug 6 - Aug 12'!G4)</f>
        <v>1.4101748029182784E-2</v>
      </c>
      <c r="M4" s="66">
        <f>SUM(M6:M20)</f>
        <v>82729.39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I5+'Jul 23 - Jul 29'!I5+'Jul 30 - Aug 5'!I5+'Aug 6 - Aug 12'!I5</f>
        <v>0</v>
      </c>
      <c r="L5" s="89" t="e">
        <f>K5/SUM(G5+'Jul 23 - Jul 29'!G5+'Jul 30 - Aug 5'!G5+'Aug 6 - Aug 12'!G5)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238375.21999999997</v>
      </c>
      <c r="C6" s="18">
        <v>325090.73999999987</v>
      </c>
      <c r="D6" s="73">
        <v>254404.45199999999</v>
      </c>
      <c r="E6" s="77">
        <f t="shared" si="1"/>
        <v>-6.3006884800899707E-2</v>
      </c>
      <c r="F6" s="73">
        <v>207282.8</v>
      </c>
      <c r="G6" s="74">
        <v>1373</v>
      </c>
      <c r="H6" s="63">
        <f t="shared" ref="H6:H15" si="3">IFERROR(B6/G6,0)</f>
        <v>173.61632920611797</v>
      </c>
      <c r="I6" s="61">
        <v>19</v>
      </c>
      <c r="J6" s="28">
        <f t="shared" si="0"/>
        <v>1.3838310269482883E-2</v>
      </c>
      <c r="K6" s="46">
        <f>I6+'Jul 23 - Jul 29'!I6+'Jul 30 - Aug 5'!I6+'Aug 6 - Aug 12'!I6</f>
        <v>80</v>
      </c>
      <c r="L6" s="89">
        <f>K6/SUM(G6+'Jul 23 - Jul 29'!G6+'Jul 30 - Aug 5'!G6+'Aug 6 - Aug 12'!G6)</f>
        <v>1.2046378557446167E-2</v>
      </c>
      <c r="M6" s="73">
        <v>6781.75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165547.87049999999</v>
      </c>
      <c r="C7" s="18">
        <v>187993.49</v>
      </c>
      <c r="D7" s="73">
        <v>216526.98300000001</v>
      </c>
      <c r="E7" s="77">
        <f t="shared" si="1"/>
        <v>-0.23543999825647605</v>
      </c>
      <c r="F7" s="73">
        <v>143954.67000000001</v>
      </c>
      <c r="G7" s="74">
        <v>979</v>
      </c>
      <c r="H7" s="63">
        <f t="shared" si="3"/>
        <v>169.09894841675177</v>
      </c>
      <c r="I7" s="61">
        <v>5</v>
      </c>
      <c r="J7" s="28">
        <f t="shared" si="0"/>
        <v>5.1072522982635342E-3</v>
      </c>
      <c r="K7" s="46">
        <f>I7+'Jul 23 - Jul 29'!I7+'Jul 30 - Aug 5'!I7+'Aug 6 - Aug 12'!I7</f>
        <v>24</v>
      </c>
      <c r="L7" s="89">
        <f>K7/SUM(G7+'Jul 23 - Jul 29'!G7+'Jul 30 - Aug 5'!G7+'Aug 6 - Aug 12'!G7)</f>
        <v>5.454545454545455E-3</v>
      </c>
      <c r="M7" s="73">
        <v>5862.7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103053.89199999999</v>
      </c>
      <c r="C8" s="18">
        <v>148943.745</v>
      </c>
      <c r="D8" s="73">
        <v>116799.7602</v>
      </c>
      <c r="E8" s="77">
        <f t="shared" si="1"/>
        <v>-0.11768746936177367</v>
      </c>
      <c r="F8" s="73">
        <v>89612.08</v>
      </c>
      <c r="G8" s="74">
        <v>653</v>
      </c>
      <c r="H8" s="63">
        <f t="shared" si="3"/>
        <v>157.816067381317</v>
      </c>
      <c r="I8" s="61">
        <v>6</v>
      </c>
      <c r="J8" s="28">
        <f t="shared" si="0"/>
        <v>9.1883614088820835E-3</v>
      </c>
      <c r="K8" s="46">
        <f>I8+'Jul 23 - Jul 29'!I8+'Jul 30 - Aug 5'!I8+'Aug 6 - Aug 12'!I8</f>
        <v>29</v>
      </c>
      <c r="L8" s="89">
        <f>K8/SUM(G8+'Jul 23 - Jul 29'!G8+'Jul 30 - Aug 5'!G8+'Aug 6 - Aug 12'!G8)</f>
        <v>8.5068935171604583E-3</v>
      </c>
      <c r="M8" s="73">
        <v>4192.54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296968.98499999999</v>
      </c>
      <c r="C9" s="18">
        <v>315484.44499999989</v>
      </c>
      <c r="D9" s="73">
        <v>343726.5528</v>
      </c>
      <c r="E9" s="77">
        <f t="shared" si="1"/>
        <v>-0.13603129411770024</v>
      </c>
      <c r="F9" s="73">
        <v>258233.9</v>
      </c>
      <c r="G9" s="74">
        <v>1972</v>
      </c>
      <c r="H9" s="63">
        <f t="shared" si="3"/>
        <v>150.59279158215008</v>
      </c>
      <c r="I9" s="61">
        <v>12</v>
      </c>
      <c r="J9" s="28">
        <f t="shared" si="0"/>
        <v>6.0851926977687626E-3</v>
      </c>
      <c r="K9" s="46">
        <f>I9+'Jul 23 - Jul 29'!I9+'Jul 30 - Aug 5'!I9+'Aug 6 - Aug 12'!I9</f>
        <v>59</v>
      </c>
      <c r="L9" s="89">
        <f>K9/SUM(G9+'Jul 23 - Jul 29'!G9+'Jul 30 - Aug 5'!G9+'Aug 6 - Aug 12'!G9)</f>
        <v>6.6938960744270483E-3</v>
      </c>
      <c r="M9" s="73">
        <v>9456.2999999999993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I10+'Jul 23 - Jul 29'!I10+'Jul 30 - Aug 5'!I10+'Aug 6 - Aug 12'!I10</f>
        <v>0</v>
      </c>
      <c r="L10" s="89" t="e">
        <f>K10/SUM(G10+'Jul 23 - Jul 29'!G10+'Jul 30 - Aug 5'!G10+'Aug 6 - Aug 12'!G10)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165386.353</v>
      </c>
      <c r="C11" s="18">
        <v>165803.32</v>
      </c>
      <c r="D11" s="73">
        <v>156203.826</v>
      </c>
      <c r="E11" s="77">
        <f t="shared" si="1"/>
        <v>5.8785544727950528E-2</v>
      </c>
      <c r="F11" s="73">
        <v>143814.22</v>
      </c>
      <c r="G11" s="74">
        <v>1066</v>
      </c>
      <c r="H11" s="63">
        <f t="shared" si="3"/>
        <v>155.14667260787994</v>
      </c>
      <c r="I11" s="61">
        <v>16</v>
      </c>
      <c r="J11" s="28">
        <f t="shared" si="0"/>
        <v>1.50093808630394E-2</v>
      </c>
      <c r="K11" s="46">
        <f>I11+'Jul 23 - Jul 29'!I11+'Jul 30 - Aug 5'!I11+'Aug 6 - Aug 12'!I11</f>
        <v>154</v>
      </c>
      <c r="L11" s="89">
        <f>K11/SUM(G11+'Jul 23 - Jul 29'!G11+'Jul 30 - Aug 5'!G11+'Aug 6 - Aug 12'!G11)</f>
        <v>3.6006546644844518E-2</v>
      </c>
      <c r="M11" s="73">
        <v>4848.6499999999996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341277.24299999996</v>
      </c>
      <c r="C12" s="18">
        <v>365933.33500000002</v>
      </c>
      <c r="D12" s="73">
        <v>387803.60399999988</v>
      </c>
      <c r="E12" s="77">
        <f t="shared" si="1"/>
        <v>-0.11997402943166029</v>
      </c>
      <c r="F12" s="73">
        <v>296762.82</v>
      </c>
      <c r="G12" s="74">
        <v>2043</v>
      </c>
      <c r="H12" s="63">
        <f t="shared" si="3"/>
        <v>167.0471086637298</v>
      </c>
      <c r="I12" s="61">
        <v>32</v>
      </c>
      <c r="J12" s="28">
        <f t="shared" si="0"/>
        <v>1.5663240332843859E-2</v>
      </c>
      <c r="K12" s="46">
        <f>I12+'Jul 23 - Jul 29'!I12+'Jul 30 - Aug 5'!I12+'Aug 6 - Aug 12'!I12</f>
        <v>142</v>
      </c>
      <c r="L12" s="89">
        <f>K12/SUM(G12+'Jul 23 - Jul 29'!G12+'Jul 30 - Aug 5'!G12+'Aug 6 - Aug 12'!G12)</f>
        <v>1.5498799388779742E-2</v>
      </c>
      <c r="M12" s="73">
        <v>8296.7999999999993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131497.21</v>
      </c>
      <c r="C13" s="18">
        <v>135906.31</v>
      </c>
      <c r="D13" s="73">
        <v>135093.99</v>
      </c>
      <c r="E13" s="77">
        <f t="shared" si="1"/>
        <v>-2.6624278400541719E-2</v>
      </c>
      <c r="F13" s="73">
        <v>114345.4</v>
      </c>
      <c r="G13" s="74">
        <v>946</v>
      </c>
      <c r="H13" s="63">
        <f t="shared" si="3"/>
        <v>139.0033932346723</v>
      </c>
      <c r="I13" s="61">
        <v>14</v>
      </c>
      <c r="J13" s="28">
        <f t="shared" si="0"/>
        <v>1.4799154334038054E-2</v>
      </c>
      <c r="K13" s="46">
        <f>I13+'Jul 23 - Jul 29'!I13+'Jul 30 - Aug 5'!I13+'Aug 6 - Aug 12'!I13</f>
        <v>42</v>
      </c>
      <c r="L13" s="89">
        <f>K13/SUM(G13+'Jul 23 - Jul 29'!G13+'Jul 30 - Aug 5'!G13+'Aug 6 - Aug 12'!G13)</f>
        <v>1.1052631578947368E-2</v>
      </c>
      <c r="M13" s="73">
        <v>10242.75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223230.40999999997</v>
      </c>
      <c r="C14" s="18">
        <v>237098.95</v>
      </c>
      <c r="D14" s="73">
        <v>190541.709</v>
      </c>
      <c r="E14" s="77">
        <f t="shared" si="1"/>
        <v>0.17155666951638379</v>
      </c>
      <c r="F14" s="73">
        <v>194113.4</v>
      </c>
      <c r="G14" s="74">
        <v>1483</v>
      </c>
      <c r="H14" s="63">
        <f t="shared" si="3"/>
        <v>150.52623735670934</v>
      </c>
      <c r="I14" s="61">
        <v>27</v>
      </c>
      <c r="J14" s="28">
        <f t="shared" si="0"/>
        <v>1.8206338503034391E-2</v>
      </c>
      <c r="K14" s="46">
        <f>I14+'Jul 23 - Jul 29'!I14+'Jul 30 - Aug 5'!I14+'Aug 6 - Aug 12'!I14</f>
        <v>100</v>
      </c>
      <c r="L14" s="89">
        <f>K14/SUM(G14+'Jul 23 - Jul 29'!G14+'Jul 30 - Aug 5'!G14+'Aug 6 - Aug 12'!G14)</f>
        <v>1.6829350387075059E-2</v>
      </c>
      <c r="M14" s="73">
        <v>5966.8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92458.010500000004</v>
      </c>
      <c r="C15" s="18">
        <v>103859.996</v>
      </c>
      <c r="D15" s="73">
        <v>76547.602799999993</v>
      </c>
      <c r="E15" s="77">
        <f t="shared" si="1"/>
        <v>0.20784984921826988</v>
      </c>
      <c r="F15" s="73">
        <v>80398.27</v>
      </c>
      <c r="G15" s="74">
        <v>647</v>
      </c>
      <c r="H15" s="63">
        <f t="shared" si="3"/>
        <v>142.90264374034004</v>
      </c>
      <c r="I15" s="61">
        <v>2</v>
      </c>
      <c r="J15" s="28">
        <f t="shared" si="0"/>
        <v>3.0911901081916537E-3</v>
      </c>
      <c r="K15" s="46">
        <f>I15+'Jul 23 - Jul 29'!I15+'Jul 30 - Aug 5'!I15+'Aug 6 - Aug 12'!I15</f>
        <v>3</v>
      </c>
      <c r="L15" s="89">
        <f>K15/SUM(G15+'Jul 23 - Jul 29'!G15+'Jul 30 - Aug 5'!G15+'Aug 6 - Aug 12'!G15)</f>
        <v>1.2214983713355048E-3</v>
      </c>
      <c r="M15" s="73">
        <v>6846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>
        <v>0</v>
      </c>
      <c r="E16" s="77"/>
      <c r="F16" s="32"/>
      <c r="G16" s="61"/>
      <c r="H16" s="63"/>
      <c r="I16" s="61"/>
      <c r="J16" s="28" t="e">
        <f t="shared" si="0"/>
        <v>#DIV/0!</v>
      </c>
      <c r="K16" s="46">
        <f>I16+'Jul 23 - Jul 29'!I16+'Jul 30 - Aug 5'!I16+'Aug 6 - Aug 12'!I16</f>
        <v>0</v>
      </c>
      <c r="L16" s="89" t="e">
        <f>K16/SUM(G16+'Jul 23 - Jul 29'!G16+'Jul 30 - Aug 5'!G16+'Aug 6 - Aug 12'!G16)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>
        <v>0</v>
      </c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I17+'Jul 23 - Jul 29'!I17+'Jul 30 - Aug 5'!I17+'Aug 6 - Aug 12'!I17</f>
        <v>0</v>
      </c>
      <c r="L17" s="89" t="e">
        <f>K17/SUM(G17+'Jul 23 - Jul 29'!G17+'Jul 30 - Aug 5'!G17+'Aug 6 - Aug 12'!G17)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136141.37</v>
      </c>
      <c r="C18" s="18">
        <v>207232.76</v>
      </c>
      <c r="D18" s="73">
        <v>0</v>
      </c>
      <c r="E18" s="77">
        <f>IFERROR(SUM(B18-D18)/D18,0)</f>
        <v>0</v>
      </c>
      <c r="F18" s="73">
        <v>118383.8</v>
      </c>
      <c r="G18" s="74">
        <v>968</v>
      </c>
      <c r="H18" s="63">
        <f>IFERROR(B18/G18,0)</f>
        <v>140.64191115702479</v>
      </c>
      <c r="I18" s="61">
        <v>24</v>
      </c>
      <c r="J18" s="28">
        <f t="shared" si="0"/>
        <v>2.4793388429752067E-2</v>
      </c>
      <c r="K18" s="46">
        <f>I18+'Jul 23 - Jul 29'!I18+'Jul 30 - Aug 5'!I18+'Aug 6 - Aug 12'!I18</f>
        <v>105</v>
      </c>
      <c r="L18" s="89">
        <f>K18/SUM(G18+'Jul 23 - Jul 29'!G18+'Jul 30 - Aug 5'!G18+'Aug 6 - Aug 12'!G18)</f>
        <v>2.2217520101565805E-2</v>
      </c>
      <c r="M18" s="73">
        <v>2019</v>
      </c>
      <c r="N18" s="9"/>
    </row>
    <row r="19" spans="1:14" ht="15.6" customHeight="1" x14ac:dyDescent="0.3">
      <c r="A19" s="40" t="s">
        <v>27</v>
      </c>
      <c r="B19" s="18">
        <f t="shared" si="2"/>
        <v>107184.86449999998</v>
      </c>
      <c r="C19" s="18">
        <v>123234.80499999999</v>
      </c>
      <c r="D19" s="73">
        <v>0</v>
      </c>
      <c r="E19" s="77">
        <f>IFERROR(SUM(B19-D19)/D19,0)</f>
        <v>0</v>
      </c>
      <c r="F19" s="73">
        <v>93204.23</v>
      </c>
      <c r="G19" s="74">
        <v>633</v>
      </c>
      <c r="H19" s="63">
        <f>IFERROR(B19/G19,0)</f>
        <v>169.32837993680883</v>
      </c>
      <c r="I19" s="61">
        <v>9</v>
      </c>
      <c r="J19" s="28">
        <f t="shared" si="0"/>
        <v>1.4218009478672985E-2</v>
      </c>
      <c r="K19" s="46">
        <f>I19+'Jul 23 - Jul 29'!I19+'Jul 30 - Aug 5'!I19+'Aug 6 - Aug 12'!I19</f>
        <v>36</v>
      </c>
      <c r="L19" s="89">
        <f>K19/SUM(G19+'Jul 23 - Jul 29'!G19+'Jul 30 - Aug 5'!G19+'Aug 6 - Aug 12'!G19)</f>
        <v>1.2486992715920915E-2</v>
      </c>
      <c r="M19" s="73">
        <v>6084.2</v>
      </c>
      <c r="N19" s="9"/>
    </row>
    <row r="20" spans="1:14" ht="15.6" customHeight="1" x14ac:dyDescent="0.3">
      <c r="A20" s="40" t="s">
        <v>28</v>
      </c>
      <c r="B20" s="18">
        <f t="shared" si="2"/>
        <v>189230.77499999999</v>
      </c>
      <c r="C20" s="18">
        <v>191358.62</v>
      </c>
      <c r="D20" s="73">
        <v>0</v>
      </c>
      <c r="E20" s="77">
        <f>IFERROR(SUM(B20-D20)/D20,0)</f>
        <v>0</v>
      </c>
      <c r="F20" s="73">
        <v>164548.5</v>
      </c>
      <c r="G20" s="74">
        <v>1099</v>
      </c>
      <c r="H20" s="63">
        <f>IFERROR(B20/G20,0)</f>
        <v>172.18450864422201</v>
      </c>
      <c r="I20" s="74">
        <v>26</v>
      </c>
      <c r="J20" s="28">
        <f t="shared" si="0"/>
        <v>2.3657870791628753E-2</v>
      </c>
      <c r="K20" s="46">
        <f>I20+'Jul 23 - Jul 29'!I20+'Jul 30 - Aug 5'!I20+'Aug 6 - Aug 12'!I20</f>
        <v>90</v>
      </c>
      <c r="L20" s="89">
        <f>K20/SUM(G20+'Jul 23 - Jul 29'!G20+'Jul 30 - Aug 5'!G20+'Aug 6 - Aug 12'!G20)</f>
        <v>1.8911536036982559E-2</v>
      </c>
      <c r="M20" s="73">
        <v>12131.9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118400.39543999999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I18" sqref="I18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(((B4-B19-B20)-D4)/D4)</f>
        <v>0.11447560947505897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2270442.8265</v>
      </c>
      <c r="C4" s="3">
        <v>2190352.2034999998</v>
      </c>
      <c r="D4" s="3">
        <v>1755569.1402</v>
      </c>
      <c r="E4" s="76">
        <f>IFERROR((SUM(B4-D4)/D4),0)</f>
        <v>0.29328021010972194</v>
      </c>
      <c r="F4" s="66">
        <f>SUM(F6:F20)</f>
        <v>1974298.11</v>
      </c>
      <c r="G4" s="62">
        <f>SUM(G6:G20)</f>
        <v>14296</v>
      </c>
      <c r="H4" s="85">
        <f>AVERAGE(H5:H20)</f>
        <v>136.60265621673358</v>
      </c>
      <c r="I4" s="88">
        <f>SUM(I6:I20)</f>
        <v>215</v>
      </c>
      <c r="J4" s="28">
        <f t="shared" ref="J4:J20" si="0">I4/G4</f>
        <v>1.503917179630666E-2</v>
      </c>
      <c r="K4" s="46">
        <f>I4+'Jul 23 - Jul 29'!I4+'Jul 30 - Aug 5'!I4+'Aug 6 - Aug 12'!I4+'Aug 13 - Aug 19'!I4</f>
        <v>1079</v>
      </c>
      <c r="L4" s="89">
        <f>K4/SUM(G4+'Jul 23 - Jul 29'!G4+'Jul 30 - Aug 5'!G4+'Aug 6 - Aug 12'!G4+'Aug 13 - Aug 19'!G4)</f>
        <v>1.4279097465757958E-2</v>
      </c>
      <c r="M4" s="66">
        <f>SUM(M6:M20)</f>
        <v>71384.98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I5+'Jul 23 - Jul 29'!I5+'Jul 30 - Aug 5'!I5+'Aug 6 - Aug 12'!I5</f>
        <v>0</v>
      </c>
      <c r="L5" s="89" t="e">
        <f>K5/SUM(G5+'Jul 23 - Jul 29'!G5+'Jul 30 - Aug 5'!G5+'Aug 6 - Aug 12'!G5+'Aug 13 - Aug 19'!G5)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240890.33899999998</v>
      </c>
      <c r="C6" s="18">
        <v>238375.22</v>
      </c>
      <c r="D6" s="73">
        <v>225656.73</v>
      </c>
      <c r="E6" s="77">
        <f t="shared" si="1"/>
        <v>6.7507886868696396E-2</v>
      </c>
      <c r="F6" s="73">
        <v>209469.86</v>
      </c>
      <c r="G6" s="74">
        <v>1419</v>
      </c>
      <c r="H6" s="63">
        <f t="shared" ref="H6:H15" si="3">IFERROR(B6/G6,0)</f>
        <v>169.76063354474982</v>
      </c>
      <c r="I6" s="61">
        <v>19</v>
      </c>
      <c r="J6" s="28">
        <f t="shared" si="0"/>
        <v>1.3389711064129669E-2</v>
      </c>
      <c r="K6" s="46">
        <f>I6+'Jul 23 - Jul 29'!I6+'Jul 30 - Aug 5'!I6+'Aug 6 - Aug 12'!I6</f>
        <v>80</v>
      </c>
      <c r="L6" s="89">
        <f>K6/SUM(G6+'Jul 23 - Jul 29'!G6+'Jul 30 - Aug 5'!G6+'Aug 6 - Aug 12'!G6+'Aug 13 - Aug 19'!G6)</f>
        <v>9.9255583126550868E-3</v>
      </c>
      <c r="M6" s="73">
        <v>6683.4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208157.64749999996</v>
      </c>
      <c r="C7" s="18">
        <v>165547.87049999999</v>
      </c>
      <c r="D7" s="73">
        <v>194957.21400000001</v>
      </c>
      <c r="E7" s="77">
        <f t="shared" si="1"/>
        <v>6.7709387250476177E-2</v>
      </c>
      <c r="F7" s="73">
        <v>181006.65</v>
      </c>
      <c r="G7" s="74">
        <v>1195</v>
      </c>
      <c r="H7" s="63">
        <f t="shared" si="3"/>
        <v>174.19049999999996</v>
      </c>
      <c r="I7" s="61">
        <v>5</v>
      </c>
      <c r="J7" s="28">
        <f t="shared" si="0"/>
        <v>4.1841004184100415E-3</v>
      </c>
      <c r="K7" s="46">
        <f>I7+'Jul 23 - Jul 29'!I7+'Jul 30 - Aug 5'!I7+'Aug 6 - Aug 12'!I7</f>
        <v>24</v>
      </c>
      <c r="L7" s="89">
        <f>K7/SUM(G7+'Jul 23 - Jul 29'!G7+'Jul 30 - Aug 5'!G7+'Aug 6 - Aug 12'!G7+'Aug 13 - Aug 19'!G7)</f>
        <v>4.2895442359249334E-3</v>
      </c>
      <c r="M7" s="73">
        <v>5504.9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121823.617</v>
      </c>
      <c r="C8" s="18">
        <v>103053.89200000001</v>
      </c>
      <c r="D8" s="73">
        <v>110440.0536</v>
      </c>
      <c r="E8" s="77">
        <f t="shared" si="1"/>
        <v>0.10307459140892701</v>
      </c>
      <c r="F8" s="73">
        <v>105933.58</v>
      </c>
      <c r="G8" s="74">
        <v>710</v>
      </c>
      <c r="H8" s="63">
        <f t="shared" si="3"/>
        <v>171.58255915492958</v>
      </c>
      <c r="I8" s="61">
        <v>4</v>
      </c>
      <c r="J8" s="28">
        <f t="shared" si="0"/>
        <v>5.6338028169014088E-3</v>
      </c>
      <c r="K8" s="46">
        <f>I8+'Jul 23 - Jul 29'!I8+'Jul 30 - Aug 5'!I8+'Aug 6 - Aug 12'!I8</f>
        <v>27</v>
      </c>
      <c r="L8" s="89">
        <f>K8/SUM(G8+'Jul 23 - Jul 29'!G8+'Jul 30 - Aug 5'!G8+'Aug 6 - Aug 12'!G8+'Aug 13 - Aug 19'!G8)</f>
        <v>6.5549890750182084E-3</v>
      </c>
      <c r="M8" s="73">
        <v>4571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316279.46299999999</v>
      </c>
      <c r="C9" s="18">
        <v>296968.98499999999</v>
      </c>
      <c r="D9" s="73">
        <v>302804.52</v>
      </c>
      <c r="E9" s="77">
        <f t="shared" si="1"/>
        <v>4.4500468487062114E-2</v>
      </c>
      <c r="F9" s="73">
        <v>275025.62</v>
      </c>
      <c r="G9" s="74">
        <v>2195</v>
      </c>
      <c r="H9" s="63">
        <f t="shared" si="3"/>
        <v>144.09087152619588</v>
      </c>
      <c r="I9" s="61">
        <v>15</v>
      </c>
      <c r="J9" s="28">
        <f t="shared" si="0"/>
        <v>6.8337129840546698E-3</v>
      </c>
      <c r="K9" s="46">
        <f>I9+'Jul 23 - Jul 29'!I9+'Jul 30 - Aug 5'!I9+'Aug 6 - Aug 12'!I9</f>
        <v>62</v>
      </c>
      <c r="L9" s="89">
        <f>K9/SUM(G9+'Jul 23 - Jul 29'!G9+'Jul 30 - Aug 5'!G9+'Aug 6 - Aug 12'!G9+'Aug 13 - Aug 19'!G9)</f>
        <v>5.6317558361340721E-3</v>
      </c>
      <c r="M9" s="73">
        <v>8129.8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I10+'Jul 23 - Jul 29'!I10+'Jul 30 - Aug 5'!I10+'Aug 6 - Aug 12'!I10</f>
        <v>0</v>
      </c>
      <c r="L10" s="89" t="e">
        <f>K10/SUM(G10+'Jul 23 - Jul 29'!G10+'Jul 30 - Aug 5'!G10+'Aug 6 - Aug 12'!G10+'Aug 13 - Aug 19'!G10)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154529.60550000001</v>
      </c>
      <c r="C11" s="18">
        <v>165386.353</v>
      </c>
      <c r="D11" s="73">
        <v>130993.296</v>
      </c>
      <c r="E11" s="77">
        <f t="shared" si="1"/>
        <v>0.17967567973860282</v>
      </c>
      <c r="F11" s="73">
        <v>134373.57</v>
      </c>
      <c r="G11" s="74">
        <v>924</v>
      </c>
      <c r="H11" s="63">
        <f t="shared" si="3"/>
        <v>167.23983279220781</v>
      </c>
      <c r="I11" s="61">
        <v>28</v>
      </c>
      <c r="J11" s="28">
        <f t="shared" si="0"/>
        <v>3.0303030303030304E-2</v>
      </c>
      <c r="K11" s="46">
        <f>I11+'Jul 23 - Jul 29'!I11+'Jul 30 - Aug 5'!I11+'Aug 6 - Aug 12'!I11</f>
        <v>166</v>
      </c>
      <c r="L11" s="89">
        <f>K11/SUM(G11+'Jul 23 - Jul 29'!G11+'Jul 30 - Aug 5'!G11+'Aug 6 - Aug 12'!G11+'Aug 13 - Aug 19'!G11)</f>
        <v>3.1916939050182655E-2</v>
      </c>
      <c r="M11" s="73">
        <v>4281.83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347351.33600000001</v>
      </c>
      <c r="C12" s="18">
        <v>341277.24300000002</v>
      </c>
      <c r="D12" s="73">
        <v>362089.08</v>
      </c>
      <c r="E12" s="77">
        <f t="shared" si="1"/>
        <v>-4.0701984163675979E-2</v>
      </c>
      <c r="F12" s="73">
        <v>302044.64</v>
      </c>
      <c r="G12" s="74">
        <v>2139</v>
      </c>
      <c r="H12" s="63">
        <f t="shared" si="3"/>
        <v>162.38959139784947</v>
      </c>
      <c r="I12" s="61">
        <v>43</v>
      </c>
      <c r="J12" s="28">
        <f t="shared" si="0"/>
        <v>2.0102851799906497E-2</v>
      </c>
      <c r="K12" s="46">
        <f>I12+'Jul 23 - Jul 29'!I12+'Jul 30 - Aug 5'!I12+'Aug 6 - Aug 12'!I12</f>
        <v>153</v>
      </c>
      <c r="L12" s="89">
        <f>K12/SUM(G12+'Jul 23 - Jul 29'!G12+'Jul 30 - Aug 5'!G12+'Aug 6 - Aug 12'!G12+'Aug 13 - Aug 19'!G12)</f>
        <v>1.3538624900451287E-2</v>
      </c>
      <c r="M12" s="73">
        <v>9111.25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138667.66699999999</v>
      </c>
      <c r="C13" s="18">
        <v>131497.21</v>
      </c>
      <c r="D13" s="73">
        <v>117634.9584</v>
      </c>
      <c r="E13" s="77">
        <f t="shared" si="1"/>
        <v>0.17879641295473933</v>
      </c>
      <c r="F13" s="73">
        <v>120580.58</v>
      </c>
      <c r="G13" s="74">
        <v>924</v>
      </c>
      <c r="H13" s="63">
        <f t="shared" si="3"/>
        <v>150.07323268398267</v>
      </c>
      <c r="I13" s="61">
        <v>12</v>
      </c>
      <c r="J13" s="28">
        <f t="shared" si="0"/>
        <v>1.2987012987012988E-2</v>
      </c>
      <c r="K13" s="46">
        <f>I13+'Jul 23 - Jul 29'!I13+'Jul 30 - Aug 5'!I13+'Aug 6 - Aug 12'!I13</f>
        <v>40</v>
      </c>
      <c r="L13" s="89">
        <f>K13/SUM(G13+'Jul 23 - Jul 29'!G13+'Jul 30 - Aug 5'!G13+'Aug 6 - Aug 12'!G13+'Aug 13 - Aug 19'!G13)</f>
        <v>8.4674005080440304E-3</v>
      </c>
      <c r="M13" s="73">
        <v>7529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239492.652</v>
      </c>
      <c r="C14" s="18">
        <v>223230.41</v>
      </c>
      <c r="D14" s="73">
        <v>176240.0442</v>
      </c>
      <c r="E14" s="77">
        <f t="shared" si="1"/>
        <v>0.35890031738882189</v>
      </c>
      <c r="F14" s="73">
        <v>208254.48</v>
      </c>
      <c r="G14" s="74">
        <v>1530</v>
      </c>
      <c r="H14" s="63">
        <f t="shared" si="3"/>
        <v>156.53114509803922</v>
      </c>
      <c r="I14" s="61">
        <v>22</v>
      </c>
      <c r="J14" s="28">
        <f t="shared" si="0"/>
        <v>1.4379084967320261E-2</v>
      </c>
      <c r="K14" s="46">
        <f>I14+'Jul 23 - Jul 29'!I14+'Jul 30 - Aug 5'!I14+'Aug 6 - Aug 12'!I14</f>
        <v>95</v>
      </c>
      <c r="L14" s="89">
        <f>K14/SUM(G14+'Jul 23 - Jul 29'!G14+'Jul 30 - Aug 5'!G14+'Aug 6 - Aug 12'!G14+'Aug 13 - Aug 19'!G14)</f>
        <v>1.2714132762312634E-2</v>
      </c>
      <c r="M14" s="73">
        <v>6531.6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58669.883499999996</v>
      </c>
      <c r="C15" s="18">
        <v>92458.010500000004</v>
      </c>
      <c r="D15" s="73">
        <v>68763.796799999996</v>
      </c>
      <c r="E15" s="77">
        <f t="shared" si="1"/>
        <v>-0.14679109894641537</v>
      </c>
      <c r="F15" s="73">
        <v>51017.29</v>
      </c>
      <c r="G15" s="74">
        <v>411</v>
      </c>
      <c r="H15" s="63">
        <f t="shared" si="3"/>
        <v>142.74910827250608</v>
      </c>
      <c r="I15" s="61">
        <v>3</v>
      </c>
      <c r="J15" s="28">
        <f t="shared" si="0"/>
        <v>7.2992700729927005E-3</v>
      </c>
      <c r="K15" s="46">
        <f>I15+'Jul 23 - Jul 29'!I15+'Jul 30 - Aug 5'!I15+'Aug 6 - Aug 12'!I15</f>
        <v>4</v>
      </c>
      <c r="L15" s="89">
        <f>K15/SUM(G15+'Jul 23 - Jul 29'!G15+'Jul 30 - Aug 5'!G15+'Aug 6 - Aug 12'!G15+'Aug 13 - Aug 19'!G15)</f>
        <v>1.3951866062085804E-3</v>
      </c>
      <c r="M15" s="73">
        <v>4840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77"/>
      <c r="F16" s="32"/>
      <c r="G16" s="61"/>
      <c r="H16" s="63"/>
      <c r="I16" s="61"/>
      <c r="J16" s="28" t="e">
        <f t="shared" si="0"/>
        <v>#DIV/0!</v>
      </c>
      <c r="K16" s="46">
        <f>I16+'Jul 23 - Jul 29'!I16+'Jul 30 - Aug 5'!I16+'Aug 6 - Aug 12'!I16</f>
        <v>0</v>
      </c>
      <c r="L16" s="89" t="e">
        <f>K16/SUM(G16+'Jul 23 - Jul 29'!G16+'Jul 30 - Aug 5'!G16+'Aug 6 - Aug 12'!G16+'Aug 13 - Aug 19'!G16)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I17+'Jul 23 - Jul 29'!I17+'Jul 30 - Aug 5'!I17+'Aug 6 - Aug 12'!I17</f>
        <v>0</v>
      </c>
      <c r="L17" s="89" t="e">
        <f>K17/SUM(G17+'Jul 23 - Jul 29'!G17+'Jul 30 - Aug 5'!G17+'Aug 6 - Aug 12'!G17+'Aug 13 - Aug 19'!G17)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130676.77699999999</v>
      </c>
      <c r="C18" s="18">
        <v>136141.37</v>
      </c>
      <c r="D18" s="73">
        <v>65989.447199999995</v>
      </c>
      <c r="E18" s="77">
        <f>IFERROR(SUM(B18-D18)/D18,0)</f>
        <v>0.98026779348441029</v>
      </c>
      <c r="F18" s="73">
        <v>113631.98</v>
      </c>
      <c r="G18" s="74">
        <v>1004</v>
      </c>
      <c r="H18" s="63">
        <f>IFERROR(B18/G18,0)</f>
        <v>130.15615239043822</v>
      </c>
      <c r="I18" s="61">
        <v>35</v>
      </c>
      <c r="J18" s="28">
        <f t="shared" si="0"/>
        <v>3.48605577689243E-2</v>
      </c>
      <c r="K18" s="46">
        <f>I18+'Jul 23 - Jul 29'!I18+'Jul 30 - Aug 5'!I18+'Aug 6 - Aug 12'!I18</f>
        <v>116</v>
      </c>
      <c r="L18" s="89">
        <f>K18/SUM(G18+'Jul 23 - Jul 29'!G18+'Jul 30 - Aug 5'!G18+'Aug 6 - Aug 12'!G18+'Aug 13 - Aug 19'!G18)</f>
        <v>2.0244328097731239E-2</v>
      </c>
      <c r="M18" s="73">
        <v>2701.35</v>
      </c>
      <c r="N18" s="9"/>
    </row>
    <row r="19" spans="1:14" ht="15.6" customHeight="1" x14ac:dyDescent="0.3">
      <c r="A19" s="40" t="s">
        <v>27</v>
      </c>
      <c r="B19" s="18">
        <f t="shared" si="2"/>
        <v>129918.743</v>
      </c>
      <c r="C19" s="18">
        <v>107184.8645</v>
      </c>
      <c r="D19" s="73">
        <v>0</v>
      </c>
      <c r="E19" s="77">
        <f>IFERROR(SUM(B19-D19)/D19,0)</f>
        <v>0</v>
      </c>
      <c r="F19" s="73">
        <v>112972.82</v>
      </c>
      <c r="G19" s="74">
        <v>723</v>
      </c>
      <c r="H19" s="63">
        <f>IFERROR(B19/G19,0)</f>
        <v>179.69397372060857</v>
      </c>
      <c r="I19" s="61">
        <v>8</v>
      </c>
      <c r="J19" s="28">
        <f t="shared" si="0"/>
        <v>1.1065006915629323E-2</v>
      </c>
      <c r="K19" s="46">
        <f>I19+'Jul 23 - Jul 29'!I19+'Jul 30 - Aug 5'!I19+'Aug 6 - Aug 12'!I19</f>
        <v>35</v>
      </c>
      <c r="L19" s="89">
        <f>K19/SUM(G19+'Jul 23 - Jul 29'!G19+'Jul 30 - Aug 5'!G19+'Aug 6 - Aug 12'!G19+'Aug 13 - Aug 19'!G19)</f>
        <v>9.7060454797559623E-3</v>
      </c>
      <c r="M19" s="73">
        <v>3884.5</v>
      </c>
      <c r="N19" s="9"/>
    </row>
    <row r="20" spans="1:14" ht="15.6" customHeight="1" x14ac:dyDescent="0.3">
      <c r="A20" s="40" t="s">
        <v>28</v>
      </c>
      <c r="B20" s="18">
        <f t="shared" si="2"/>
        <v>183985.09599999999</v>
      </c>
      <c r="C20" s="18">
        <v>189230.77499999999</v>
      </c>
      <c r="D20" s="73">
        <v>0</v>
      </c>
      <c r="E20" s="77">
        <f>IFERROR(SUM(B20-D20)/D20,0)</f>
        <v>0</v>
      </c>
      <c r="F20" s="73">
        <v>159987.04</v>
      </c>
      <c r="G20" s="74">
        <v>1122</v>
      </c>
      <c r="H20" s="63">
        <f>IFERROR(B20/G20,0)</f>
        <v>163.9795864527629</v>
      </c>
      <c r="I20" s="74">
        <v>21</v>
      </c>
      <c r="J20" s="28">
        <f t="shared" si="0"/>
        <v>1.871657754010695E-2</v>
      </c>
      <c r="K20" s="46">
        <f>I20+'Jul 23 - Jul 29'!I20+'Jul 30 - Aug 5'!I20+'Aug 6 - Aug 12'!I20</f>
        <v>85</v>
      </c>
      <c r="L20" s="89">
        <f>K20/SUM(G20+'Jul 23 - Jul 29'!G20+'Jul 30 - Aug 5'!G20+'Aug 6 - Aug 12'!G20+'Aug 13 - Aug 19'!G20)</f>
        <v>1.4453324264580854E-2</v>
      </c>
      <c r="M20" s="73">
        <v>7616.35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105402.13197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(((B4-B20)-D4)/D4)</f>
        <v>0.15398480910736356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2479259.1249999995</v>
      </c>
      <c r="C4" s="3">
        <v>2270442.8265</v>
      </c>
      <c r="D4" s="3">
        <v>1949129.0676</v>
      </c>
      <c r="E4" s="76">
        <f>IFERROR((SUM(B4-D4)/D4),0)</f>
        <v>0.27198304422844555</v>
      </c>
      <c r="F4" s="66">
        <f>SUM(F6:F20)</f>
        <v>2155877.4999999995</v>
      </c>
      <c r="G4" s="62">
        <f>SUM(G6:G20)</f>
        <v>16054</v>
      </c>
      <c r="H4" s="85">
        <f>AVERAGE(H5:H20)</f>
        <v>131.76352490618825</v>
      </c>
      <c r="I4" s="88">
        <f>SUM(I6:I20)</f>
        <v>861</v>
      </c>
      <c r="J4" s="28">
        <f t="shared" ref="J4:J20" si="0">I4/G4</f>
        <v>5.3631493708733026E-2</v>
      </c>
      <c r="K4" s="46">
        <f t="shared" ref="K4:K20" si="1">I4</f>
        <v>861</v>
      </c>
      <c r="L4" s="89">
        <f t="shared" ref="L4:L20" si="2">K4/SUM(G4)</f>
        <v>5.3631493708733026E-2</v>
      </c>
      <c r="M4" s="66">
        <f>SUM(M6:M20)</f>
        <v>77540.450000000012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3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 t="shared" si="1"/>
        <v>0</v>
      </c>
      <c r="L5" s="89" t="e">
        <f t="shared" si="2"/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4">F6*1.15</f>
        <v>271124.41399999999</v>
      </c>
      <c r="C6" s="18">
        <v>240890.33900000001</v>
      </c>
      <c r="D6" s="73">
        <v>235360.63800000001</v>
      </c>
      <c r="E6" s="77">
        <f t="shared" si="3"/>
        <v>0.15195308911424679</v>
      </c>
      <c r="F6" s="73">
        <v>235760.36</v>
      </c>
      <c r="G6" s="74">
        <v>1583</v>
      </c>
      <c r="H6" s="63">
        <f t="shared" ref="H6:H15" si="5">IFERROR(B6/G6,0)</f>
        <v>171.27252937460517</v>
      </c>
      <c r="I6" s="61">
        <v>46</v>
      </c>
      <c r="J6" s="28">
        <f t="shared" si="0"/>
        <v>2.9058749210360075E-2</v>
      </c>
      <c r="K6" s="46">
        <f t="shared" si="1"/>
        <v>46</v>
      </c>
      <c r="L6" s="89">
        <f t="shared" si="2"/>
        <v>2.9058749210360075E-2</v>
      </c>
      <c r="M6" s="73">
        <v>5713.2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4"/>
        <v>230646.84049999999</v>
      </c>
      <c r="C7" s="18">
        <v>208157.64749999999</v>
      </c>
      <c r="D7" s="73">
        <v>159578.568</v>
      </c>
      <c r="E7" s="77">
        <f t="shared" si="3"/>
        <v>0.44534973205173761</v>
      </c>
      <c r="F7" s="73">
        <v>200562.47</v>
      </c>
      <c r="G7" s="74">
        <v>1629</v>
      </c>
      <c r="H7" s="63">
        <f t="shared" si="5"/>
        <v>141.58799294045426</v>
      </c>
      <c r="I7" s="61">
        <v>153</v>
      </c>
      <c r="J7" s="28">
        <f t="shared" si="0"/>
        <v>9.3922651933701654E-2</v>
      </c>
      <c r="K7" s="46">
        <f t="shared" si="1"/>
        <v>153</v>
      </c>
      <c r="L7" s="89">
        <f t="shared" si="2"/>
        <v>9.3922651933701654E-2</v>
      </c>
      <c r="M7" s="73">
        <v>9799.75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4"/>
        <v>134190.625</v>
      </c>
      <c r="C8" s="18">
        <v>121823.617</v>
      </c>
      <c r="D8" s="73">
        <v>126032.24400000001</v>
      </c>
      <c r="E8" s="77">
        <f t="shared" si="3"/>
        <v>6.4732490203062584E-2</v>
      </c>
      <c r="F8" s="73">
        <v>116687.5</v>
      </c>
      <c r="G8" s="74">
        <v>795</v>
      </c>
      <c r="H8" s="63">
        <f t="shared" si="5"/>
        <v>168.7932389937107</v>
      </c>
      <c r="I8" s="61">
        <v>63</v>
      </c>
      <c r="J8" s="28">
        <f t="shared" si="0"/>
        <v>7.9245283018867921E-2</v>
      </c>
      <c r="K8" s="46">
        <f t="shared" si="1"/>
        <v>63</v>
      </c>
      <c r="L8" s="89">
        <f t="shared" si="2"/>
        <v>7.9245283018867921E-2</v>
      </c>
      <c r="M8" s="73">
        <v>1765.5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4"/>
        <v>313774.40649999998</v>
      </c>
      <c r="C9" s="18">
        <v>316279.46299999999</v>
      </c>
      <c r="D9" s="73">
        <v>322167.87599999999</v>
      </c>
      <c r="E9" s="77">
        <f t="shared" si="3"/>
        <v>-2.6053092580838218E-2</v>
      </c>
      <c r="F9" s="73">
        <v>272847.31</v>
      </c>
      <c r="G9" s="74">
        <v>2201</v>
      </c>
      <c r="H9" s="63">
        <f t="shared" si="5"/>
        <v>142.5599302589732</v>
      </c>
      <c r="I9" s="61">
        <v>160</v>
      </c>
      <c r="J9" s="28">
        <f t="shared" si="0"/>
        <v>7.2694229895502047E-2</v>
      </c>
      <c r="K9" s="46">
        <f t="shared" si="1"/>
        <v>160</v>
      </c>
      <c r="L9" s="89">
        <f t="shared" si="2"/>
        <v>7.2694229895502047E-2</v>
      </c>
      <c r="M9" s="73">
        <v>8093.6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4"/>
        <v>0</v>
      </c>
      <c r="C10" s="18">
        <v>0</v>
      </c>
      <c r="D10" s="73">
        <v>0</v>
      </c>
      <c r="E10" s="77">
        <f t="shared" si="3"/>
        <v>0</v>
      </c>
      <c r="F10" s="73"/>
      <c r="G10" s="74"/>
      <c r="H10" s="63">
        <f t="shared" si="5"/>
        <v>0</v>
      </c>
      <c r="I10" s="61"/>
      <c r="J10" s="28" t="e">
        <f t="shared" si="0"/>
        <v>#DIV/0!</v>
      </c>
      <c r="K10" s="46">
        <f t="shared" si="1"/>
        <v>0</v>
      </c>
      <c r="L10" s="89" t="e">
        <f t="shared" si="2"/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4"/>
        <v>164324.12099999998</v>
      </c>
      <c r="C11" s="18">
        <v>154529.60550000001</v>
      </c>
      <c r="D11" s="73">
        <v>141764.92800000001</v>
      </c>
      <c r="E11" s="77">
        <f t="shared" si="3"/>
        <v>0.15913098760223662</v>
      </c>
      <c r="F11" s="73">
        <v>142890.54</v>
      </c>
      <c r="G11" s="74">
        <v>988</v>
      </c>
      <c r="H11" s="63">
        <f t="shared" si="5"/>
        <v>166.31996052631578</v>
      </c>
      <c r="I11" s="61">
        <v>57</v>
      </c>
      <c r="J11" s="28">
        <f t="shared" si="0"/>
        <v>5.7692307692307696E-2</v>
      </c>
      <c r="K11" s="46">
        <f t="shared" si="1"/>
        <v>57</v>
      </c>
      <c r="L11" s="89">
        <f t="shared" si="2"/>
        <v>5.7692307692307696E-2</v>
      </c>
      <c r="M11" s="73">
        <v>4198.5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4"/>
        <v>393972.64649999992</v>
      </c>
      <c r="C12" s="18">
        <v>347351.33600000001</v>
      </c>
      <c r="D12" s="73">
        <v>368737.55999999988</v>
      </c>
      <c r="E12" s="77">
        <f t="shared" si="3"/>
        <v>6.8436441625312164E-2</v>
      </c>
      <c r="F12" s="73">
        <v>342584.91</v>
      </c>
      <c r="G12" s="74">
        <v>2349</v>
      </c>
      <c r="H12" s="63">
        <f t="shared" si="5"/>
        <v>167.71930459770113</v>
      </c>
      <c r="I12" s="61">
        <v>96</v>
      </c>
      <c r="J12" s="28">
        <f t="shared" si="0"/>
        <v>4.0868454661558112E-2</v>
      </c>
      <c r="K12" s="46">
        <f t="shared" si="1"/>
        <v>96</v>
      </c>
      <c r="L12" s="89">
        <f t="shared" si="2"/>
        <v>4.0868454661558112E-2</v>
      </c>
      <c r="M12" s="73">
        <v>11310.7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4"/>
        <v>134923.48549999998</v>
      </c>
      <c r="C13" s="18">
        <v>138667.66699999999</v>
      </c>
      <c r="D13" s="73">
        <v>120541.89</v>
      </c>
      <c r="E13" s="77">
        <f t="shared" si="3"/>
        <v>0.11930786467675246</v>
      </c>
      <c r="F13" s="73">
        <v>117324.77</v>
      </c>
      <c r="G13" s="74">
        <v>878</v>
      </c>
      <c r="H13" s="63">
        <f t="shared" si="5"/>
        <v>153.67139578587697</v>
      </c>
      <c r="I13" s="61">
        <v>26</v>
      </c>
      <c r="J13" s="28">
        <f t="shared" si="0"/>
        <v>2.9612756264236904E-2</v>
      </c>
      <c r="K13" s="46">
        <f t="shared" si="1"/>
        <v>26</v>
      </c>
      <c r="L13" s="89">
        <f t="shared" si="2"/>
        <v>2.9612756264236904E-2</v>
      </c>
      <c r="M13" s="73">
        <v>8773.5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4"/>
        <v>264032.18</v>
      </c>
      <c r="C14" s="18">
        <v>239492.652</v>
      </c>
      <c r="D14" s="73">
        <v>177892.098</v>
      </c>
      <c r="E14" s="77">
        <f t="shared" si="3"/>
        <v>0.48422657874325592</v>
      </c>
      <c r="F14" s="73">
        <v>229593.2</v>
      </c>
      <c r="G14" s="74">
        <v>1694</v>
      </c>
      <c r="H14" s="63">
        <f t="shared" si="5"/>
        <v>155.86315230224321</v>
      </c>
      <c r="I14" s="61">
        <v>68</v>
      </c>
      <c r="J14" s="28">
        <f t="shared" si="0"/>
        <v>4.0141676505312869E-2</v>
      </c>
      <c r="K14" s="46">
        <f t="shared" si="1"/>
        <v>68</v>
      </c>
      <c r="L14" s="89">
        <f t="shared" si="2"/>
        <v>4.0141676505312869E-2</v>
      </c>
      <c r="M14" s="73">
        <v>9492.4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4"/>
        <v>77253.710999999996</v>
      </c>
      <c r="C15" s="18">
        <v>58669.883500000004</v>
      </c>
      <c r="D15" s="73">
        <v>76438.801200000002</v>
      </c>
      <c r="E15" s="77">
        <f t="shared" si="3"/>
        <v>1.0660944274463503E-2</v>
      </c>
      <c r="F15" s="73">
        <v>67177.14</v>
      </c>
      <c r="G15" s="74">
        <v>637</v>
      </c>
      <c r="H15" s="63">
        <f t="shared" si="5"/>
        <v>121.27741130298273</v>
      </c>
      <c r="I15" s="61">
        <v>0</v>
      </c>
      <c r="J15" s="28">
        <f t="shared" si="0"/>
        <v>0</v>
      </c>
      <c r="K15" s="46">
        <f t="shared" si="1"/>
        <v>0</v>
      </c>
      <c r="L15" s="89">
        <f t="shared" si="2"/>
        <v>0</v>
      </c>
      <c r="M15" s="73">
        <v>4159.5</v>
      </c>
      <c r="N15" s="26"/>
      <c r="O15" s="9"/>
      <c r="P15" s="9"/>
    </row>
    <row r="16" spans="1:16" ht="15.6" hidden="1" customHeight="1" x14ac:dyDescent="0.3">
      <c r="A16" s="19"/>
      <c r="B16" s="18">
        <f t="shared" si="4"/>
        <v>0</v>
      </c>
      <c r="C16" s="87">
        <v>0</v>
      </c>
      <c r="D16" s="73"/>
      <c r="E16" s="77"/>
      <c r="F16" s="32"/>
      <c r="G16" s="61"/>
      <c r="H16" s="63"/>
      <c r="I16" s="61"/>
      <c r="J16" s="28" t="e">
        <f t="shared" si="0"/>
        <v>#DIV/0!</v>
      </c>
      <c r="K16" s="46">
        <f t="shared" si="1"/>
        <v>0</v>
      </c>
      <c r="L16" s="89" t="e">
        <f t="shared" si="2"/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4"/>
        <v>0</v>
      </c>
      <c r="C17" s="75">
        <v>0</v>
      </c>
      <c r="D17" s="73"/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 t="shared" si="1"/>
        <v>0</v>
      </c>
      <c r="L17" s="89" t="e">
        <f t="shared" si="2"/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4"/>
        <v>139809.98499999999</v>
      </c>
      <c r="C18" s="18">
        <v>130676.777</v>
      </c>
      <c r="D18" s="73">
        <v>133789.71599999999</v>
      </c>
      <c r="E18" s="77">
        <f>IFERROR(SUM(B18-D18)/D18,0)</f>
        <v>4.4997995212128272E-2</v>
      </c>
      <c r="F18" s="73">
        <v>121573.9</v>
      </c>
      <c r="G18" s="74">
        <v>1059</v>
      </c>
      <c r="H18" s="63">
        <f>IFERROR(B18/G18,0)</f>
        <v>132.02076015108591</v>
      </c>
      <c r="I18" s="61">
        <v>81</v>
      </c>
      <c r="J18" s="28">
        <f t="shared" si="0"/>
        <v>7.6487252124645896E-2</v>
      </c>
      <c r="K18" s="46">
        <f t="shared" si="1"/>
        <v>81</v>
      </c>
      <c r="L18" s="89">
        <f t="shared" si="2"/>
        <v>7.6487252124645896E-2</v>
      </c>
      <c r="M18" s="73">
        <v>2119.3000000000002</v>
      </c>
      <c r="N18" s="9"/>
    </row>
    <row r="19" spans="1:14" ht="15.6" customHeight="1" x14ac:dyDescent="0.3">
      <c r="A19" s="40" t="s">
        <v>27</v>
      </c>
      <c r="B19" s="18">
        <f t="shared" si="4"/>
        <v>125212.92</v>
      </c>
      <c r="C19" s="18">
        <v>129918.743</v>
      </c>
      <c r="D19" s="73">
        <v>86824.748399999997</v>
      </c>
      <c r="E19" s="77">
        <f>IFERROR(SUM(B19-D19)/D19,0)</f>
        <v>0.44213398031568618</v>
      </c>
      <c r="F19" s="73">
        <v>108880.8</v>
      </c>
      <c r="G19" s="74">
        <v>731</v>
      </c>
      <c r="H19" s="63">
        <f>IFERROR(B19/G19,0)</f>
        <v>171.28990424076608</v>
      </c>
      <c r="I19" s="61">
        <v>45</v>
      </c>
      <c r="J19" s="28">
        <f t="shared" si="0"/>
        <v>6.1559507523939808E-2</v>
      </c>
      <c r="K19" s="46">
        <f t="shared" si="1"/>
        <v>45</v>
      </c>
      <c r="L19" s="89">
        <f t="shared" si="2"/>
        <v>6.1559507523939808E-2</v>
      </c>
      <c r="M19" s="73">
        <v>3969.4</v>
      </c>
      <c r="N19" s="9"/>
    </row>
    <row r="20" spans="1:14" ht="15.6" customHeight="1" x14ac:dyDescent="0.3">
      <c r="A20" s="40" t="s">
        <v>28</v>
      </c>
      <c r="B20" s="18">
        <f t="shared" si="4"/>
        <v>229993.78999999998</v>
      </c>
      <c r="C20" s="18">
        <v>183985.09599999999</v>
      </c>
      <c r="D20" s="73">
        <v>0</v>
      </c>
      <c r="E20" s="77">
        <f>IFERROR(SUM(B20-D20)/D20,0)</f>
        <v>0</v>
      </c>
      <c r="F20" s="73">
        <v>199994.6</v>
      </c>
      <c r="G20" s="74">
        <v>1510</v>
      </c>
      <c r="H20" s="63">
        <f>IFERROR(B20/G20,0)</f>
        <v>152.31376821192052</v>
      </c>
      <c r="I20" s="74">
        <v>66</v>
      </c>
      <c r="J20" s="28">
        <f t="shared" si="0"/>
        <v>4.3708609271523181E-2</v>
      </c>
      <c r="K20" s="46">
        <f t="shared" si="1"/>
        <v>66</v>
      </c>
      <c r="L20" s="89">
        <f t="shared" si="2"/>
        <v>4.3708609271523181E-2</v>
      </c>
      <c r="M20" s="73">
        <v>8145.1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66883.667189999993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G14" sqref="G1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(((B4-B20)-D4)/D4)</f>
        <v>8.4599674765340374E-2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2320090.2354999995</v>
      </c>
      <c r="C4" s="3">
        <v>2479259.125</v>
      </c>
      <c r="D4" s="3">
        <v>1932598.5774000001</v>
      </c>
      <c r="E4" s="76">
        <f>IFERROR((SUM(B4-D4)/D4),0)</f>
        <v>0.20050292007422824</v>
      </c>
      <c r="F4" s="66">
        <f>SUM(F6:F20)</f>
        <v>2017469.7699999998</v>
      </c>
      <c r="G4" s="62">
        <f>SUM(G6:G20)</f>
        <v>14986</v>
      </c>
      <c r="H4" s="85">
        <f>AVERAGE(H5:H20)</f>
        <v>132.40259176212359</v>
      </c>
      <c r="I4" s="88">
        <f>SUM(I6:I20)</f>
        <v>1247</v>
      </c>
      <c r="J4" s="28">
        <f t="shared" ref="J4:J20" si="0">I4/G4</f>
        <v>8.3210996930468434E-2</v>
      </c>
      <c r="K4" s="46">
        <f>I4+'Aug 27 - Sept 2'!I4</f>
        <v>2108</v>
      </c>
      <c r="L4" s="89">
        <f>K4/SUM(G4+'Aug 27 - Sept 2'!G4)</f>
        <v>6.7912371134020613E-2</v>
      </c>
      <c r="M4" s="66">
        <f>SUM(M6:M20)</f>
        <v>77285.259999999995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I5+'Aug 27 - Sept 2'!I5</f>
        <v>0</v>
      </c>
      <c r="L5" s="89" t="e">
        <f>K5/SUM(G5+'Aug 27 - Sept 2'!G5)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245547.64349999998</v>
      </c>
      <c r="C6" s="18">
        <v>271124.41399999999</v>
      </c>
      <c r="D6" s="73">
        <v>209429.05799999999</v>
      </c>
      <c r="E6" s="77">
        <f t="shared" si="1"/>
        <v>0.17246214945014932</v>
      </c>
      <c r="F6" s="73">
        <v>213519.69</v>
      </c>
      <c r="G6" s="74">
        <v>1523</v>
      </c>
      <c r="H6" s="63">
        <f t="shared" ref="H6:H15" si="3">IFERROR(B6/G6,0)</f>
        <v>161.22629251477346</v>
      </c>
      <c r="I6" s="61">
        <v>107</v>
      </c>
      <c r="J6" s="28">
        <f t="shared" si="0"/>
        <v>7.0256073539067626E-2</v>
      </c>
      <c r="K6" s="46">
        <f>I6+'Aug 27 - Sept 2'!I6</f>
        <v>153</v>
      </c>
      <c r="L6" s="89">
        <f>K6/SUM(G6+'Aug 27 - Sept 2'!G6)</f>
        <v>4.9259497746297488E-2</v>
      </c>
      <c r="M6" s="73">
        <v>6382.5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214721.78999999998</v>
      </c>
      <c r="C7" s="18">
        <v>230646.84049999999</v>
      </c>
      <c r="D7" s="73">
        <v>163422.53400000001</v>
      </c>
      <c r="E7" s="77">
        <f t="shared" si="1"/>
        <v>0.31390564534998561</v>
      </c>
      <c r="F7" s="73">
        <v>186714.6</v>
      </c>
      <c r="G7" s="74">
        <v>1410</v>
      </c>
      <c r="H7" s="63">
        <f t="shared" si="3"/>
        <v>152.28495744680851</v>
      </c>
      <c r="I7" s="61">
        <v>230</v>
      </c>
      <c r="J7" s="28">
        <f t="shared" si="0"/>
        <v>0.16312056737588654</v>
      </c>
      <c r="K7" s="46">
        <f>I7+'Aug 27 - Sept 2'!I7</f>
        <v>383</v>
      </c>
      <c r="L7" s="89">
        <f>K7/SUM(G7+'Aug 27 - Sept 2'!G7)</f>
        <v>0.12602829878249425</v>
      </c>
      <c r="M7" s="73">
        <v>6448.7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103442.12049999999</v>
      </c>
      <c r="C8" s="18">
        <v>134190.625</v>
      </c>
      <c r="D8" s="73">
        <v>113596.67939999999</v>
      </c>
      <c r="E8" s="77">
        <f t="shared" si="1"/>
        <v>-8.9391335676665948E-2</v>
      </c>
      <c r="F8" s="73">
        <v>89949.67</v>
      </c>
      <c r="G8" s="74">
        <v>660</v>
      </c>
      <c r="H8" s="63">
        <f t="shared" si="3"/>
        <v>156.7304856060606</v>
      </c>
      <c r="I8" s="61">
        <v>61</v>
      </c>
      <c r="J8" s="28">
        <f t="shared" si="0"/>
        <v>9.2424242424242423E-2</v>
      </c>
      <c r="K8" s="46">
        <f>I8+'Aug 27 - Sept 2'!I8</f>
        <v>124</v>
      </c>
      <c r="L8" s="89">
        <f>K8/SUM(G8+'Aug 27 - Sept 2'!G8)</f>
        <v>8.5223367697594504E-2</v>
      </c>
      <c r="M8" s="73">
        <v>5550.65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290044.1335</v>
      </c>
      <c r="C9" s="18">
        <v>313774.40649999998</v>
      </c>
      <c r="D9" s="73">
        <v>333070.83600000001</v>
      </c>
      <c r="E9" s="77">
        <f t="shared" si="1"/>
        <v>-0.12918183716331144</v>
      </c>
      <c r="F9" s="73">
        <v>252212.29</v>
      </c>
      <c r="G9" s="74">
        <v>2133</v>
      </c>
      <c r="H9" s="63">
        <f t="shared" si="3"/>
        <v>135.97943436474449</v>
      </c>
      <c r="I9" s="61">
        <v>174</v>
      </c>
      <c r="J9" s="28">
        <f t="shared" si="0"/>
        <v>8.1575246132208151E-2</v>
      </c>
      <c r="K9" s="46">
        <f>I9+'Aug 27 - Sept 2'!I9</f>
        <v>334</v>
      </c>
      <c r="L9" s="89">
        <f>K9/SUM(G9+'Aug 27 - Sept 2'!G9)</f>
        <v>7.7065066912782643E-2</v>
      </c>
      <c r="M9" s="73">
        <v>9681.5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I10+'Aug 27 - Sept 2'!I10</f>
        <v>0</v>
      </c>
      <c r="L10" s="89" t="e">
        <f>K10/SUM(G10+'Aug 27 - Sept 2'!G10)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156273.61499999999</v>
      </c>
      <c r="C11" s="18">
        <v>164324.12100000001</v>
      </c>
      <c r="D11" s="73">
        <v>142713.864</v>
      </c>
      <c r="E11" s="77">
        <f t="shared" si="1"/>
        <v>9.5013551031033608E-2</v>
      </c>
      <c r="F11" s="73">
        <v>135890.1</v>
      </c>
      <c r="G11" s="74">
        <v>987</v>
      </c>
      <c r="H11" s="63">
        <f t="shared" si="3"/>
        <v>158.3319300911854</v>
      </c>
      <c r="I11" s="61">
        <v>74</v>
      </c>
      <c r="J11" s="28">
        <f t="shared" si="0"/>
        <v>7.4974670719351572E-2</v>
      </c>
      <c r="K11" s="46">
        <f>I11+'Aug 27 - Sept 2'!I11</f>
        <v>131</v>
      </c>
      <c r="L11" s="89">
        <f>K11/SUM(G11+'Aug 27 - Sept 2'!G11)</f>
        <v>6.6329113924050637E-2</v>
      </c>
      <c r="M11" s="73">
        <v>6835.35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356770.23849999998</v>
      </c>
      <c r="C12" s="18">
        <v>393972.64649999992</v>
      </c>
      <c r="D12" s="73">
        <v>352244.26799999998</v>
      </c>
      <c r="E12" s="77">
        <f t="shared" si="1"/>
        <v>1.2848954294410252E-2</v>
      </c>
      <c r="F12" s="73">
        <v>310234.99</v>
      </c>
      <c r="G12" s="74">
        <v>2060</v>
      </c>
      <c r="H12" s="63">
        <f t="shared" si="3"/>
        <v>173.18943616504853</v>
      </c>
      <c r="I12" s="61">
        <v>120</v>
      </c>
      <c r="J12" s="28">
        <f t="shared" si="0"/>
        <v>5.8252427184466021E-2</v>
      </c>
      <c r="K12" s="46">
        <f>I12+'Aug 27 - Sept 2'!I12</f>
        <v>216</v>
      </c>
      <c r="L12" s="89">
        <f>K12/SUM(G12+'Aug 27 - Sept 2'!G12)</f>
        <v>4.8990700839192561E-2</v>
      </c>
      <c r="M12" s="73">
        <v>11978.05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125667.6415</v>
      </c>
      <c r="C13" s="18">
        <v>134923.48550000001</v>
      </c>
      <c r="D13" s="73">
        <v>128887.14599999999</v>
      </c>
      <c r="E13" s="77">
        <f t="shared" si="1"/>
        <v>-2.4979252003919736E-2</v>
      </c>
      <c r="F13" s="73">
        <v>109276.21</v>
      </c>
      <c r="G13" s="74">
        <v>906</v>
      </c>
      <c r="H13" s="63">
        <f t="shared" si="3"/>
        <v>138.70600607064017</v>
      </c>
      <c r="I13" s="61">
        <v>69</v>
      </c>
      <c r="J13" s="28">
        <f t="shared" si="0"/>
        <v>7.6158940397350994E-2</v>
      </c>
      <c r="K13" s="46">
        <f>I13+'Aug 27 - Sept 2'!I13</f>
        <v>95</v>
      </c>
      <c r="L13" s="89">
        <f>K13/SUM(G13+'Aug 27 - Sept 2'!G13)</f>
        <v>5.3251121076233185E-2</v>
      </c>
      <c r="M13" s="73">
        <v>7372.75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246727.22149999999</v>
      </c>
      <c r="C14" s="18">
        <v>264032.18</v>
      </c>
      <c r="D14" s="73">
        <v>171323.03039999999</v>
      </c>
      <c r="E14" s="77">
        <f t="shared" si="1"/>
        <v>0.44012874932195922</v>
      </c>
      <c r="F14" s="73">
        <v>214545.41</v>
      </c>
      <c r="G14" s="74">
        <v>1631</v>
      </c>
      <c r="H14" s="63">
        <f t="shared" si="3"/>
        <v>151.27358767627223</v>
      </c>
      <c r="I14" s="61">
        <v>123</v>
      </c>
      <c r="J14" s="28">
        <f t="shared" si="0"/>
        <v>7.5413856529736353E-2</v>
      </c>
      <c r="K14" s="46">
        <f>I14+'Aug 27 - Sept 2'!I14</f>
        <v>191</v>
      </c>
      <c r="L14" s="89">
        <f>K14/SUM(G14+'Aug 27 - Sept 2'!G14)</f>
        <v>5.7443609022556394E-2</v>
      </c>
      <c r="M14" s="73">
        <v>7263.86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70449.367999999988</v>
      </c>
      <c r="C15" s="18">
        <v>77253.710999999996</v>
      </c>
      <c r="D15" s="73">
        <v>63520.731599999999</v>
      </c>
      <c r="E15" s="77">
        <f t="shared" si="1"/>
        <v>0.10907677266110059</v>
      </c>
      <c r="F15" s="73">
        <v>61260.32</v>
      </c>
      <c r="G15" s="74">
        <v>506</v>
      </c>
      <c r="H15" s="63">
        <f t="shared" si="3"/>
        <v>139.22799999999998</v>
      </c>
      <c r="I15" s="61">
        <v>0</v>
      </c>
      <c r="J15" s="28">
        <f t="shared" si="0"/>
        <v>0</v>
      </c>
      <c r="K15" s="46">
        <f>I15+'Aug 27 - Sept 2'!I15</f>
        <v>0</v>
      </c>
      <c r="L15" s="89">
        <f>K15/SUM(G15+'Aug 27 - Sept 2'!G15)</f>
        <v>0</v>
      </c>
      <c r="M15" s="73">
        <v>2943.25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77"/>
      <c r="F16" s="32"/>
      <c r="G16" s="61"/>
      <c r="H16" s="63"/>
      <c r="I16" s="61"/>
      <c r="J16" s="28" t="e">
        <f t="shared" si="0"/>
        <v>#DIV/0!</v>
      </c>
      <c r="K16" s="46">
        <f>I16+'Aug 27 - Sept 2'!I16</f>
        <v>0</v>
      </c>
      <c r="L16" s="89" t="e">
        <f>K16/SUM(G16+'Aug 27 - Sept 2'!G16)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I17+'Aug 27 - Sept 2'!I17</f>
        <v>0</v>
      </c>
      <c r="L17" s="89" t="e">
        <f>K17/SUM(G17+'Aug 27 - Sept 2'!G17)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150119.64300000001</v>
      </c>
      <c r="C18" s="18">
        <v>139809.98499999999</v>
      </c>
      <c r="D18" s="73">
        <v>142432.05600000001</v>
      </c>
      <c r="E18" s="77">
        <f>IFERROR(SUM(B18-D18)/D18,0)</f>
        <v>5.3973713614019578E-2</v>
      </c>
      <c r="F18" s="73">
        <v>130538.82</v>
      </c>
      <c r="G18" s="74">
        <v>1115</v>
      </c>
      <c r="H18" s="63">
        <f>IFERROR(B18/G18,0)</f>
        <v>134.63645112107625</v>
      </c>
      <c r="I18" s="61">
        <v>151</v>
      </c>
      <c r="J18" s="28">
        <f t="shared" si="0"/>
        <v>0.13542600896860987</v>
      </c>
      <c r="K18" s="46">
        <f>I18+'Aug 27 - Sept 2'!I18</f>
        <v>232</v>
      </c>
      <c r="L18" s="89">
        <f>K18/SUM(G18+'Aug 27 - Sept 2'!G18)</f>
        <v>0.10671573137074516</v>
      </c>
      <c r="M18" s="73">
        <v>3346.8</v>
      </c>
      <c r="N18" s="9"/>
    </row>
    <row r="19" spans="1:14" ht="15.6" customHeight="1" x14ac:dyDescent="0.3">
      <c r="A19" s="40" t="s">
        <v>27</v>
      </c>
      <c r="B19" s="18">
        <f t="shared" si="2"/>
        <v>136332.37349999999</v>
      </c>
      <c r="C19" s="18">
        <v>125212.92</v>
      </c>
      <c r="D19" s="73">
        <v>111958.374</v>
      </c>
      <c r="E19" s="77">
        <f>IFERROR(SUM(B19-D19)/D19,0)</f>
        <v>0.21770590826908573</v>
      </c>
      <c r="F19" s="73">
        <v>118549.89</v>
      </c>
      <c r="G19" s="74">
        <v>763</v>
      </c>
      <c r="H19" s="63">
        <f>IFERROR(B19/G19,0)</f>
        <v>178.67938859764087</v>
      </c>
      <c r="I19" s="61">
        <v>67</v>
      </c>
      <c r="J19" s="28">
        <f t="shared" si="0"/>
        <v>8.7811271297509833E-2</v>
      </c>
      <c r="K19" s="46">
        <f>I19+'Aug 27 - Sept 2'!I19</f>
        <v>112</v>
      </c>
      <c r="L19" s="89">
        <f>K19/SUM(G19+'Aug 27 - Sept 2'!G19)</f>
        <v>7.4966532797858101E-2</v>
      </c>
      <c r="M19" s="73">
        <v>2744.9</v>
      </c>
      <c r="N19" s="9"/>
    </row>
    <row r="20" spans="1:14" ht="15.6" customHeight="1" x14ac:dyDescent="0.3">
      <c r="A20" s="40" t="s">
        <v>28</v>
      </c>
      <c r="B20" s="18">
        <f t="shared" si="2"/>
        <v>223994.44699999999</v>
      </c>
      <c r="C20" s="18">
        <v>229993.79</v>
      </c>
      <c r="D20" s="73">
        <v>0</v>
      </c>
      <c r="E20" s="77">
        <f>IFERROR(SUM(B20-D20)/D20,0)</f>
        <v>0</v>
      </c>
      <c r="F20" s="73">
        <v>194777.78</v>
      </c>
      <c r="G20" s="74">
        <v>1292</v>
      </c>
      <c r="H20" s="63">
        <f>IFERROR(B20/G20,0)</f>
        <v>173.37031501547986</v>
      </c>
      <c r="I20" s="74">
        <v>71</v>
      </c>
      <c r="J20" s="28">
        <f t="shared" si="0"/>
        <v>5.4953560371517031E-2</v>
      </c>
      <c r="K20" s="46">
        <f>I20+'Aug 27 - Sept 2'!I20</f>
        <v>137</v>
      </c>
      <c r="L20" s="89">
        <f>K20/SUM(G20+'Aug 27 - Sept 2'!G20)</f>
        <v>4.8893647394718055E-2</v>
      </c>
      <c r="M20" s="73">
        <v>6736.95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88069.23053999999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B1" sqref="B1:E1048576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(((B4-B20)-D4)/D4)</f>
        <v>8.1145350569433145E-2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2349206.3725000001</v>
      </c>
      <c r="C4" s="3">
        <v>2320090.235499999</v>
      </c>
      <c r="D4" s="3">
        <v>1950875.0802</v>
      </c>
      <c r="E4" s="76">
        <f>IFERROR((SUM(B4-D4)/D4),0)</f>
        <v>0.20418082958913183</v>
      </c>
      <c r="F4" s="66">
        <f>SUM(F6:F20)</f>
        <v>2042788.1499999997</v>
      </c>
      <c r="G4" s="62">
        <f>SUM(G6:G20)</f>
        <v>15304</v>
      </c>
      <c r="H4" s="85">
        <f>AVERAGE(H5:H20)</f>
        <v>131.68012382453622</v>
      </c>
      <c r="I4" s="88">
        <f>SUM(I6:I20)</f>
        <v>1467</v>
      </c>
      <c r="J4" s="28">
        <f t="shared" ref="J4:J20" si="0">I4/G4</f>
        <v>9.585729221118662E-2</v>
      </c>
      <c r="K4" s="46">
        <f>I4+'Aug 27 - Sept 2'!I4+'Sept 3 - Sept 9'!I4</f>
        <v>3575</v>
      </c>
      <c r="L4" s="89">
        <f>K4/SUM(G4+'Aug 27 - Sept 2'!G4+'Sept 3 - Sept 9'!G4)</f>
        <v>7.7140514413947869E-2</v>
      </c>
      <c r="M4" s="66">
        <f>SUM(M6:M20)</f>
        <v>82793.989999999976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I5+'Aug 27 - Sept 2'!I5+'Sept 3 - Sept 9'!I5</f>
        <v>0</v>
      </c>
      <c r="L5" s="89" t="e">
        <f>K5/SUM(G5+'Aug 27 - Sept 2'!G5+'Sept 3 - Sept 9'!G5)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249598.41499999998</v>
      </c>
      <c r="C6" s="18">
        <v>245547.64350000001</v>
      </c>
      <c r="D6" s="73">
        <v>229273.5624</v>
      </c>
      <c r="E6" s="77">
        <f t="shared" si="1"/>
        <v>8.8648915240128814E-2</v>
      </c>
      <c r="F6" s="73">
        <v>217042.1</v>
      </c>
      <c r="G6" s="74">
        <v>1485</v>
      </c>
      <c r="H6" s="63">
        <f t="shared" ref="H6:H15" si="3">IFERROR(B6/G6,0)</f>
        <v>168.07974074074073</v>
      </c>
      <c r="I6" s="61">
        <v>88</v>
      </c>
      <c r="J6" s="28">
        <f t="shared" si="0"/>
        <v>5.9259259259259262E-2</v>
      </c>
      <c r="K6" s="46">
        <f>I6+'Aug 27 - Sept 2'!I6+'Sept 3 - Sept 9'!I6</f>
        <v>241</v>
      </c>
      <c r="L6" s="89">
        <f>K6/SUM(G6+'Aug 27 - Sept 2'!G6+'Sept 3 - Sept 9'!G6)</f>
        <v>5.2494010019603569E-2</v>
      </c>
      <c r="M6" s="73">
        <v>7921.4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199412.99</v>
      </c>
      <c r="C7" s="18">
        <v>214721.79</v>
      </c>
      <c r="D7" s="73">
        <v>175260.87539999999</v>
      </c>
      <c r="E7" s="77">
        <f t="shared" si="1"/>
        <v>0.13780665276763762</v>
      </c>
      <c r="F7" s="73">
        <v>173402.6</v>
      </c>
      <c r="G7" s="74">
        <v>1223</v>
      </c>
      <c r="H7" s="63">
        <f t="shared" si="3"/>
        <v>163.05232215862631</v>
      </c>
      <c r="I7" s="61">
        <v>242</v>
      </c>
      <c r="J7" s="28">
        <f t="shared" si="0"/>
        <v>0.19787408013082583</v>
      </c>
      <c r="K7" s="46">
        <f>I7+'Aug 27 - Sept 2'!I7+'Sept 3 - Sept 9'!I7</f>
        <v>625</v>
      </c>
      <c r="L7" s="89">
        <f>K7/SUM(G7+'Aug 27 - Sept 2'!G7+'Sept 3 - Sept 9'!G7)</f>
        <v>0.14664476771468793</v>
      </c>
      <c r="M7" s="73">
        <v>5389.7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94781.263500000001</v>
      </c>
      <c r="C8" s="18">
        <v>103442.1205</v>
      </c>
      <c r="D8" s="73">
        <v>108731.1024</v>
      </c>
      <c r="E8" s="77">
        <f t="shared" si="1"/>
        <v>-0.12829667493557945</v>
      </c>
      <c r="F8" s="73">
        <v>82418.490000000005</v>
      </c>
      <c r="G8" s="74">
        <v>621</v>
      </c>
      <c r="H8" s="63">
        <f t="shared" si="3"/>
        <v>152.62683333333334</v>
      </c>
      <c r="I8" s="61">
        <v>94</v>
      </c>
      <c r="J8" s="28">
        <f t="shared" si="0"/>
        <v>0.15136876006441224</v>
      </c>
      <c r="K8" s="46">
        <f>I8+'Aug 27 - Sept 2'!I8+'Sept 3 - Sept 9'!I8</f>
        <v>218</v>
      </c>
      <c r="L8" s="89">
        <f>K8/SUM(G8+'Aug 27 - Sept 2'!G8+'Sept 3 - Sept 9'!G8)</f>
        <v>0.10500963391136801</v>
      </c>
      <c r="M8" s="73">
        <v>3692.9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313350.505</v>
      </c>
      <c r="C9" s="18">
        <v>290044.1335</v>
      </c>
      <c r="D9" s="73">
        <v>347623.08419999998</v>
      </c>
      <c r="E9" s="77">
        <f t="shared" si="1"/>
        <v>-9.8591206274096968E-2</v>
      </c>
      <c r="F9" s="73">
        <v>272478.7</v>
      </c>
      <c r="G9" s="74">
        <v>2203</v>
      </c>
      <c r="H9" s="63">
        <f t="shared" si="3"/>
        <v>142.23808669995461</v>
      </c>
      <c r="I9" s="61">
        <v>260</v>
      </c>
      <c r="J9" s="28">
        <f t="shared" si="0"/>
        <v>0.11802088061733999</v>
      </c>
      <c r="K9" s="46">
        <f>I9+'Aug 27 - Sept 2'!I9+'Sept 3 - Sept 9'!I9</f>
        <v>594</v>
      </c>
      <c r="L9" s="89">
        <f>K9/SUM(G9+'Aug 27 - Sept 2'!G9+'Sept 3 - Sept 9'!G9)</f>
        <v>9.0867370353373111E-2</v>
      </c>
      <c r="M9" s="73">
        <v>8840.6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I10+'Aug 27 - Sept 2'!I10+'Sept 3 - Sept 9'!I10</f>
        <v>0</v>
      </c>
      <c r="L10" s="89" t="e">
        <f>K10/SUM(G10+'Aug 27 - Sept 2'!G10+'Sept 3 - Sept 9'!G10)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165021.43499999997</v>
      </c>
      <c r="C11" s="18">
        <v>156273.61499999999</v>
      </c>
      <c r="D11" s="73">
        <v>128020.4838</v>
      </c>
      <c r="E11" s="77">
        <f t="shared" si="1"/>
        <v>0.28902367888098829</v>
      </c>
      <c r="F11" s="73">
        <v>143496.9</v>
      </c>
      <c r="G11" s="74">
        <v>1004</v>
      </c>
      <c r="H11" s="63">
        <f t="shared" si="3"/>
        <v>164.3639790836653</v>
      </c>
      <c r="I11" s="61">
        <v>75</v>
      </c>
      <c r="J11" s="28">
        <f t="shared" si="0"/>
        <v>7.4701195219123509E-2</v>
      </c>
      <c r="K11" s="46">
        <f>I11+'Aug 27 - Sept 2'!I11+'Sept 3 - Sept 9'!I11</f>
        <v>206</v>
      </c>
      <c r="L11" s="89">
        <f>K11/SUM(G11+'Aug 27 - Sept 2'!G11+'Sept 3 - Sept 9'!G11)</f>
        <v>6.9150721718697544E-2</v>
      </c>
      <c r="M11" s="73">
        <v>8006.2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365406.66949999996</v>
      </c>
      <c r="C12" s="18">
        <v>356770.23849999998</v>
      </c>
      <c r="D12" s="73">
        <v>319532.56079999992</v>
      </c>
      <c r="E12" s="77">
        <f t="shared" si="1"/>
        <v>0.1435663038068703</v>
      </c>
      <c r="F12" s="73">
        <v>317744.93</v>
      </c>
      <c r="G12" s="74">
        <v>2249</v>
      </c>
      <c r="H12" s="63">
        <f t="shared" si="3"/>
        <v>162.47517541129389</v>
      </c>
      <c r="I12" s="61">
        <v>159</v>
      </c>
      <c r="J12" s="28">
        <f t="shared" si="0"/>
        <v>7.0698088039128498E-2</v>
      </c>
      <c r="K12" s="46">
        <f>I12+'Aug 27 - Sept 2'!I12+'Sept 3 - Sept 9'!I12</f>
        <v>375</v>
      </c>
      <c r="L12" s="89">
        <f>K12/SUM(G12+'Aug 27 - Sept 2'!G12+'Sept 3 - Sept 9'!G12)</f>
        <v>5.6323220186242112E-2</v>
      </c>
      <c r="M12" s="73">
        <v>10407.25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136010.96</v>
      </c>
      <c r="C13" s="18">
        <v>125667.6415</v>
      </c>
      <c r="D13" s="73">
        <v>111526.94100000001</v>
      </c>
      <c r="E13" s="77">
        <f t="shared" si="1"/>
        <v>0.21953456967854953</v>
      </c>
      <c r="F13" s="73">
        <v>118270.39999999999</v>
      </c>
      <c r="G13" s="74">
        <v>999</v>
      </c>
      <c r="H13" s="63">
        <f t="shared" si="3"/>
        <v>136.1471071071071</v>
      </c>
      <c r="I13" s="61">
        <v>96</v>
      </c>
      <c r="J13" s="28">
        <f t="shared" si="0"/>
        <v>9.6096096096096095E-2</v>
      </c>
      <c r="K13" s="46">
        <f>I13+'Aug 27 - Sept 2'!I13+'Sept 3 - Sept 9'!I13</f>
        <v>191</v>
      </c>
      <c r="L13" s="89">
        <f>K13/SUM(G13+'Aug 27 - Sept 2'!G13+'Sept 3 - Sept 9'!G13)</f>
        <v>6.8630973769313694E-2</v>
      </c>
      <c r="M13" s="73">
        <v>8382.75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217504.905</v>
      </c>
      <c r="C14" s="18">
        <v>246727.22150000001</v>
      </c>
      <c r="D14" s="73">
        <v>177204.13080000001</v>
      </c>
      <c r="E14" s="77">
        <f t="shared" si="1"/>
        <v>0.22742570400621825</v>
      </c>
      <c r="F14" s="73">
        <v>189134.7</v>
      </c>
      <c r="G14" s="74">
        <v>1518</v>
      </c>
      <c r="H14" s="63">
        <f t="shared" si="3"/>
        <v>143.28386363636363</v>
      </c>
      <c r="I14" s="61">
        <v>123</v>
      </c>
      <c r="J14" s="28">
        <f t="shared" si="0"/>
        <v>8.1027667984189727E-2</v>
      </c>
      <c r="K14" s="46">
        <f>I14+'Aug 27 - Sept 2'!I14+'Sept 3 - Sept 9'!I14</f>
        <v>314</v>
      </c>
      <c r="L14" s="89">
        <f>K14/SUM(G14+'Aug 27 - Sept 2'!G14+'Sept 3 - Sept 9'!G14)</f>
        <v>6.4835845550278756E-2</v>
      </c>
      <c r="M14" s="73">
        <v>7142.24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72955.344499999992</v>
      </c>
      <c r="C15" s="18">
        <v>70449.367999999988</v>
      </c>
      <c r="D15" s="73">
        <v>64937.797200000001</v>
      </c>
      <c r="E15" s="77">
        <f t="shared" si="1"/>
        <v>0.12346503339660543</v>
      </c>
      <c r="F15" s="73">
        <v>63439.43</v>
      </c>
      <c r="G15" s="74">
        <v>522</v>
      </c>
      <c r="H15" s="63">
        <f t="shared" si="3"/>
        <v>139.76119636015324</v>
      </c>
      <c r="I15" s="61">
        <v>0</v>
      </c>
      <c r="J15" s="28">
        <f t="shared" si="0"/>
        <v>0</v>
      </c>
      <c r="K15" s="46">
        <f>I15+'Aug 27 - Sept 2'!I15+'Sept 3 - Sept 9'!I15</f>
        <v>0</v>
      </c>
      <c r="L15" s="89">
        <f>K15/SUM(G15+'Aug 27 - Sept 2'!G15+'Sept 3 - Sept 9'!G15)</f>
        <v>0</v>
      </c>
      <c r="M15" s="73">
        <v>6136.4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77"/>
      <c r="F16" s="32"/>
      <c r="G16" s="61"/>
      <c r="H16" s="63"/>
      <c r="I16" s="61"/>
      <c r="J16" s="28" t="e">
        <f t="shared" si="0"/>
        <v>#DIV/0!</v>
      </c>
      <c r="K16" s="46">
        <f>I16+'Aug 27 - Sept 2'!I16+'Sept 3 - Sept 9'!I16</f>
        <v>0</v>
      </c>
      <c r="L16" s="89" t="e">
        <f>K16/SUM(G16+'Aug 27 - Sept 2'!G16+'Sept 3 - Sept 9'!G16)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I17+'Aug 27 - Sept 2'!I17+'Sept 3 - Sept 9'!I17</f>
        <v>0</v>
      </c>
      <c r="L17" s="89" t="e">
        <f>K17/SUM(G17+'Aug 27 - Sept 2'!G17+'Sept 3 - Sept 9'!G17)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163846.48000000001</v>
      </c>
      <c r="C18" s="18">
        <v>150119.64300000001</v>
      </c>
      <c r="D18" s="73">
        <v>157703.87220000001</v>
      </c>
      <c r="E18" s="77">
        <f>IFERROR(SUM(B18-D18)/D18,0)</f>
        <v>3.8950266181225685E-2</v>
      </c>
      <c r="F18" s="73">
        <v>142475.20000000001</v>
      </c>
      <c r="G18" s="74">
        <v>1327</v>
      </c>
      <c r="H18" s="63">
        <f>IFERROR(B18/G18,0)</f>
        <v>123.47134890730973</v>
      </c>
      <c r="I18" s="61">
        <v>144</v>
      </c>
      <c r="J18" s="28">
        <f t="shared" si="0"/>
        <v>0.10851544837980406</v>
      </c>
      <c r="K18" s="46">
        <f>I18+'Aug 27 - Sept 2'!I18+'Sept 3 - Sept 9'!I18</f>
        <v>376</v>
      </c>
      <c r="L18" s="89">
        <f>K18/SUM(G18+'Aug 27 - Sept 2'!G18+'Sept 3 - Sept 9'!G18)</f>
        <v>0.1073978863181948</v>
      </c>
      <c r="M18" s="73">
        <v>2922.9</v>
      </c>
      <c r="N18" s="9"/>
    </row>
    <row r="19" spans="1:14" ht="15.6" customHeight="1" x14ac:dyDescent="0.3">
      <c r="A19" s="40" t="s">
        <v>27</v>
      </c>
      <c r="B19" s="18">
        <f t="shared" si="2"/>
        <v>131290.55499999999</v>
      </c>
      <c r="C19" s="18">
        <v>136332.37349999999</v>
      </c>
      <c r="D19" s="73">
        <v>131060.67</v>
      </c>
      <c r="E19" s="77">
        <f>IFERROR(SUM(B19-D19)/D19,0)</f>
        <v>1.754034982424512E-3</v>
      </c>
      <c r="F19" s="73">
        <v>114165.7</v>
      </c>
      <c r="G19" s="74">
        <v>734</v>
      </c>
      <c r="H19" s="63">
        <f>IFERROR(B19/G19,0)</f>
        <v>178.8699659400545</v>
      </c>
      <c r="I19" s="61">
        <v>64</v>
      </c>
      <c r="J19" s="28">
        <f t="shared" si="0"/>
        <v>8.7193460490463212E-2</v>
      </c>
      <c r="K19" s="46">
        <f>I19+'Aug 27 - Sept 2'!I19+'Sept 3 - Sept 9'!I19</f>
        <v>176</v>
      </c>
      <c r="L19" s="89">
        <f>K19/SUM(G19+'Aug 27 - Sept 2'!G19+'Sept 3 - Sept 9'!G19)</f>
        <v>7.899461400359066E-2</v>
      </c>
      <c r="M19" s="73">
        <v>4413.2</v>
      </c>
      <c r="N19" s="9"/>
    </row>
    <row r="20" spans="1:14" ht="15.6" customHeight="1" x14ac:dyDescent="0.3">
      <c r="A20" s="40" t="s">
        <v>28</v>
      </c>
      <c r="B20" s="18">
        <f t="shared" si="2"/>
        <v>240026.84999999998</v>
      </c>
      <c r="C20" s="18">
        <v>223994.44699999999</v>
      </c>
      <c r="D20" s="73">
        <v>0</v>
      </c>
      <c r="E20" s="77">
        <f>IFERROR(SUM(B20-D20)/D20,0)</f>
        <v>0</v>
      </c>
      <c r="F20" s="73">
        <v>208719</v>
      </c>
      <c r="G20" s="74">
        <v>1419</v>
      </c>
      <c r="H20" s="63">
        <f>IFERROR(B20/G20,0)</f>
        <v>169.15211416490484</v>
      </c>
      <c r="I20" s="74">
        <v>122</v>
      </c>
      <c r="J20" s="28">
        <f t="shared" si="0"/>
        <v>8.5976039464411555E-2</v>
      </c>
      <c r="K20" s="46">
        <f>I20+'Aug 27 - Sept 2'!I20+'Sept 3 - Sept 9'!I20</f>
        <v>259</v>
      </c>
      <c r="L20" s="89">
        <f>K20/SUM(G20+'Aug 27 - Sept 2'!G20+'Sept 3 - Sept 9'!G20)</f>
        <v>6.1359867330016582E-2</v>
      </c>
      <c r="M20" s="73">
        <v>9538.4500000000007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80312.279519999982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L4" sqref="L4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(((B4-B20)-D4)/D4)</f>
        <v>0.13316167959550029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2493208.5904999999</v>
      </c>
      <c r="C4" s="3">
        <v>2349206.3725000001</v>
      </c>
      <c r="D4" s="3">
        <v>1993703.5122</v>
      </c>
      <c r="E4" s="76">
        <f>IFERROR((SUM(B4-D4)/D4),0)</f>
        <v>0.25054130428290666</v>
      </c>
      <c r="F4" s="66">
        <f>SUM(F6:F20)</f>
        <v>2168007.4700000002</v>
      </c>
      <c r="G4" s="62">
        <f>SUM(G6:G20)</f>
        <v>16802</v>
      </c>
      <c r="H4" s="85">
        <f>AVERAGE(H5:H20)</f>
        <v>128.29212065735021</v>
      </c>
      <c r="I4" s="88">
        <f>SUM(I6:I20)</f>
        <v>1283</v>
      </c>
      <c r="J4" s="28">
        <f t="shared" ref="J4:J20" si="0">I4/G4</f>
        <v>7.6359957147958582E-2</v>
      </c>
      <c r="K4" s="46">
        <f>I4+'Aug 27 - Sept 2'!I4+'Sept 3 - Sept 9'!I4+'Sept 10 - Sept 16'!I4</f>
        <v>4858</v>
      </c>
      <c r="L4" s="89">
        <f>K4/SUM(G4+'Aug 27 - Sept 2'!G4+'Sept 3 - Sept 9'!G4+'Sept 10 - Sept 16'!G4)</f>
        <v>7.6932822348208918E-2</v>
      </c>
      <c r="M4" s="66">
        <f>SUM(M6:M20)</f>
        <v>71331.350000000006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77">
        <f t="shared" ref="E5:E15" si="1">IFERROR(SUM(B5-D5)/D5,0)</f>
        <v>0</v>
      </c>
      <c r="F5" s="67"/>
      <c r="G5" s="68"/>
      <c r="H5" s="84"/>
      <c r="I5" s="68"/>
      <c r="J5" s="28" t="e">
        <f t="shared" si="0"/>
        <v>#DIV/0!</v>
      </c>
      <c r="K5" s="46">
        <f>I5+'Aug 27 - Sept 2'!I5+'Sept 3 - Sept 9'!I5+'Sept 10 - Sept 16'!I5</f>
        <v>0</v>
      </c>
      <c r="L5" s="89" t="e">
        <f>K5/SUM(G5+'Aug 27 - Sept 2'!G5+'Sept 3 - Sept 9'!G5+'Sept 10 - Sept 16'!G5)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284829.93</v>
      </c>
      <c r="C6" s="18">
        <v>249598.41500000001</v>
      </c>
      <c r="D6" s="73">
        <v>233441.28839999999</v>
      </c>
      <c r="E6" s="77">
        <f t="shared" si="1"/>
        <v>0.22013518667677129</v>
      </c>
      <c r="F6" s="73">
        <v>247678.2</v>
      </c>
      <c r="G6" s="74">
        <v>1677</v>
      </c>
      <c r="H6" s="63">
        <f t="shared" ref="H6:H15" si="3">IFERROR(B6/G6,0)</f>
        <v>169.84491949910554</v>
      </c>
      <c r="I6" s="61">
        <v>66</v>
      </c>
      <c r="J6" s="28">
        <f t="shared" si="0"/>
        <v>3.9355992844364938E-2</v>
      </c>
      <c r="K6" s="46">
        <f>I6+'Aug 27 - Sept 2'!I6+'Sept 3 - Sept 9'!I6+'Sept 10 - Sept 16'!I6</f>
        <v>307</v>
      </c>
      <c r="L6" s="89">
        <f>K6/SUM(G6+'Aug 27 - Sept 2'!G6+'Sept 3 - Sept 9'!G6+'Sept 10 - Sept 16'!G6)</f>
        <v>4.8978940650925333E-2</v>
      </c>
      <c r="M6" s="73">
        <v>7494.7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193025.315</v>
      </c>
      <c r="C7" s="18">
        <v>199412.99</v>
      </c>
      <c r="D7" s="73">
        <v>171867.09539999999</v>
      </c>
      <c r="E7" s="77">
        <f t="shared" si="1"/>
        <v>0.12310803036937816</v>
      </c>
      <c r="F7" s="73">
        <v>167848.1</v>
      </c>
      <c r="G7" s="74">
        <v>1268</v>
      </c>
      <c r="H7" s="63">
        <f t="shared" si="3"/>
        <v>152.22816640378548</v>
      </c>
      <c r="I7" s="61">
        <v>188</v>
      </c>
      <c r="J7" s="28">
        <f t="shared" si="0"/>
        <v>0.14826498422712933</v>
      </c>
      <c r="K7" s="46">
        <f>I7+'Aug 27 - Sept 2'!I7+'Sept 3 - Sept 9'!I7+'Sept 10 - Sept 16'!I7</f>
        <v>813</v>
      </c>
      <c r="L7" s="89">
        <f>K7/SUM(G7+'Aug 27 - Sept 2'!G7+'Sept 3 - Sept 9'!G7+'Sept 10 - Sept 16'!G7)</f>
        <v>0.14701627486437613</v>
      </c>
      <c r="M7" s="73">
        <v>4266.5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125649.92</v>
      </c>
      <c r="C8" s="18">
        <v>94781.263500000001</v>
      </c>
      <c r="D8" s="73">
        <v>110380.3974</v>
      </c>
      <c r="E8" s="77">
        <f t="shared" si="1"/>
        <v>0.1383354559294239</v>
      </c>
      <c r="F8" s="73">
        <v>109260.8</v>
      </c>
      <c r="G8" s="74">
        <v>772</v>
      </c>
      <c r="H8" s="63">
        <f t="shared" si="3"/>
        <v>162.75896373056995</v>
      </c>
      <c r="I8" s="61">
        <v>71</v>
      </c>
      <c r="J8" s="28">
        <f t="shared" si="0"/>
        <v>9.1968911917098439E-2</v>
      </c>
      <c r="K8" s="46">
        <f>I8+'Aug 27 - Sept 2'!I8+'Sept 3 - Sept 9'!I8+'Sept 10 - Sept 16'!I8</f>
        <v>289</v>
      </c>
      <c r="L8" s="89">
        <f>K8/SUM(G8+'Aug 27 - Sept 2'!G8+'Sept 3 - Sept 9'!G8+'Sept 10 - Sept 16'!G8)</f>
        <v>0.1014747191011236</v>
      </c>
      <c r="M8" s="73">
        <v>3716.5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333141.88999999996</v>
      </c>
      <c r="C9" s="18">
        <v>313350.505</v>
      </c>
      <c r="D9" s="73">
        <v>345749.35739999992</v>
      </c>
      <c r="E9" s="77">
        <f t="shared" si="1"/>
        <v>-3.6464181726343151E-2</v>
      </c>
      <c r="F9" s="73">
        <v>289688.59999999998</v>
      </c>
      <c r="G9" s="74">
        <v>2435</v>
      </c>
      <c r="H9" s="63">
        <f t="shared" si="3"/>
        <v>136.81391786447637</v>
      </c>
      <c r="I9" s="61">
        <v>228</v>
      </c>
      <c r="J9" s="28">
        <f t="shared" si="0"/>
        <v>9.3634496919917862E-2</v>
      </c>
      <c r="K9" s="46">
        <f>I9+'Aug 27 - Sept 2'!I9+'Sept 3 - Sept 9'!I9+'Sept 10 - Sept 16'!I9</f>
        <v>822</v>
      </c>
      <c r="L9" s="89">
        <f>K9/SUM(G9+'Aug 27 - Sept 2'!G9+'Sept 3 - Sept 9'!G9+'Sept 10 - Sept 16'!G9)</f>
        <v>9.1618368256798935E-2</v>
      </c>
      <c r="M9" s="73">
        <v>7754.8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>
        <v>0</v>
      </c>
      <c r="E10" s="77">
        <f t="shared" si="1"/>
        <v>0</v>
      </c>
      <c r="F10" s="73"/>
      <c r="G10" s="74"/>
      <c r="H10" s="63">
        <f t="shared" si="3"/>
        <v>0</v>
      </c>
      <c r="I10" s="61"/>
      <c r="J10" s="28" t="e">
        <f t="shared" si="0"/>
        <v>#DIV/0!</v>
      </c>
      <c r="K10" s="46">
        <f>I10+'Aug 27 - Sept 2'!I10+'Sept 3 - Sept 9'!I10+'Sept 10 - Sept 16'!I10</f>
        <v>0</v>
      </c>
      <c r="L10" s="89" t="e">
        <f>K10/SUM(G10+'Aug 27 - Sept 2'!G10+'Sept 3 - Sept 9'!G10+'Sept 10 - Sept 16'!G10)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140689.965</v>
      </c>
      <c r="C11" s="18">
        <v>165021.435</v>
      </c>
      <c r="D11" s="73">
        <v>123127.69500000001</v>
      </c>
      <c r="E11" s="77">
        <f t="shared" si="1"/>
        <v>0.14263460385577745</v>
      </c>
      <c r="F11" s="73">
        <v>122339.1</v>
      </c>
      <c r="G11" s="74">
        <v>872</v>
      </c>
      <c r="H11" s="63">
        <f t="shared" si="3"/>
        <v>161.34170298165137</v>
      </c>
      <c r="I11" s="61">
        <v>68</v>
      </c>
      <c r="J11" s="28">
        <f t="shared" si="0"/>
        <v>7.7981651376146793E-2</v>
      </c>
      <c r="K11" s="46">
        <f>I11+'Aug 27 - Sept 2'!I11+'Sept 3 - Sept 9'!I11+'Sept 10 - Sept 16'!I11</f>
        <v>274</v>
      </c>
      <c r="L11" s="89">
        <f>K11/SUM(G11+'Aug 27 - Sept 2'!G11+'Sept 3 - Sept 9'!G11+'Sept 10 - Sept 16'!G11)</f>
        <v>7.1150350558296549E-2</v>
      </c>
      <c r="M11" s="73">
        <v>4413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350342.43999999994</v>
      </c>
      <c r="C12" s="18">
        <v>365406.66950000002</v>
      </c>
      <c r="D12" s="73">
        <v>320750.90159999998</v>
      </c>
      <c r="E12" s="77">
        <f t="shared" si="1"/>
        <v>9.2257070057757129E-2</v>
      </c>
      <c r="F12" s="73">
        <v>304645.59999999998</v>
      </c>
      <c r="G12" s="74">
        <v>2089</v>
      </c>
      <c r="H12" s="63">
        <f t="shared" si="3"/>
        <v>167.70820488271897</v>
      </c>
      <c r="I12" s="61">
        <v>120</v>
      </c>
      <c r="J12" s="28">
        <f t="shared" si="0"/>
        <v>5.7443752991862135E-2</v>
      </c>
      <c r="K12" s="46">
        <f>I12+'Aug 27 - Sept 2'!I12+'Sept 3 - Sept 9'!I12+'Sept 10 - Sept 16'!I12</f>
        <v>495</v>
      </c>
      <c r="L12" s="89">
        <f>K12/SUM(G12+'Aug 27 - Sept 2'!G12+'Sept 3 - Sept 9'!G12+'Sept 10 - Sept 16'!G12)</f>
        <v>5.6590831142105863E-2</v>
      </c>
      <c r="M12" s="73">
        <v>8843.35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163829.91999999998</v>
      </c>
      <c r="C13" s="18">
        <v>136010.96</v>
      </c>
      <c r="D13" s="73">
        <v>131435.16</v>
      </c>
      <c r="E13" s="77">
        <f t="shared" si="1"/>
        <v>0.24646951394132269</v>
      </c>
      <c r="F13" s="73">
        <v>142460.79999999999</v>
      </c>
      <c r="G13" s="74">
        <v>1212</v>
      </c>
      <c r="H13" s="63">
        <f t="shared" si="3"/>
        <v>135.17320132013199</v>
      </c>
      <c r="I13" s="61">
        <v>88</v>
      </c>
      <c r="J13" s="28">
        <f t="shared" si="0"/>
        <v>7.2607260726072612E-2</v>
      </c>
      <c r="K13" s="46">
        <f>I13+'Aug 27 - Sept 2'!I13+'Sept 3 - Sept 9'!I13+'Sept 10 - Sept 16'!I13</f>
        <v>279</v>
      </c>
      <c r="L13" s="89">
        <f>K13/SUM(G13+'Aug 27 - Sept 2'!G13+'Sept 3 - Sept 9'!G13+'Sept 10 - Sept 16'!G13)</f>
        <v>6.9837296620775965E-2</v>
      </c>
      <c r="M13" s="73">
        <v>8840.5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238601.655</v>
      </c>
      <c r="C14" s="18">
        <v>217504.905</v>
      </c>
      <c r="D14" s="73">
        <v>165097.5018</v>
      </c>
      <c r="E14" s="77">
        <f t="shared" si="1"/>
        <v>0.44521662895325531</v>
      </c>
      <c r="F14" s="73">
        <v>207479.7</v>
      </c>
      <c r="G14" s="74">
        <v>1720</v>
      </c>
      <c r="H14" s="63">
        <f t="shared" si="3"/>
        <v>138.72189244186046</v>
      </c>
      <c r="I14" s="61">
        <v>137</v>
      </c>
      <c r="J14" s="28">
        <f t="shared" si="0"/>
        <v>7.9651162790697672E-2</v>
      </c>
      <c r="K14" s="46">
        <f>I14+'Aug 27 - Sept 2'!I14+'Sept 3 - Sept 9'!I14+'Sept 10 - Sept 16'!I14</f>
        <v>451</v>
      </c>
      <c r="L14" s="89">
        <f>K14/SUM(G14+'Aug 27 - Sept 2'!G14+'Sept 3 - Sept 9'!G14+'Sept 10 - Sept 16'!G14)</f>
        <v>6.8718573822946827E-2</v>
      </c>
      <c r="M14" s="73">
        <v>5016.6499999999996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100227.1805</v>
      </c>
      <c r="C15" s="18">
        <v>72955.344499999992</v>
      </c>
      <c r="D15" s="73">
        <v>66926.207999999984</v>
      </c>
      <c r="E15" s="77">
        <f t="shared" si="1"/>
        <v>0.49757745874381565</v>
      </c>
      <c r="F15" s="73">
        <v>87154.07</v>
      </c>
      <c r="G15" s="74">
        <v>733</v>
      </c>
      <c r="H15" s="63">
        <f t="shared" si="3"/>
        <v>136.73558049113234</v>
      </c>
      <c r="I15" s="61">
        <v>0</v>
      </c>
      <c r="J15" s="28">
        <f t="shared" si="0"/>
        <v>0</v>
      </c>
      <c r="K15" s="46">
        <f>I15+'Aug 27 - Sept 2'!I15+'Sept 3 - Sept 9'!I15+'Sept 10 - Sept 16'!I15</f>
        <v>0</v>
      </c>
      <c r="L15" s="89">
        <f>K15/SUM(G15+'Aug 27 - Sept 2'!G15+'Sept 3 - Sept 9'!G15+'Sept 10 - Sept 16'!G15)</f>
        <v>0</v>
      </c>
      <c r="M15" s="73">
        <v>4590.5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77"/>
      <c r="F16" s="32"/>
      <c r="G16" s="61"/>
      <c r="H16" s="63"/>
      <c r="I16" s="61"/>
      <c r="J16" s="28" t="e">
        <f t="shared" si="0"/>
        <v>#DIV/0!</v>
      </c>
      <c r="K16" s="46">
        <f>I16+'Aug 27 - Sept 2'!I16+'Sept 3 - Sept 9'!I16+'Sept 10 - Sept 16'!I16</f>
        <v>0</v>
      </c>
      <c r="L16" s="89" t="e">
        <f>K16/SUM(G16+'Aug 27 - Sept 2'!G16+'Sept 3 - Sept 9'!G16+'Sept 10 - Sept 16'!G16)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77"/>
      <c r="F17" s="32"/>
      <c r="G17" s="61"/>
      <c r="H17" s="63">
        <f>IFERROR(D17/G17,0)</f>
        <v>0</v>
      </c>
      <c r="I17" s="74"/>
      <c r="J17" s="28" t="e">
        <f t="shared" si="0"/>
        <v>#DIV/0!</v>
      </c>
      <c r="K17" s="46">
        <f>I17+'Aug 27 - Sept 2'!I17+'Sept 3 - Sept 9'!I17+'Sept 10 - Sept 16'!I17</f>
        <v>0</v>
      </c>
      <c r="L17" s="89" t="e">
        <f>K17/SUM(G17+'Aug 27 - Sept 2'!G17+'Sept 3 - Sept 9'!G17+'Sept 10 - Sept 16'!G17)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196317.76499999998</v>
      </c>
      <c r="C18" s="18">
        <v>163846.48000000001</v>
      </c>
      <c r="D18" s="73">
        <v>200922.70860000001</v>
      </c>
      <c r="E18" s="77">
        <f>IFERROR(SUM(B18-D18)/D18,0)</f>
        <v>-2.2918980298875125E-2</v>
      </c>
      <c r="F18" s="73">
        <v>170711.1</v>
      </c>
      <c r="G18" s="74">
        <v>1606</v>
      </c>
      <c r="H18" s="63">
        <f>IFERROR(B18/G18,0)</f>
        <v>122.24020236612701</v>
      </c>
      <c r="I18" s="61">
        <v>135</v>
      </c>
      <c r="J18" s="28">
        <f t="shared" si="0"/>
        <v>8.4059775840597761E-2</v>
      </c>
      <c r="K18" s="46">
        <f>I18+'Aug 27 - Sept 2'!I18+'Sept 3 - Sept 9'!I18+'Sept 10 - Sept 16'!I18</f>
        <v>511</v>
      </c>
      <c r="L18" s="89">
        <f>K18/SUM(G18+'Aug 27 - Sept 2'!G18+'Sept 3 - Sept 9'!G18+'Sept 10 - Sept 16'!G18)</f>
        <v>0.10005874290189935</v>
      </c>
      <c r="M18" s="73">
        <v>5043.8</v>
      </c>
      <c r="N18" s="9"/>
    </row>
    <row r="19" spans="1:14" ht="15.6" customHeight="1" x14ac:dyDescent="0.3">
      <c r="A19" s="40" t="s">
        <v>27</v>
      </c>
      <c r="B19" s="18">
        <f t="shared" si="2"/>
        <v>132532.44</v>
      </c>
      <c r="C19" s="18">
        <v>131290.55499999999</v>
      </c>
      <c r="D19" s="73">
        <v>124005.1986</v>
      </c>
      <c r="E19" s="77">
        <f>IFERROR(SUM(B19-D19)/D19,0)</f>
        <v>6.8765192881195855E-2</v>
      </c>
      <c r="F19" s="73">
        <v>115245.6</v>
      </c>
      <c r="G19" s="74">
        <v>782</v>
      </c>
      <c r="H19" s="63">
        <f>IFERROR(B19/G19,0)</f>
        <v>169.47882352941176</v>
      </c>
      <c r="I19" s="61">
        <v>52</v>
      </c>
      <c r="J19" s="28">
        <f t="shared" si="0"/>
        <v>6.6496163682864456E-2</v>
      </c>
      <c r="K19" s="46">
        <f>I19+'Aug 27 - Sept 2'!I19+'Sept 3 - Sept 9'!I19+'Sept 10 - Sept 16'!I19</f>
        <v>228</v>
      </c>
      <c r="L19" s="89">
        <f>K19/SUM(G19+'Aug 27 - Sept 2'!G19+'Sept 3 - Sept 9'!G19+'Sept 10 - Sept 16'!G19)</f>
        <v>7.5747508305647845E-2</v>
      </c>
      <c r="M19" s="73">
        <v>4314.8999999999996</v>
      </c>
      <c r="N19" s="9"/>
    </row>
    <row r="20" spans="1:14" ht="15.6" customHeight="1" x14ac:dyDescent="0.3">
      <c r="A20" s="40" t="s">
        <v>28</v>
      </c>
      <c r="B20" s="18">
        <f t="shared" si="2"/>
        <v>234020.16999999995</v>
      </c>
      <c r="C20" s="18">
        <v>240026.85</v>
      </c>
      <c r="D20" s="73">
        <v>0</v>
      </c>
      <c r="E20" s="77">
        <f>IFERROR(SUM(B20-D20)/D20,0)</f>
        <v>0</v>
      </c>
      <c r="F20" s="73">
        <v>203495.8</v>
      </c>
      <c r="G20" s="74">
        <v>1636</v>
      </c>
      <c r="H20" s="63">
        <f>IFERROR(B20/G20,0)</f>
        <v>143.0441136919315</v>
      </c>
      <c r="I20" s="74">
        <v>130</v>
      </c>
      <c r="J20" s="28">
        <f t="shared" si="0"/>
        <v>7.9462102689486558E-2</v>
      </c>
      <c r="K20" s="46">
        <f>I20+'Aug 27 - Sept 2'!I20+'Sept 3 - Sept 9'!I20+'Sept 10 - Sept 16'!I20</f>
        <v>389</v>
      </c>
      <c r="L20" s="89">
        <f>K20/SUM(G20+'Aug 27 - Sept 2'!G20+'Sept 3 - Sept 9'!G20+'Sept 10 - Sept 16'!G20)</f>
        <v>6.6416254054976948E-2</v>
      </c>
      <c r="M20" s="73">
        <v>7036.15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83169.092729999989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19.6640625" style="69" bestFit="1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(((F4-B20)-D4)/D4)</f>
        <v>0.10669286751407815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2750452.3435</v>
      </c>
      <c r="C4" s="3">
        <v>2493208.5904999999</v>
      </c>
      <c r="D4" s="3">
        <v>1938475.47</v>
      </c>
      <c r="E4" s="90">
        <f t="shared" ref="E4:E20" si="0">IFERROR((SUM(F4-D4)/D4),0)</f>
        <v>0.23380343316905652</v>
      </c>
      <c r="F4" s="66">
        <f>SUM(F6:F20)</f>
        <v>2391697.6900000004</v>
      </c>
      <c r="G4" s="62">
        <f>SUM(G6:G20)</f>
        <v>16548</v>
      </c>
      <c r="H4" s="85">
        <f>AVERAGE(H5:H20)</f>
        <v>152.08518737813171</v>
      </c>
      <c r="I4" s="88">
        <f>SUM(I6:I20)</f>
        <v>1275</v>
      </c>
      <c r="J4" s="28">
        <f t="shared" ref="J4:J20" si="1">I4/G4</f>
        <v>7.7048585931834668E-2</v>
      </c>
      <c r="K4" s="46">
        <f>I4+'Aug 27 - Sept 2'!I4+'Sept 3 - Sept 9'!I4+'Sept 10 - Sept 16'!I4+'Sept 17 - Sept 23'!I4</f>
        <v>6133</v>
      </c>
      <c r="L4" s="89">
        <f>K4/SUM(G4+'Aug 27 - Sept 2'!G4+'Sept 3 - Sept 9'!G4+'Sept 10 - Sept 16'!G4+'Sept 17 - Sept 23'!G4)</f>
        <v>7.6956859989459683E-2</v>
      </c>
      <c r="M4" s="66">
        <f>SUM(M6:M20)</f>
        <v>77600.78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</f>
        <v>0</v>
      </c>
      <c r="L5" s="89" t="e">
        <f>K5/SUM(G5+'Aug 27 - Sept 2'!G5+'Sept 3 - Sept 9'!G5+'Sept 10 - Sept 16'!G5+'Sept 17 - Sept 23'!G5)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326694.32299999997</v>
      </c>
      <c r="C6" s="18">
        <v>284829.93</v>
      </c>
      <c r="D6" s="73">
        <v>261914.84</v>
      </c>
      <c r="E6" s="86">
        <f t="shared" si="0"/>
        <v>8.4635066878990223E-2</v>
      </c>
      <c r="F6" s="73">
        <v>284082.02</v>
      </c>
      <c r="G6" s="74">
        <v>2042</v>
      </c>
      <c r="H6" s="63">
        <f t="shared" ref="H6:H15" si="3">IFERROR(B6/G6,0)</f>
        <v>159.98742556317336</v>
      </c>
      <c r="I6" s="61">
        <v>121</v>
      </c>
      <c r="J6" s="28">
        <f t="shared" si="1"/>
        <v>5.9255631733594515E-2</v>
      </c>
      <c r="K6" s="46">
        <f>I6+'Aug 27 - Sept 2'!I6+'Sept 3 - Sept 9'!I6+'Sept 10 - Sept 16'!I6+'Sept 17 - Sept 23'!I6</f>
        <v>428</v>
      </c>
      <c r="L6" s="89">
        <f>K6/SUM(G6+'Aug 27 - Sept 2'!G6+'Sept 3 - Sept 9'!G6+'Sept 10 - Sept 16'!G6+'Sept 17 - Sept 23'!G6)</f>
        <v>5.1504211793020456E-2</v>
      </c>
      <c r="M6" s="73">
        <v>9840.1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226348.51999999996</v>
      </c>
      <c r="C7" s="18">
        <v>193025.315</v>
      </c>
      <c r="D7" s="73">
        <v>148123.15</v>
      </c>
      <c r="E7" s="86">
        <f t="shared" si="0"/>
        <v>0.32879161697546938</v>
      </c>
      <c r="F7" s="73">
        <v>196824.8</v>
      </c>
      <c r="G7" s="74">
        <v>1463</v>
      </c>
      <c r="H7" s="63">
        <f t="shared" si="3"/>
        <v>154.71532467532464</v>
      </c>
      <c r="I7" s="61">
        <v>213</v>
      </c>
      <c r="J7" s="28">
        <f t="shared" si="1"/>
        <v>0.14559125085440874</v>
      </c>
      <c r="K7" s="46">
        <f>I7+'Aug 27 - Sept 2'!I7+'Sept 3 - Sept 9'!I7+'Sept 10 - Sept 16'!I7+'Sept 17 - Sept 23'!I7</f>
        <v>1026</v>
      </c>
      <c r="L7" s="89">
        <f>K7/SUM(G7+'Aug 27 - Sept 2'!G7+'Sept 3 - Sept 9'!G7+'Sept 10 - Sept 16'!G7+'Sept 17 - Sept 23'!G7)</f>
        <v>0.14671814671814673</v>
      </c>
      <c r="M7" s="73">
        <v>6444.2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130222.52699999999</v>
      </c>
      <c r="C8" s="18">
        <v>125649.92</v>
      </c>
      <c r="D8" s="73">
        <v>109917.35</v>
      </c>
      <c r="E8" s="86">
        <f t="shared" si="0"/>
        <v>3.020114658877775E-2</v>
      </c>
      <c r="F8" s="73">
        <v>113236.98</v>
      </c>
      <c r="G8" s="74">
        <v>430</v>
      </c>
      <c r="H8" s="63">
        <f t="shared" si="3"/>
        <v>302.84308604651159</v>
      </c>
      <c r="I8" s="61">
        <v>81</v>
      </c>
      <c r="J8" s="28">
        <f t="shared" si="1"/>
        <v>0.1883720930232558</v>
      </c>
      <c r="K8" s="46">
        <f>I8+'Aug 27 - Sept 2'!I8+'Sept 3 - Sept 9'!I8+'Sept 10 - Sept 16'!I8+'Sept 17 - Sept 23'!I8</f>
        <v>370</v>
      </c>
      <c r="L8" s="89">
        <f>K8/SUM(G8+'Aug 27 - Sept 2'!G8+'Sept 3 - Sept 9'!G8+'Sept 10 - Sept 16'!G8+'Sept 17 - Sept 23'!G8)</f>
        <v>0.11287370347773032</v>
      </c>
      <c r="M8" s="73">
        <v>2248.1999999999998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404283.75349999999</v>
      </c>
      <c r="C9" s="18">
        <v>333141.89</v>
      </c>
      <c r="D9" s="73">
        <v>322709.84000000003</v>
      </c>
      <c r="E9" s="86">
        <f t="shared" si="0"/>
        <v>8.9372081124021494E-2</v>
      </c>
      <c r="F9" s="73">
        <v>351551.09</v>
      </c>
      <c r="G9" s="74">
        <v>2638</v>
      </c>
      <c r="H9" s="63">
        <f t="shared" si="3"/>
        <v>153.25388684609553</v>
      </c>
      <c r="I9" s="61">
        <v>145</v>
      </c>
      <c r="J9" s="28">
        <f t="shared" si="1"/>
        <v>5.4965883244882489E-2</v>
      </c>
      <c r="K9" s="46">
        <f>I9+'Aug 27 - Sept 2'!I9+'Sept 3 - Sept 9'!I9+'Sept 10 - Sept 16'!I9+'Sept 17 - Sept 23'!I9</f>
        <v>967</v>
      </c>
      <c r="L9" s="89">
        <f>K9/SUM(G9+'Aug 27 - Sept 2'!G9+'Sept 3 - Sept 9'!G9+'Sept 10 - Sept 16'!G9+'Sept 17 - Sept 23'!G9)</f>
        <v>8.3290267011197239E-2</v>
      </c>
      <c r="M9" s="73">
        <v>7149.4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</f>
        <v>0</v>
      </c>
      <c r="L10" s="89" t="e">
        <f>K10/SUM(G10+'Aug 27 - Sept 2'!G10+'Sept 3 - Sept 9'!G10+'Sept 10 - Sept 16'!G10+'Sept 17 - Sept 23'!G10)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162458.19999999998</v>
      </c>
      <c r="C11" s="18">
        <v>140689.965</v>
      </c>
      <c r="D11" s="73">
        <v>107755.2</v>
      </c>
      <c r="E11" s="86">
        <f t="shared" si="0"/>
        <v>0.31100865665879701</v>
      </c>
      <c r="F11" s="73">
        <v>141268</v>
      </c>
      <c r="G11" s="74">
        <v>932</v>
      </c>
      <c r="H11" s="63">
        <f t="shared" si="3"/>
        <v>174.31137339055792</v>
      </c>
      <c r="I11" s="61">
        <v>82</v>
      </c>
      <c r="J11" s="28">
        <f t="shared" si="1"/>
        <v>8.7982832618025753E-2</v>
      </c>
      <c r="K11" s="46">
        <f>I11+'Aug 27 - Sept 2'!I11+'Sept 3 - Sept 9'!I11+'Sept 10 - Sept 16'!I11+'Sept 17 - Sept 23'!I11</f>
        <v>356</v>
      </c>
      <c r="L11" s="89">
        <f>K11/SUM(G11+'Aug 27 - Sept 2'!G11+'Sept 3 - Sept 9'!G11+'Sept 10 - Sept 16'!G11+'Sept 17 - Sept 23'!G11)</f>
        <v>7.4430273886681997E-2</v>
      </c>
      <c r="M11" s="73">
        <v>5783.35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377915.52999999997</v>
      </c>
      <c r="C12" s="18">
        <v>350342.43999999989</v>
      </c>
      <c r="D12" s="73">
        <v>310151.87</v>
      </c>
      <c r="E12" s="86">
        <f t="shared" si="0"/>
        <v>5.9552534698565633E-2</v>
      </c>
      <c r="F12" s="73">
        <v>328622.2</v>
      </c>
      <c r="G12" s="74">
        <v>2086</v>
      </c>
      <c r="H12" s="63">
        <f t="shared" si="3"/>
        <v>181.16755992329817</v>
      </c>
      <c r="I12" s="61">
        <v>98</v>
      </c>
      <c r="J12" s="28">
        <f t="shared" si="1"/>
        <v>4.6979865771812082E-2</v>
      </c>
      <c r="K12" s="46">
        <f>I12+'Aug 27 - Sept 2'!I12+'Sept 3 - Sept 9'!I12+'Sept 10 - Sept 16'!I12+'Sept 17 - Sept 23'!I12</f>
        <v>593</v>
      </c>
      <c r="L12" s="89">
        <f>K12/SUM(G12+'Aug 27 - Sept 2'!G12+'Sept 3 - Sept 9'!G12+'Sept 10 - Sept 16'!G12+'Sept 17 - Sept 23'!G12)</f>
        <v>5.4740145850641561E-2</v>
      </c>
      <c r="M12" s="73">
        <v>12029.4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151287.55999999997</v>
      </c>
      <c r="C13" s="18">
        <v>163829.92000000001</v>
      </c>
      <c r="D13" s="73">
        <v>120065.27</v>
      </c>
      <c r="E13" s="86">
        <f t="shared" si="0"/>
        <v>9.5690702232210781E-2</v>
      </c>
      <c r="F13" s="73">
        <v>131554.4</v>
      </c>
      <c r="G13" s="74">
        <v>1132</v>
      </c>
      <c r="H13" s="63">
        <f t="shared" si="3"/>
        <v>133.64625441696111</v>
      </c>
      <c r="I13" s="61">
        <v>99</v>
      </c>
      <c r="J13" s="28">
        <f t="shared" si="1"/>
        <v>8.7455830388692576E-2</v>
      </c>
      <c r="K13" s="46">
        <f>I13+'Aug 27 - Sept 2'!I13+'Sept 3 - Sept 9'!I13+'Sept 10 - Sept 16'!I13+'Sept 17 - Sept 23'!I13</f>
        <v>378</v>
      </c>
      <c r="L13" s="89">
        <f>K13/SUM(G13+'Aug 27 - Sept 2'!G13+'Sept 3 - Sept 9'!G13+'Sept 10 - Sept 16'!G13+'Sept 17 - Sept 23'!G13)</f>
        <v>7.3727325921591577E-2</v>
      </c>
      <c r="M13" s="73">
        <v>5718.4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247739.55499999999</v>
      </c>
      <c r="C14" s="18">
        <v>238601.655</v>
      </c>
      <c r="D14" s="73">
        <v>185445.71</v>
      </c>
      <c r="E14" s="86">
        <f t="shared" si="0"/>
        <v>0.1616645108695155</v>
      </c>
      <c r="F14" s="73">
        <v>215425.7</v>
      </c>
      <c r="G14" s="74">
        <v>932</v>
      </c>
      <c r="H14" s="63">
        <f t="shared" si="3"/>
        <v>265.81497317596563</v>
      </c>
      <c r="I14" s="61">
        <v>148</v>
      </c>
      <c r="J14" s="28">
        <f t="shared" si="1"/>
        <v>0.15879828326180256</v>
      </c>
      <c r="K14" s="46">
        <f>I14+'Aug 27 - Sept 2'!I14+'Sept 3 - Sept 9'!I14+'Sept 10 - Sept 16'!I14+'Sept 17 - Sept 23'!I14</f>
        <v>599</v>
      </c>
      <c r="L14" s="89">
        <f>K14/SUM(G14+'Aug 27 - Sept 2'!G14+'Sept 3 - Sept 9'!G14+'Sept 10 - Sept 16'!G14+'Sept 17 - Sept 23'!G14)</f>
        <v>7.9919946631087396E-2</v>
      </c>
      <c r="M14" s="73">
        <v>5098.95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92254.161499999987</v>
      </c>
      <c r="C15" s="18">
        <v>100227.1805</v>
      </c>
      <c r="D15" s="73">
        <v>74194.34</v>
      </c>
      <c r="E15" s="86">
        <f t="shared" si="0"/>
        <v>8.1228163765591804E-2</v>
      </c>
      <c r="F15" s="73">
        <v>80221.009999999995</v>
      </c>
      <c r="G15" s="74">
        <v>615</v>
      </c>
      <c r="H15" s="63">
        <f t="shared" si="3"/>
        <v>150.00676666666664</v>
      </c>
      <c r="I15" s="61">
        <v>0</v>
      </c>
      <c r="J15" s="28">
        <f t="shared" si="1"/>
        <v>0</v>
      </c>
      <c r="K15" s="46">
        <f>I15+'Aug 27 - Sept 2'!I15+'Sept 3 - Sept 9'!I15+'Sept 10 - Sept 16'!I15+'Sept 17 - Sept 23'!I15</f>
        <v>0</v>
      </c>
      <c r="L15" s="89">
        <f>K15/SUM(G15+'Aug 27 - Sept 2'!G15+'Sept 3 - Sept 9'!G15+'Sept 10 - Sept 16'!G15+'Sept 17 - Sept 23'!G15)</f>
        <v>0</v>
      </c>
      <c r="M15" s="73">
        <v>3777.8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</f>
        <v>0</v>
      </c>
      <c r="L16" s="89" t="e">
        <f>K16/SUM(G16+'Aug 27 - Sept 2'!G16+'Sept 3 - Sept 9'!G16+'Sept 10 - Sept 16'!G16+'Sept 17 - Sept 23'!G16)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</f>
        <v>0</v>
      </c>
      <c r="L17" s="89" t="e">
        <f>K17/SUM(G17+'Aug 27 - Sept 2'!G17+'Sept 3 - Sept 9'!G17+'Sept 10 - Sept 16'!G17+'Sept 17 - Sept 23'!G17)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223466.04499999998</v>
      </c>
      <c r="C18" s="18">
        <v>196317.76500000001</v>
      </c>
      <c r="D18" s="73">
        <v>165485.94</v>
      </c>
      <c r="E18" s="86">
        <f t="shared" si="0"/>
        <v>0.17422845711242893</v>
      </c>
      <c r="F18" s="73">
        <v>194318.3</v>
      </c>
      <c r="G18" s="74">
        <v>1784</v>
      </c>
      <c r="H18" s="63">
        <f>IFERROR(B18/G18,0)</f>
        <v>125.26123598654708</v>
      </c>
      <c r="I18" s="61">
        <v>106</v>
      </c>
      <c r="J18" s="28">
        <f t="shared" si="1"/>
        <v>5.9417040358744393E-2</v>
      </c>
      <c r="K18" s="46">
        <f>I18+'Aug 27 - Sept 2'!I18+'Sept 3 - Sept 9'!I18+'Sept 10 - Sept 16'!I18+'Sept 17 - Sept 23'!I18</f>
        <v>617</v>
      </c>
      <c r="L18" s="89">
        <f>K18/SUM(G18+'Aug 27 - Sept 2'!G18+'Sept 3 - Sept 9'!G18+'Sept 10 - Sept 16'!G18+'Sept 17 - Sept 23'!G18)</f>
        <v>8.9537077347264543E-2</v>
      </c>
      <c r="M18" s="73">
        <v>4679.8</v>
      </c>
      <c r="N18" s="9"/>
    </row>
    <row r="19" spans="1:14" ht="15.6" customHeight="1" x14ac:dyDescent="0.3">
      <c r="A19" s="40" t="s">
        <v>27</v>
      </c>
      <c r="B19" s="18">
        <f t="shared" si="2"/>
        <v>161381.45499999999</v>
      </c>
      <c r="C19" s="18">
        <v>132532.44</v>
      </c>
      <c r="D19" s="73">
        <v>132711.96</v>
      </c>
      <c r="E19" s="86">
        <f t="shared" si="0"/>
        <v>5.7415624032679649E-2</v>
      </c>
      <c r="F19" s="73">
        <v>140331.70000000001</v>
      </c>
      <c r="G19" s="74">
        <v>968</v>
      </c>
      <c r="H19" s="63">
        <f>IFERROR(B19/G19,0)</f>
        <v>166.7163791322314</v>
      </c>
      <c r="I19" s="61">
        <v>49</v>
      </c>
      <c r="J19" s="28">
        <f t="shared" si="1"/>
        <v>5.06198347107438E-2</v>
      </c>
      <c r="K19" s="46">
        <f>I19+'Aug 27 - Sept 2'!I19+'Sept 3 - Sept 9'!I19+'Sept 10 - Sept 16'!I19+'Sept 17 - Sept 23'!I19</f>
        <v>277</v>
      </c>
      <c r="L19" s="89">
        <f>K19/SUM(G19+'Aug 27 - Sept 2'!G19+'Sept 3 - Sept 9'!G19+'Sept 10 - Sept 16'!G19+'Sept 17 - Sept 23'!G19)</f>
        <v>6.9632981397687282E-2</v>
      </c>
      <c r="M19" s="73">
        <v>7350.7</v>
      </c>
      <c r="N19" s="9"/>
    </row>
    <row r="20" spans="1:14" ht="15.6" customHeight="1" x14ac:dyDescent="0.3">
      <c r="A20" s="40" t="s">
        <v>28</v>
      </c>
      <c r="B20" s="18">
        <f t="shared" si="2"/>
        <v>246400.71349999998</v>
      </c>
      <c r="C20" s="18">
        <v>234020.17</v>
      </c>
      <c r="D20" s="73">
        <v>0</v>
      </c>
      <c r="E20" s="86">
        <f t="shared" si="0"/>
        <v>0</v>
      </c>
      <c r="F20" s="73">
        <v>214261.49</v>
      </c>
      <c r="G20" s="74">
        <v>1526</v>
      </c>
      <c r="H20" s="63">
        <f>IFERROR(B20/G20,0)</f>
        <v>161.46835747051114</v>
      </c>
      <c r="I20" s="74">
        <v>133</v>
      </c>
      <c r="J20" s="28">
        <f t="shared" si="1"/>
        <v>8.7155963302752298E-2</v>
      </c>
      <c r="K20" s="46">
        <f>I20+'Aug 27 - Sept 2'!I20+'Sept 3 - Sept 9'!I20+'Sept 10 - Sept 16'!I20+'Sept 17 - Sept 23'!I20</f>
        <v>522</v>
      </c>
      <c r="L20" s="89">
        <f>K20/SUM(G20+'Aug 27 - Sept 2'!G20+'Sept 3 - Sept 9'!G20+'Sept 10 - Sept 16'!G20+'Sept 17 - Sept 23'!G20)</f>
        <v>7.0702966273872403E-2</v>
      </c>
      <c r="M20" s="73">
        <v>7480.48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>
        <f>C15*1.14</f>
        <v>114258.98577</v>
      </c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R29"/>
  <sheetViews>
    <sheetView view="pageBreakPreview" zoomScale="75" zoomScaleNormal="80" zoomScaleSheetLayoutView="75" workbookViewId="0">
      <pane xSplit="1" topLeftCell="B1" activePane="topRight" state="frozen"/>
      <selection pane="topRight" activeCell="P13" sqref="P13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(((F4-B20)-D4)/D4)</f>
        <v>0.10291327329154511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2721502.8874999997</v>
      </c>
      <c r="C4" s="3">
        <v>2750452.3435</v>
      </c>
      <c r="D4" s="3">
        <v>1932686.17</v>
      </c>
      <c r="E4" s="90">
        <f t="shared" ref="E4:E20" si="0">IFERROR((SUM(F4-D4)/D4),0)</f>
        <v>0.22447414729521226</v>
      </c>
      <c r="F4" s="66">
        <f>SUM(F6:F20)</f>
        <v>2366524.2499999995</v>
      </c>
      <c r="G4" s="62">
        <f>SUM(G6:G20)</f>
        <v>17805</v>
      </c>
      <c r="H4" s="85">
        <f>AVERAGE(H5:H20)</f>
        <v>132.51859438601463</v>
      </c>
      <c r="I4" s="88">
        <f>SUM(I6:I20)</f>
        <v>1145</v>
      </c>
      <c r="J4" s="28">
        <f t="shared" ref="J4:J20" si="1">I4/G4</f>
        <v>6.4307778713844424E-2</v>
      </c>
      <c r="K4" s="46">
        <f>I4+'Aug 27 - Sept 2'!I4+'Sept 3 - Sept 9'!I4+'Sept 10 - Sept 16'!I4+'Sept 17 - Sept 23'!I4+'Sept 24 - Sept 30'!I4</f>
        <v>7278</v>
      </c>
      <c r="L4" s="89">
        <f>K4/SUM(G4+'Aug 27 - Sept 2'!G4+'Sept 3 - Sept 9'!G4+'Sept 10 - Sept 16'!G4+'Sept 17 - Sept 23'!G4+'Sept 24 - Sept 30'!G4)</f>
        <v>7.464691945558416E-2</v>
      </c>
      <c r="M4" s="66">
        <f>SUM(M6:M20)</f>
        <v>80137.61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</f>
        <v>0</v>
      </c>
      <c r="L5" s="89" t="e">
        <f>K5/SUM(G5+'Aug 27 - Sept 2'!G5+'Sept 3 - Sept 9'!G5+'Sept 10 - Sept 16'!G5+'Sept 17 - Sept 23'!G5+'Sept 24 - Sept 30'!G5)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304126.01</v>
      </c>
      <c r="C6" s="18">
        <v>326694.32299999997</v>
      </c>
      <c r="D6" s="73">
        <v>267137.07</v>
      </c>
      <c r="E6" s="86">
        <f t="shared" si="0"/>
        <v>-1.0031067571415617E-2</v>
      </c>
      <c r="F6" s="73">
        <v>264457.40000000002</v>
      </c>
      <c r="G6" s="74">
        <v>1971</v>
      </c>
      <c r="H6" s="63">
        <f t="shared" ref="H6:H15" si="3">IFERROR(B6/G6,0)</f>
        <v>154.30036022323694</v>
      </c>
      <c r="I6" s="61">
        <v>142</v>
      </c>
      <c r="J6" s="28">
        <f t="shared" si="1"/>
        <v>7.2044647387113137E-2</v>
      </c>
      <c r="K6" s="46">
        <f>I6+'Aug 27 - Sept 2'!I6+'Sept 3 - Sept 9'!I6+'Sept 10 - Sept 16'!I6+'Sept 17 - Sept 23'!I6+'Sept 24 - Sept 30'!I6</f>
        <v>570</v>
      </c>
      <c r="L6" s="89">
        <f>K6/SUM(G6+'Aug 27 - Sept 2'!G6+'Sept 3 - Sept 9'!G6+'Sept 10 - Sept 16'!G6+'Sept 17 - Sept 23'!G6+'Sept 24 - Sept 30'!G6)</f>
        <v>5.5442077618908667E-2</v>
      </c>
      <c r="M6" s="73">
        <v>8277.85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221215.15</v>
      </c>
      <c r="C7" s="18">
        <v>226348.52</v>
      </c>
      <c r="D7" s="73">
        <v>156197.63</v>
      </c>
      <c r="E7" s="86">
        <f t="shared" si="0"/>
        <v>0.23152316715688961</v>
      </c>
      <c r="F7" s="73">
        <v>192361</v>
      </c>
      <c r="G7" s="74">
        <v>1490</v>
      </c>
      <c r="H7" s="63">
        <f t="shared" si="3"/>
        <v>148.46654362416106</v>
      </c>
      <c r="I7" s="61">
        <v>182</v>
      </c>
      <c r="J7" s="28">
        <f t="shared" si="1"/>
        <v>0.12214765100671141</v>
      </c>
      <c r="K7" s="46">
        <f>I7+'Aug 27 - Sept 2'!I7+'Sept 3 - Sept 9'!I7+'Sept 10 - Sept 16'!I7+'Sept 17 - Sept 23'!I7+'Sept 24 - Sept 30'!I7</f>
        <v>1208</v>
      </c>
      <c r="L7" s="89">
        <f>K7/SUM(G7+'Aug 27 - Sept 2'!G7+'Sept 3 - Sept 9'!G7+'Sept 10 - Sept 16'!G7+'Sept 17 - Sept 23'!G7+'Sept 24 - Sept 30'!G7)</f>
        <v>0.14240245196274903</v>
      </c>
      <c r="M7" s="73">
        <v>6563.15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113889.61749999999</v>
      </c>
      <c r="C8" s="18">
        <v>130222.527</v>
      </c>
      <c r="D8" s="73">
        <v>98441.26</v>
      </c>
      <c r="E8" s="86">
        <f t="shared" si="0"/>
        <v>6.0258269753963164E-3</v>
      </c>
      <c r="F8" s="73">
        <v>99034.45</v>
      </c>
      <c r="G8" s="74">
        <v>768</v>
      </c>
      <c r="H8" s="63">
        <f t="shared" si="3"/>
        <v>148.29377278645833</v>
      </c>
      <c r="I8" s="61">
        <v>73</v>
      </c>
      <c r="J8" s="28">
        <f t="shared" si="1"/>
        <v>9.5052083333333329E-2</v>
      </c>
      <c r="K8" s="46">
        <f>I8+'Aug 27 - Sept 2'!I8+'Sept 3 - Sept 9'!I8+'Sept 10 - Sept 16'!I8+'Sept 17 - Sept 23'!I8+'Sept 24 - Sept 30'!I8</f>
        <v>443</v>
      </c>
      <c r="L8" s="89">
        <f>K8/SUM(G8+'Aug 27 - Sept 2'!G8+'Sept 3 - Sept 9'!G8+'Sept 10 - Sept 16'!G8+'Sept 17 - Sept 23'!G8+'Sept 24 - Sept 30'!G8)</f>
        <v>0.10949085516559565</v>
      </c>
      <c r="M8" s="73">
        <v>6121.5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392272.36</v>
      </c>
      <c r="C9" s="18">
        <v>404283.75349999999</v>
      </c>
      <c r="D9" s="73">
        <v>318589.14</v>
      </c>
      <c r="E9" s="86">
        <f t="shared" si="0"/>
        <v>7.0678052616608367E-2</v>
      </c>
      <c r="F9" s="73">
        <v>341106.4</v>
      </c>
      <c r="G9" s="74">
        <v>2716</v>
      </c>
      <c r="H9" s="63">
        <f t="shared" si="3"/>
        <v>144.43017673048601</v>
      </c>
      <c r="I9" s="61">
        <v>154</v>
      </c>
      <c r="J9" s="28">
        <f t="shared" si="1"/>
        <v>5.6701030927835051E-2</v>
      </c>
      <c r="K9" s="46">
        <f>I9+'Aug 27 - Sept 2'!I9+'Sept 3 - Sept 9'!I9+'Sept 10 - Sept 16'!I9+'Sept 17 - Sept 23'!I9+'Sept 24 - Sept 30'!I9</f>
        <v>1121</v>
      </c>
      <c r="L9" s="89">
        <f>K9/SUM(G9+'Aug 27 - Sept 2'!G9+'Sept 3 - Sept 9'!G9+'Sept 10 - Sept 16'!G9+'Sept 17 - Sept 23'!G9+'Sept 24 - Sept 30'!G9)</f>
        <v>7.8249336870026526E-2</v>
      </c>
      <c r="M9" s="73">
        <v>9153.7999999999993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</f>
        <v>0</v>
      </c>
      <c r="L10" s="89" t="e">
        <f>K10/SUM(G10+'Aug 27 - Sept 2'!G10+'Sept 3 - Sept 9'!G10+'Sept 10 - Sept 16'!G10+'Sept 17 - Sept 23'!G10+'Sept 24 - Sept 30'!G10)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146668.93</v>
      </c>
      <c r="C11" s="18">
        <v>162458.20000000001</v>
      </c>
      <c r="D11" s="73">
        <v>116675.57</v>
      </c>
      <c r="E11" s="86">
        <f t="shared" si="0"/>
        <v>9.3101152194928122E-2</v>
      </c>
      <c r="F11" s="73">
        <v>127538.2</v>
      </c>
      <c r="G11" s="74">
        <v>862</v>
      </c>
      <c r="H11" s="63">
        <f t="shared" si="3"/>
        <v>170.14957076566125</v>
      </c>
      <c r="I11" s="61">
        <v>61</v>
      </c>
      <c r="J11" s="28">
        <f t="shared" si="1"/>
        <v>7.0765661252900236E-2</v>
      </c>
      <c r="K11" s="46">
        <f>I11+'Aug 27 - Sept 2'!I11+'Sept 3 - Sept 9'!I11+'Sept 10 - Sept 16'!I11+'Sept 17 - Sept 23'!I11+'Sept 24 - Sept 30'!I11</f>
        <v>417</v>
      </c>
      <c r="L11" s="89">
        <f>K11/SUM(G11+'Aug 27 - Sept 2'!G11+'Sept 3 - Sept 9'!G11+'Sept 10 - Sept 16'!G11+'Sept 17 - Sept 23'!G11+'Sept 24 - Sept 30'!G11)</f>
        <v>7.3870682019486267E-2</v>
      </c>
      <c r="M11" s="73">
        <v>5007.5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361948.81499999994</v>
      </c>
      <c r="C12" s="18">
        <v>377915.53</v>
      </c>
      <c r="D12" s="73">
        <v>301916.12</v>
      </c>
      <c r="E12" s="86">
        <f t="shared" si="0"/>
        <v>4.2468683023615901E-2</v>
      </c>
      <c r="F12" s="73">
        <v>314738.09999999998</v>
      </c>
      <c r="G12" s="74">
        <v>2132</v>
      </c>
      <c r="H12" s="63">
        <f t="shared" si="3"/>
        <v>169.76961303939959</v>
      </c>
      <c r="I12" s="61">
        <v>131</v>
      </c>
      <c r="J12" s="28">
        <f t="shared" si="1"/>
        <v>6.144465290806754E-2</v>
      </c>
      <c r="K12" s="46">
        <f>I12+'Aug 27 - Sept 2'!I12+'Sept 3 - Sept 9'!I12+'Sept 10 - Sept 16'!I12+'Sept 17 - Sept 23'!I12+'Sept 24 - Sept 30'!I12</f>
        <v>724</v>
      </c>
      <c r="L12" s="89">
        <f>K12/SUM(G12+'Aug 27 - Sept 2'!G12+'Sept 3 - Sept 9'!G12+'Sept 10 - Sept 16'!G12+'Sept 17 - Sept 23'!G12+'Sept 24 - Sept 30'!G12)</f>
        <v>5.5842653297338993E-2</v>
      </c>
      <c r="M12" s="73">
        <v>9703.4500000000007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140315.75499999998</v>
      </c>
      <c r="C13" s="18">
        <v>151287.56</v>
      </c>
      <c r="D13" s="73">
        <v>103319.24</v>
      </c>
      <c r="E13" s="86">
        <f t="shared" si="0"/>
        <v>0.18093880675080451</v>
      </c>
      <c r="F13" s="73">
        <v>122013.7</v>
      </c>
      <c r="G13" s="74">
        <v>1068</v>
      </c>
      <c r="H13" s="63">
        <f t="shared" si="3"/>
        <v>131.38179307116101</v>
      </c>
      <c r="I13" s="61">
        <v>88</v>
      </c>
      <c r="J13" s="28">
        <f t="shared" si="1"/>
        <v>8.2397003745318345E-2</v>
      </c>
      <c r="K13" s="46">
        <f>I13+'Aug 27 - Sept 2'!I13+'Sept 3 - Sept 9'!I13+'Sept 10 - Sept 16'!I13+'Sept 17 - Sept 23'!I13+'Sept 24 - Sept 30'!I13</f>
        <v>466</v>
      </c>
      <c r="L13" s="89">
        <f>K13/SUM(G13+'Aug 27 - Sept 2'!G13+'Sept 3 - Sept 9'!G13+'Sept 10 - Sept 16'!G13+'Sept 17 - Sept 23'!G13+'Sept 24 - Sept 30'!G13)</f>
        <v>7.5221953188054885E-2</v>
      </c>
      <c r="M13" s="73">
        <v>9829.5499999999993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236661.25999999998</v>
      </c>
      <c r="C14" s="18">
        <v>247739.55499999999</v>
      </c>
      <c r="D14" s="73">
        <v>166104.99</v>
      </c>
      <c r="E14" s="86">
        <f t="shared" si="0"/>
        <v>0.23892966731463039</v>
      </c>
      <c r="F14" s="73">
        <v>205792.4</v>
      </c>
      <c r="G14" s="74">
        <v>1600</v>
      </c>
      <c r="H14" s="63">
        <f t="shared" si="3"/>
        <v>147.9132875</v>
      </c>
      <c r="I14" s="61">
        <v>105</v>
      </c>
      <c r="J14" s="28">
        <f t="shared" si="1"/>
        <v>6.5625000000000003E-2</v>
      </c>
      <c r="K14" s="46">
        <f>I14+'Aug 27 - Sept 2'!I14+'Sept 3 - Sept 9'!I14+'Sept 10 - Sept 16'!I14+'Sept 17 - Sept 23'!I14+'Sept 24 - Sept 30'!I14</f>
        <v>704</v>
      </c>
      <c r="L14" s="89">
        <f>K14/SUM(G14+'Aug 27 - Sept 2'!G14+'Sept 3 - Sept 9'!G14+'Sept 10 - Sept 16'!G14+'Sept 17 - Sept 23'!G14+'Sept 24 - Sept 30'!G14)</f>
        <v>7.7405167674546457E-2</v>
      </c>
      <c r="M14" s="73">
        <v>5296.18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127119.62</v>
      </c>
      <c r="C15" s="18">
        <v>92254.161499999987</v>
      </c>
      <c r="D15" s="73">
        <v>55646.7</v>
      </c>
      <c r="E15" s="86">
        <f t="shared" si="0"/>
        <v>0.98643944744252599</v>
      </c>
      <c r="F15" s="73">
        <v>110538.8</v>
      </c>
      <c r="G15" s="74">
        <v>781</v>
      </c>
      <c r="H15" s="63">
        <f t="shared" si="3"/>
        <v>162.76519846350831</v>
      </c>
      <c r="I15" s="61">
        <v>0</v>
      </c>
      <c r="J15" s="28">
        <f t="shared" si="1"/>
        <v>0</v>
      </c>
      <c r="K15" s="46">
        <f>I15+'Aug 27 - Sept 2'!I15+'Sept 3 - Sept 9'!I15+'Sept 10 - Sept 16'!I15+'Sept 17 - Sept 23'!I15+'Sept 24 - Sept 30'!I15</f>
        <v>0</v>
      </c>
      <c r="L15" s="89">
        <f>K15/SUM(G15+'Aug 27 - Sept 2'!G15+'Sept 3 - Sept 9'!G15+'Sept 10 - Sept 16'!G15+'Sept 17 - Sept 23'!G15+'Sept 24 - Sept 30'!G15)</f>
        <v>0</v>
      </c>
      <c r="M15" s="73">
        <v>3368.5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</f>
        <v>0</v>
      </c>
      <c r="L16" s="89" t="e">
        <f>K16/SUM(G16+'Aug 27 - Sept 2'!G16+'Sept 3 - Sept 9'!G16+'Sept 10 - Sept 16'!G16+'Sept 17 - Sept 23'!G16+'Sept 24 - Sept 30'!G16)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</f>
        <v>0</v>
      </c>
      <c r="L17" s="89" t="e">
        <f>K17/SUM(G17+'Aug 27 - Sept 2'!G17+'Sept 3 - Sept 9'!G17+'Sept 10 - Sept 16'!G17+'Sept 17 - Sept 23'!G17+'Sept 24 - Sept 30'!G17)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284745.17499999999</v>
      </c>
      <c r="C18" s="18">
        <v>223466.04500000001</v>
      </c>
      <c r="D18" s="73">
        <v>208517.65</v>
      </c>
      <c r="E18" s="86">
        <f t="shared" si="0"/>
        <v>0.18745103831737989</v>
      </c>
      <c r="F18" s="73">
        <v>247604.5</v>
      </c>
      <c r="G18" s="74">
        <v>2147</v>
      </c>
      <c r="H18" s="63">
        <f>IFERROR(B18/G18,0)</f>
        <v>132.62467396367023</v>
      </c>
      <c r="I18" s="61">
        <v>23</v>
      </c>
      <c r="J18" s="28">
        <f t="shared" si="1"/>
        <v>1.0712622263623661E-2</v>
      </c>
      <c r="K18" s="46">
        <f>I18+'Aug 27 - Sept 2'!I18+'Sept 3 - Sept 9'!I18+'Sept 10 - Sept 16'!I18+'Sept 17 - Sept 23'!I18+'Sept 24 - Sept 30'!I18</f>
        <v>640</v>
      </c>
      <c r="L18" s="89">
        <f>K18/SUM(G18+'Aug 27 - Sept 2'!G18+'Sept 3 - Sept 9'!G18+'Sept 10 - Sept 16'!G18+'Sept 17 - Sept 23'!G18+'Sept 24 - Sept 30'!G18)</f>
        <v>7.0812126576676251E-2</v>
      </c>
      <c r="M18" s="73">
        <v>5373.3</v>
      </c>
      <c r="N18" s="9"/>
    </row>
    <row r="19" spans="1:14" ht="15.6" customHeight="1" x14ac:dyDescent="0.3">
      <c r="A19" s="40" t="s">
        <v>27</v>
      </c>
      <c r="B19" s="18">
        <f t="shared" si="2"/>
        <v>157601.17499999999</v>
      </c>
      <c r="C19" s="18">
        <v>161381.45499999999</v>
      </c>
      <c r="D19" s="73">
        <v>140140.79999999999</v>
      </c>
      <c r="E19" s="86">
        <f t="shared" si="0"/>
        <v>-2.2094208110700016E-2</v>
      </c>
      <c r="F19" s="73">
        <v>137044.5</v>
      </c>
      <c r="G19" s="74">
        <v>923</v>
      </c>
      <c r="H19" s="63">
        <f>IFERROR(B19/G19,0)</f>
        <v>170.74883531960995</v>
      </c>
      <c r="I19" s="61">
        <v>70</v>
      </c>
      <c r="J19" s="28">
        <f t="shared" si="1"/>
        <v>7.5839653304442034E-2</v>
      </c>
      <c r="K19" s="46">
        <f>I19+'Aug 27 - Sept 2'!I19+'Sept 3 - Sept 9'!I19+'Sept 10 - Sept 16'!I19+'Sept 17 - Sept 23'!I19+'Sept 24 - Sept 30'!I19</f>
        <v>347</v>
      </c>
      <c r="L19" s="89">
        <f>K19/SUM(G19+'Aug 27 - Sept 2'!G19+'Sept 3 - Sept 9'!G19+'Sept 10 - Sept 16'!G19+'Sept 17 - Sept 23'!G19+'Sept 24 - Sept 30'!G19)</f>
        <v>7.0801877167924909E-2</v>
      </c>
      <c r="M19" s="73">
        <v>4081.55</v>
      </c>
      <c r="N19" s="9"/>
    </row>
    <row r="20" spans="1:14" ht="15.6" customHeight="1" x14ac:dyDescent="0.3">
      <c r="A20" s="40" t="s">
        <v>28</v>
      </c>
      <c r="B20" s="18">
        <f t="shared" si="2"/>
        <v>234939.01999999996</v>
      </c>
      <c r="C20" s="18">
        <v>246400.71350000001</v>
      </c>
      <c r="D20" s="73">
        <v>0</v>
      </c>
      <c r="E20" s="86">
        <f t="shared" si="0"/>
        <v>0</v>
      </c>
      <c r="F20" s="73">
        <v>204294.8</v>
      </c>
      <c r="G20" s="74">
        <v>1347</v>
      </c>
      <c r="H20" s="63">
        <f>IFERROR(B20/G20,0)</f>
        <v>174.41649591685223</v>
      </c>
      <c r="I20" s="74">
        <v>116</v>
      </c>
      <c r="J20" s="28">
        <f t="shared" si="1"/>
        <v>8.6117297698589459E-2</v>
      </c>
      <c r="K20" s="46">
        <f>I20+'Aug 27 - Sept 2'!I20+'Sept 3 - Sept 9'!I20+'Sept 10 - Sept 16'!I20+'Sept 17 - Sept 23'!I20+'Sept 24 - Sept 30'!I20</f>
        <v>638</v>
      </c>
      <c r="L20" s="89">
        <f>K20/SUM(G20+'Aug 27 - Sept 2'!G20+'Sept 3 - Sept 9'!G20+'Sept 10 - Sept 16'!G20+'Sept 17 - Sept 23'!G20+'Sept 24 - Sept 30'!G20)</f>
        <v>7.3081328751431848E-2</v>
      </c>
      <c r="M20" s="73">
        <v>7361.28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L18" sqref="L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2.5561801269325411E-2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2319505.4605</v>
      </c>
      <c r="C4" s="3">
        <v>2721502.8875000002</v>
      </c>
      <c r="D4" s="3">
        <v>1780522.41</v>
      </c>
      <c r="E4" s="90">
        <f t="shared" ref="E4:E20" si="0">IFERROR((SUM(F4-D4)/D4),0)</f>
        <v>0.13279184730957716</v>
      </c>
      <c r="F4" s="66">
        <f>SUM(F6:F20)</f>
        <v>2016961.2700000003</v>
      </c>
      <c r="G4" s="62">
        <f>SUM(G6:G20)</f>
        <v>14777</v>
      </c>
      <c r="H4" s="85">
        <f>AVERAGE(H5:H20)</f>
        <v>123.36049402757338</v>
      </c>
      <c r="I4" s="88">
        <f>SUM(I6:I20)</f>
        <v>1081</v>
      </c>
      <c r="J4" s="28">
        <f t="shared" ref="J4:J20" si="1">I4/G4</f>
        <v>7.3154226162279221E-2</v>
      </c>
      <c r="K4" s="46">
        <f>I4+'Aug 27 - Sept 2'!I4+'Sept 3 - Sept 9'!I4+'Sept 10 - Sept 16'!I4+'Sept 17 - Sept 23'!I4+'Sept 24 - Sept 30'!I4+'Oct 1 - Oct 7'!I4</f>
        <v>8359</v>
      </c>
      <c r="L4" s="89">
        <f>K4/SUM(G4+'Aug 27 - Sept 2'!G4+'Sept 3 - Sept 9'!G4+'Sept 10 - Sept 16'!G4+'Sept 17 - Sept 23'!G4+'Sept 24 - Sept 30'!G4+'Oct 1 - Oct 7'!G4)</f>
        <v>7.4450461363069584E-2</v>
      </c>
      <c r="M4" s="66">
        <f>SUM(M6:M20)</f>
        <v>69388.820000000007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</f>
        <v>0</v>
      </c>
      <c r="L5" s="89" t="e">
        <f>K5/SUM(G5+'Aug 27 - Sept 2'!G5+'Sept 3 - Sept 9'!G5+'Sept 10 - Sept 16'!G5+'Sept 17 - Sept 23'!G5+'Sept 24 - Sept 30'!G5+'Oct 1 - Oct 7'!G5)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272396.42899999995</v>
      </c>
      <c r="C6" s="18">
        <v>304126.01</v>
      </c>
      <c r="D6" s="73">
        <v>183776.7</v>
      </c>
      <c r="E6" s="86">
        <f t="shared" si="0"/>
        <v>0.28888188763863959</v>
      </c>
      <c r="F6" s="73">
        <v>236866.46</v>
      </c>
      <c r="G6" s="74">
        <v>1651</v>
      </c>
      <c r="H6" s="63">
        <f t="shared" ref="H6:H15" si="3">IFERROR(B6/G6,0)</f>
        <v>164.98875166565713</v>
      </c>
      <c r="I6" s="61">
        <v>89</v>
      </c>
      <c r="J6" s="28">
        <f t="shared" si="1"/>
        <v>5.3906723198061779E-2</v>
      </c>
      <c r="K6" s="46">
        <f>I6+'Aug 27 - Sept 2'!I6+'Sept 3 - Sept 9'!I6+'Sept 10 - Sept 16'!I6+'Sept 17 - Sept 23'!I6+'Sept 24 - Sept 30'!I6+'Oct 1 - Oct 7'!I6</f>
        <v>659</v>
      </c>
      <c r="L6" s="89">
        <f>K6/SUM(G6+'Aug 27 - Sept 2'!G6+'Sept 3 - Sept 9'!G6+'Sept 10 - Sept 16'!G6+'Sept 17 - Sept 23'!G6+'Sept 24 - Sept 30'!G6+'Oct 1 - Oct 7'!G6)</f>
        <v>5.5229634596044248E-2</v>
      </c>
      <c r="M6" s="73">
        <v>5675.8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166483.959</v>
      </c>
      <c r="C7" s="18">
        <v>221215.15</v>
      </c>
      <c r="D7" s="73">
        <v>147168.41</v>
      </c>
      <c r="E7" s="86">
        <f t="shared" si="0"/>
        <v>-1.6306148853548121E-2</v>
      </c>
      <c r="F7" s="73">
        <v>144768.66</v>
      </c>
      <c r="G7" s="74">
        <v>1065</v>
      </c>
      <c r="H7" s="63">
        <f t="shared" si="3"/>
        <v>156.32296619718309</v>
      </c>
      <c r="I7" s="61">
        <v>168</v>
      </c>
      <c r="J7" s="28">
        <f t="shared" si="1"/>
        <v>0.15774647887323945</v>
      </c>
      <c r="K7" s="46">
        <f>I7+'Aug 27 - Sept 2'!I7+'Sept 3 - Sept 9'!I7+'Sept 10 - Sept 16'!I7+'Sept 17 - Sept 23'!I7+'Sept 24 - Sept 30'!I7+'Oct 1 - Oct 7'!I7</f>
        <v>1376</v>
      </c>
      <c r="L7" s="89">
        <f>K7/SUM(G7+'Aug 27 - Sept 2'!G7+'Sept 3 - Sept 9'!G7+'Sept 10 - Sept 16'!G7+'Sept 17 - Sept 23'!G7+'Sept 24 - Sept 30'!G7+'Oct 1 - Oct 7'!G7)</f>
        <v>0.14411395056556348</v>
      </c>
      <c r="M7" s="73">
        <v>5700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108029.4935</v>
      </c>
      <c r="C8" s="18">
        <v>113889.61749999999</v>
      </c>
      <c r="D8" s="73">
        <v>107836</v>
      </c>
      <c r="E8" s="86">
        <f t="shared" si="0"/>
        <v>-0.12887449460291553</v>
      </c>
      <c r="F8" s="73">
        <v>93938.69</v>
      </c>
      <c r="G8" s="74">
        <v>651</v>
      </c>
      <c r="H8" s="63">
        <f t="shared" si="3"/>
        <v>165.94392242703532</v>
      </c>
      <c r="I8" s="61">
        <v>53</v>
      </c>
      <c r="J8" s="28">
        <f t="shared" si="1"/>
        <v>8.1413210445468509E-2</v>
      </c>
      <c r="K8" s="46">
        <f>I8+'Aug 27 - Sept 2'!I8+'Sept 3 - Sept 9'!I8+'Sept 10 - Sept 16'!I8+'Sept 17 - Sept 23'!I8+'Sept 24 - Sept 30'!I8+'Oct 1 - Oct 7'!I8</f>
        <v>496</v>
      </c>
      <c r="L8" s="89">
        <f>K8/SUM(G8+'Aug 27 - Sept 2'!G8+'Sept 3 - Sept 9'!G8+'Sept 10 - Sept 16'!G8+'Sept 17 - Sept 23'!G8+'Sept 24 - Sept 30'!G8+'Oct 1 - Oct 7'!G8)</f>
        <v>0.10559931871407281</v>
      </c>
      <c r="M8" s="73">
        <v>4352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338953.04700000002</v>
      </c>
      <c r="C9" s="18">
        <v>392272.36</v>
      </c>
      <c r="D9" s="73">
        <v>332973.77</v>
      </c>
      <c r="E9" s="86">
        <f t="shared" si="0"/>
        <v>-0.114819824997026</v>
      </c>
      <c r="F9" s="73">
        <v>294741.78000000003</v>
      </c>
      <c r="G9" s="74">
        <v>2211</v>
      </c>
      <c r="H9" s="63">
        <f t="shared" si="3"/>
        <v>153.30305156037994</v>
      </c>
      <c r="I9" s="61">
        <v>146</v>
      </c>
      <c r="J9" s="28">
        <f t="shared" si="1"/>
        <v>6.603346901854365E-2</v>
      </c>
      <c r="K9" s="46">
        <f>I9+'Aug 27 - Sept 2'!I9+'Sept 3 - Sept 9'!I9+'Sept 10 - Sept 16'!I9+'Sept 17 - Sept 23'!I9+'Sept 24 - Sept 30'!I9+'Oct 1 - Oct 7'!I9</f>
        <v>1267</v>
      </c>
      <c r="L9" s="89">
        <f>K9/SUM(G9+'Aug 27 - Sept 2'!G9+'Sept 3 - Sept 9'!G9+'Sept 10 - Sept 16'!G9+'Sept 17 - Sept 23'!G9+'Sept 24 - Sept 30'!G9+'Oct 1 - Oct 7'!G9)</f>
        <v>7.66160730483159E-2</v>
      </c>
      <c r="M9" s="73">
        <v>8428.7999999999993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</f>
        <v>0</v>
      </c>
      <c r="L10" s="89" t="e">
        <f>K10/SUM(G10+'Aug 27 - Sept 2'!G10+'Sept 3 - Sept 9'!G10+'Sept 10 - Sept 16'!G10+'Sept 17 - Sept 23'!G10+'Sept 24 - Sept 30'!G10+'Oct 1 - Oct 7'!G10)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165001.1145</v>
      </c>
      <c r="C11" s="18">
        <v>146668.93</v>
      </c>
      <c r="D11" s="73">
        <v>146403.07</v>
      </c>
      <c r="E11" s="86">
        <f t="shared" si="0"/>
        <v>-1.9971165905195817E-2</v>
      </c>
      <c r="F11" s="73">
        <v>143479.23000000001</v>
      </c>
      <c r="G11" s="74">
        <v>979</v>
      </c>
      <c r="H11" s="63">
        <f t="shared" si="3"/>
        <v>168.54046424923391</v>
      </c>
      <c r="I11" s="61">
        <v>56</v>
      </c>
      <c r="J11" s="28">
        <f t="shared" si="1"/>
        <v>5.7201225740551587E-2</v>
      </c>
      <c r="K11" s="46">
        <f>I11+'Aug 27 - Sept 2'!I11+'Sept 3 - Sept 9'!I11+'Sept 10 - Sept 16'!I11+'Sept 17 - Sept 23'!I11+'Sept 24 - Sept 30'!I11+'Oct 1 - Oct 7'!I11</f>
        <v>473</v>
      </c>
      <c r="L11" s="89">
        <f>K11/SUM(G11+'Aug 27 - Sept 2'!G11+'Sept 3 - Sept 9'!G11+'Sept 10 - Sept 16'!G11+'Sept 17 - Sept 23'!G11+'Sept 24 - Sept 30'!G11+'Oct 1 - Oct 7'!G11)</f>
        <v>7.1407004830917872E-2</v>
      </c>
      <c r="M11" s="73">
        <v>4769.6000000000004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368939.34299999999</v>
      </c>
      <c r="C12" s="18">
        <v>361948.81499999989</v>
      </c>
      <c r="D12" s="73">
        <v>308858.84000000003</v>
      </c>
      <c r="E12" s="86">
        <f t="shared" si="0"/>
        <v>3.8716651270204801E-2</v>
      </c>
      <c r="F12" s="73">
        <v>320816.82</v>
      </c>
      <c r="G12" s="74">
        <v>2105</v>
      </c>
      <c r="H12" s="63">
        <f t="shared" si="3"/>
        <v>175.26809643705462</v>
      </c>
      <c r="I12" s="61">
        <v>113</v>
      </c>
      <c r="J12" s="28">
        <f t="shared" si="1"/>
        <v>5.3681710213776719E-2</v>
      </c>
      <c r="K12" s="46">
        <f>I12+'Aug 27 - Sept 2'!I12+'Sept 3 - Sept 9'!I12+'Sept 10 - Sept 16'!I12+'Sept 17 - Sept 23'!I12+'Sept 24 - Sept 30'!I12+'Oct 1 - Oct 7'!I12</f>
        <v>837</v>
      </c>
      <c r="L12" s="89">
        <f>K12/SUM(G12+'Aug 27 - Sept 2'!G12+'Sept 3 - Sept 9'!G12+'Sept 10 - Sept 16'!G12+'Sept 17 - Sept 23'!G12+'Sept 24 - Sept 30'!G12+'Oct 1 - Oct 7'!G12)</f>
        <v>5.5540809555408098E-2</v>
      </c>
      <c r="M12" s="73">
        <v>9222.25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138816.6955</v>
      </c>
      <c r="C13" s="18">
        <v>140315.755</v>
      </c>
      <c r="D13" s="73">
        <v>103558.72</v>
      </c>
      <c r="E13" s="86">
        <f t="shared" si="0"/>
        <v>0.16562052910657835</v>
      </c>
      <c r="F13" s="73">
        <v>120710.17</v>
      </c>
      <c r="G13" s="74">
        <v>1032</v>
      </c>
      <c r="H13" s="63">
        <f t="shared" si="3"/>
        <v>134.51230184108528</v>
      </c>
      <c r="I13" s="61">
        <v>73</v>
      </c>
      <c r="J13" s="28">
        <f t="shared" si="1"/>
        <v>7.0736434108527133E-2</v>
      </c>
      <c r="K13" s="46">
        <f>I13+'Aug 27 - Sept 2'!I13+'Sept 3 - Sept 9'!I13+'Sept 10 - Sept 16'!I13+'Sept 17 - Sept 23'!I13+'Sept 24 - Sept 30'!I13+'Oct 1 - Oct 7'!I13</f>
        <v>539</v>
      </c>
      <c r="L13" s="89">
        <f>K13/SUM(G13+'Aug 27 - Sept 2'!G13+'Sept 3 - Sept 9'!G13+'Sept 10 - Sept 16'!G13+'Sept 17 - Sept 23'!G13+'Sept 24 - Sept 30'!G13+'Oct 1 - Oct 7'!G13)</f>
        <v>7.4581430745814303E-2</v>
      </c>
      <c r="M13" s="73">
        <v>9752.5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244343.17949999997</v>
      </c>
      <c r="C14" s="18">
        <v>236661.26</v>
      </c>
      <c r="D14" s="73">
        <v>156513.94</v>
      </c>
      <c r="E14" s="86">
        <f t="shared" si="0"/>
        <v>0.35752975102409396</v>
      </c>
      <c r="F14" s="73">
        <v>212472.33</v>
      </c>
      <c r="G14" s="74">
        <v>1699</v>
      </c>
      <c r="H14" s="63">
        <f t="shared" si="3"/>
        <v>143.81587963507945</v>
      </c>
      <c r="I14" s="61">
        <v>125</v>
      </c>
      <c r="J14" s="28">
        <f t="shared" si="1"/>
        <v>7.3572689817539727E-2</v>
      </c>
      <c r="K14" s="46">
        <f>I14+'Aug 27 - Sept 2'!I14+'Sept 3 - Sept 9'!I14+'Sept 10 - Sept 16'!I14+'Sept 17 - Sept 23'!I14+'Sept 24 - Sept 30'!I14+'Oct 1 - Oct 7'!I14</f>
        <v>829</v>
      </c>
      <c r="L14" s="89">
        <f>K14/SUM(G14+'Aug 27 - Sept 2'!G14+'Sept 3 - Sept 9'!G14+'Sept 10 - Sept 16'!G14+'Sept 17 - Sept 23'!G14+'Sept 24 - Sept 30'!G14+'Oct 1 - Oct 7'!G14)</f>
        <v>7.680192699647953E-2</v>
      </c>
      <c r="M14" s="73">
        <v>5177.47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127119.62</v>
      </c>
      <c r="D15" s="73">
        <v>50011.7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I15+'Aug 27 - Sept 2'!I15+'Sept 3 - Sept 9'!I15+'Sept 10 - Sept 16'!I15+'Sept 17 - Sept 23'!I15+'Sept 24 - Sept 30'!I15+'Oct 1 - Oct 7'!I15</f>
        <v>0</v>
      </c>
      <c r="L15" s="89">
        <f>K15/SUM(G15+'Aug 27 - Sept 2'!G15+'Sept 3 - Sept 9'!G15+'Sept 10 - Sept 16'!G15+'Sept 17 - Sept 23'!G15+'Sept 24 - Sept 30'!G15+'Oct 1 - Oct 7'!G15)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</f>
        <v>0</v>
      </c>
      <c r="L16" s="89" t="e">
        <f>K16/SUM(G16+'Aug 27 - Sept 2'!G16+'Sept 3 - Sept 9'!G16+'Sept 10 - Sept 16'!G16+'Sept 17 - Sept 23'!G16+'Sept 24 - Sept 30'!G16+'Oct 1 - Oct 7'!G16)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</f>
        <v>0</v>
      </c>
      <c r="L17" s="89" t="e">
        <f>K17/SUM(G17+'Aug 27 - Sept 2'!G17+'Sept 3 - Sept 9'!G17+'Sept 10 - Sept 16'!G17+'Sept 17 - Sept 23'!G17+'Sept 24 - Sept 30'!G17+'Oct 1 - Oct 7'!G17)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168977.92949999997</v>
      </c>
      <c r="C18" s="18">
        <v>284745.17499999999</v>
      </c>
      <c r="D18" s="73">
        <v>124352.66</v>
      </c>
      <c r="E18" s="86">
        <f t="shared" si="0"/>
        <v>0.18161790829404037</v>
      </c>
      <c r="F18" s="73">
        <v>146937.32999999999</v>
      </c>
      <c r="G18" s="74">
        <v>1345</v>
      </c>
      <c r="H18" s="63">
        <f>IFERROR(B18/G18,0)</f>
        <v>125.63414832713752</v>
      </c>
      <c r="I18" s="61">
        <v>87</v>
      </c>
      <c r="J18" s="28">
        <f t="shared" si="1"/>
        <v>6.4684014869888479E-2</v>
      </c>
      <c r="K18" s="46">
        <f>I18+'Aug 27 - Sept 2'!I18+'Sept 3 - Sept 9'!I18+'Sept 10 - Sept 16'!I18+'Sept 17 - Sept 23'!I18+'Sept 24 - Sept 30'!I18+'Oct 1 - Oct 7'!I18</f>
        <v>727</v>
      </c>
      <c r="L18" s="89">
        <f>K18/SUM(G18+'Aug 27 - Sept 2'!G18+'Sept 3 - Sept 9'!G18+'Sept 10 - Sept 16'!G18+'Sept 17 - Sept 23'!G18+'Sept 24 - Sept 30'!G18+'Oct 1 - Oct 7'!G18)</f>
        <v>7.0018299142829629E-2</v>
      </c>
      <c r="M18" s="73">
        <v>3152.9</v>
      </c>
      <c r="N18" s="9"/>
    </row>
    <row r="19" spans="1:14" ht="15.6" customHeight="1" x14ac:dyDescent="0.3">
      <c r="A19" s="40" t="s">
        <v>27</v>
      </c>
      <c r="B19" s="18">
        <f t="shared" si="2"/>
        <v>127999.94499999999</v>
      </c>
      <c r="C19" s="18">
        <v>157601.17499999999</v>
      </c>
      <c r="D19" s="73">
        <v>119068.6</v>
      </c>
      <c r="E19" s="86">
        <f t="shared" si="0"/>
        <v>-6.5208627631466246E-2</v>
      </c>
      <c r="F19" s="73">
        <v>111304.3</v>
      </c>
      <c r="G19" s="74">
        <v>777</v>
      </c>
      <c r="H19" s="63">
        <f>IFERROR(B19/G19,0)</f>
        <v>164.73609395109395</v>
      </c>
      <c r="I19" s="61">
        <v>53</v>
      </c>
      <c r="J19" s="28">
        <f t="shared" si="1"/>
        <v>6.8211068211068204E-2</v>
      </c>
      <c r="K19" s="46">
        <f>I19+'Aug 27 - Sept 2'!I19+'Sept 3 - Sept 9'!I19+'Sept 10 - Sept 16'!I19+'Sept 17 - Sept 23'!I19+'Sept 24 - Sept 30'!I19+'Oct 1 - Oct 7'!I19</f>
        <v>400</v>
      </c>
      <c r="L19" s="89">
        <f>K19/SUM(G19+'Aug 27 - Sept 2'!G19+'Sept 3 - Sept 9'!G19+'Sept 10 - Sept 16'!G19+'Sept 17 - Sept 23'!G19+'Sept 24 - Sept 30'!G19+'Oct 1 - Oct 7'!G19)</f>
        <v>7.0447340612891859E-2</v>
      </c>
      <c r="M19" s="73">
        <v>5061.8999999999996</v>
      </c>
      <c r="N19" s="9"/>
    </row>
    <row r="20" spans="1:14" ht="15.6" customHeight="1" x14ac:dyDescent="0.3">
      <c r="A20" s="40" t="s">
        <v>28</v>
      </c>
      <c r="B20" s="18">
        <f t="shared" si="2"/>
        <v>219564.32499999998</v>
      </c>
      <c r="C20" s="18">
        <v>234939.02</v>
      </c>
      <c r="D20" s="73">
        <v>0</v>
      </c>
      <c r="E20" s="86">
        <f t="shared" si="0"/>
        <v>0</v>
      </c>
      <c r="F20" s="73">
        <v>190925.5</v>
      </c>
      <c r="G20" s="74">
        <v>1262</v>
      </c>
      <c r="H20" s="63">
        <f>IFERROR(B20/G20,0)</f>
        <v>173.98124009508714</v>
      </c>
      <c r="I20" s="74">
        <v>118</v>
      </c>
      <c r="J20" s="28">
        <f t="shared" si="1"/>
        <v>9.3502377179080817E-2</v>
      </c>
      <c r="K20" s="46">
        <f>I20+'Aug 27 - Sept 2'!I20+'Sept 3 - Sept 9'!I20+'Sept 10 - Sept 16'!I20+'Sept 17 - Sept 23'!I20+'Sept 24 - Sept 30'!I20+'Oct 1 - Oct 7'!I20</f>
        <v>756</v>
      </c>
      <c r="L20" s="89">
        <f>K20/SUM(G20+'Aug 27 - Sept 2'!G20+'Sept 3 - Sept 9'!G20+'Sept 10 - Sept 16'!G20+'Sept 17 - Sept 23'!G20+'Sept 24 - Sept 30'!G20+'Oct 1 - Oct 7'!G20)</f>
        <v>7.5660528422738196E-2</v>
      </c>
      <c r="M20" s="73">
        <v>8095.6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G14" sqref="G14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1.6201168109897465E-2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2195855.977</v>
      </c>
      <c r="C4" s="3">
        <v>2319505.4605</v>
      </c>
      <c r="D4" s="3">
        <v>1677359.3</v>
      </c>
      <c r="E4" s="90">
        <f t="shared" ref="E4:E20" si="0">IFERROR((SUM(F4-D4)/D4),0)</f>
        <v>0.1383607435806985</v>
      </c>
      <c r="F4" s="66">
        <f>SUM(F6:F20)</f>
        <v>1909439.98</v>
      </c>
      <c r="G4" s="62">
        <f>SUM(G6:G20)</f>
        <v>14312</v>
      </c>
      <c r="H4" s="85">
        <f>AVERAGE(H5:H20)</f>
        <v>109.31237885629771</v>
      </c>
      <c r="I4" s="88">
        <f>SUM(I6:I20)</f>
        <v>895</v>
      </c>
      <c r="J4" s="28">
        <f t="shared" ref="J4:J20" si="1">I4/G4</f>
        <v>6.2534935718278367E-2</v>
      </c>
      <c r="K4" s="46">
        <f>I4+'Aug 27 - Sept 2'!I4+'Sept 3 - Sept 9'!I4+'Sept 10 - Sept 16'!I4+'Sept 17 - Sept 23'!I4+'Sept 24 - Sept 30'!I4+'Oct 1 - Oct 7'!I4+'Oct 8 - Oct 14'!I4</f>
        <v>9254</v>
      </c>
      <c r="L4" s="89">
        <f>K4/SUM(G4+'Aug 27 - Sept 2'!G4+'Sept 3 - Sept 9'!G4+'Sept 10 - Sept 16'!G4+'Sept 17 - Sept 23'!G4+'Sept 24 - Sept 30'!G4+'Oct 1 - Oct 7'!G4+'Oct 8 - Oct 14'!G4)</f>
        <v>7.3103295731032955E-2</v>
      </c>
      <c r="M4" s="66">
        <f>SUM(M6:M20)</f>
        <v>80132.399999999994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72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</f>
        <v>0</v>
      </c>
      <c r="L5" s="89" t="e">
        <f>K5/SUM(G5+'Aug 27 - Sept 2'!G5+'Sept 3 - Sept 9'!G5+'Sept 10 - Sept 16'!G5+'Sept 17 - Sept 23'!G5+'Sept 24 - Sept 30'!G5+'Oct 1 - Oct 7'!G5+'Oct 8 - Oct 14'!G5)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266620.94499999995</v>
      </c>
      <c r="C6" s="18">
        <v>272396.42899999989</v>
      </c>
      <c r="D6" s="73">
        <v>167995.56</v>
      </c>
      <c r="E6" s="86">
        <f t="shared" si="0"/>
        <v>0.38006206830704331</v>
      </c>
      <c r="F6" s="73">
        <v>231844.3</v>
      </c>
      <c r="G6" s="74">
        <v>1582</v>
      </c>
      <c r="H6" s="63">
        <f t="shared" ref="H6:H15" si="3">IFERROR(B6/G6,0)</f>
        <v>168.53409924146646</v>
      </c>
      <c r="I6" s="61">
        <v>108</v>
      </c>
      <c r="J6" s="28">
        <f t="shared" si="1"/>
        <v>6.8268015170670035E-2</v>
      </c>
      <c r="K6" s="46">
        <f>I6+'Aug 27 - Sept 2'!I6+'Sept 3 - Sept 9'!I6+'Sept 10 - Sept 16'!I6+'Sept 17 - Sept 23'!I6+'Sept 24 - Sept 30'!I6+'Oct 1 - Oct 7'!I6+'Oct 8 - Oct 14'!I6</f>
        <v>767</v>
      </c>
      <c r="L6" s="89">
        <f>K6/SUM(G6+'Aug 27 - Sept 2'!G6+'Sept 3 - Sept 9'!G6+'Sept 10 - Sept 16'!G6+'Sept 17 - Sept 23'!G6+'Sept 24 - Sept 30'!G6+'Oct 1 - Oct 7'!G6+'Oct 8 - Oct 14'!G6)</f>
        <v>5.6755956785555721E-2</v>
      </c>
      <c r="M6" s="73">
        <v>6992.7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0</v>
      </c>
      <c r="C7" s="18">
        <v>166483.959</v>
      </c>
      <c r="D7" s="73">
        <v>143043.29999999999</v>
      </c>
      <c r="E7" s="86">
        <f t="shared" si="0"/>
        <v>-1</v>
      </c>
      <c r="F7" s="73">
        <v>0</v>
      </c>
      <c r="G7" s="74">
        <v>0</v>
      </c>
      <c r="H7" s="63">
        <f t="shared" si="3"/>
        <v>0</v>
      </c>
      <c r="I7" s="61">
        <v>0</v>
      </c>
      <c r="J7" s="28" t="e">
        <f t="shared" si="1"/>
        <v>#DIV/0!</v>
      </c>
      <c r="K7" s="46">
        <f>I7+'Aug 27 - Sept 2'!I7+'Sept 3 - Sept 9'!I7+'Sept 10 - Sept 16'!I7+'Sept 17 - Sept 23'!I7+'Sept 24 - Sept 30'!I7+'Oct 1 - Oct 7'!I7+'Oct 8 - Oct 14'!I7</f>
        <v>1376</v>
      </c>
      <c r="L7" s="89">
        <f>K7/SUM(G7+'Aug 27 - Sept 2'!G7+'Sept 3 - Sept 9'!G7+'Sept 10 - Sept 16'!G7+'Sept 17 - Sept 23'!G7+'Sept 24 - Sept 30'!G7+'Oct 1 - Oct 7'!G7+'Oct 8 - Oct 14'!G7)</f>
        <v>0.14411395056556348</v>
      </c>
      <c r="M7" s="73">
        <v>0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92907.545499999993</v>
      </c>
      <c r="C8" s="18">
        <v>108029.4935</v>
      </c>
      <c r="D8" s="73">
        <v>89631.360000000001</v>
      </c>
      <c r="E8" s="86">
        <f t="shared" si="0"/>
        <v>-9.8650628530014522E-2</v>
      </c>
      <c r="F8" s="73">
        <v>80789.17</v>
      </c>
      <c r="G8" s="74">
        <v>610</v>
      </c>
      <c r="H8" s="63">
        <f t="shared" si="3"/>
        <v>152.30745163934424</v>
      </c>
      <c r="I8" s="61">
        <v>45</v>
      </c>
      <c r="J8" s="28">
        <f t="shared" si="1"/>
        <v>7.3770491803278687E-2</v>
      </c>
      <c r="K8" s="46">
        <f>I8+'Aug 27 - Sept 2'!I8+'Sept 3 - Sept 9'!I8+'Sept 10 - Sept 16'!I8+'Sept 17 - Sept 23'!I8+'Sept 24 - Sept 30'!I8+'Oct 1 - Oct 7'!I8+'Oct 8 - Oct 14'!I8</f>
        <v>541</v>
      </c>
      <c r="L8" s="89">
        <f>K8/SUM(G8+'Aug 27 - Sept 2'!G8+'Sept 3 - Sept 9'!G8+'Sept 10 - Sept 16'!G8+'Sept 17 - Sept 23'!G8+'Sept 24 - Sept 30'!G8+'Oct 1 - Oct 7'!G8+'Oct 8 - Oct 14'!G8)</f>
        <v>0.1019408328622574</v>
      </c>
      <c r="M8" s="73">
        <v>4859.5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434600.18</v>
      </c>
      <c r="C9" s="18">
        <v>338953.04700000002</v>
      </c>
      <c r="D9" s="73">
        <v>287904.2</v>
      </c>
      <c r="E9" s="86">
        <f t="shared" si="0"/>
        <v>0.31263524464040465</v>
      </c>
      <c r="F9" s="73">
        <v>377913.2</v>
      </c>
      <c r="G9" s="74">
        <v>2723</v>
      </c>
      <c r="H9" s="63">
        <f t="shared" si="3"/>
        <v>159.60344473007711</v>
      </c>
      <c r="I9" s="61">
        <v>161</v>
      </c>
      <c r="J9" s="28">
        <f t="shared" si="1"/>
        <v>5.9125964010282778E-2</v>
      </c>
      <c r="K9" s="46">
        <f>I9+'Aug 27 - Sept 2'!I9+'Sept 3 - Sept 9'!I9+'Sept 10 - Sept 16'!I9+'Sept 17 - Sept 23'!I9+'Sept 24 - Sept 30'!I9+'Oct 1 - Oct 7'!I9+'Oct 8 - Oct 14'!I9</f>
        <v>1428</v>
      </c>
      <c r="L9" s="89">
        <f>K9/SUM(G9+'Aug 27 - Sept 2'!G9+'Sept 3 - Sept 9'!G9+'Sept 10 - Sept 16'!G9+'Sept 17 - Sept 23'!G9+'Sept 24 - Sept 30'!G9+'Oct 1 - Oct 7'!G9+'Oct 8 - Oct 14'!G9)</f>
        <v>7.4143302180685364E-2</v>
      </c>
      <c r="M9" s="73">
        <v>12476.9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</f>
        <v>0</v>
      </c>
      <c r="L10" s="89" t="e">
        <f>K10/SUM(G10+'Aug 27 - Sept 2'!G10+'Sept 3 - Sept 9'!G10+'Sept 10 - Sept 16'!G10+'Sept 17 - Sept 23'!G10+'Sept 24 - Sept 30'!G10+'Oct 1 - Oct 7'!G10+'Oct 8 - Oct 14'!G10)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148715.35499999998</v>
      </c>
      <c r="C11" s="18">
        <v>165001.1145</v>
      </c>
      <c r="D11" s="73">
        <v>113690.75</v>
      </c>
      <c r="E11" s="86">
        <f t="shared" si="0"/>
        <v>0.13745137577155569</v>
      </c>
      <c r="F11" s="73">
        <v>129317.7</v>
      </c>
      <c r="G11" s="74">
        <v>890</v>
      </c>
      <c r="H11" s="63">
        <f t="shared" si="3"/>
        <v>167.09590449438201</v>
      </c>
      <c r="I11" s="61">
        <v>51</v>
      </c>
      <c r="J11" s="28">
        <f t="shared" si="1"/>
        <v>5.7303370786516851E-2</v>
      </c>
      <c r="K11" s="46">
        <f>I11+'Aug 27 - Sept 2'!I11+'Sept 3 - Sept 9'!I11+'Sept 10 - Sept 16'!I11+'Sept 17 - Sept 23'!I11+'Sept 24 - Sept 30'!I11+'Oct 1 - Oct 7'!I11+'Oct 8 - Oct 14'!I11</f>
        <v>524</v>
      </c>
      <c r="L11" s="89">
        <f>K11/SUM(G11+'Aug 27 - Sept 2'!G11+'Sept 3 - Sept 9'!G11+'Sept 10 - Sept 16'!G11+'Sept 17 - Sept 23'!G11+'Sept 24 - Sept 30'!G11+'Oct 1 - Oct 7'!G11+'Oct 8 - Oct 14'!G11)</f>
        <v>6.97364918818206E-2</v>
      </c>
      <c r="M11" s="73">
        <v>4110.5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361243.06</v>
      </c>
      <c r="C12" s="18">
        <v>368939.34299999999</v>
      </c>
      <c r="D12" s="73">
        <v>275690.59999999998</v>
      </c>
      <c r="E12" s="86">
        <f t="shared" si="0"/>
        <v>0.13940917825997712</v>
      </c>
      <c r="F12" s="73">
        <v>314124.40000000002</v>
      </c>
      <c r="G12" s="74">
        <v>2269</v>
      </c>
      <c r="H12" s="63">
        <f t="shared" si="3"/>
        <v>159.20804759806083</v>
      </c>
      <c r="I12" s="61">
        <v>111</v>
      </c>
      <c r="J12" s="28">
        <f t="shared" si="1"/>
        <v>4.8920229175848394E-2</v>
      </c>
      <c r="K12" s="46">
        <f>I12+'Aug 27 - Sept 2'!I12+'Sept 3 - Sept 9'!I12+'Sept 10 - Sept 16'!I12+'Sept 17 - Sept 23'!I12+'Sept 24 - Sept 30'!I12+'Oct 1 - Oct 7'!I12+'Oct 8 - Oct 14'!I12</f>
        <v>948</v>
      </c>
      <c r="L12" s="89">
        <f>K12/SUM(G12+'Aug 27 - Sept 2'!G12+'Sept 3 - Sept 9'!G12+'Sept 10 - Sept 16'!G12+'Sept 17 - Sept 23'!G12+'Sept 24 - Sept 30'!G12+'Oct 1 - Oct 7'!G12+'Oct 8 - Oct 14'!G12)</f>
        <v>5.4674433358325163E-2</v>
      </c>
      <c r="M12" s="73">
        <v>12343.45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141355.815</v>
      </c>
      <c r="C13" s="18">
        <v>138816.6955</v>
      </c>
      <c r="D13" s="73">
        <v>116467.8</v>
      </c>
      <c r="E13" s="86">
        <f t="shared" si="0"/>
        <v>5.5382689464384169E-2</v>
      </c>
      <c r="F13" s="73">
        <v>122918.1</v>
      </c>
      <c r="G13" s="74">
        <v>1011</v>
      </c>
      <c r="H13" s="63">
        <f t="shared" si="3"/>
        <v>139.81781899109794</v>
      </c>
      <c r="I13" s="61">
        <v>61</v>
      </c>
      <c r="J13" s="28">
        <f t="shared" si="1"/>
        <v>6.0336300692383778E-2</v>
      </c>
      <c r="K13" s="46">
        <f>I13+'Aug 27 - Sept 2'!I13+'Sept 3 - Sept 9'!I13+'Sept 10 - Sept 16'!I13+'Sept 17 - Sept 23'!I13+'Sept 24 - Sept 30'!I13+'Oct 1 - Oct 7'!I13+'Oct 8 - Oct 14'!I13</f>
        <v>600</v>
      </c>
      <c r="L13" s="89">
        <f>K13/SUM(G13+'Aug 27 - Sept 2'!G13+'Sept 3 - Sept 9'!G13+'Sept 10 - Sept 16'!G13+'Sept 17 - Sept 23'!G13+'Sept 24 - Sept 30'!G13+'Oct 1 - Oct 7'!G13+'Oct 8 - Oct 14'!G13)</f>
        <v>7.2833211944646759E-2</v>
      </c>
      <c r="M13" s="73">
        <v>13798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230157.55</v>
      </c>
      <c r="C14" s="18">
        <v>244343.1795</v>
      </c>
      <c r="D14" s="73">
        <v>164374.38</v>
      </c>
      <c r="E14" s="86">
        <f t="shared" si="0"/>
        <v>0.2175680905990337</v>
      </c>
      <c r="F14" s="73">
        <v>200137</v>
      </c>
      <c r="G14" s="74">
        <v>1700</v>
      </c>
      <c r="H14" s="63">
        <f t="shared" si="3"/>
        <v>135.38679411764704</v>
      </c>
      <c r="I14" s="61">
        <v>101</v>
      </c>
      <c r="J14" s="28">
        <f t="shared" si="1"/>
        <v>5.9411764705882351E-2</v>
      </c>
      <c r="K14" s="46">
        <f>I14+'Aug 27 - Sept 2'!I14+'Sept 3 - Sept 9'!I14+'Sept 10 - Sept 16'!I14+'Sept 17 - Sept 23'!I14+'Sept 24 - Sept 30'!I14+'Oct 1 - Oct 7'!I14+'Oct 8 - Oct 14'!I14</f>
        <v>930</v>
      </c>
      <c r="L14" s="89">
        <f>K14/SUM(G14+'Aug 27 - Sept 2'!G14+'Sept 3 - Sept 9'!G14+'Sept 10 - Sept 16'!G14+'Sept 17 - Sept 23'!G14+'Sept 24 - Sept 30'!G14+'Oct 1 - Oct 7'!G14+'Oct 8 - Oct 14'!G14)</f>
        <v>7.4435729149991997E-2</v>
      </c>
      <c r="M14" s="73">
        <v>5548.2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0</v>
      </c>
      <c r="D15" s="73">
        <v>57855.83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I15+'Aug 27 - Sept 2'!I15+'Sept 3 - Sept 9'!I15+'Sept 10 - Sept 16'!I15+'Sept 17 - Sept 23'!I15+'Sept 24 - Sept 30'!I15+'Oct 1 - Oct 7'!I15+'Oct 8 - Oct 14'!I15</f>
        <v>0</v>
      </c>
      <c r="L15" s="89">
        <f>K15/SUM(G15+'Aug 27 - Sept 2'!G15+'Sept 3 - Sept 9'!G15+'Sept 10 - Sept 16'!G15+'Sept 17 - Sept 23'!G15+'Sept 24 - Sept 30'!G15+'Oct 1 - Oct 7'!G15+'Oct 8 - Oct 14'!G15)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73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</f>
        <v>0</v>
      </c>
      <c r="L16" s="89" t="e">
        <f>K16/SUM(G16+'Aug 27 - Sept 2'!G16+'Sept 3 - Sept 9'!G16+'Sept 10 - Sept 16'!G16+'Sept 17 - Sept 23'!G16+'Sept 24 - Sept 30'!G16+'Oct 1 - Oct 7'!G16+'Oct 8 - Oct 14'!G16)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73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</f>
        <v>0</v>
      </c>
      <c r="L17" s="89" t="e">
        <f>K17/SUM(G17+'Aug 27 - Sept 2'!G17+'Sept 3 - Sept 9'!G17+'Sept 10 - Sept 16'!G17+'Sept 17 - Sept 23'!G17+'Sept 24 - Sept 30'!G17+'Oct 1 - Oct 7'!G17+'Oct 8 - Oct 14'!G17)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157745.16649999999</v>
      </c>
      <c r="C18" s="18">
        <v>168977.9295</v>
      </c>
      <c r="D18" s="73">
        <v>130157.34</v>
      </c>
      <c r="E18" s="86">
        <f t="shared" si="0"/>
        <v>5.3876101032796116E-2</v>
      </c>
      <c r="F18" s="73">
        <v>137169.71</v>
      </c>
      <c r="G18" s="74">
        <v>1183</v>
      </c>
      <c r="H18" s="63">
        <f>IFERROR(B18/G18,0)</f>
        <v>133.3433360101437</v>
      </c>
      <c r="I18" s="61">
        <v>101</v>
      </c>
      <c r="J18" s="28">
        <f t="shared" si="1"/>
        <v>8.5376162299239222E-2</v>
      </c>
      <c r="K18" s="46">
        <f>I18+'Aug 27 - Sept 2'!I18+'Sept 3 - Sept 9'!I18+'Sept 10 - Sept 16'!I18+'Sept 17 - Sept 23'!I18+'Sept 24 - Sept 30'!I18+'Oct 1 - Oct 7'!I18+'Oct 8 - Oct 14'!I18</f>
        <v>828</v>
      </c>
      <c r="L18" s="89">
        <f>K18/SUM(G18+'Aug 27 - Sept 2'!G18+'Sept 3 - Sept 9'!G18+'Sept 10 - Sept 16'!G18+'Sept 17 - Sept 23'!G18+'Sept 24 - Sept 30'!G18+'Oct 1 - Oct 7'!G18+'Oct 8 - Oct 14'!G18)</f>
        <v>7.158914058447173E-2</v>
      </c>
      <c r="M18" s="73">
        <v>4833</v>
      </c>
      <c r="N18" s="9"/>
    </row>
    <row r="19" spans="1:14" ht="15.6" customHeight="1" x14ac:dyDescent="0.3">
      <c r="A19" s="40" t="s">
        <v>27</v>
      </c>
      <c r="B19" s="18">
        <f t="shared" si="2"/>
        <v>126869.03499999999</v>
      </c>
      <c r="C19" s="18">
        <v>127999.94500000001</v>
      </c>
      <c r="D19" s="73">
        <v>130548.18</v>
      </c>
      <c r="E19" s="86">
        <f t="shared" si="0"/>
        <v>-0.15494111063057334</v>
      </c>
      <c r="F19" s="73">
        <v>110320.9</v>
      </c>
      <c r="G19" s="74">
        <v>765</v>
      </c>
      <c r="H19" s="63">
        <f>IFERROR(B19/G19,0)</f>
        <v>165.84187581699345</v>
      </c>
      <c r="I19" s="61">
        <v>61</v>
      </c>
      <c r="J19" s="28">
        <f t="shared" si="1"/>
        <v>7.9738562091503262E-2</v>
      </c>
      <c r="K19" s="46">
        <f>I19+'Aug 27 - Sept 2'!I19+'Sept 3 - Sept 9'!I19+'Sept 10 - Sept 16'!I19+'Sept 17 - Sept 23'!I19+'Sept 24 - Sept 30'!I19+'Oct 1 - Oct 7'!I19+'Oct 8 - Oct 14'!I19</f>
        <v>461</v>
      </c>
      <c r="L19" s="89">
        <f>K19/SUM(G19+'Aug 27 - Sept 2'!G19+'Sept 3 - Sept 9'!G19+'Sept 10 - Sept 16'!G19+'Sept 17 - Sept 23'!G19+'Sept 24 - Sept 30'!G19+'Oct 1 - Oct 7'!G19+'Oct 8 - Oct 14'!G19)</f>
        <v>7.155051994412541E-2</v>
      </c>
      <c r="M19" s="73">
        <v>4471</v>
      </c>
      <c r="N19" s="9"/>
    </row>
    <row r="20" spans="1:14" ht="15.6" customHeight="1" x14ac:dyDescent="0.3">
      <c r="A20" s="40" t="s">
        <v>28</v>
      </c>
      <c r="B20" s="18">
        <f t="shared" si="2"/>
        <v>235641.32499999998</v>
      </c>
      <c r="C20" s="18">
        <v>219564.32500000001</v>
      </c>
      <c r="D20" s="73">
        <v>0</v>
      </c>
      <c r="E20" s="86">
        <f t="shared" si="0"/>
        <v>0</v>
      </c>
      <c r="F20" s="73">
        <v>204905.5</v>
      </c>
      <c r="G20" s="74">
        <v>1579</v>
      </c>
      <c r="H20" s="63">
        <f>IFERROR(B20/G20,0)</f>
        <v>149.23453134895502</v>
      </c>
      <c r="I20" s="74">
        <v>95</v>
      </c>
      <c r="J20" s="28">
        <f t="shared" si="1"/>
        <v>6.0164661177960738E-2</v>
      </c>
      <c r="K20" s="46">
        <f>I20+'Aug 27 - Sept 2'!I20+'Sept 3 - Sept 9'!I20+'Sept 10 - Sept 16'!I20+'Sept 17 - Sept 23'!I20+'Sept 24 - Sept 30'!I20+'Oct 1 - Oct 7'!I20+'Oct 8 - Oct 14'!I20</f>
        <v>851</v>
      </c>
      <c r="L20" s="89">
        <f>K20/SUM(G20+'Aug 27 - Sept 2'!G20+'Sept 3 - Sept 9'!G20+'Sept 10 - Sept 16'!G20+'Sept 17 - Sept 23'!G20+'Sept 24 - Sept 30'!G20+'Oct 1 - Oct 7'!G20+'Oct 8 - Oct 14'!G20)</f>
        <v>7.3545933800017282E-2</v>
      </c>
      <c r="M20" s="73">
        <v>10699.15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G18" sqref="G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2.3846512890701907E-3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2461944.9779999997</v>
      </c>
      <c r="C4" s="3">
        <v>2195855.977</v>
      </c>
      <c r="D4" s="66">
        <f>SUM(D6:D19)</f>
        <v>1919517.5499999998</v>
      </c>
      <c r="E4" s="90">
        <f t="shared" ref="E4:E20" si="0">IFERROR((SUM(F4-D4)/D4),0)</f>
        <v>0.11529155854813644</v>
      </c>
      <c r="F4" s="66">
        <f>SUM(F6:F20)</f>
        <v>2140821.7200000002</v>
      </c>
      <c r="G4" s="62">
        <f>SUM(G6:G20)</f>
        <v>15991</v>
      </c>
      <c r="H4" s="85">
        <f>AVERAGE(H5:H20)</f>
        <v>130.21774561088532</v>
      </c>
      <c r="I4" s="88">
        <f>SUM(I6:I20)</f>
        <v>874</v>
      </c>
      <c r="J4" s="28">
        <f t="shared" ref="J4:J20" si="1">I4/G4</f>
        <v>5.4655743855918953E-2</v>
      </c>
      <c r="K4" s="46">
        <f>I4+'Aug 27 - Sept 2'!I4+'Sept 3 - Sept 9'!I4+'Sept 10 - Sept 16'!I4+'Sept 17 - Sept 23'!I4+'Sept 24 - Sept 30'!I4+'Oct 1 - Oct 7'!I4+'Oct 8 - Oct 14'!I4+'Oct 15 - Oct 21'!I4</f>
        <v>10128</v>
      </c>
      <c r="L4" s="89">
        <f>K4/SUM(G4+'Aug 27 - Sept 2'!G4+'Sept 3 - Sept 9'!G4+'Sept 10 - Sept 16'!G4+'Sept 17 - Sept 23'!G4+'Sept 24 - Sept 30'!G4+'Oct 1 - Oct 7'!G4+'Oct 8 - Oct 14'!G4+'Oct 15 - Oct 21'!G4)</f>
        <v>7.1034303789478115E-2</v>
      </c>
      <c r="M4" s="66">
        <f>SUM(M6:M20)</f>
        <v>77034.75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14'!I5+'Oct 15 - Oct 21'!I5</f>
        <v>0</v>
      </c>
      <c r="L5" s="89" t="e">
        <f>K5/SUM(G5+'Aug 27 - Sept 2'!G5+'Sept 3 - Sept 9'!G5+'Sept 10 - Sept 16'!G5+'Sept 17 - Sept 23'!G5+'Sept 24 - Sept 30'!G5+'Oct 1 - Oct 7'!G5+'Oct 8 - Oct 14'!G5+'Oct 15 - Oct 21'!G5)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267592.17749999999</v>
      </c>
      <c r="C6" s="18">
        <v>266620.94499999989</v>
      </c>
      <c r="D6" s="73">
        <v>206852.71</v>
      </c>
      <c r="E6" s="86">
        <f t="shared" si="0"/>
        <v>0.12490114342712752</v>
      </c>
      <c r="F6" s="73">
        <v>232688.85</v>
      </c>
      <c r="G6" s="74">
        <v>1623</v>
      </c>
      <c r="H6" s="63">
        <f t="shared" ref="H6:H15" si="3">IFERROR(B6/G6,0)</f>
        <v>164.87503234750463</v>
      </c>
      <c r="I6" s="61">
        <v>101</v>
      </c>
      <c r="J6" s="28">
        <f t="shared" si="1"/>
        <v>6.2230437461491067E-2</v>
      </c>
      <c r="K6" s="46">
        <f>I6+'Aug 27 - Sept 2'!I6+'Sept 3 - Sept 9'!I6+'Sept 10 - Sept 16'!I6+'Sept 17 - Sept 23'!I6+'Sept 24 - Sept 30'!I6+'Oct 1 - Oct 7'!I6+'Oct 8 - Oct 14'!I6+'Oct 15 - Oct 21'!I6</f>
        <v>868</v>
      </c>
      <c r="L6" s="89">
        <f>K6/SUM(G6+'Aug 27 - Sept 2'!G6+'Sept 3 - Sept 9'!G6+'Sept 10 - Sept 16'!G6+'Sept 17 - Sept 23'!G6+'Sept 24 - Sept 30'!G6+'Oct 1 - Oct 7'!G6+'Oct 8 - Oct 14'!G6+'Oct 15 - Oct 21'!G6)</f>
        <v>5.7342934531280969E-2</v>
      </c>
      <c r="M6" s="73">
        <v>7435.4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62033.483999999997</v>
      </c>
      <c r="C7" s="18">
        <v>0</v>
      </c>
      <c r="D7" s="73">
        <v>180079.74</v>
      </c>
      <c r="E7" s="86">
        <f t="shared" si="0"/>
        <v>-0.70045403219707003</v>
      </c>
      <c r="F7" s="73">
        <v>53942.16</v>
      </c>
      <c r="G7" s="74">
        <v>424</v>
      </c>
      <c r="H7" s="63">
        <f t="shared" si="3"/>
        <v>146.30538679245282</v>
      </c>
      <c r="I7" s="61">
        <v>0</v>
      </c>
      <c r="J7" s="28">
        <f t="shared" si="1"/>
        <v>0</v>
      </c>
      <c r="K7" s="46">
        <f>I7+'Aug 27 - Sept 2'!I7+'Sept 3 - Sept 9'!I7+'Sept 10 - Sept 16'!I7+'Sept 17 - Sept 23'!I7+'Sept 24 - Sept 30'!I7+'Oct 1 - Oct 7'!I7+'Oct 8 - Oct 14'!I7+'Oct 15 - Oct 21'!I7</f>
        <v>1376</v>
      </c>
      <c r="L7" s="89">
        <f>K7/SUM(G7+'Aug 27 - Sept 2'!G7+'Sept 3 - Sept 9'!G7+'Sept 10 - Sept 16'!G7+'Sept 17 - Sept 23'!G7+'Sept 24 - Sept 30'!G7+'Oct 1 - Oct 7'!G7+'Oct 8 - Oct 14'!G7+'Oct 15 - Oct 21'!G7)</f>
        <v>0.13798636181307661</v>
      </c>
      <c r="M7" s="73">
        <v>2841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129020.52399999999</v>
      </c>
      <c r="C8" s="18">
        <v>92907.545499999993</v>
      </c>
      <c r="D8" s="73">
        <v>97166.76</v>
      </c>
      <c r="E8" s="86">
        <f t="shared" si="0"/>
        <v>0.15463106930806381</v>
      </c>
      <c r="F8" s="73">
        <v>112191.76</v>
      </c>
      <c r="G8" s="74">
        <v>794</v>
      </c>
      <c r="H8" s="63">
        <f t="shared" si="3"/>
        <v>162.49436272040302</v>
      </c>
      <c r="I8" s="61">
        <v>31</v>
      </c>
      <c r="J8" s="28">
        <f t="shared" si="1"/>
        <v>3.9042821158690177E-2</v>
      </c>
      <c r="K8" s="46">
        <f>I8+'Aug 27 - Sept 2'!I8+'Sept 3 - Sept 9'!I8+'Sept 10 - Sept 16'!I8+'Sept 17 - Sept 23'!I8+'Sept 24 - Sept 30'!I8+'Oct 1 - Oct 7'!I8+'Oct 8 - Oct 14'!I8+'Oct 15 - Oct 21'!I8</f>
        <v>572</v>
      </c>
      <c r="L8" s="89">
        <f>K8/SUM(G8+'Aug 27 - Sept 2'!G8+'Sept 3 - Sept 9'!G8+'Sept 10 - Sept 16'!G8+'Sept 17 - Sept 23'!G8+'Sept 24 - Sept 30'!G8+'Oct 1 - Oct 7'!G8+'Oct 8 - Oct 14'!G8+'Oct 15 - Oct 21'!G8)</f>
        <v>9.3755122111129324E-2</v>
      </c>
      <c r="M8" s="73">
        <v>3301.4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417021.47549999994</v>
      </c>
      <c r="C9" s="18">
        <v>434600.18</v>
      </c>
      <c r="D9" s="73">
        <v>343316.43</v>
      </c>
      <c r="E9" s="86">
        <f t="shared" si="0"/>
        <v>5.6248225580115704E-2</v>
      </c>
      <c r="F9" s="73">
        <v>362627.37</v>
      </c>
      <c r="G9" s="74">
        <v>2482</v>
      </c>
      <c r="H9" s="63">
        <f t="shared" si="3"/>
        <v>168.01832211925864</v>
      </c>
      <c r="I9" s="61">
        <v>107</v>
      </c>
      <c r="J9" s="28">
        <f t="shared" si="1"/>
        <v>4.3110394842868653E-2</v>
      </c>
      <c r="K9" s="46">
        <f>I9+'Aug 27 - Sept 2'!I9+'Sept 3 - Sept 9'!I9+'Sept 10 - Sept 16'!I9+'Sept 17 - Sept 23'!I9+'Sept 24 - Sept 30'!I9+'Oct 1 - Oct 7'!I9+'Oct 8 - Oct 14'!I9+'Oct 15 - Oct 21'!I9</f>
        <v>1535</v>
      </c>
      <c r="L9" s="89">
        <f>K9/SUM(G9+'Aug 27 - Sept 2'!G9+'Sept 3 - Sept 9'!G9+'Sept 10 - Sept 16'!G9+'Sept 17 - Sept 23'!G9+'Sept 24 - Sept 30'!G9+'Oct 1 - Oct 7'!G9+'Oct 8 - Oct 14'!G9+'Oct 15 - Oct 21'!G9)</f>
        <v>7.060068071014626E-2</v>
      </c>
      <c r="M9" s="73">
        <v>13939.8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14'!I10+'Oct 15 - Oct 21'!I10</f>
        <v>0</v>
      </c>
      <c r="L10" s="89" t="e">
        <f>K10/SUM(G10+'Aug 27 - Sept 2'!G10+'Sept 3 - Sept 9'!G10+'Sept 10 - Sept 16'!G10+'Sept 17 - Sept 23'!G10+'Sept 24 - Sept 30'!G10+'Oct 1 - Oct 7'!G10+'Oct 8 - Oct 14'!G10+'Oct 15 - Oct 21'!G10)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160325.98499999999</v>
      </c>
      <c r="C11" s="18">
        <v>148715.35500000001</v>
      </c>
      <c r="D11" s="73">
        <v>157623.12</v>
      </c>
      <c r="E11" s="86">
        <f t="shared" si="0"/>
        <v>-0.11552378864217383</v>
      </c>
      <c r="F11" s="73">
        <v>139413.9</v>
      </c>
      <c r="G11" s="74">
        <v>950</v>
      </c>
      <c r="H11" s="63">
        <f t="shared" si="3"/>
        <v>168.76419473684209</v>
      </c>
      <c r="I11" s="61">
        <v>38</v>
      </c>
      <c r="J11" s="28">
        <f t="shared" si="1"/>
        <v>0.04</v>
      </c>
      <c r="K11" s="46">
        <f>I11+'Aug 27 - Sept 2'!I11+'Sept 3 - Sept 9'!I11+'Sept 10 - Sept 16'!I11+'Sept 17 - Sept 23'!I11+'Sept 24 - Sept 30'!I11+'Oct 1 - Oct 7'!I11+'Oct 8 - Oct 14'!I11+'Oct 15 - Oct 21'!I11</f>
        <v>562</v>
      </c>
      <c r="L11" s="89">
        <f>K11/SUM(G11+'Aug 27 - Sept 2'!G11+'Sept 3 - Sept 9'!G11+'Sept 10 - Sept 16'!G11+'Sept 17 - Sept 23'!G11+'Sept 24 - Sept 30'!G11+'Oct 1 - Oct 7'!G11+'Oct 8 - Oct 14'!G11+'Oct 15 - Oct 21'!G11)</f>
        <v>6.639886578449905E-2</v>
      </c>
      <c r="M11" s="73">
        <v>4957.2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350533.40899999993</v>
      </c>
      <c r="C12" s="18">
        <v>361243.06</v>
      </c>
      <c r="D12" s="73">
        <v>307699.21999999997</v>
      </c>
      <c r="E12" s="86">
        <f t="shared" si="0"/>
        <v>-9.3843591803710064E-3</v>
      </c>
      <c r="F12" s="73">
        <v>304811.65999999997</v>
      </c>
      <c r="G12" s="74">
        <v>2156</v>
      </c>
      <c r="H12" s="63">
        <f t="shared" si="3"/>
        <v>162.58506910946193</v>
      </c>
      <c r="I12" s="61">
        <v>114</v>
      </c>
      <c r="J12" s="28">
        <f t="shared" si="1"/>
        <v>5.2875695732838589E-2</v>
      </c>
      <c r="K12" s="46">
        <f>I12+'Aug 27 - Sept 2'!I12+'Sept 3 - Sept 9'!I12+'Sept 10 - Sept 16'!I12+'Sept 17 - Sept 23'!I12+'Sept 24 - Sept 30'!I12+'Oct 1 - Oct 7'!I12+'Oct 8 - Oct 14'!I12+'Oct 15 - Oct 21'!I12</f>
        <v>1062</v>
      </c>
      <c r="L12" s="89">
        <f>K12/SUM(G12+'Aug 27 - Sept 2'!G12+'Sept 3 - Sept 9'!G12+'Sept 10 - Sept 16'!G12+'Sept 17 - Sept 23'!G12+'Sept 24 - Sept 30'!G12+'Oct 1 - Oct 7'!G12+'Oct 8 - Oct 14'!G12+'Oct 15 - Oct 21'!G12)</f>
        <v>5.4475506540138496E-2</v>
      </c>
      <c r="M12" s="73">
        <v>10813.85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143946.73050000001</v>
      </c>
      <c r="C13" s="18">
        <v>141355.815</v>
      </c>
      <c r="D13" s="73">
        <v>131664.32999999999</v>
      </c>
      <c r="E13" s="86">
        <f t="shared" si="0"/>
        <v>-4.9316773950848956E-2</v>
      </c>
      <c r="F13" s="73">
        <v>125171.07</v>
      </c>
      <c r="G13" s="74">
        <v>1059</v>
      </c>
      <c r="H13" s="63">
        <f t="shared" si="3"/>
        <v>135.92703541076489</v>
      </c>
      <c r="I13" s="61">
        <v>65</v>
      </c>
      <c r="J13" s="28">
        <f t="shared" si="1"/>
        <v>6.1378659112370164E-2</v>
      </c>
      <c r="K13" s="46">
        <f>I13+'Aug 27 - Sept 2'!I13+'Sept 3 - Sept 9'!I13+'Sept 10 - Sept 16'!I13+'Sept 17 - Sept 23'!I13+'Sept 24 - Sept 30'!I13+'Oct 1 - Oct 7'!I13+'Oct 8 - Oct 14'!I13+'Oct 15 - Oct 21'!I13</f>
        <v>665</v>
      </c>
      <c r="L13" s="89">
        <f>K13/SUM(G13+'Aug 27 - Sept 2'!G13+'Sept 3 - Sept 9'!G13+'Sept 10 - Sept 16'!G13+'Sept 17 - Sept 23'!G13+'Sept 24 - Sept 30'!G13+'Oct 1 - Oct 7'!G13+'Oct 8 - Oct 14'!G13+'Oct 15 - Oct 21'!G13)</f>
        <v>7.1528450037646546E-2</v>
      </c>
      <c r="M13" s="73">
        <v>6599.5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262687.12849999999</v>
      </c>
      <c r="C14" s="18">
        <v>230157.55</v>
      </c>
      <c r="D14" s="73">
        <v>163399.93</v>
      </c>
      <c r="E14" s="86">
        <f t="shared" si="0"/>
        <v>0.39794178614397208</v>
      </c>
      <c r="F14" s="73">
        <v>228423.59</v>
      </c>
      <c r="G14" s="74">
        <v>1603</v>
      </c>
      <c r="H14" s="63">
        <f t="shared" si="3"/>
        <v>163.87219494697442</v>
      </c>
      <c r="I14" s="61">
        <v>98</v>
      </c>
      <c r="J14" s="28">
        <f t="shared" si="1"/>
        <v>6.1135371179039298E-2</v>
      </c>
      <c r="K14" s="46">
        <f>I14+'Aug 27 - Sept 2'!I14+'Sept 3 - Sept 9'!I14+'Sept 10 - Sept 16'!I14+'Sept 17 - Sept 23'!I14+'Sept 24 - Sept 30'!I14+'Oct 1 - Oct 7'!I14+'Oct 8 - Oct 14'!I14+'Oct 15 - Oct 21'!I14</f>
        <v>1028</v>
      </c>
      <c r="L14" s="89">
        <f>K14/SUM(G14+'Aug 27 - Sept 2'!G14+'Sept 3 - Sept 9'!G14+'Sept 10 - Sept 16'!G14+'Sept 17 - Sept 23'!G14+'Sept 24 - Sept 30'!G14+'Oct 1 - Oct 7'!G14+'Oct 8 - Oct 14'!G14+'Oct 15 - Oct 21'!G14)</f>
        <v>7.2923317017805203E-2</v>
      </c>
      <c r="M14" s="73">
        <v>6233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105075.49999999999</v>
      </c>
      <c r="C15" s="18">
        <v>0</v>
      </c>
      <c r="D15" s="73">
        <v>70398.48</v>
      </c>
      <c r="E15" s="86">
        <f t="shared" si="0"/>
        <v>0.29789734096531639</v>
      </c>
      <c r="F15" s="73">
        <v>91370</v>
      </c>
      <c r="G15" s="74">
        <v>710</v>
      </c>
      <c r="H15" s="63">
        <f t="shared" si="3"/>
        <v>147.99366197183096</v>
      </c>
      <c r="I15" s="61">
        <v>0</v>
      </c>
      <c r="J15" s="28">
        <f t="shared" si="1"/>
        <v>0</v>
      </c>
      <c r="K15" s="46">
        <f>I15+'Aug 27 - Sept 2'!I15+'Sept 3 - Sept 9'!I15+'Sept 10 - Sept 16'!I15+'Sept 17 - Sept 23'!I15+'Sept 24 - Sept 30'!I15+'Oct 1 - Oct 7'!I15+'Oct 8 - Oct 14'!I15+'Oct 15 - Oct 21'!I15</f>
        <v>0</v>
      </c>
      <c r="L15" s="89">
        <f>K15/SUM(G15+'Aug 27 - Sept 2'!G15+'Sept 3 - Sept 9'!G15+'Sept 10 - Sept 16'!G15+'Sept 17 - Sept 23'!G15+'Sept 24 - Sept 30'!G15+'Oct 1 - Oct 7'!G15+'Oct 8 - Oct 14'!G15+'Oct 15 - Oct 21'!G15)</f>
        <v>0</v>
      </c>
      <c r="M15" s="73">
        <v>2789.25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14'!I16+'Oct 15 - Oct 21'!I16</f>
        <v>0</v>
      </c>
      <c r="L16" s="89" t="e">
        <f>K16/SUM(G16+'Aug 27 - Sept 2'!G16+'Sept 3 - Sept 9'!G16+'Sept 10 - Sept 16'!G16+'Sept 17 - Sept 23'!G16+'Sept 24 - Sept 30'!G16+'Oct 1 - Oct 7'!G16+'Oct 8 - Oct 14'!G16+'Oct 15 - Oct 21'!G16)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14'!I17+'Oct 15 - Oct 21'!I17</f>
        <v>0</v>
      </c>
      <c r="L17" s="89" t="e">
        <f>K17/SUM(G17+'Aug 27 - Sept 2'!G17+'Sept 3 - Sept 9'!G17+'Sept 10 - Sept 16'!G17+'Sept 17 - Sept 23'!G17+'Sept 24 - Sept 30'!G17+'Oct 1 - Oct 7'!G17+'Oct 8 - Oct 14'!G17+'Oct 15 - Oct 21'!G17)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181820.73849999998</v>
      </c>
      <c r="C18" s="18">
        <v>157745.16649999999</v>
      </c>
      <c r="D18" s="73">
        <v>135240.21</v>
      </c>
      <c r="E18" s="86">
        <f t="shared" si="0"/>
        <v>0.16906791256831086</v>
      </c>
      <c r="F18" s="73">
        <v>158104.99</v>
      </c>
      <c r="G18" s="74">
        <v>1512</v>
      </c>
      <c r="H18" s="63">
        <f>IFERROR(B18/G18,0)</f>
        <v>120.25181117724867</v>
      </c>
      <c r="I18" s="61">
        <v>104</v>
      </c>
      <c r="J18" s="28">
        <f t="shared" si="1"/>
        <v>6.8783068783068779E-2</v>
      </c>
      <c r="K18" s="46">
        <f>I18+'Aug 27 - Sept 2'!I18+'Sept 3 - Sept 9'!I18+'Sept 10 - Sept 16'!I18+'Sept 17 - Sept 23'!I18+'Sept 24 - Sept 30'!I18+'Oct 1 - Oct 7'!I18+'Oct 8 - Oct 14'!I18+'Oct 15 - Oct 21'!I18</f>
        <v>932</v>
      </c>
      <c r="L18" s="89">
        <f>K18/SUM(G18+'Aug 27 - Sept 2'!G18+'Sept 3 - Sept 9'!G18+'Sept 10 - Sept 16'!G18+'Sept 17 - Sept 23'!G18+'Sept 24 - Sept 30'!G18+'Oct 1 - Oct 7'!G18+'Oct 8 - Oct 14'!G18+'Oct 15 - Oct 21'!G18)</f>
        <v>7.1264719376051389E-2</v>
      </c>
      <c r="M18" s="73">
        <v>3632.25</v>
      </c>
      <c r="N18" s="9"/>
    </row>
    <row r="19" spans="1:14" ht="15.6" customHeight="1" x14ac:dyDescent="0.3">
      <c r="A19" s="40" t="s">
        <v>27</v>
      </c>
      <c r="B19" s="18">
        <f t="shared" si="2"/>
        <v>132652.01699999999</v>
      </c>
      <c r="C19" s="18">
        <v>126869.035</v>
      </c>
      <c r="D19" s="73">
        <v>126076.62</v>
      </c>
      <c r="E19" s="86">
        <f t="shared" si="0"/>
        <v>-8.5083499224519132E-2</v>
      </c>
      <c r="F19" s="73">
        <v>115349.58</v>
      </c>
      <c r="G19" s="74">
        <v>1281</v>
      </c>
      <c r="H19" s="63">
        <f>IFERROR(B19/G19,0)</f>
        <v>103.55348711943793</v>
      </c>
      <c r="I19" s="61">
        <v>91</v>
      </c>
      <c r="J19" s="28">
        <f t="shared" si="1"/>
        <v>7.1038251366120214E-2</v>
      </c>
      <c r="K19" s="46">
        <f>I19+'Aug 27 - Sept 2'!I19+'Sept 3 - Sept 9'!I19+'Sept 10 - Sept 16'!I19+'Sept 17 - Sept 23'!I19+'Sept 24 - Sept 30'!I19+'Oct 1 - Oct 7'!I19+'Oct 8 - Oct 14'!I19+'Oct 15 - Oct 21'!I19</f>
        <v>552</v>
      </c>
      <c r="L19" s="89">
        <f>K19/SUM(G19+'Aug 27 - Sept 2'!G19+'Sept 3 - Sept 9'!G19+'Sept 10 - Sept 16'!G19+'Sept 17 - Sept 23'!G19+'Sept 24 - Sept 30'!G19+'Oct 1 - Oct 7'!G19+'Oct 8 - Oct 14'!G19+'Oct 15 - Oct 21'!G19)</f>
        <v>7.1465561885033668E-2</v>
      </c>
      <c r="M19" s="73">
        <v>4986.2</v>
      </c>
      <c r="N19" s="9"/>
    </row>
    <row r="20" spans="1:14" ht="15.6" customHeight="1" x14ac:dyDescent="0.3">
      <c r="A20" s="40" t="s">
        <v>28</v>
      </c>
      <c r="B20" s="18">
        <f t="shared" si="2"/>
        <v>249235.80849999998</v>
      </c>
      <c r="C20" s="18">
        <v>235641.32500000001</v>
      </c>
      <c r="D20" s="73">
        <v>0</v>
      </c>
      <c r="E20" s="86">
        <f t="shared" si="0"/>
        <v>0</v>
      </c>
      <c r="F20" s="73">
        <v>216726.79</v>
      </c>
      <c r="G20" s="74">
        <v>1397</v>
      </c>
      <c r="H20" s="63">
        <f>IFERROR(B20/G20,0)</f>
        <v>178.40788010021473</v>
      </c>
      <c r="I20" s="74">
        <v>125</v>
      </c>
      <c r="J20" s="28">
        <f t="shared" si="1"/>
        <v>8.9477451682176093E-2</v>
      </c>
      <c r="K20" s="46">
        <f>I20+'Aug 27 - Sept 2'!I20+'Sept 3 - Sept 9'!I20+'Sept 10 - Sept 16'!I20+'Sept 17 - Sept 23'!I20+'Sept 24 - Sept 30'!I20+'Oct 1 - Oct 7'!I20+'Oct 8 - Oct 14'!I20+'Oct 15 - Oct 21'!I20</f>
        <v>976</v>
      </c>
      <c r="L20" s="89">
        <f>K20/SUM(G20+'Aug 27 - Sept 2'!G20+'Sept 3 - Sept 9'!G20+'Sept 10 - Sept 16'!G20+'Sept 17 - Sept 23'!G20+'Sept 24 - Sept 30'!G20+'Oct 1 - Oct 7'!G20+'Oct 8 - Oct 14'!G20+'Oct 15 - Oct 21'!G20)</f>
        <v>7.5262183837137564E-2</v>
      </c>
      <c r="M20" s="73">
        <v>9505.9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7.1337334407754624E-2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2537490.088</v>
      </c>
      <c r="C4" s="3">
        <v>2461944.9780000001</v>
      </c>
      <c r="D4" s="66">
        <v>1885293.6</v>
      </c>
      <c r="E4" s="90">
        <f t="shared" ref="E4:E20" si="0">IFERROR((SUM(F4-D4)/D4),0)</f>
        <v>0.1703816954558163</v>
      </c>
      <c r="F4" s="66">
        <f>SUM(F6:F20)</f>
        <v>2206513.1199999996</v>
      </c>
      <c r="G4" s="62">
        <f>SUM(G6:G20)</f>
        <v>16276</v>
      </c>
      <c r="H4" s="85">
        <f>AVERAGE(H5:H20)</f>
        <v>133.48056468899671</v>
      </c>
      <c r="I4" s="88">
        <f>SUM(I6:I20)</f>
        <v>962</v>
      </c>
      <c r="J4" s="28">
        <f t="shared" ref="J4:J20" si="1">I4/G4</f>
        <v>5.9105431309904151E-2</v>
      </c>
      <c r="K4" s="46">
        <f>I4+'Aug 27 - Sept 2'!I4+'Sept 3 - Sept 9'!I4+'Sept 10 - Sept 16'!I4+'Sept 17 - Sept 23'!I4+'Sept 24 - Sept 30'!I4+'Oct 1 - Oct 7'!I4+'Oct 8 - Oct 14'!I4+'Oct 15 - Oct 21'!I4+'Oct 22 - Oct 28'!I4</f>
        <v>11090</v>
      </c>
      <c r="L4" s="89">
        <f>K4/SUM(G4+'Aug 27 - Sept 2'!G4+'Sept 3 - Sept 9'!G4+'Sept 10 - Sept 16'!G4+'Sept 17 - Sept 23'!G4+'Sept 24 - Sept 30'!G4+'Oct 1 - Oct 7'!G4+'Oct 8 - Oct 14'!G4+'Oct 15 - Oct 21'!G4+'Oct 22 - Oct 28'!G4)</f>
        <v>6.9812092789021438E-2</v>
      </c>
      <c r="M4" s="66">
        <f>SUM(M6:M20)</f>
        <v>79046.419999999984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14'!I5+'Oct 15 - Oct 21'!I5+'Oct 22 - Oct 28'!I5</f>
        <v>0</v>
      </c>
      <c r="L5" s="89" t="e">
        <f>K5/SUM(G5+'Aug 27 - Sept 2'!G5+'Sept 3 - Sept 9'!G5+'Sept 10 - Sept 16'!G5+'Sept 17 - Sept 23'!G5+'Sept 24 - Sept 30'!G5+'Oct 1 - Oct 7'!G5+'Oct 8 - Oct 14'!G5+'Oct 15 - Oct 21'!G5+'Oct 22 - Oct 28'!G5)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276248.63</v>
      </c>
      <c r="C6" s="18">
        <v>267592.17749999999</v>
      </c>
      <c r="D6" s="73">
        <v>214692.91</v>
      </c>
      <c r="E6" s="86">
        <f t="shared" si="0"/>
        <v>0.11888278006013336</v>
      </c>
      <c r="F6" s="73">
        <v>240216.2</v>
      </c>
      <c r="G6" s="74">
        <v>1576</v>
      </c>
      <c r="H6" s="63">
        <f t="shared" ref="H6:H15" si="3">IFERROR(B6/G6,0)</f>
        <v>175.28466370558377</v>
      </c>
      <c r="I6" s="61">
        <v>82</v>
      </c>
      <c r="J6" s="28">
        <f t="shared" si="1"/>
        <v>5.2030456852791881E-2</v>
      </c>
      <c r="K6" s="46">
        <f>I6+'Aug 27 - Sept 2'!I6+'Sept 3 - Sept 9'!I6+'Sept 10 - Sept 16'!I6+'Sept 17 - Sept 23'!I6+'Sept 24 - Sept 30'!I6+'Oct 1 - Oct 7'!I6+'Oct 8 - Oct 14'!I6+'Oct 15 - Oct 21'!I6+'Oct 22 - Oct 28'!I6</f>
        <v>950</v>
      </c>
      <c r="L6" s="89">
        <f>K6/SUM(G6+'Aug 27 - Sept 2'!G6+'Sept 3 - Sept 9'!G6+'Sept 10 - Sept 16'!G6+'Sept 17 - Sept 23'!G6+'Sept 24 - Sept 30'!G6+'Oct 1 - Oct 7'!G6+'Oct 8 - Oct 14'!G6+'Oct 15 - Oct 21'!G6+'Oct 22 - Oct 28'!G6)</f>
        <v>5.6841979297552803E-2</v>
      </c>
      <c r="M6" s="73">
        <v>8681.9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171466.61</v>
      </c>
      <c r="C7" s="18">
        <v>62033.483999999997</v>
      </c>
      <c r="D7" s="73">
        <v>168207.64</v>
      </c>
      <c r="E7" s="86">
        <f t="shared" si="0"/>
        <v>-0.11358723063946452</v>
      </c>
      <c r="F7" s="73">
        <v>149101.4</v>
      </c>
      <c r="G7" s="74">
        <v>1087</v>
      </c>
      <c r="H7" s="63">
        <f t="shared" si="3"/>
        <v>157.74297148114073</v>
      </c>
      <c r="I7" s="61">
        <v>80</v>
      </c>
      <c r="J7" s="28">
        <f t="shared" si="1"/>
        <v>7.3597056117755286E-2</v>
      </c>
      <c r="K7" s="46">
        <f>I7+'Aug 27 - Sept 2'!I7+'Sept 3 - Sept 9'!I7+'Sept 10 - Sept 16'!I7+'Sept 17 - Sept 23'!I7+'Sept 24 - Sept 30'!I7+'Oct 1 - Oct 7'!I7+'Oct 8 - Oct 14'!I7+'Oct 15 - Oct 21'!I7+'Oct 22 - Oct 28'!I7</f>
        <v>1456</v>
      </c>
      <c r="L7" s="89">
        <f>K7/SUM(G7+'Aug 27 - Sept 2'!G7+'Sept 3 - Sept 9'!G7+'Sept 10 - Sept 16'!G7+'Sept 17 - Sept 23'!G7+'Sept 24 - Sept 30'!G7+'Oct 1 - Oct 7'!G7+'Oct 8 - Oct 14'!G7+'Oct 15 - Oct 21'!G7+'Oct 22 - Oct 28'!G7)</f>
        <v>0.13165747355095397</v>
      </c>
      <c r="M7" s="73">
        <v>11106.38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134255.715</v>
      </c>
      <c r="C8" s="18">
        <v>129020.524</v>
      </c>
      <c r="D8" s="73">
        <v>109507.04</v>
      </c>
      <c r="E8" s="86">
        <f t="shared" si="0"/>
        <v>6.6087623224954414E-2</v>
      </c>
      <c r="F8" s="73">
        <v>116744.1</v>
      </c>
      <c r="G8" s="74">
        <v>820</v>
      </c>
      <c r="H8" s="63">
        <f t="shared" si="3"/>
        <v>163.72648170731708</v>
      </c>
      <c r="I8" s="61">
        <v>62</v>
      </c>
      <c r="J8" s="28">
        <f t="shared" si="1"/>
        <v>7.5609756097560973E-2</v>
      </c>
      <c r="K8" s="46">
        <f>I8+'Aug 27 - Sept 2'!I8+'Sept 3 - Sept 9'!I8+'Sept 10 - Sept 16'!I8+'Sept 17 - Sept 23'!I8+'Sept 24 - Sept 30'!I8+'Oct 1 - Oct 7'!I8+'Oct 8 - Oct 14'!I8+'Oct 15 - Oct 21'!I8+'Oct 22 - Oct 28'!I8</f>
        <v>634</v>
      </c>
      <c r="L8" s="89">
        <f>K8/SUM(G8+'Aug 27 - Sept 2'!G8+'Sept 3 - Sept 9'!G8+'Sept 10 - Sept 16'!G8+'Sept 17 - Sept 23'!G8+'Sept 24 - Sept 30'!G8+'Oct 1 - Oct 7'!G8+'Oct 8 - Oct 14'!G8+'Oct 15 - Oct 21'!G8+'Oct 22 - Oct 28'!G8)</f>
        <v>9.1605259355584459E-2</v>
      </c>
      <c r="M8" s="73">
        <v>3652.9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354419.42</v>
      </c>
      <c r="C9" s="18">
        <v>417021.47549999988</v>
      </c>
      <c r="D9" s="73">
        <v>313646.24</v>
      </c>
      <c r="E9" s="86">
        <f t="shared" si="0"/>
        <v>-1.7393608799518855E-2</v>
      </c>
      <c r="F9" s="73">
        <v>308190.8</v>
      </c>
      <c r="G9" s="74">
        <v>2245</v>
      </c>
      <c r="H9" s="63">
        <f t="shared" si="3"/>
        <v>157.870565701559</v>
      </c>
      <c r="I9" s="61">
        <v>119</v>
      </c>
      <c r="J9" s="28">
        <f t="shared" si="1"/>
        <v>5.3006681514476614E-2</v>
      </c>
      <c r="K9" s="46">
        <f>I9+'Aug 27 - Sept 2'!I9+'Sept 3 - Sept 9'!I9+'Sept 10 - Sept 16'!I9+'Sept 17 - Sept 23'!I9+'Sept 24 - Sept 30'!I9+'Oct 1 - Oct 7'!I9+'Oct 8 - Oct 14'!I9+'Oct 15 - Oct 21'!I9+'Oct 22 - Oct 28'!I9</f>
        <v>1654</v>
      </c>
      <c r="L9" s="89">
        <f>K9/SUM(G9+'Aug 27 - Sept 2'!G9+'Sept 3 - Sept 9'!G9+'Sept 10 - Sept 16'!G9+'Sept 17 - Sept 23'!G9+'Sept 24 - Sept 30'!G9+'Oct 1 - Oct 7'!G9+'Oct 8 - Oct 14'!G9+'Oct 15 - Oct 21'!G9+'Oct 22 - Oct 28'!G9)</f>
        <v>6.8954016759077835E-2</v>
      </c>
      <c r="M9" s="73">
        <v>11547.6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14'!I10+'Oct 15 - Oct 21'!I10+'Oct 22 - Oct 28'!I10</f>
        <v>0</v>
      </c>
      <c r="L10" s="89" t="e">
        <f>K10/SUM(G10+'Aug 27 - Sept 2'!G10+'Sept 3 - Sept 9'!G10+'Sept 10 - Sept 16'!G10+'Sept 17 - Sept 23'!G10+'Sept 24 - Sept 30'!G10+'Oct 1 - Oct 7'!G10+'Oct 8 - Oct 14'!G10+'Oct 15 - Oct 21'!G10+'Oct 22 - Oct 28'!G10)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144163.655</v>
      </c>
      <c r="C11" s="18">
        <v>160325.98499999999</v>
      </c>
      <c r="D11" s="73">
        <v>138952.47</v>
      </c>
      <c r="E11" s="86">
        <f t="shared" si="0"/>
        <v>-9.7823162121551371E-2</v>
      </c>
      <c r="F11" s="73">
        <v>125359.7</v>
      </c>
      <c r="G11" s="74">
        <v>882</v>
      </c>
      <c r="H11" s="63">
        <f t="shared" si="3"/>
        <v>163.45085600907029</v>
      </c>
      <c r="I11" s="61">
        <v>46</v>
      </c>
      <c r="J11" s="28">
        <f t="shared" si="1"/>
        <v>5.2154195011337869E-2</v>
      </c>
      <c r="K11" s="46">
        <f>I11+'Aug 27 - Sept 2'!I11+'Sept 3 - Sept 9'!I11+'Sept 10 - Sept 16'!I11+'Sept 17 - Sept 23'!I11+'Sept 24 - Sept 30'!I11+'Oct 1 - Oct 7'!I11+'Oct 8 - Oct 14'!I11+'Oct 15 - Oct 21'!I11+'Oct 22 - Oct 28'!I11</f>
        <v>608</v>
      </c>
      <c r="L11" s="89">
        <f>K11/SUM(G11+'Aug 27 - Sept 2'!G11+'Sept 3 - Sept 9'!G11+'Sept 10 - Sept 16'!G11+'Sept 17 - Sept 23'!G11+'Sept 24 - Sept 30'!G11+'Oct 1 - Oct 7'!G11+'Oct 8 - Oct 14'!G11+'Oct 15 - Oct 21'!G11+'Oct 22 - Oct 28'!G11)</f>
        <v>6.5054568799486415E-2</v>
      </c>
      <c r="M11" s="73">
        <v>4213.3900000000003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410965.38</v>
      </c>
      <c r="C12" s="18">
        <v>350533.40899999993</v>
      </c>
      <c r="D12" s="73">
        <v>310637.78999999998</v>
      </c>
      <c r="E12" s="86">
        <f t="shared" si="0"/>
        <v>0.15041122330930837</v>
      </c>
      <c r="F12" s="73">
        <v>357361.2</v>
      </c>
      <c r="G12" s="74">
        <v>2274</v>
      </c>
      <c r="H12" s="63">
        <f t="shared" si="3"/>
        <v>180.72356200527705</v>
      </c>
      <c r="I12" s="61">
        <v>143</v>
      </c>
      <c r="J12" s="28">
        <f t="shared" si="1"/>
        <v>6.2884784520668424E-2</v>
      </c>
      <c r="K12" s="46">
        <f>I12+'Aug 27 - Sept 2'!I12+'Sept 3 - Sept 9'!I12+'Sept 10 - Sept 16'!I12+'Sept 17 - Sept 23'!I12+'Sept 24 - Sept 30'!I12+'Oct 1 - Oct 7'!I12+'Oct 8 - Oct 14'!I12+'Oct 15 - Oct 21'!I12+'Oct 22 - Oct 28'!I12</f>
        <v>1205</v>
      </c>
      <c r="L12" s="89">
        <f>K12/SUM(G12+'Aug 27 - Sept 2'!G12+'Sept 3 - Sept 9'!G12+'Sept 10 - Sept 16'!G12+'Sept 17 - Sept 23'!G12+'Sept 24 - Sept 30'!G12+'Oct 1 - Oct 7'!G12+'Oct 8 - Oct 14'!G12+'Oct 15 - Oct 21'!G12+'Oct 22 - Oct 28'!G12)</f>
        <v>5.535394368138178E-2</v>
      </c>
      <c r="M12" s="73">
        <v>9991.6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158308.42499999999</v>
      </c>
      <c r="C13" s="18">
        <v>143946.73050000001</v>
      </c>
      <c r="D13" s="73">
        <v>120528.82</v>
      </c>
      <c r="E13" s="86">
        <f t="shared" si="0"/>
        <v>0.14212932641338388</v>
      </c>
      <c r="F13" s="73">
        <v>137659.5</v>
      </c>
      <c r="G13" s="74">
        <v>1125</v>
      </c>
      <c r="H13" s="63">
        <f t="shared" si="3"/>
        <v>140.71859999999998</v>
      </c>
      <c r="I13" s="61">
        <v>73</v>
      </c>
      <c r="J13" s="28">
        <f t="shared" si="1"/>
        <v>6.4888888888888885E-2</v>
      </c>
      <c r="K13" s="46">
        <f>I13+'Aug 27 - Sept 2'!I13+'Sept 3 - Sept 9'!I13+'Sept 10 - Sept 16'!I13+'Sept 17 - Sept 23'!I13+'Sept 24 - Sept 30'!I13+'Oct 1 - Oct 7'!I13+'Oct 8 - Oct 14'!I13+'Oct 15 - Oct 21'!I13+'Oct 22 - Oct 28'!I13</f>
        <v>738</v>
      </c>
      <c r="L13" s="89">
        <f>K13/SUM(G13+'Aug 27 - Sept 2'!G13+'Sept 3 - Sept 9'!G13+'Sept 10 - Sept 16'!G13+'Sept 17 - Sept 23'!G13+'Sept 24 - Sept 30'!G13+'Oct 1 - Oct 7'!G13+'Oct 8 - Oct 14'!G13+'Oct 15 - Oct 21'!G13+'Oct 22 - Oct 28'!G13)</f>
        <v>7.0811744386873918E-2</v>
      </c>
      <c r="M13" s="73">
        <v>5223.75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252844.405</v>
      </c>
      <c r="C14" s="18">
        <v>262687.12849999999</v>
      </c>
      <c r="D14" s="73">
        <v>175227.69</v>
      </c>
      <c r="E14" s="86">
        <f t="shared" si="0"/>
        <v>0.25473719364787611</v>
      </c>
      <c r="F14" s="73">
        <v>219864.7</v>
      </c>
      <c r="G14" s="74">
        <v>1583</v>
      </c>
      <c r="H14" s="63">
        <f t="shared" si="3"/>
        <v>159.72482943777638</v>
      </c>
      <c r="I14" s="61">
        <v>62</v>
      </c>
      <c r="J14" s="28">
        <f t="shared" si="1"/>
        <v>3.9166140240050537E-2</v>
      </c>
      <c r="K14" s="46">
        <f>I14+'Aug 27 - Sept 2'!I14+'Sept 3 - Sept 9'!I14+'Sept 10 - Sept 16'!I14+'Sept 17 - Sept 23'!I14+'Sept 24 - Sept 30'!I14+'Oct 1 - Oct 7'!I14+'Oct 8 - Oct 14'!I14+'Oct 15 - Oct 21'!I14+'Oct 22 - Oct 28'!I14</f>
        <v>1090</v>
      </c>
      <c r="L14" s="89">
        <f>K14/SUM(G14+'Aug 27 - Sept 2'!G14+'Sept 3 - Sept 9'!G14+'Sept 10 - Sept 16'!G14+'Sept 17 - Sept 23'!G14+'Sept 24 - Sept 30'!G14+'Oct 1 - Oct 7'!G14+'Oct 8 - Oct 14'!G14+'Oct 15 - Oct 21'!G14+'Oct 22 - Oct 28'!G14)</f>
        <v>6.951530612244898E-2</v>
      </c>
      <c r="M14" s="73">
        <v>6377.7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92585.487999999983</v>
      </c>
      <c r="C15" s="18">
        <v>105075.5</v>
      </c>
      <c r="D15" s="73">
        <v>77158.52</v>
      </c>
      <c r="E15" s="86">
        <f t="shared" si="0"/>
        <v>4.3424886843345244E-2</v>
      </c>
      <c r="F15" s="73">
        <v>80509.119999999995</v>
      </c>
      <c r="G15" s="74">
        <v>547</v>
      </c>
      <c r="H15" s="63">
        <f t="shared" si="3"/>
        <v>169.26048994515537</v>
      </c>
      <c r="I15" s="61"/>
      <c r="J15" s="28">
        <f t="shared" si="1"/>
        <v>0</v>
      </c>
      <c r="K15" s="46">
        <f>I15+'Aug 27 - Sept 2'!I15+'Sept 3 - Sept 9'!I15+'Sept 10 - Sept 16'!I15+'Sept 17 - Sept 23'!I15+'Sept 24 - Sept 30'!I15+'Oct 1 - Oct 7'!I15+'Oct 8 - Oct 14'!I15+'Oct 15 - Oct 21'!I15+'Oct 22 - Oct 28'!I15</f>
        <v>0</v>
      </c>
      <c r="L15" s="89">
        <f>K15/SUM(G15+'Aug 27 - Sept 2'!G15+'Sept 3 - Sept 9'!G15+'Sept 10 - Sept 16'!G15+'Sept 17 - Sept 23'!G15+'Sept 24 - Sept 30'!G15+'Oct 1 - Oct 7'!G15+'Oct 8 - Oct 14'!G15+'Oct 15 - Oct 21'!G15+'Oct 22 - Oct 28'!G15)</f>
        <v>0</v>
      </c>
      <c r="M15" s="73">
        <v>1401.25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14'!I16+'Oct 15 - Oct 21'!I16+'Oct 22 - Oct 28'!I16</f>
        <v>0</v>
      </c>
      <c r="L16" s="89" t="e">
        <f>K16/SUM(G16+'Aug 27 - Sept 2'!G16+'Sept 3 - Sept 9'!G16+'Sept 10 - Sept 16'!G16+'Sept 17 - Sept 23'!G16+'Sept 24 - Sept 30'!G16+'Oct 1 - Oct 7'!G16+'Oct 8 - Oct 14'!G16+'Oct 15 - Oct 21'!G16+'Oct 22 - Oct 28'!G16)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14'!I17+'Oct 15 - Oct 21'!I17+'Oct 22 - Oct 28'!I17</f>
        <v>0</v>
      </c>
      <c r="L17" s="89" t="e">
        <f>K17/SUM(G17+'Aug 27 - Sept 2'!G17+'Sept 3 - Sept 9'!G17+'Sept 10 - Sept 16'!G17+'Sept 17 - Sept 23'!G17+'Sept 24 - Sept 30'!G17+'Oct 1 - Oct 7'!G17+'Oct 8 - Oct 14'!G17+'Oct 15 - Oct 21'!G17+'Oct 22 - Oct 28'!G17)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197531.24499999997</v>
      </c>
      <c r="C18" s="18">
        <v>181820.73850000001</v>
      </c>
      <c r="D18" s="73">
        <v>134831.35999999999</v>
      </c>
      <c r="E18" s="86">
        <f t="shared" si="0"/>
        <v>0.27393434287097607</v>
      </c>
      <c r="F18" s="73">
        <v>171766.3</v>
      </c>
      <c r="G18" s="74">
        <v>1523</v>
      </c>
      <c r="H18" s="63">
        <f>IFERROR(B18/G18,0)</f>
        <v>129.69878200919237</v>
      </c>
      <c r="I18" s="61">
        <v>126</v>
      </c>
      <c r="J18" s="28">
        <f t="shared" si="1"/>
        <v>8.2731451083388044E-2</v>
      </c>
      <c r="K18" s="46">
        <f>I18+'Aug 27 - Sept 2'!I18+'Sept 3 - Sept 9'!I18+'Sept 10 - Sept 16'!I18+'Sept 17 - Sept 23'!I18+'Sept 24 - Sept 30'!I18+'Oct 1 - Oct 7'!I18+'Oct 8 - Oct 14'!I18+'Oct 15 - Oct 21'!I18+'Oct 22 - Oct 28'!I18</f>
        <v>1058</v>
      </c>
      <c r="L18" s="89">
        <f>K18/SUM(G18+'Aug 27 - Sept 2'!G18+'Sept 3 - Sept 9'!G18+'Sept 10 - Sept 16'!G18+'Sept 17 - Sept 23'!G18+'Sept 24 - Sept 30'!G18+'Oct 1 - Oct 7'!G18+'Oct 8 - Oct 14'!G18+'Oct 15 - Oct 21'!G18+'Oct 22 - Oct 28'!G18)</f>
        <v>7.2460790356824872E-2</v>
      </c>
      <c r="M18" s="73">
        <v>3854.85</v>
      </c>
      <c r="N18" s="9"/>
    </row>
    <row r="19" spans="1:14" ht="15.6" customHeight="1" x14ac:dyDescent="0.3">
      <c r="A19" s="40" t="s">
        <v>27</v>
      </c>
      <c r="B19" s="18">
        <f t="shared" si="2"/>
        <v>129964.25999999998</v>
      </c>
      <c r="C19" s="18">
        <v>132652.01699999999</v>
      </c>
      <c r="D19" s="73">
        <v>121903.12</v>
      </c>
      <c r="E19" s="86">
        <f t="shared" si="0"/>
        <v>-7.2932669811896542E-2</v>
      </c>
      <c r="F19" s="73">
        <v>113012.4</v>
      </c>
      <c r="G19" s="74">
        <v>1410</v>
      </c>
      <c r="H19" s="63">
        <f>IFERROR(B19/G19,0)</f>
        <v>92.173234042553176</v>
      </c>
      <c r="I19" s="61">
        <v>53</v>
      </c>
      <c r="J19" s="28">
        <f t="shared" si="1"/>
        <v>3.7588652482269502E-2</v>
      </c>
      <c r="K19" s="46">
        <f>I19+'Aug 27 - Sept 2'!I19+'Sept 3 - Sept 9'!I19+'Sept 10 - Sept 16'!I19+'Sept 17 - Sept 23'!I19+'Sept 24 - Sept 30'!I19+'Oct 1 - Oct 7'!I19+'Oct 8 - Oct 14'!I19+'Oct 15 - Oct 21'!I19+'Oct 22 - Oct 28'!I19</f>
        <v>605</v>
      </c>
      <c r="L19" s="89">
        <f>K19/SUM(G19+'Aug 27 - Sept 2'!G19+'Sept 3 - Sept 9'!G19+'Sept 10 - Sept 16'!G19+'Sept 17 - Sept 23'!G19+'Sept 24 - Sept 30'!G19+'Oct 1 - Oct 7'!G19+'Oct 8 - Oct 14'!G19+'Oct 15 - Oct 21'!G19+'Oct 22 - Oct 28'!G19)</f>
        <v>6.6236041164878481E-2</v>
      </c>
      <c r="M19" s="73">
        <v>4928.7</v>
      </c>
      <c r="N19" s="9"/>
    </row>
    <row r="20" spans="1:14" ht="15.6" customHeight="1" x14ac:dyDescent="0.3">
      <c r="A20" s="40" t="s">
        <v>28</v>
      </c>
      <c r="B20" s="18">
        <f t="shared" si="2"/>
        <v>214736.85500000001</v>
      </c>
      <c r="C20" s="18">
        <v>249235.80850000001</v>
      </c>
      <c r="D20" s="73">
        <v>0</v>
      </c>
      <c r="E20" s="86">
        <f t="shared" si="0"/>
        <v>0</v>
      </c>
      <c r="F20" s="73">
        <v>186727.7</v>
      </c>
      <c r="G20" s="74">
        <v>1204</v>
      </c>
      <c r="H20" s="63">
        <f>IFERROR(B20/G20,0)</f>
        <v>178.3528696013289</v>
      </c>
      <c r="I20" s="74">
        <v>116</v>
      </c>
      <c r="J20" s="28">
        <f t="shared" si="1"/>
        <v>9.634551495016612E-2</v>
      </c>
      <c r="K20" s="46">
        <f>I20+'Aug 27 - Sept 2'!I20+'Sept 3 - Sept 9'!I20+'Sept 10 - Sept 16'!I20+'Sept 17 - Sept 23'!I20+'Sept 24 - Sept 30'!I20+'Oct 1 - Oct 7'!I20+'Oct 8 - Oct 14'!I20+'Oct 15 - Oct 21'!I20+'Oct 22 - Oct 28'!I20</f>
        <v>1092</v>
      </c>
      <c r="L20" s="89">
        <f>K20/SUM(G20+'Aug 27 - Sept 2'!G20+'Sept 3 - Sept 9'!G20+'Sept 10 - Sept 16'!G20+'Sept 17 - Sept 23'!G20+'Sept 24 - Sept 30'!G20+'Oct 1 - Oct 7'!G20+'Oct 8 - Oct 14'!G20+'Oct 15 - Oct 21'!G20+'Oct 22 - Oct 28'!G20)</f>
        <v>7.7053344623200681E-2</v>
      </c>
      <c r="M20" s="73">
        <v>8066.4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0.12590625206110515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2611238.4495000001</v>
      </c>
      <c r="C4" s="3">
        <v>2537490.088</v>
      </c>
      <c r="D4" s="66">
        <v>1801521.42</v>
      </c>
      <c r="E4" s="90">
        <f t="shared" ref="E4:E20" si="0">IFERROR((SUM(F4-D4)/D4),0)</f>
        <v>0.26040251578024531</v>
      </c>
      <c r="F4" s="66">
        <f>SUM(F6:F20)</f>
        <v>2270642.13</v>
      </c>
      <c r="G4" s="62">
        <f>SUM(G6:G20)</f>
        <v>16053</v>
      </c>
      <c r="H4" s="85">
        <f>AVERAGE(H5:H20)</f>
        <v>139.55785875107537</v>
      </c>
      <c r="I4" s="88">
        <f>SUM(I6:I20)</f>
        <v>856</v>
      </c>
      <c r="J4" s="28">
        <f t="shared" ref="J4:J20" si="1">I4/G4</f>
        <v>5.3323366348969038E-2</v>
      </c>
      <c r="K4" s="46">
        <f>I4+'Aug 27 - Sept 2'!I4+'Sept 3 - Sept 9'!I4+'Sept 10 - Sept 16'!I4+'Sept 17 - Sept 23'!I4+'Sept 24 - Sept 30'!I4+'Oct 1 - Oct 7'!I4+'Oct 8 - Oct 14'!I4+'Oct 15 - Oct 21'!I4+'Oct 22 - Oct 28'!I4+'Oct 29 - Nov 4'!I4</f>
        <v>11946</v>
      </c>
      <c r="L4" s="89">
        <f>K4/SUM(G4+'Aug 27 - Sept 2'!G4+'Sept 3 - Sept 9'!G4+'Sept 10 - Sept 16'!G4+'Sept 17 - Sept 23'!G4+'Sept 24 - Sept 30'!G4+'Oct 1 - Oct 7'!G4+'Oct 8 - Oct 14'!G4+'Oct 15 - Oct 21'!G4+'Oct 22 - Oct 28'!G4+'Oct 29 - Nov 4'!G4)</f>
        <v>6.8298762778146227E-2</v>
      </c>
      <c r="M4" s="66">
        <f>SUM(M6:M20)</f>
        <v>102619.34999999999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14'!I5+'Oct 15 - Oct 21'!I5+'Oct 22 - Oct 28'!I5+'Oct 29 - Nov 4'!I5</f>
        <v>0</v>
      </c>
      <c r="L5" s="89" t="e">
        <f>K5/SUM(G5+'Aug 27 - Sept 2'!G5+'Sept 3 - Sept 9'!G5+'Sept 10 - Sept 16'!G5+'Sept 17 - Sept 23'!G5+'Sept 24 - Sept 30'!G5+'Oct 1 - Oct 7'!G5+'Oct 8 - Oct 14'!G5+'Oct 15 - Oct 21'!G5+'Oct 22 - Oct 28'!G5+'Oct 29 - Nov 4'!G5)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264933.3775</v>
      </c>
      <c r="C6" s="18">
        <v>276248.63</v>
      </c>
      <c r="D6" s="73">
        <v>177081.9</v>
      </c>
      <c r="E6" s="86">
        <f t="shared" si="0"/>
        <v>0.30096215367013801</v>
      </c>
      <c r="F6" s="73">
        <v>230376.85</v>
      </c>
      <c r="G6" s="74">
        <v>1617</v>
      </c>
      <c r="H6" s="63">
        <f t="shared" ref="H6:H15" si="3">IFERROR(B6/G6,0)</f>
        <v>163.84253401360544</v>
      </c>
      <c r="I6" s="61">
        <v>74</v>
      </c>
      <c r="J6" s="28">
        <f t="shared" si="1"/>
        <v>4.5763760049474335E-2</v>
      </c>
      <c r="K6" s="46">
        <f>I6+'Aug 27 - Sept 2'!I6+'Sept 3 - Sept 9'!I6+'Sept 10 - Sept 16'!I6+'Sept 17 - Sept 23'!I6+'Sept 24 - Sept 30'!I6+'Oct 1 - Oct 7'!I6+'Oct 8 - Oct 14'!I6+'Oct 15 - Oct 21'!I6+'Oct 22 - Oct 28'!I6+'Oct 29 - Nov 4'!I6</f>
        <v>1024</v>
      </c>
      <c r="L6" s="89">
        <f>K6/SUM(G6+'Aug 27 - Sept 2'!G6+'Sept 3 - Sept 9'!G6+'Sept 10 - Sept 16'!G6+'Sept 17 - Sept 23'!G6+'Sept 24 - Sept 30'!G6+'Oct 1 - Oct 7'!G6+'Oct 8 - Oct 14'!G6+'Oct 15 - Oct 21'!G6+'Oct 22 - Oct 28'!G6+'Oct 29 - Nov 4'!G6)</f>
        <v>5.5864702673213314E-2</v>
      </c>
      <c r="M6" s="73">
        <v>16710.7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206979.18499999997</v>
      </c>
      <c r="C7" s="18">
        <v>171466.61</v>
      </c>
      <c r="D7" s="73">
        <v>155216</v>
      </c>
      <c r="E7" s="86">
        <f t="shared" si="0"/>
        <v>0.15955764869601069</v>
      </c>
      <c r="F7" s="73">
        <v>179981.9</v>
      </c>
      <c r="G7" s="74">
        <v>1408</v>
      </c>
      <c r="H7" s="63">
        <f t="shared" si="3"/>
        <v>147.00226207386362</v>
      </c>
      <c r="I7" s="61">
        <v>89</v>
      </c>
      <c r="J7" s="28">
        <f t="shared" si="1"/>
        <v>6.3210227272727279E-2</v>
      </c>
      <c r="K7" s="46">
        <f>I7+'Aug 27 - Sept 2'!I7+'Sept 3 - Sept 9'!I7+'Sept 10 - Sept 16'!I7+'Sept 17 - Sept 23'!I7+'Sept 24 - Sept 30'!I7+'Oct 1 - Oct 7'!I7+'Oct 8 - Oct 14'!I7+'Oct 15 - Oct 21'!I7+'Oct 22 - Oct 28'!I7+'Oct 29 - Nov 4'!I7</f>
        <v>1545</v>
      </c>
      <c r="L7" s="89">
        <f>K7/SUM(G7+'Aug 27 - Sept 2'!G7+'Sept 3 - Sept 9'!G7+'Sept 10 - Sept 16'!G7+'Sept 17 - Sept 23'!G7+'Sept 24 - Sept 30'!G7+'Oct 1 - Oct 7'!G7+'Oct 8 - Oct 14'!G7+'Oct 15 - Oct 21'!G7+'Oct 22 - Oct 28'!G7+'Oct 29 - Nov 4'!G7)</f>
        <v>0.12392716772278817</v>
      </c>
      <c r="M7" s="73">
        <v>18212.400000000001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133959.35999999999</v>
      </c>
      <c r="C8" s="18">
        <v>134255.715</v>
      </c>
      <c r="D8" s="73">
        <v>104402.39</v>
      </c>
      <c r="E8" s="86">
        <f t="shared" si="0"/>
        <v>0.11574457251409662</v>
      </c>
      <c r="F8" s="73">
        <v>116486.39999999999</v>
      </c>
      <c r="G8" s="74">
        <v>788</v>
      </c>
      <c r="H8" s="63">
        <f t="shared" si="3"/>
        <v>169.99918781725887</v>
      </c>
      <c r="I8" s="61">
        <v>81</v>
      </c>
      <c r="J8" s="28">
        <f t="shared" si="1"/>
        <v>0.10279187817258884</v>
      </c>
      <c r="K8" s="46">
        <f>I8+'Aug 27 - Sept 2'!I8+'Sept 3 - Sept 9'!I8+'Sept 10 - Sept 16'!I8+'Sept 17 - Sept 23'!I8+'Sept 24 - Sept 30'!I8+'Oct 1 - Oct 7'!I8+'Oct 8 - Oct 14'!I8+'Oct 15 - Oct 21'!I8+'Oct 22 - Oct 28'!I8+'Oct 29 - Nov 4'!I8</f>
        <v>715</v>
      </c>
      <c r="L8" s="89">
        <f>K8/SUM(G8+'Aug 27 - Sept 2'!G8+'Sept 3 - Sept 9'!G8+'Sept 10 - Sept 16'!G8+'Sept 17 - Sept 23'!G8+'Sept 24 - Sept 30'!G8+'Oct 1 - Oct 7'!G8+'Oct 8 - Oct 14'!G8+'Oct 15 - Oct 21'!G8+'Oct 22 - Oct 28'!G8+'Oct 29 - Nov 4'!G8)</f>
        <v>9.274873524451939E-2</v>
      </c>
      <c r="M8" s="73">
        <v>3289.05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370920.76999999996</v>
      </c>
      <c r="C9" s="18">
        <v>354419.42</v>
      </c>
      <c r="D9" s="73">
        <v>291843.17</v>
      </c>
      <c r="E9" s="86">
        <f t="shared" si="0"/>
        <v>0.10518193727130913</v>
      </c>
      <c r="F9" s="73">
        <v>322539.8</v>
      </c>
      <c r="G9" s="74">
        <v>2263</v>
      </c>
      <c r="H9" s="63">
        <f t="shared" si="3"/>
        <v>163.90665930181174</v>
      </c>
      <c r="I9" s="61">
        <v>104</v>
      </c>
      <c r="J9" s="28">
        <f t="shared" si="1"/>
        <v>4.5956694653115332E-2</v>
      </c>
      <c r="K9" s="46">
        <f>I9+'Aug 27 - Sept 2'!I9+'Sept 3 - Sept 9'!I9+'Sept 10 - Sept 16'!I9+'Sept 17 - Sept 23'!I9+'Sept 24 - Sept 30'!I9+'Oct 1 - Oct 7'!I9+'Oct 8 - Oct 14'!I9+'Oct 15 - Oct 21'!I9+'Oct 22 - Oct 28'!I9+'Oct 29 - Nov 4'!I9</f>
        <v>1758</v>
      </c>
      <c r="L9" s="89">
        <f>K9/SUM(G9+'Aug 27 - Sept 2'!G9+'Sept 3 - Sept 9'!G9+'Sept 10 - Sept 16'!G9+'Sept 17 - Sept 23'!G9+'Sept 24 - Sept 30'!G9+'Oct 1 - Oct 7'!G9+'Oct 8 - Oct 14'!G9+'Oct 15 - Oct 21'!G9+'Oct 22 - Oct 28'!G9+'Oct 29 - Nov 4'!G9)</f>
        <v>6.6971428571428571E-2</v>
      </c>
      <c r="M9" s="73">
        <v>10114.200000000001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14'!I10+'Oct 15 - Oct 21'!I10+'Oct 22 - Oct 28'!I10+'Oct 29 - Nov 4'!I10</f>
        <v>0</v>
      </c>
      <c r="L10" s="89" t="e">
        <f>K10/SUM(G10+'Aug 27 - Sept 2'!G10+'Sept 3 - Sept 9'!G10+'Sept 10 - Sept 16'!G10+'Sept 17 - Sept 23'!G10+'Sept 24 - Sept 30'!G10+'Oct 1 - Oct 7'!G10+'Oct 8 - Oct 14'!G10+'Oct 15 - Oct 21'!G10+'Oct 22 - Oct 28'!G10+'Oct 29 - Nov 4'!G10)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163666.84999999998</v>
      </c>
      <c r="C11" s="18">
        <v>144163.655</v>
      </c>
      <c r="D11" s="73">
        <v>139503.54999999999</v>
      </c>
      <c r="E11" s="86">
        <f t="shared" si="0"/>
        <v>2.0181923685813098E-2</v>
      </c>
      <c r="F11" s="73">
        <v>142319</v>
      </c>
      <c r="G11" s="74">
        <v>943</v>
      </c>
      <c r="H11" s="63">
        <f t="shared" si="3"/>
        <v>173.55975609756095</v>
      </c>
      <c r="I11" s="61">
        <v>43</v>
      </c>
      <c r="J11" s="28">
        <f t="shared" si="1"/>
        <v>4.5599151643690349E-2</v>
      </c>
      <c r="K11" s="46">
        <f>I11+'Aug 27 - Sept 2'!I11+'Sept 3 - Sept 9'!I11+'Sept 10 - Sept 16'!I11+'Sept 17 - Sept 23'!I11+'Sept 24 - Sept 30'!I11+'Oct 1 - Oct 7'!I11+'Oct 8 - Oct 14'!I11+'Oct 15 - Oct 21'!I11+'Oct 22 - Oct 28'!I11+'Oct 29 - Nov 4'!I11</f>
        <v>651</v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4'!G11)</f>
        <v>6.3271454951890363E-2</v>
      </c>
      <c r="M11" s="73">
        <v>3535.85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373813.71</v>
      </c>
      <c r="C12" s="18">
        <v>410965.38</v>
      </c>
      <c r="D12" s="73">
        <v>323410.5</v>
      </c>
      <c r="E12" s="86">
        <f t="shared" si="0"/>
        <v>5.0861057386820258E-3</v>
      </c>
      <c r="F12" s="73">
        <v>325055.40000000002</v>
      </c>
      <c r="G12" s="74">
        <v>2129</v>
      </c>
      <c r="H12" s="63">
        <f t="shared" si="3"/>
        <v>175.5818271488962</v>
      </c>
      <c r="I12" s="61">
        <v>117</v>
      </c>
      <c r="J12" s="28">
        <f t="shared" si="1"/>
        <v>5.495537811178957E-2</v>
      </c>
      <c r="K12" s="46">
        <f>I12+'Aug 27 - Sept 2'!I12+'Sept 3 - Sept 9'!I12+'Sept 10 - Sept 16'!I12+'Sept 17 - Sept 23'!I12+'Sept 24 - Sept 30'!I12+'Oct 1 - Oct 7'!I12+'Oct 8 - Oct 14'!I12+'Oct 15 - Oct 21'!I12+'Oct 22 - Oct 28'!I12+'Oct 29 - Nov 4'!I12</f>
        <v>1322</v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4'!G12)</f>
        <v>5.5318436689262701E-2</v>
      </c>
      <c r="M12" s="73">
        <v>10172.200000000001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147381.125</v>
      </c>
      <c r="C13" s="18">
        <v>158308.42499999999</v>
      </c>
      <c r="D13" s="73">
        <v>106049.44</v>
      </c>
      <c r="E13" s="86">
        <f t="shared" si="0"/>
        <v>0.20846937051247039</v>
      </c>
      <c r="F13" s="73">
        <v>128157.5</v>
      </c>
      <c r="G13" s="74">
        <v>1044</v>
      </c>
      <c r="H13" s="63">
        <f t="shared" si="3"/>
        <v>141.16965996168582</v>
      </c>
      <c r="I13" s="61">
        <v>58</v>
      </c>
      <c r="J13" s="28">
        <f t="shared" si="1"/>
        <v>5.5555555555555552E-2</v>
      </c>
      <c r="K13" s="46">
        <f>I13+'Aug 27 - Sept 2'!I13+'Sept 3 - Sept 9'!I13+'Sept 10 - Sept 16'!I13+'Sept 17 - Sept 23'!I13+'Sept 24 - Sept 30'!I13+'Oct 1 - Oct 7'!I13+'Oct 8 - Oct 14'!I13+'Oct 15 - Oct 21'!I13+'Oct 22 - Oct 28'!I13+'Oct 29 - Nov 4'!I13</f>
        <v>796</v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4'!G13)</f>
        <v>6.9422640851212275E-2</v>
      </c>
      <c r="M13" s="73">
        <v>9544.2000000000007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240838.74999999997</v>
      </c>
      <c r="C14" s="18">
        <v>252844.405</v>
      </c>
      <c r="D14" s="73">
        <v>173981.77</v>
      </c>
      <c r="E14" s="86">
        <f t="shared" si="0"/>
        <v>0.20371806770330025</v>
      </c>
      <c r="F14" s="73">
        <v>209425</v>
      </c>
      <c r="G14" s="74">
        <v>1601</v>
      </c>
      <c r="H14" s="63">
        <f t="shared" si="3"/>
        <v>150.43019987507805</v>
      </c>
      <c r="I14" s="61">
        <v>68</v>
      </c>
      <c r="J14" s="28">
        <f t="shared" si="1"/>
        <v>4.2473454091193005E-2</v>
      </c>
      <c r="K14" s="46">
        <f>I14+'Aug 27 - Sept 2'!I14+'Sept 3 - Sept 9'!I14+'Sept 10 - Sept 16'!I14+'Sept 17 - Sept 23'!I14+'Sept 24 - Sept 30'!I14+'Oct 1 - Oct 7'!I14+'Oct 8 - Oct 14'!I14+'Oct 15 - Oct 21'!I14+'Oct 22 - Oct 28'!I14+'Oct 29 - Nov 4'!I14</f>
        <v>1158</v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4'!G14)</f>
        <v>6.7010010994734096E-2</v>
      </c>
      <c r="M14" s="73">
        <v>8522.9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112869.48699999999</v>
      </c>
      <c r="C15" s="18">
        <v>92585.487999999983</v>
      </c>
      <c r="D15" s="73">
        <v>74986.8</v>
      </c>
      <c r="E15" s="86">
        <f t="shared" si="0"/>
        <v>0.3088620930617122</v>
      </c>
      <c r="F15" s="73">
        <v>98147.38</v>
      </c>
      <c r="G15" s="74">
        <v>652</v>
      </c>
      <c r="H15" s="63">
        <f t="shared" si="3"/>
        <v>173.11271012269938</v>
      </c>
      <c r="I15" s="61"/>
      <c r="J15" s="28">
        <f t="shared" si="1"/>
        <v>0</v>
      </c>
      <c r="K15" s="46">
        <f>I15+'Aug 27 - Sept 2'!I15+'Sept 3 - Sept 9'!I15+'Sept 10 - Sept 16'!I15+'Sept 17 - Sept 23'!I15+'Sept 24 - Sept 30'!I15+'Oct 1 - Oct 7'!I15+'Oct 8 - Oct 14'!I15+'Oct 15 - Oct 21'!I15+'Oct 22 - Oct 28'!I15+'Oct 29 - Nov 4'!I15</f>
        <v>0</v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4'!G15)</f>
        <v>0</v>
      </c>
      <c r="M15" s="73">
        <v>5629.5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14'!I16+'Oct 15 - Oct 21'!I16+'Oct 22 - Oct 28'!I16+'Oct 29 - Nov 4'!I16</f>
        <v>0</v>
      </c>
      <c r="L16" s="89" t="e">
        <f>K16/SUM(G16+'Aug 27 - Sept 2'!G16+'Sept 3 - Sept 9'!G16+'Sept 10 - Sept 16'!G16+'Sept 17 - Sept 23'!G16+'Sept 24 - Sept 30'!G16+'Oct 1 - Oct 7'!G16+'Oct 8 - Oct 14'!G16+'Oct 15 - Oct 21'!G16+'Oct 22 - Oct 28'!G16+'Oct 29 - Nov 4'!G16)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14'!I17+'Oct 15 - Oct 21'!I17+'Oct 22 - Oct 28'!I17+'Oct 29 - Nov 4'!I17</f>
        <v>0</v>
      </c>
      <c r="L17" s="89" t="e">
        <f>K17/SUM(G17+'Aug 27 - Sept 2'!G17+'Sept 3 - Sept 9'!G17+'Sept 10 - Sept 16'!G17+'Sept 17 - Sept 23'!G17+'Sept 24 - Sept 30'!G17+'Oct 1 - Oct 7'!G17+'Oct 8 - Oct 14'!G17+'Oct 15 - Oct 21'!G17+'Oct 22 - Oct 28'!G17+'Oct 29 - Nov 4'!G17)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189121.755</v>
      </c>
      <c r="C18" s="18">
        <v>197531.245</v>
      </c>
      <c r="D18" s="73">
        <v>138986</v>
      </c>
      <c r="E18" s="86">
        <f t="shared" si="0"/>
        <v>0.18323931906810767</v>
      </c>
      <c r="F18" s="73">
        <v>164453.70000000001</v>
      </c>
      <c r="G18" s="74">
        <v>1409</v>
      </c>
      <c r="H18" s="63">
        <f>IFERROR(B18/G18,0)</f>
        <v>134.22409865152591</v>
      </c>
      <c r="I18" s="61">
        <v>123</v>
      </c>
      <c r="J18" s="28">
        <f t="shared" si="1"/>
        <v>8.7295954577714691E-2</v>
      </c>
      <c r="K18" s="46">
        <f>I18+'Aug 27 - Sept 2'!I18+'Sept 3 - Sept 9'!I18+'Sept 10 - Sept 16'!I18+'Sept 17 - Sept 23'!I18+'Sept 24 - Sept 30'!I18+'Oct 1 - Oct 7'!I18+'Oct 8 - Oct 14'!I18+'Oct 15 - Oct 21'!I18+'Oct 22 - Oct 28'!I18+'Oct 29 - Nov 4'!I18</f>
        <v>1181</v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4'!G18)</f>
        <v>7.3766396002498444E-2</v>
      </c>
      <c r="M18" s="73">
        <v>2555.1999999999998</v>
      </c>
      <c r="N18" s="9"/>
    </row>
    <row r="19" spans="1:14" ht="15.6" customHeight="1" x14ac:dyDescent="0.3">
      <c r="A19" s="40" t="s">
        <v>27</v>
      </c>
      <c r="B19" s="18">
        <f t="shared" si="2"/>
        <v>128111.495</v>
      </c>
      <c r="C19" s="18">
        <v>129964.26</v>
      </c>
      <c r="D19" s="73">
        <v>116059.9</v>
      </c>
      <c r="E19" s="86">
        <f t="shared" si="0"/>
        <v>-4.0139617559553226E-2</v>
      </c>
      <c r="F19" s="73">
        <v>111401.3</v>
      </c>
      <c r="G19" s="74">
        <v>775</v>
      </c>
      <c r="H19" s="63">
        <f>IFERROR(B19/G19,0)</f>
        <v>165.30515483870968</v>
      </c>
      <c r="I19" s="61">
        <v>31</v>
      </c>
      <c r="J19" s="28">
        <f t="shared" si="1"/>
        <v>0.04</v>
      </c>
      <c r="K19" s="46">
        <f>I19+'Aug 27 - Sept 2'!I19+'Sept 3 - Sept 9'!I19+'Sept 10 - Sept 16'!I19+'Sept 17 - Sept 23'!I19+'Sept 24 - Sept 30'!I19+'Oct 1 - Oct 7'!I19+'Oct 8 - Oct 14'!I19+'Oct 15 - Oct 21'!I19+'Oct 22 - Oct 28'!I19+'Oct 29 - Nov 4'!I19</f>
        <v>636</v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4'!G19)</f>
        <v>6.4184075083257644E-2</v>
      </c>
      <c r="M19" s="73">
        <v>3768.5</v>
      </c>
      <c r="N19" s="9"/>
    </row>
    <row r="20" spans="1:14" ht="15.6" customHeight="1" x14ac:dyDescent="0.3">
      <c r="A20" s="40" t="s">
        <v>28</v>
      </c>
      <c r="B20" s="18">
        <f t="shared" si="2"/>
        <v>278642.58499999996</v>
      </c>
      <c r="C20" s="18">
        <v>214736.85500000001</v>
      </c>
      <c r="D20" s="73">
        <v>0</v>
      </c>
      <c r="E20" s="86">
        <f t="shared" si="0"/>
        <v>0</v>
      </c>
      <c r="F20" s="73">
        <v>242297.9</v>
      </c>
      <c r="G20" s="74">
        <v>1424</v>
      </c>
      <c r="H20" s="63">
        <f>IFERROR(B20/G20,0)</f>
        <v>195.67597261235952</v>
      </c>
      <c r="I20" s="74">
        <v>68</v>
      </c>
      <c r="J20" s="28">
        <f t="shared" si="1"/>
        <v>4.7752808988764044E-2</v>
      </c>
      <c r="K20" s="46">
        <f>I20+'Aug 27 - Sept 2'!I20+'Sept 3 - Sept 9'!I20+'Sept 10 - Sept 16'!I20+'Sept 17 - Sept 23'!I20+'Sept 24 - Sept 30'!I20+'Oct 1 - Oct 7'!I20+'Oct 8 - Oct 14'!I20+'Oct 15 - Oct 21'!I20+'Oct 22 - Oct 28'!I20+'Oct 29 - Nov 4'!I20</f>
        <v>1160</v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4'!G20)</f>
        <v>7.437804565273147E-2</v>
      </c>
      <c r="M20" s="73">
        <v>10564.65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0.17604691838051045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2763099.6869999999</v>
      </c>
      <c r="C4" s="3">
        <v>2498368.9624999999</v>
      </c>
      <c r="D4" s="66">
        <v>1847434.61</v>
      </c>
      <c r="E4" s="90">
        <f t="shared" ref="E4:E20" si="0">IFERROR((SUM(F4-D4)/D4),0)</f>
        <v>0.3005577393616114</v>
      </c>
      <c r="F4" s="66">
        <f>SUM(F6:F20)</f>
        <v>2402695.3800000004</v>
      </c>
      <c r="G4" s="62">
        <f>SUM(G6:G20)</f>
        <v>17293</v>
      </c>
      <c r="H4" s="85">
        <f>AVERAGE(H5:H20)</f>
        <v>138.03630782589497</v>
      </c>
      <c r="I4" s="88">
        <f>SUM(I6:I20)</f>
        <v>943</v>
      </c>
      <c r="J4" s="28">
        <f t="shared" ref="J4:J20" si="1">I4/G4</f>
        <v>5.453073497947146E-2</v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</f>
        <v>12889</v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11'!G4)</f>
        <v>6.7060004890713371E-2</v>
      </c>
      <c r="M4" s="66">
        <f>SUM(M6:M20)</f>
        <v>86427.439999999988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</f>
        <v>0</v>
      </c>
      <c r="L5" s="89" t="e">
        <f>K5/SUM(G5+'Aug 27 - Sept 2'!G5+'Sept 3 - Sept 9'!G5+'Sept 10 - Sept 16'!G5+'Sept 17 - Sept 23'!G5+'Sept 24 - Sept 30'!G5+'Oct 1 - Oct 7'!G5+'Oct 8 - Oct 14'!G5+'Oct 15 - Oct 21'!G5+'Oct 22 - Oct 28'!G5+'Oct 29 - Nov 4'!G5+'Nov 5 - Nov 11'!G5)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265106.27999999997</v>
      </c>
      <c r="C6" s="18">
        <v>264933.3775</v>
      </c>
      <c r="D6" s="73">
        <v>202857.5</v>
      </c>
      <c r="E6" s="86">
        <f t="shared" si="0"/>
        <v>0.13639968943716654</v>
      </c>
      <c r="F6" s="73">
        <v>230527.2</v>
      </c>
      <c r="G6" s="74">
        <v>1657</v>
      </c>
      <c r="H6" s="63">
        <f t="shared" ref="H6:H15" si="3">IFERROR(B6/G6,0)</f>
        <v>159.99171997585998</v>
      </c>
      <c r="I6" s="61">
        <v>84</v>
      </c>
      <c r="J6" s="28">
        <f t="shared" si="1"/>
        <v>5.0694025347012672E-2</v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</f>
        <v>1108</v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11'!G6)</f>
        <v>5.5436033421724124E-2</v>
      </c>
      <c r="M6" s="73">
        <v>9262.5499999999993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360287.755</v>
      </c>
      <c r="C7" s="18">
        <v>206979.185</v>
      </c>
      <c r="D7" s="73">
        <v>183476.04</v>
      </c>
      <c r="E7" s="86">
        <f t="shared" si="0"/>
        <v>0.70754557379808281</v>
      </c>
      <c r="F7" s="73">
        <v>313293.7</v>
      </c>
      <c r="G7" s="74">
        <v>2167</v>
      </c>
      <c r="H7" s="63">
        <f t="shared" si="3"/>
        <v>166.26107752653439</v>
      </c>
      <c r="I7" s="61">
        <v>102</v>
      </c>
      <c r="J7" s="28">
        <f t="shared" si="1"/>
        <v>4.7069681587448085E-2</v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</f>
        <v>1647</v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11'!G7)</f>
        <v>0.11254612546125461</v>
      </c>
      <c r="M7" s="73">
        <v>12889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139381.26499999998</v>
      </c>
      <c r="C8" s="18">
        <v>133959.35999999999</v>
      </c>
      <c r="D8" s="73">
        <v>102243.3</v>
      </c>
      <c r="E8" s="86">
        <f t="shared" si="0"/>
        <v>0.18541850664053294</v>
      </c>
      <c r="F8" s="73">
        <v>121201.1</v>
      </c>
      <c r="G8" s="74">
        <v>827</v>
      </c>
      <c r="H8" s="63">
        <f t="shared" si="3"/>
        <v>168.53840991535668</v>
      </c>
      <c r="I8" s="61">
        <v>48</v>
      </c>
      <c r="J8" s="28">
        <f t="shared" si="1"/>
        <v>5.8041112454655382E-2</v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</f>
        <v>763</v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11'!G8)</f>
        <v>8.9386129334582939E-2</v>
      </c>
      <c r="M8" s="73">
        <v>5261.3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407491.80499999999</v>
      </c>
      <c r="C9" s="18">
        <v>370920.77</v>
      </c>
      <c r="D9" s="73">
        <v>275301.94</v>
      </c>
      <c r="E9" s="86">
        <f t="shared" si="0"/>
        <v>0.28709844907013737</v>
      </c>
      <c r="F9" s="73">
        <v>354340.7</v>
      </c>
      <c r="G9" s="74">
        <v>2430</v>
      </c>
      <c r="H9" s="63">
        <f t="shared" si="3"/>
        <v>167.69210082304525</v>
      </c>
      <c r="I9" s="61">
        <v>96</v>
      </c>
      <c r="J9" s="28">
        <f t="shared" si="1"/>
        <v>3.9506172839506172E-2</v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</f>
        <v>1854</v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11'!G9)</f>
        <v>6.4644351464435146E-2</v>
      </c>
      <c r="M9" s="73">
        <v>8258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</f>
        <v>0</v>
      </c>
      <c r="L10" s="89" t="e">
        <f>K10/SUM(G10+'Aug 27 - Sept 2'!G10+'Sept 3 - Sept 9'!G10+'Sept 10 - Sept 16'!G10+'Sept 17 - Sept 23'!G10+'Sept 24 - Sept 30'!G10+'Oct 1 - Oct 7'!G10+'Oct 8 - Oct 14'!G10+'Oct 15 - Oct 21'!G10+'Oct 22 - Oct 28'!G10+'Oct 29 - Nov 4'!G10+'Nov 5 - Nov 11'!G10)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154091.14499999996</v>
      </c>
      <c r="C11" s="18">
        <v>163666.85</v>
      </c>
      <c r="D11" s="73">
        <v>133657.29999999999</v>
      </c>
      <c r="E11" s="86">
        <f t="shared" si="0"/>
        <v>2.5064100501805738E-3</v>
      </c>
      <c r="F11" s="73">
        <v>133992.29999999999</v>
      </c>
      <c r="G11" s="74">
        <v>895</v>
      </c>
      <c r="H11" s="63">
        <f t="shared" si="3"/>
        <v>172.16887709497203</v>
      </c>
      <c r="I11" s="61">
        <v>72</v>
      </c>
      <c r="J11" s="28">
        <f t="shared" si="1"/>
        <v>8.0446927374301674E-2</v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</f>
        <v>723</v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11'!G11)</f>
        <v>6.4645922746781118E-2</v>
      </c>
      <c r="M11" s="73">
        <v>3261.5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356250.10499999998</v>
      </c>
      <c r="C12" s="18">
        <v>373813.71</v>
      </c>
      <c r="D12" s="73">
        <v>310506.40000000002</v>
      </c>
      <c r="E12" s="86">
        <f t="shared" si="0"/>
        <v>-2.3307088034256671E-3</v>
      </c>
      <c r="F12" s="73">
        <v>309782.7</v>
      </c>
      <c r="G12" s="74">
        <v>2128</v>
      </c>
      <c r="H12" s="63">
        <f t="shared" si="3"/>
        <v>167.41076362781953</v>
      </c>
      <c r="I12" s="61">
        <v>106</v>
      </c>
      <c r="J12" s="28">
        <f t="shared" si="1"/>
        <v>4.9812030075187967E-2</v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</f>
        <v>1428</v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11'!G12)</f>
        <v>5.4868208714362564E-2</v>
      </c>
      <c r="M12" s="73">
        <v>9439.65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157750.44499999998</v>
      </c>
      <c r="C13" s="18">
        <v>147381.125</v>
      </c>
      <c r="D13" s="73">
        <v>105931.3</v>
      </c>
      <c r="E13" s="86">
        <f t="shared" si="0"/>
        <v>0.2949364352179194</v>
      </c>
      <c r="F13" s="73">
        <v>137174.29999999999</v>
      </c>
      <c r="G13" s="74">
        <v>1139</v>
      </c>
      <c r="H13" s="63">
        <f t="shared" si="3"/>
        <v>138.49907374890253</v>
      </c>
      <c r="I13" s="61">
        <v>47</v>
      </c>
      <c r="J13" s="28">
        <f t="shared" si="1"/>
        <v>4.1264266900790166E-2</v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</f>
        <v>843</v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11'!G13)</f>
        <v>6.6878222927409761E-2</v>
      </c>
      <c r="M13" s="73">
        <v>7576.8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229878.44499999998</v>
      </c>
      <c r="C14" s="18">
        <v>240838.75</v>
      </c>
      <c r="D14" s="73">
        <v>190299.1</v>
      </c>
      <c r="E14" s="86">
        <f t="shared" si="0"/>
        <v>5.0421678294852591E-2</v>
      </c>
      <c r="F14" s="73">
        <v>199894.3</v>
      </c>
      <c r="G14" s="74">
        <v>1553</v>
      </c>
      <c r="H14" s="63">
        <f t="shared" si="3"/>
        <v>148.02217965228587</v>
      </c>
      <c r="I14" s="61">
        <v>103</v>
      </c>
      <c r="J14" s="28">
        <f t="shared" si="1"/>
        <v>6.6323245331616223E-2</v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</f>
        <v>1261</v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11'!G14)</f>
        <v>6.695338218116173E-2</v>
      </c>
      <c r="M14" s="73">
        <v>6204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103075.98349999999</v>
      </c>
      <c r="C15" s="18">
        <v>0</v>
      </c>
      <c r="D15" s="73">
        <v>85948.17</v>
      </c>
      <c r="E15" s="86">
        <f t="shared" si="0"/>
        <v>4.2852803032339085E-2</v>
      </c>
      <c r="F15" s="73">
        <v>89631.29</v>
      </c>
      <c r="G15" s="74">
        <v>547</v>
      </c>
      <c r="H15" s="63">
        <f t="shared" si="3"/>
        <v>188.43872669104204</v>
      </c>
      <c r="I15" s="61"/>
      <c r="J15" s="28">
        <f t="shared" si="1"/>
        <v>0</v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</f>
        <v>0</v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11'!G15)</f>
        <v>0</v>
      </c>
      <c r="M15" s="73">
        <v>3898.09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</f>
        <v>0</v>
      </c>
      <c r="L16" s="89" t="e">
        <f>K16/SUM(G16+'Aug 27 - Sept 2'!G16+'Sept 3 - Sept 9'!G16+'Sept 10 - Sept 16'!G16+'Sept 17 - Sept 23'!G16+'Sept 24 - Sept 30'!G16+'Oct 1 - Oct 7'!G16+'Oct 8 - Oct 14'!G16+'Oct 15 - Oct 21'!G16+'Oct 22 - Oct 28'!G16+'Oct 29 - Nov 4'!G16+'Nov 5 - Nov 11'!G16)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</f>
        <v>0</v>
      </c>
      <c r="L17" s="89" t="e">
        <f>K17/SUM(G17+'Aug 27 - Sept 2'!G17+'Sept 3 - Sept 9'!G17+'Sept 10 - Sept 16'!G17+'Sept 17 - Sept 23'!G17+'Sept 24 - Sept 30'!G17+'Oct 1 - Oct 7'!G17+'Oct 8 - Oct 14'!G17+'Oct 15 - Oct 21'!G17+'Oct 22 - Oct 28'!G17+'Oct 29 - Nov 4'!G17+'Nov 5 - Nov 11'!G17)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177667.52499999999</v>
      </c>
      <c r="C18" s="18">
        <v>189121.755</v>
      </c>
      <c r="D18" s="73">
        <v>131313.1</v>
      </c>
      <c r="E18" s="86">
        <f t="shared" si="0"/>
        <v>0.17652770363352926</v>
      </c>
      <c r="F18" s="73">
        <v>154493.5</v>
      </c>
      <c r="G18" s="74">
        <v>1403</v>
      </c>
      <c r="H18" s="63">
        <f>IFERROR(B18/G18,0)</f>
        <v>126.63401639344262</v>
      </c>
      <c r="I18" s="61">
        <v>134</v>
      </c>
      <c r="J18" s="28">
        <f t="shared" si="1"/>
        <v>9.5509622238061295E-2</v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</f>
        <v>1315</v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11'!G18)</f>
        <v>7.5518290932062249E-2</v>
      </c>
      <c r="M18" s="73">
        <v>3625.9</v>
      </c>
      <c r="N18" s="9"/>
    </row>
    <row r="19" spans="1:14" ht="15.6" customHeight="1" x14ac:dyDescent="0.3">
      <c r="A19" s="40" t="s">
        <v>27</v>
      </c>
      <c r="B19" s="18">
        <f t="shared" si="2"/>
        <v>147589.49349999998</v>
      </c>
      <c r="C19" s="18">
        <v>128111.495</v>
      </c>
      <c r="D19" s="73">
        <v>125900.46</v>
      </c>
      <c r="E19" s="86">
        <f t="shared" si="0"/>
        <v>1.9366331147638347E-2</v>
      </c>
      <c r="F19" s="73">
        <v>128338.69</v>
      </c>
      <c r="G19" s="74">
        <v>856</v>
      </c>
      <c r="H19" s="63">
        <f>IFERROR(B19/G19,0)</f>
        <v>172.41763259345791</v>
      </c>
      <c r="I19" s="61">
        <v>43</v>
      </c>
      <c r="J19" s="28">
        <f t="shared" si="1"/>
        <v>5.0233644859813083E-2</v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</f>
        <v>679</v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11'!G19)</f>
        <v>6.3074779377612633E-2</v>
      </c>
      <c r="M19" s="73">
        <v>5267.25</v>
      </c>
      <c r="N19" s="9"/>
    </row>
    <row r="20" spans="1:14" ht="15.6" customHeight="1" x14ac:dyDescent="0.3">
      <c r="A20" s="40" t="s">
        <v>28</v>
      </c>
      <c r="B20" s="18">
        <f t="shared" si="2"/>
        <v>264529.44</v>
      </c>
      <c r="C20" s="18">
        <v>278642.58500000002</v>
      </c>
      <c r="D20" s="73">
        <v>0</v>
      </c>
      <c r="E20" s="86">
        <f t="shared" si="0"/>
        <v>0</v>
      </c>
      <c r="F20" s="73">
        <v>230025.60000000001</v>
      </c>
      <c r="G20" s="74">
        <v>1691</v>
      </c>
      <c r="H20" s="63">
        <f>IFERROR(B20/G20,0)</f>
        <v>156.43373151981078</v>
      </c>
      <c r="I20" s="74">
        <v>108</v>
      </c>
      <c r="J20" s="28">
        <f t="shared" si="1"/>
        <v>6.3867534003548193E-2</v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</f>
        <v>1268</v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11'!G20)</f>
        <v>7.3349916121941347E-2</v>
      </c>
      <c r="M20" s="73">
        <v>11483.4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397"/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C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9" width="9.6640625" style="69" customWidth="1"/>
    <col min="10" max="10" width="9.6640625" style="69" hidden="1" customWidth="1"/>
    <col min="11" max="11" width="9.33203125" style="69" hidden="1" customWidth="1"/>
    <col min="12" max="12" width="15.44140625" style="69" hidden="1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8.1428667136697344E-2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2781195.1899999995</v>
      </c>
      <c r="C4" s="3">
        <v>2763099.6869999999</v>
      </c>
      <c r="D4" s="66">
        <v>2029682.86</v>
      </c>
      <c r="E4" s="90">
        <f t="shared" ref="E4:E20" si="0">IFERROR((SUM(F4-D4)/D4),0)</f>
        <v>0.19153127203330669</v>
      </c>
      <c r="F4" s="66">
        <f>SUM(F6:F20)</f>
        <v>2418430.6</v>
      </c>
      <c r="G4" s="62">
        <f>SUM(G6:G20)</f>
        <v>18002</v>
      </c>
      <c r="H4" s="85">
        <f>AVERAGE(H5:H20)</f>
        <v>135.48789036415488</v>
      </c>
      <c r="I4" s="88">
        <f>SUM(I6:I20)</f>
        <v>421</v>
      </c>
      <c r="J4" s="28">
        <f t="shared" ref="J4:J20" si="1">I4/G4</f>
        <v>2.3386290412176425E-2</v>
      </c>
      <c r="K4" s="46">
        <f>I4+'Aug 27 - Sept 2'!I4+'Sept 3 - Sept 9'!I4+'Sept 10 - Sept 16'!I4+'Sept 17 - Sept 23'!I4+'Sept 24 - Sept 30'!I4+'Oct 1 - Oct 7'!I4+'Oct 8 - Oct 14'!I4+'Oct 15 - Oct 21'!I4+'Oct 22 - Oct 28'!I4+'Oct 29 - Nov 4'!I4+'Nov 5 - Nov 11'!I4+'Nov 12 - Nov 18'!I4</f>
        <v>13310</v>
      </c>
      <c r="L4" s="89">
        <f>K4/SUM(G4+'Aug 27 - Sept 2'!G4+'Sept 3 - Sept 9'!G4+'Sept 10 - Sept 16'!G4+'Sept 17 - Sept 23'!G4+'Sept 24 - Sept 30'!G4+'Oct 1 - Oct 7'!G4+'Oct 8 - Oct 14'!G4+'Oct 15 - Oct 21'!G4+'Oct 22 - Oct 28'!G4+'Oct 29 - Nov 4'!G4+'Nov 5 - Nov 11'!G4+'Nov 12 - Nov 18'!G4)</f>
        <v>6.3319743295766479E-2</v>
      </c>
      <c r="M4" s="66">
        <f>SUM(M6:M20)</f>
        <v>95467.71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I5+'Aug 27 - Sept 2'!I5+'Sept 3 - Sept 9'!I5+'Sept 10 - Sept 16'!I5+'Sept 17 - Sept 23'!I5+'Sept 24 - Sept 30'!I5+'Oct 1 - Oct 7'!I5+'Oct 8 - Oct 14'!I5+'Oct 15 - Oct 21'!I5+'Oct 22 - Oct 28'!I5+'Oct 29 - Nov 4'!I5+'Nov 5 - Nov 11'!I5+'Nov 12 - Nov 18'!I5</f>
        <v>0</v>
      </c>
      <c r="L5" s="89" t="e">
        <f>K5/SUM(G5+'Aug 27 - Sept 2'!G5+'Sept 3 - Sept 9'!G5+'Sept 10 - Sept 16'!G5+'Sept 17 - Sept 23'!G5+'Sept 24 - Sept 30'!G5+'Oct 1 - Oct 7'!G5+'Oct 8 - Oct 14'!G5+'Oct 15 - Oct 21'!G5+'Oct 22 - Oct 28'!G5+'Oct 29 - Nov 4'!G5+'Nov 5 - Nov 11'!G5+'Nov 12 - Nov 18'!G5)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295437.90949999995</v>
      </c>
      <c r="C6" s="18">
        <v>265106.28000000003</v>
      </c>
      <c r="D6" s="73">
        <v>225596.02</v>
      </c>
      <c r="E6" s="86">
        <f t="shared" si="0"/>
        <v>0.13877243933647415</v>
      </c>
      <c r="F6" s="73">
        <v>256902.53</v>
      </c>
      <c r="G6" s="74">
        <v>1896</v>
      </c>
      <c r="H6" s="63">
        <f t="shared" ref="H6:H15" si="3">IFERROR(B6/G6,0)</f>
        <v>155.82168222573836</v>
      </c>
      <c r="I6" s="61">
        <v>58</v>
      </c>
      <c r="J6" s="28">
        <f t="shared" si="1"/>
        <v>3.059071729957806E-2</v>
      </c>
      <c r="K6" s="46">
        <f>I6+'Aug 27 - Sept 2'!I6+'Sept 3 - Sept 9'!I6+'Sept 10 - Sept 16'!I6+'Sept 17 - Sept 23'!I6+'Sept 24 - Sept 30'!I6+'Oct 1 - Oct 7'!I6+'Oct 8 - Oct 14'!I6+'Oct 15 - Oct 21'!I6+'Oct 22 - Oct 28'!I6+'Oct 29 - Nov 4'!I6+'Nov 5 - Nov 11'!I6+'Nov 12 - Nov 18'!I6</f>
        <v>1166</v>
      </c>
      <c r="L6" s="89">
        <f>K6/SUM(G6+'Aug 27 - Sept 2'!G6+'Sept 3 - Sept 9'!G6+'Sept 10 - Sept 16'!G6+'Sept 17 - Sept 23'!G6+'Sept 24 - Sept 30'!G6+'Oct 1 - Oct 7'!G6+'Oct 8 - Oct 14'!G6+'Oct 15 - Oct 21'!G6+'Oct 22 - Oct 28'!G6+'Oct 29 - Nov 4'!G6+'Nov 5 - Nov 11'!G6+'Nov 12 - Nov 18'!G6)</f>
        <v>5.3283370653018323E-2</v>
      </c>
      <c r="M6" s="73">
        <v>8386.26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282225.58249999996</v>
      </c>
      <c r="C7" s="18">
        <v>360287.755</v>
      </c>
      <c r="D7" s="73">
        <v>212727.33</v>
      </c>
      <c r="E7" s="86">
        <f t="shared" si="0"/>
        <v>0.15365312957202068</v>
      </c>
      <c r="F7" s="73">
        <v>245413.55</v>
      </c>
      <c r="G7" s="74">
        <v>2190</v>
      </c>
      <c r="H7" s="63">
        <f t="shared" si="3"/>
        <v>128.87012899543376</v>
      </c>
      <c r="I7" s="61">
        <v>44</v>
      </c>
      <c r="J7" s="28">
        <f t="shared" si="1"/>
        <v>2.0091324200913242E-2</v>
      </c>
      <c r="K7" s="46">
        <f>I7+'Aug 27 - Sept 2'!I7+'Sept 3 - Sept 9'!I7+'Sept 10 - Sept 16'!I7+'Sept 17 - Sept 23'!I7+'Sept 24 - Sept 30'!I7+'Oct 1 - Oct 7'!I7+'Oct 8 - Oct 14'!I7+'Oct 15 - Oct 21'!I7+'Oct 22 - Oct 28'!I7+'Oct 29 - Nov 4'!I7+'Nov 5 - Nov 11'!I7+'Nov 12 - Nov 18'!I7</f>
        <v>1691</v>
      </c>
      <c r="L7" s="89">
        <f>K7/SUM(G7+'Aug 27 - Sept 2'!G7+'Sept 3 - Sept 9'!G7+'Sept 10 - Sept 16'!G7+'Sept 17 - Sept 23'!G7+'Sept 24 - Sept 30'!G7+'Oct 1 - Oct 7'!G7+'Oct 8 - Oct 14'!G7+'Oct 15 - Oct 21'!G7+'Oct 22 - Oct 28'!G7+'Oct 29 - Nov 4'!G7+'Nov 5 - Nov 11'!G7+'Nov 12 - Nov 18'!G7)</f>
        <v>0.10051117451260104</v>
      </c>
      <c r="M7" s="73">
        <v>8980.6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157500.54999999999</v>
      </c>
      <c r="C8" s="18">
        <v>139381.26500000001</v>
      </c>
      <c r="D8" s="73">
        <v>135603.13</v>
      </c>
      <c r="E8" s="86">
        <f t="shared" si="0"/>
        <v>9.9840615773396629E-3</v>
      </c>
      <c r="F8" s="73">
        <v>136957</v>
      </c>
      <c r="G8" s="74">
        <v>948</v>
      </c>
      <c r="H8" s="63">
        <f t="shared" si="3"/>
        <v>166.13982067510548</v>
      </c>
      <c r="I8" s="61">
        <v>24</v>
      </c>
      <c r="J8" s="28">
        <f t="shared" si="1"/>
        <v>2.5316455696202531E-2</v>
      </c>
      <c r="K8" s="46">
        <f>I8+'Aug 27 - Sept 2'!I8+'Sept 3 - Sept 9'!I8+'Sept 10 - Sept 16'!I8+'Sept 17 - Sept 23'!I8+'Sept 24 - Sept 30'!I8+'Oct 1 - Oct 7'!I8+'Oct 8 - Oct 14'!I8+'Oct 15 - Oct 21'!I8+'Oct 22 - Oct 28'!I8+'Oct 29 - Nov 4'!I8+'Nov 5 - Nov 11'!I8+'Nov 12 - Nov 18'!I8</f>
        <v>787</v>
      </c>
      <c r="L8" s="89">
        <f>K8/SUM(G8+'Aug 27 - Sept 2'!G8+'Sept 3 - Sept 9'!G8+'Sept 10 - Sept 16'!G8+'Sept 17 - Sept 23'!G8+'Sept 24 - Sept 30'!G8+'Oct 1 - Oct 7'!G8+'Oct 8 - Oct 14'!G8+'Oct 15 - Oct 21'!G8+'Oct 22 - Oct 28'!G8+'Oct 29 - Nov 4'!G8+'Nov 5 - Nov 11'!G8+'Nov 12 - Nov 18'!G8)</f>
        <v>8.2981864192323909E-2</v>
      </c>
      <c r="M8" s="73">
        <v>4774.1000000000004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412131.29599999997</v>
      </c>
      <c r="C9" s="18">
        <v>407491.80499999999</v>
      </c>
      <c r="D9" s="73">
        <v>298303.35999999999</v>
      </c>
      <c r="E9" s="86">
        <f t="shared" si="0"/>
        <v>0.20137781887538911</v>
      </c>
      <c r="F9" s="73">
        <v>358375.04</v>
      </c>
      <c r="G9" s="74">
        <v>2480</v>
      </c>
      <c r="H9" s="63">
        <f t="shared" si="3"/>
        <v>166.18197419354837</v>
      </c>
      <c r="I9" s="61">
        <v>56</v>
      </c>
      <c r="J9" s="28">
        <f t="shared" si="1"/>
        <v>2.2580645161290321E-2</v>
      </c>
      <c r="K9" s="46">
        <f>I9+'Aug 27 - Sept 2'!I9+'Sept 3 - Sept 9'!I9+'Sept 10 - Sept 16'!I9+'Sept 17 - Sept 23'!I9+'Sept 24 - Sept 30'!I9+'Oct 1 - Oct 7'!I9+'Oct 8 - Oct 14'!I9+'Oct 15 - Oct 21'!I9+'Oct 22 - Oct 28'!I9+'Oct 29 - Nov 4'!I9+'Nov 5 - Nov 11'!I9+'Nov 12 - Nov 18'!I9</f>
        <v>1910</v>
      </c>
      <c r="L9" s="89">
        <f>K9/SUM(G9+'Aug 27 - Sept 2'!G9+'Sept 3 - Sept 9'!G9+'Sept 10 - Sept 16'!G9+'Sept 17 - Sept 23'!G9+'Sept 24 - Sept 30'!G9+'Oct 1 - Oct 7'!G9+'Oct 8 - Oct 14'!G9+'Oct 15 - Oct 21'!G9+'Oct 22 - Oct 28'!G9+'Oct 29 - Nov 4'!G9+'Nov 5 - Nov 11'!G9+'Nov 12 - Nov 18'!G9)</f>
        <v>6.1296534017971756E-2</v>
      </c>
      <c r="M9" s="73">
        <v>10662.35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I10+'Aug 27 - Sept 2'!I10+'Sept 3 - Sept 9'!I10+'Sept 10 - Sept 16'!I10+'Sept 17 - Sept 23'!I10+'Sept 24 - Sept 30'!I10+'Oct 1 - Oct 7'!I10+'Oct 8 - Oct 14'!I10+'Oct 15 - Oct 21'!I10+'Oct 22 - Oct 28'!I10+'Oct 29 - Nov 4'!I10+'Nov 5 - Nov 11'!I10+'Nov 12 - Nov 18'!I10</f>
        <v>0</v>
      </c>
      <c r="L10" s="89" t="e">
        <f>K10/SUM(G10+'Aug 27 - Sept 2'!G10+'Sept 3 - Sept 9'!G10+'Sept 10 - Sept 16'!G10+'Sept 17 - Sept 23'!G10+'Sept 24 - Sept 30'!G10+'Oct 1 - Oct 7'!G10+'Oct 8 - Oct 14'!G10+'Oct 15 - Oct 21'!G10+'Oct 22 - Oct 28'!G10+'Oct 29 - Nov 4'!G10+'Nov 5 - Nov 11'!G10+'Nov 12 - Nov 18'!G10)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163572.14749999999</v>
      </c>
      <c r="C11" s="18">
        <v>154091.14499999999</v>
      </c>
      <c r="D11" s="73">
        <v>140595.29999999999</v>
      </c>
      <c r="E11" s="86">
        <f t="shared" si="0"/>
        <v>1.1674287831812343E-2</v>
      </c>
      <c r="F11" s="73">
        <v>142236.65</v>
      </c>
      <c r="G11" s="74">
        <v>995</v>
      </c>
      <c r="H11" s="63">
        <f t="shared" si="3"/>
        <v>164.39411809045225</v>
      </c>
      <c r="I11" s="61">
        <v>32</v>
      </c>
      <c r="J11" s="28">
        <f t="shared" si="1"/>
        <v>3.2160804020100506E-2</v>
      </c>
      <c r="K11" s="46">
        <f>I11+'Aug 27 - Sept 2'!I11+'Sept 3 - Sept 9'!I11+'Sept 10 - Sept 16'!I11+'Sept 17 - Sept 23'!I11+'Sept 24 - Sept 30'!I11+'Oct 1 - Oct 7'!I11+'Oct 8 - Oct 14'!I11+'Oct 15 - Oct 21'!I11+'Oct 22 - Oct 28'!I11+'Oct 29 - Nov 4'!I11+'Nov 5 - Nov 11'!I11+'Nov 12 - Nov 18'!I11</f>
        <v>755</v>
      </c>
      <c r="L11" s="89">
        <f>K11/SUM(G11+'Aug 27 - Sept 2'!G11+'Sept 3 - Sept 9'!G11+'Sept 10 - Sept 16'!G11+'Sept 17 - Sept 23'!G11+'Sept 24 - Sept 30'!G11+'Oct 1 - Oct 7'!G11+'Oct 8 - Oct 14'!G11+'Oct 15 - Oct 21'!G11+'Oct 22 - Oct 28'!G11+'Oct 29 - Nov 4'!G11+'Nov 5 - Nov 11'!G11+'Nov 12 - Nov 18'!G11)</f>
        <v>6.1991953362345018E-2</v>
      </c>
      <c r="M11" s="73">
        <v>7892.5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366360.42200000002</v>
      </c>
      <c r="C12" s="18">
        <v>356250.10499999998</v>
      </c>
      <c r="D12" s="73">
        <v>352327.48</v>
      </c>
      <c r="E12" s="86">
        <f t="shared" si="0"/>
        <v>-9.5800645467676707E-2</v>
      </c>
      <c r="F12" s="73">
        <v>318574.28000000003</v>
      </c>
      <c r="G12" s="74">
        <v>2215</v>
      </c>
      <c r="H12" s="63">
        <f t="shared" si="3"/>
        <v>165.39973905191874</v>
      </c>
      <c r="I12" s="61">
        <v>59</v>
      </c>
      <c r="J12" s="28">
        <f t="shared" si="1"/>
        <v>2.6636568848758466E-2</v>
      </c>
      <c r="K12" s="46">
        <f>I12+'Aug 27 - Sept 2'!I12+'Sept 3 - Sept 9'!I12+'Sept 10 - Sept 16'!I12+'Sept 17 - Sept 23'!I12+'Sept 24 - Sept 30'!I12+'Oct 1 - Oct 7'!I12+'Oct 8 - Oct 14'!I12+'Oct 15 - Oct 21'!I12+'Oct 22 - Oct 28'!I12+'Oct 29 - Nov 4'!I12+'Nov 5 - Nov 11'!I12+'Nov 12 - Nov 18'!I12</f>
        <v>1487</v>
      </c>
      <c r="L12" s="89">
        <f>K12/SUM(G12+'Aug 27 - Sept 2'!G12+'Sept 3 - Sept 9'!G12+'Sept 10 - Sept 16'!G12+'Sept 17 - Sept 23'!G12+'Sept 24 - Sept 30'!G12+'Oct 1 - Oct 7'!G12+'Oct 8 - Oct 14'!G12+'Oct 15 - Oct 21'!G12+'Oct 22 - Oct 28'!G12+'Oct 29 - Nov 4'!G12+'Nov 5 - Nov 11'!G12+'Nov 12 - Nov 18'!G12)</f>
        <v>5.2653942849049257E-2</v>
      </c>
      <c r="M12" s="73">
        <v>11241.3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148124.3125</v>
      </c>
      <c r="C13" s="18">
        <v>157750.44500000001</v>
      </c>
      <c r="D13" s="73">
        <v>114548.15</v>
      </c>
      <c r="E13" s="86">
        <f t="shared" si="0"/>
        <v>0.12445072225086137</v>
      </c>
      <c r="F13" s="73">
        <v>128803.75</v>
      </c>
      <c r="G13" s="74">
        <v>1111</v>
      </c>
      <c r="H13" s="63">
        <f t="shared" si="3"/>
        <v>133.32521377137715</v>
      </c>
      <c r="I13" s="61">
        <v>34</v>
      </c>
      <c r="J13" s="28">
        <f t="shared" si="1"/>
        <v>3.0603060306030602E-2</v>
      </c>
      <c r="K13" s="46">
        <f>I13+'Aug 27 - Sept 2'!I13+'Sept 3 - Sept 9'!I13+'Sept 10 - Sept 16'!I13+'Sept 17 - Sept 23'!I13+'Sept 24 - Sept 30'!I13+'Oct 1 - Oct 7'!I13+'Oct 8 - Oct 14'!I13+'Oct 15 - Oct 21'!I13+'Oct 22 - Oct 28'!I13+'Oct 29 - Nov 4'!I13+'Nov 5 - Nov 11'!I13+'Nov 12 - Nov 18'!I13</f>
        <v>877</v>
      </c>
      <c r="L13" s="89">
        <f>K13/SUM(G13+'Aug 27 - Sept 2'!G13+'Sept 3 - Sept 9'!G13+'Sept 10 - Sept 16'!G13+'Sept 17 - Sept 23'!G13+'Sept 24 - Sept 30'!G13+'Oct 1 - Oct 7'!G13+'Oct 8 - Oct 14'!G13+'Oct 15 - Oct 21'!G13+'Oct 22 - Oct 28'!G13+'Oct 29 - Nov 4'!G13+'Nov 5 - Nov 11'!G13+'Nov 12 - Nov 18'!G13)</f>
        <v>6.393992417614465E-2</v>
      </c>
      <c r="M13" s="73">
        <v>7930.2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247824.72399999999</v>
      </c>
      <c r="C14" s="18">
        <v>229878.44500000001</v>
      </c>
      <c r="D14" s="73">
        <v>197072.43</v>
      </c>
      <c r="E14" s="86">
        <f t="shared" si="0"/>
        <v>9.3505367544308535E-2</v>
      </c>
      <c r="F14" s="73">
        <v>215499.76</v>
      </c>
      <c r="G14" s="74">
        <v>1658</v>
      </c>
      <c r="H14" s="63">
        <f t="shared" si="3"/>
        <v>149.47208926417369</v>
      </c>
      <c r="I14" s="61">
        <v>35</v>
      </c>
      <c r="J14" s="28">
        <f t="shared" si="1"/>
        <v>2.1109770808202654E-2</v>
      </c>
      <c r="K14" s="46">
        <f>I14+'Aug 27 - Sept 2'!I14+'Sept 3 - Sept 9'!I14+'Sept 10 - Sept 16'!I14+'Sept 17 - Sept 23'!I14+'Sept 24 - Sept 30'!I14+'Oct 1 - Oct 7'!I14+'Oct 8 - Oct 14'!I14+'Oct 15 - Oct 21'!I14+'Oct 22 - Oct 28'!I14+'Oct 29 - Nov 4'!I14+'Nov 5 - Nov 11'!I14+'Nov 12 - Nov 18'!I14</f>
        <v>1296</v>
      </c>
      <c r="L14" s="89">
        <f>K14/SUM(G14+'Aug 27 - Sept 2'!G14+'Sept 3 - Sept 9'!G14+'Sept 10 - Sept 16'!G14+'Sept 17 - Sept 23'!G14+'Sept 24 - Sept 30'!G14+'Oct 1 - Oct 7'!G14+'Oct 8 - Oct 14'!G14+'Oct 15 - Oct 21'!G14+'Oct 22 - Oct 28'!G14+'Oct 29 - Nov 4'!G14+'Nov 5 - Nov 11'!G14+'Nov 12 - Nov 18'!G14)</f>
        <v>6.3244192855748588E-2</v>
      </c>
      <c r="M14" s="73">
        <v>5179.8999999999996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125655.992</v>
      </c>
      <c r="C15" s="18">
        <v>103075.9835</v>
      </c>
      <c r="D15" s="73">
        <v>80963.73</v>
      </c>
      <c r="E15" s="86">
        <f t="shared" si="0"/>
        <v>0.34956825729249391</v>
      </c>
      <c r="F15" s="73">
        <v>109266.08</v>
      </c>
      <c r="G15" s="74">
        <v>581</v>
      </c>
      <c r="H15" s="63">
        <f t="shared" si="3"/>
        <v>216.27537349397591</v>
      </c>
      <c r="I15" s="61"/>
      <c r="J15" s="28">
        <f t="shared" si="1"/>
        <v>0</v>
      </c>
      <c r="K15" s="46">
        <f>I15+'Aug 27 - Sept 2'!I15+'Sept 3 - Sept 9'!I15+'Sept 10 - Sept 16'!I15+'Sept 17 - Sept 23'!I15+'Sept 24 - Sept 30'!I15+'Oct 1 - Oct 7'!I15+'Oct 8 - Oct 14'!I15+'Oct 15 - Oct 21'!I15+'Oct 22 - Oct 28'!I15+'Oct 29 - Nov 4'!I15+'Nov 5 - Nov 11'!I15+'Nov 12 - Nov 18'!I15</f>
        <v>0</v>
      </c>
      <c r="L15" s="89">
        <f>K15/SUM(G15+'Aug 27 - Sept 2'!G15+'Sept 3 - Sept 9'!G15+'Sept 10 - Sept 16'!G15+'Sept 17 - Sept 23'!G15+'Sept 24 - Sept 30'!G15+'Oct 1 - Oct 7'!G15+'Oct 8 - Oct 14'!G15+'Oct 15 - Oct 21'!G15+'Oct 22 - Oct 28'!G15+'Oct 29 - Nov 4'!G15+'Nov 5 - Nov 11'!G15+'Nov 12 - Nov 18'!G15)</f>
        <v>0</v>
      </c>
      <c r="M15" s="73">
        <v>6603.3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I16+'Aug 27 - Sept 2'!I16+'Sept 3 - Sept 9'!I16+'Sept 10 - Sept 16'!I16+'Sept 17 - Sept 23'!I16+'Sept 24 - Sept 30'!I16+'Oct 1 - Oct 7'!I16+'Oct 8 - Oct 14'!I16+'Oct 15 - Oct 21'!I16+'Oct 22 - Oct 28'!I16+'Oct 29 - Nov 4'!I16+'Nov 5 - Nov 11'!I16+'Nov 12 - Nov 18'!I16</f>
        <v>0</v>
      </c>
      <c r="L16" s="89" t="e">
        <f>K16/SUM(G16+'Aug 27 - Sept 2'!G16+'Sept 3 - Sept 9'!G16+'Sept 10 - Sept 16'!G16+'Sept 17 - Sept 23'!G16+'Sept 24 - Sept 30'!G16+'Oct 1 - Oct 7'!G16+'Oct 8 - Oct 14'!G16+'Oct 15 - Oct 21'!G16+'Oct 22 - Oct 28'!G16+'Oct 29 - Nov 4'!G16+'Nov 5 - Nov 11'!G16+'Nov 12 - Nov 18'!G16)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I17+'Aug 27 - Sept 2'!I17+'Sept 3 - Sept 9'!I17+'Sept 10 - Sept 16'!I17+'Sept 17 - Sept 23'!I17+'Sept 24 - Sept 30'!I17+'Oct 1 - Oct 7'!I17+'Oct 8 - Oct 14'!I17+'Oct 15 - Oct 21'!I17+'Oct 22 - Oct 28'!I17+'Oct 29 - Nov 4'!I17+'Nov 5 - Nov 11'!I17+'Nov 12 - Nov 18'!I17</f>
        <v>0</v>
      </c>
      <c r="L17" s="89" t="e">
        <f>K17/SUM(G17+'Aug 27 - Sept 2'!G17+'Sept 3 - Sept 9'!G17+'Sept 10 - Sept 16'!G17+'Sept 17 - Sept 23'!G17+'Sept 24 - Sept 30'!G17+'Oct 1 - Oct 7'!G17+'Oct 8 - Oct 14'!G17+'Oct 15 - Oct 21'!G17+'Oct 22 - Oct 28'!G17+'Oct 29 - Nov 4'!G17+'Nov 5 - Nov 11'!G17+'Nov 12 - Nov 18'!G17)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181388.91349999997</v>
      </c>
      <c r="C18" s="18">
        <v>177667.52499999999</v>
      </c>
      <c r="D18" s="73">
        <v>133326.16</v>
      </c>
      <c r="E18" s="86">
        <f t="shared" si="0"/>
        <v>0.1830348222734382</v>
      </c>
      <c r="F18" s="73">
        <v>157729.49</v>
      </c>
      <c r="G18" s="74">
        <v>1440</v>
      </c>
      <c r="H18" s="63">
        <f>IFERROR(B18/G18,0)</f>
        <v>125.96452326388886</v>
      </c>
      <c r="I18" s="61">
        <v>17</v>
      </c>
      <c r="J18" s="28">
        <f t="shared" si="1"/>
        <v>1.1805555555555555E-2</v>
      </c>
      <c r="K18" s="46">
        <f>I18+'Aug 27 - Sept 2'!I18+'Sept 3 - Sept 9'!I18+'Sept 10 - Sept 16'!I18+'Sept 17 - Sept 23'!I18+'Sept 24 - Sept 30'!I18+'Oct 1 - Oct 7'!I18+'Oct 8 - Oct 14'!I18+'Oct 15 - Oct 21'!I18+'Oct 22 - Oct 28'!I18+'Oct 29 - Nov 4'!I18+'Nov 5 - Nov 11'!I18+'Nov 12 - Nov 18'!I18</f>
        <v>1332</v>
      </c>
      <c r="L18" s="89">
        <f>K18/SUM(G18+'Aug 27 - Sept 2'!G18+'Sept 3 - Sept 9'!G18+'Sept 10 - Sept 16'!G18+'Sept 17 - Sept 23'!G18+'Sept 24 - Sept 30'!G18+'Oct 1 - Oct 7'!G18+'Oct 8 - Oct 14'!G18+'Oct 15 - Oct 21'!G18+'Oct 22 - Oct 28'!G18+'Oct 29 - Nov 4'!G18+'Nov 5 - Nov 11'!G18+'Nov 12 - Nov 18'!G18)</f>
        <v>7.0651885641542456E-2</v>
      </c>
      <c r="M18" s="73">
        <v>4816.1000000000004</v>
      </c>
      <c r="N18" s="9"/>
    </row>
    <row r="19" spans="1:14" ht="15.6" customHeight="1" x14ac:dyDescent="0.3">
      <c r="A19" s="40" t="s">
        <v>27</v>
      </c>
      <c r="B19" s="18">
        <f t="shared" si="2"/>
        <v>143978.965</v>
      </c>
      <c r="C19" s="18">
        <v>147589.49350000001</v>
      </c>
      <c r="D19" s="73">
        <v>138619.76999999999</v>
      </c>
      <c r="E19" s="86">
        <f t="shared" si="0"/>
        <v>-9.6816420918891907E-2</v>
      </c>
      <c r="F19" s="73">
        <v>125199.1</v>
      </c>
      <c r="G19" s="74">
        <v>863</v>
      </c>
      <c r="H19" s="63">
        <f>IFERROR(B19/G19,0)</f>
        <v>166.83541714947856</v>
      </c>
      <c r="I19" s="61">
        <v>29</v>
      </c>
      <c r="J19" s="28">
        <f t="shared" si="1"/>
        <v>3.3603707995365009E-2</v>
      </c>
      <c r="K19" s="46">
        <f>I19+'Aug 27 - Sept 2'!I19+'Sept 3 - Sept 9'!I19+'Sept 10 - Sept 16'!I19+'Sept 17 - Sept 23'!I19+'Sept 24 - Sept 30'!I19+'Oct 1 - Oct 7'!I19+'Oct 8 - Oct 14'!I19+'Oct 15 - Oct 21'!I19+'Oct 22 - Oct 28'!I19+'Oct 29 - Nov 4'!I19+'Nov 5 - Nov 11'!I19+'Nov 12 - Nov 18'!I19</f>
        <v>708</v>
      </c>
      <c r="L19" s="89">
        <f>K19/SUM(G19+'Aug 27 - Sept 2'!G19+'Sept 3 - Sept 9'!G19+'Sept 10 - Sept 16'!G19+'Sept 17 - Sept 23'!G19+'Sept 24 - Sept 30'!G19+'Oct 1 - Oct 7'!G19+'Oct 8 - Oct 14'!G19+'Oct 15 - Oct 21'!G19+'Oct 22 - Oct 28'!G19+'Oct 29 - Nov 4'!G19+'Nov 5 - Nov 11'!G19+'Nov 12 - Nov 18'!G19)</f>
        <v>6.0887512899896801E-2</v>
      </c>
      <c r="M19" s="73">
        <v>4086</v>
      </c>
      <c r="N19" s="9"/>
    </row>
    <row r="20" spans="1:14" ht="15.6" customHeight="1" x14ac:dyDescent="0.3">
      <c r="A20" s="40" t="s">
        <v>28</v>
      </c>
      <c r="B20" s="18">
        <f t="shared" si="2"/>
        <v>256994.37549999997</v>
      </c>
      <c r="C20" s="18">
        <v>264529.44</v>
      </c>
      <c r="D20" s="73">
        <v>0</v>
      </c>
      <c r="E20" s="86">
        <f t="shared" si="0"/>
        <v>0</v>
      </c>
      <c r="F20" s="73">
        <v>223473.37</v>
      </c>
      <c r="G20" s="74">
        <v>1625</v>
      </c>
      <c r="H20" s="63">
        <f>IFERROR(B20/G20,0)</f>
        <v>158.1503849230769</v>
      </c>
      <c r="I20" s="74">
        <v>33</v>
      </c>
      <c r="J20" s="28">
        <f t="shared" si="1"/>
        <v>2.0307692307692308E-2</v>
      </c>
      <c r="K20" s="46">
        <f>I20+'Aug 27 - Sept 2'!I20+'Sept 3 - Sept 9'!I20+'Sept 10 - Sept 16'!I20+'Sept 17 - Sept 23'!I20+'Sept 24 - Sept 30'!I20+'Oct 1 - Oct 7'!I20+'Oct 8 - Oct 14'!I20+'Oct 15 - Oct 21'!I20+'Oct 22 - Oct 28'!I20+'Oct 29 - Nov 4'!I20+'Nov 5 - Nov 11'!I20+'Nov 12 - Nov 18'!I20</f>
        <v>1301</v>
      </c>
      <c r="L20" s="89">
        <f>K20/SUM(G20+'Aug 27 - Sept 2'!G20+'Sept 3 - Sept 9'!G20+'Sept 10 - Sept 16'!G20+'Sept 17 - Sept 23'!G20+'Sept 24 - Sept 30'!G20+'Oct 1 - Oct 7'!G20+'Oct 8 - Oct 14'!G20+'Oct 15 - Oct 21'!G20+'Oct 22 - Oct 28'!G20+'Oct 29 - Nov 4'!G20+'Nov 5 - Nov 11'!G20+'Nov 12 - Nov 18'!G20)</f>
        <v>6.8792301184433163E-2</v>
      </c>
      <c r="M20" s="73">
        <v>14915.1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88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0.17057597286230036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3335032.8670000001</v>
      </c>
      <c r="C4" s="3">
        <v>2763099.6869999999</v>
      </c>
      <c r="D4" s="66">
        <v>2271154.92</v>
      </c>
      <c r="E4" s="90">
        <f t="shared" ref="E4:E20" si="0">IFERROR((SUM(F4-D4)/D4),0)</f>
        <v>0.27689597678347727</v>
      </c>
      <c r="F4" s="66">
        <f>SUM(F6:F20)</f>
        <v>2900028.58</v>
      </c>
      <c r="G4" s="62">
        <f>SUM(G6:G20)</f>
        <v>20976</v>
      </c>
      <c r="H4" s="85">
        <f>AVERAGE(H5:H20)</f>
        <v>135.93429973926575</v>
      </c>
      <c r="I4" s="88">
        <f>SUM(I6:I20)</f>
        <v>557</v>
      </c>
      <c r="J4" s="28">
        <f t="shared" ref="J4:J20" si="1">I4/G4</f>
        <v>2.6554157131960337E-2</v>
      </c>
      <c r="K4" s="46">
        <f>I4+'Nov 19 - Nov 25'!I4</f>
        <v>978</v>
      </c>
      <c r="L4" s="89">
        <f>K4/SUM(G4+'Nov 19 - Nov 25'!G4)</f>
        <v>2.5091077017804917E-2</v>
      </c>
      <c r="M4" s="66">
        <f>SUM(M6:M20)</f>
        <v>88429.45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I5+'Nov 19 - Nov 25'!I5</f>
        <v>0</v>
      </c>
      <c r="L5" s="89" t="e">
        <f>K5/SUM(G5+'Nov 19 - Nov 25'!G5)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371952.68799999997</v>
      </c>
      <c r="C6" s="18">
        <v>265106.28000000003</v>
      </c>
      <c r="D6" s="73">
        <v>275995.90000000002</v>
      </c>
      <c r="E6" s="86">
        <f t="shared" si="0"/>
        <v>0.17189103171460143</v>
      </c>
      <c r="F6" s="73">
        <v>323437.12</v>
      </c>
      <c r="G6" s="74">
        <v>2374</v>
      </c>
      <c r="H6" s="63">
        <f t="shared" ref="H6:H15" si="3">IFERROR(B6/G6,0)</f>
        <v>156.67762763268743</v>
      </c>
      <c r="I6" s="61">
        <v>70</v>
      </c>
      <c r="J6" s="28">
        <f t="shared" si="1"/>
        <v>2.9486099410278011E-2</v>
      </c>
      <c r="K6" s="46">
        <f>I6+'Nov 19 - Nov 25'!I6</f>
        <v>128</v>
      </c>
      <c r="L6" s="89">
        <f>K6/SUM(G6+'Nov 19 - Nov 25'!G6)</f>
        <v>2.9976580796252927E-2</v>
      </c>
      <c r="M6" s="73">
        <v>8625.35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388911.48499999999</v>
      </c>
      <c r="C7" s="18">
        <v>360287.755</v>
      </c>
      <c r="D7" s="73">
        <v>276237.5</v>
      </c>
      <c r="E7" s="86">
        <f t="shared" si="0"/>
        <v>0.2242505090728088</v>
      </c>
      <c r="F7" s="73">
        <v>338183.9</v>
      </c>
      <c r="G7" s="74">
        <v>2551</v>
      </c>
      <c r="H7" s="63">
        <f t="shared" si="3"/>
        <v>152.45452175617405</v>
      </c>
      <c r="I7" s="61">
        <v>76</v>
      </c>
      <c r="J7" s="28">
        <f t="shared" si="1"/>
        <v>2.9792238337906705E-2</v>
      </c>
      <c r="K7" s="46">
        <f>I7+'Nov 19 - Nov 25'!I7</f>
        <v>120</v>
      </c>
      <c r="L7" s="89">
        <f>K7/SUM(G7+'Nov 19 - Nov 25'!G7)</f>
        <v>2.5311115798354777E-2</v>
      </c>
      <c r="M7" s="73">
        <v>13586.6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155207.21999999997</v>
      </c>
      <c r="C8" s="18">
        <v>139381.26500000001</v>
      </c>
      <c r="D8" s="73">
        <v>124869.2</v>
      </c>
      <c r="E8" s="86">
        <f t="shared" si="0"/>
        <v>8.0833384053073068E-2</v>
      </c>
      <c r="F8" s="73">
        <v>134962.79999999999</v>
      </c>
      <c r="G8" s="74">
        <v>938</v>
      </c>
      <c r="H8" s="63">
        <f t="shared" si="3"/>
        <v>165.46611940298504</v>
      </c>
      <c r="I8" s="61">
        <v>21</v>
      </c>
      <c r="J8" s="28">
        <f t="shared" si="1"/>
        <v>2.2388059701492536E-2</v>
      </c>
      <c r="K8" s="46">
        <f>I8+'Nov 19 - Nov 25'!I8</f>
        <v>45</v>
      </c>
      <c r="L8" s="89">
        <f>K8/SUM(G8+'Nov 19 - Nov 25'!G8)</f>
        <v>2.386002120890774E-2</v>
      </c>
      <c r="M8" s="73">
        <v>3769.15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483981.18</v>
      </c>
      <c r="C9" s="18">
        <v>407491.80499999999</v>
      </c>
      <c r="D9" s="73">
        <v>314726.59999999998</v>
      </c>
      <c r="E9" s="86">
        <f t="shared" si="0"/>
        <v>0.33720251164026188</v>
      </c>
      <c r="F9" s="73">
        <v>420853.2</v>
      </c>
      <c r="G9" s="74">
        <v>2688</v>
      </c>
      <c r="H9" s="63">
        <f t="shared" si="3"/>
        <v>180.05252232142857</v>
      </c>
      <c r="I9" s="61">
        <v>70</v>
      </c>
      <c r="J9" s="28">
        <f t="shared" si="1"/>
        <v>2.6041666666666668E-2</v>
      </c>
      <c r="K9" s="46">
        <f>I9+'Nov 19 - Nov 25'!I9</f>
        <v>126</v>
      </c>
      <c r="L9" s="89">
        <f>K9/SUM(G9+'Nov 19 - Nov 25'!G9)</f>
        <v>2.4380804953560372E-2</v>
      </c>
      <c r="M9" s="73">
        <v>8754.5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I10+'Nov 19 - Nov 25'!I10</f>
        <v>0</v>
      </c>
      <c r="L10" s="89" t="e">
        <f>K10/SUM(G10+'Nov 19 - Nov 25'!G10)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196003.93</v>
      </c>
      <c r="C11" s="18">
        <v>154091.14499999999</v>
      </c>
      <c r="D11" s="73">
        <v>158523.29999999999</v>
      </c>
      <c r="E11" s="86">
        <f t="shared" si="0"/>
        <v>7.5161821637576454E-2</v>
      </c>
      <c r="F11" s="73">
        <v>170438.2</v>
      </c>
      <c r="G11" s="74">
        <v>1158</v>
      </c>
      <c r="H11" s="63">
        <f t="shared" si="3"/>
        <v>169.26073402417961</v>
      </c>
      <c r="I11" s="61">
        <v>51</v>
      </c>
      <c r="J11" s="28">
        <f t="shared" si="1"/>
        <v>4.4041450777202069E-2</v>
      </c>
      <c r="K11" s="46">
        <f>I11+'Nov 19 - Nov 25'!I11</f>
        <v>83</v>
      </c>
      <c r="L11" s="89">
        <f>K11/SUM(G11+'Nov 19 - Nov 25'!G11)</f>
        <v>3.8550859266140269E-2</v>
      </c>
      <c r="M11" s="73">
        <v>5145.3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411386.73999999993</v>
      </c>
      <c r="C12" s="18">
        <v>356250.10499999998</v>
      </c>
      <c r="D12" s="73">
        <v>372248.9</v>
      </c>
      <c r="E12" s="86">
        <f t="shared" si="0"/>
        <v>-3.9009651875398545E-2</v>
      </c>
      <c r="F12" s="73">
        <v>357727.6</v>
      </c>
      <c r="G12" s="74">
        <v>2387</v>
      </c>
      <c r="H12" s="63">
        <f t="shared" si="3"/>
        <v>172.34467532467531</v>
      </c>
      <c r="I12" s="61">
        <v>101</v>
      </c>
      <c r="J12" s="28">
        <f t="shared" si="1"/>
        <v>4.2312526183493925E-2</v>
      </c>
      <c r="K12" s="46">
        <f>I12+'Nov 19 - Nov 25'!I12</f>
        <v>160</v>
      </c>
      <c r="L12" s="89">
        <f>K12/SUM(G12+'Nov 19 - Nov 25'!G12)</f>
        <v>3.4767492394611035E-2</v>
      </c>
      <c r="M12" s="73">
        <v>13082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166950.13449999999</v>
      </c>
      <c r="C13" s="18">
        <v>157750.44500000001</v>
      </c>
      <c r="D13" s="73">
        <v>131328.29999999999</v>
      </c>
      <c r="E13" s="86">
        <f t="shared" si="0"/>
        <v>0.10542838063083138</v>
      </c>
      <c r="F13" s="73">
        <v>145174.03</v>
      </c>
      <c r="G13" s="74">
        <v>1196</v>
      </c>
      <c r="H13" s="63">
        <f t="shared" si="3"/>
        <v>139.59041346153845</v>
      </c>
      <c r="I13" s="61">
        <v>37</v>
      </c>
      <c r="J13" s="28">
        <f t="shared" si="1"/>
        <v>3.0936454849498328E-2</v>
      </c>
      <c r="K13" s="46">
        <f>I13+'Nov 19 - Nov 25'!I13</f>
        <v>71</v>
      </c>
      <c r="L13" s="89">
        <f>K13/SUM(G13+'Nov 19 - Nov 25'!G13)</f>
        <v>3.0775899436497615E-2</v>
      </c>
      <c r="M13" s="73">
        <v>6764.7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335256.90099999995</v>
      </c>
      <c r="C14" s="18">
        <v>229878.44500000001</v>
      </c>
      <c r="D14" s="73">
        <v>240200.3</v>
      </c>
      <c r="E14" s="86">
        <f t="shared" si="0"/>
        <v>0.21368599456370374</v>
      </c>
      <c r="F14" s="73">
        <v>291527.74</v>
      </c>
      <c r="G14" s="74">
        <v>2260</v>
      </c>
      <c r="H14" s="63">
        <f t="shared" si="3"/>
        <v>148.34376150442475</v>
      </c>
      <c r="I14" s="61">
        <v>52</v>
      </c>
      <c r="J14" s="28">
        <f t="shared" si="1"/>
        <v>2.3008849557522124E-2</v>
      </c>
      <c r="K14" s="46">
        <f>I14+'Nov 19 - Nov 25'!I14</f>
        <v>87</v>
      </c>
      <c r="L14" s="89">
        <f>K14/SUM(G14+'Nov 19 - Nov 25'!G14)</f>
        <v>2.22052067381317E-2</v>
      </c>
      <c r="M14" s="73">
        <v>6611.8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127310.9915</v>
      </c>
      <c r="C15" s="18">
        <v>103075.9835</v>
      </c>
      <c r="D15" s="73">
        <v>70352.72</v>
      </c>
      <c r="E15" s="86">
        <f t="shared" si="0"/>
        <v>0.57357398548343264</v>
      </c>
      <c r="F15" s="73">
        <v>110705.21</v>
      </c>
      <c r="G15" s="74">
        <v>826</v>
      </c>
      <c r="H15" s="63">
        <f t="shared" si="3"/>
        <v>154.12952966101696</v>
      </c>
      <c r="I15" s="61"/>
      <c r="J15" s="28">
        <f t="shared" si="1"/>
        <v>0</v>
      </c>
      <c r="K15" s="46">
        <f>I15+'Nov 19 - Nov 25'!I15</f>
        <v>0</v>
      </c>
      <c r="L15" s="89">
        <f>K15/SUM(G15+'Nov 19 - Nov 25'!G15)</f>
        <v>0</v>
      </c>
      <c r="M15" s="73">
        <v>5909.9</v>
      </c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I16+'Nov 19 - Nov 25'!I16</f>
        <v>0</v>
      </c>
      <c r="L16" s="89" t="e">
        <f>K16/SUM(G16+'Nov 19 - Nov 25'!G16)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I17+'Nov 19 - Nov 25'!I17</f>
        <v>0</v>
      </c>
      <c r="L17" s="89" t="e">
        <f>K17/SUM(G17+'Nov 19 - Nov 25'!G17)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235385.68</v>
      </c>
      <c r="C18" s="18">
        <v>177667.52499999999</v>
      </c>
      <c r="D18" s="73">
        <v>163148.29999999999</v>
      </c>
      <c r="E18" s="86">
        <f t="shared" si="0"/>
        <v>0.25458371310028988</v>
      </c>
      <c r="F18" s="73">
        <v>204683.2</v>
      </c>
      <c r="G18" s="74">
        <v>1867</v>
      </c>
      <c r="H18" s="63">
        <f>IFERROR(B18/G18,0)</f>
        <v>126.07695768612747</v>
      </c>
      <c r="I18" s="61">
        <v>29</v>
      </c>
      <c r="J18" s="28">
        <f t="shared" si="1"/>
        <v>1.5532940546331012E-2</v>
      </c>
      <c r="K18" s="46">
        <f>I18+'Nov 19 - Nov 25'!I18</f>
        <v>46</v>
      </c>
      <c r="L18" s="89">
        <f>K18/SUM(G18+'Nov 19 - Nov 25'!G18)</f>
        <v>1.3909888116117326E-2</v>
      </c>
      <c r="M18" s="73">
        <v>2777.5</v>
      </c>
      <c r="N18" s="9"/>
    </row>
    <row r="19" spans="1:14" ht="15.6" customHeight="1" x14ac:dyDescent="0.3">
      <c r="A19" s="40" t="s">
        <v>27</v>
      </c>
      <c r="B19" s="18">
        <f t="shared" si="2"/>
        <v>184996.337</v>
      </c>
      <c r="C19" s="18">
        <v>147589.49350000001</v>
      </c>
      <c r="D19" s="73">
        <v>143523.9</v>
      </c>
      <c r="E19" s="86">
        <f t="shared" si="0"/>
        <v>0.12083339429878934</v>
      </c>
      <c r="F19" s="73">
        <v>160866.38</v>
      </c>
      <c r="G19" s="74">
        <v>1095</v>
      </c>
      <c r="H19" s="63">
        <f>IFERROR(B19/G19,0)</f>
        <v>168.94642648401828</v>
      </c>
      <c r="I19" s="61">
        <v>18</v>
      </c>
      <c r="J19" s="28">
        <f t="shared" si="1"/>
        <v>1.643835616438356E-2</v>
      </c>
      <c r="K19" s="46">
        <f>I19+'Nov 19 - Nov 25'!I19</f>
        <v>47</v>
      </c>
      <c r="L19" s="89">
        <f>K19/SUM(G19+'Nov 19 - Nov 25'!G19)</f>
        <v>2.4004085801838611E-2</v>
      </c>
      <c r="M19" s="73">
        <v>5318.5</v>
      </c>
      <c r="N19" s="9"/>
    </row>
    <row r="20" spans="1:14" ht="15.6" customHeight="1" x14ac:dyDescent="0.3">
      <c r="A20" s="40" t="s">
        <v>28</v>
      </c>
      <c r="B20" s="18">
        <f t="shared" si="2"/>
        <v>277689.58</v>
      </c>
      <c r="C20" s="18">
        <v>264529.44</v>
      </c>
      <c r="D20" s="73"/>
      <c r="E20" s="86">
        <f t="shared" si="0"/>
        <v>0</v>
      </c>
      <c r="F20" s="73">
        <v>241469.2</v>
      </c>
      <c r="G20" s="74">
        <v>1636</v>
      </c>
      <c r="H20" s="63">
        <f>IFERROR(B20/G20,0)</f>
        <v>169.73690709046457</v>
      </c>
      <c r="I20" s="74">
        <v>32</v>
      </c>
      <c r="J20" s="28">
        <f t="shared" si="1"/>
        <v>1.9559902200488997E-2</v>
      </c>
      <c r="K20" s="46">
        <f>I20+'Nov 19 - Nov 25'!I20</f>
        <v>65</v>
      </c>
      <c r="L20" s="89">
        <f>K20/SUM(G20+'Nov 19 - Nov 25'!G20)</f>
        <v>1.9932536031892059E-2</v>
      </c>
      <c r="M20" s="73">
        <v>8084.15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(((F4-F20)-D4)/D4)</f>
        <v>0.11713690579611437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3372188.24</v>
      </c>
      <c r="C4" s="3">
        <v>3207721.8755000001</v>
      </c>
      <c r="D4" s="66">
        <v>2420931.0299999998</v>
      </c>
      <c r="E4" s="90">
        <f t="shared" ref="E4:E20" si="0">IFERROR((SUM(F4-D4)/D4),0)</f>
        <v>0.21124375856341532</v>
      </c>
      <c r="F4" s="66">
        <f>SUM(F6:F20)</f>
        <v>2932337.6</v>
      </c>
      <c r="G4" s="62">
        <f>SUM(G6:G20)</f>
        <v>23008</v>
      </c>
      <c r="H4" s="85">
        <f>AVERAGE(H5:H20)</f>
        <v>119.47550454365174</v>
      </c>
      <c r="I4" s="88">
        <f>SUM(I6:I20)</f>
        <v>564</v>
      </c>
      <c r="J4" s="28">
        <f t="shared" ref="J4:J20" si="1">I4/G4</f>
        <v>2.4513212795549372E-2</v>
      </c>
      <c r="K4" s="46">
        <f>I4+'Nov 19 - Nov 25'!I4+'Nov 26 - Dec 2'!I4</f>
        <v>1542</v>
      </c>
      <c r="L4" s="89">
        <f>K4/SUM(G4+'Nov 19 - Nov 25'!G4+'Nov 26 - Dec 2'!G4)</f>
        <v>2.4876585035330558E-2</v>
      </c>
      <c r="M4" s="66">
        <f>SUM(M6:M20)</f>
        <v>98077.779999999984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I5+'Nov 19 - Nov 25'!I5+'Nov 26 - Dec 2'!I5</f>
        <v>0</v>
      </c>
      <c r="L5" s="89" t="e">
        <f>K5/SUM(G5+'Nov 19 - Nov 25'!G5+'Nov 26 - Dec 2'!G5)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368945.875</v>
      </c>
      <c r="C6" s="18">
        <v>371952.68800000002</v>
      </c>
      <c r="D6" s="73">
        <v>269307</v>
      </c>
      <c r="E6" s="86">
        <f t="shared" si="0"/>
        <v>0.19128912356529909</v>
      </c>
      <c r="F6" s="73">
        <v>320822.5</v>
      </c>
      <c r="G6" s="74">
        <v>2238</v>
      </c>
      <c r="H6" s="63">
        <f t="shared" ref="H6:H15" si="3">IFERROR(B6/G6,0)</f>
        <v>164.85517202859697</v>
      </c>
      <c r="I6" s="61">
        <v>65</v>
      </c>
      <c r="J6" s="28">
        <f t="shared" si="1"/>
        <v>2.9043789097408401E-2</v>
      </c>
      <c r="K6" s="46">
        <f>I6+'Nov 19 - Nov 25'!I6+'Nov 26 - Dec 2'!I6</f>
        <v>193</v>
      </c>
      <c r="L6" s="89">
        <f>K6/SUM(G6+'Nov 19 - Nov 25'!G6+'Nov 26 - Dec 2'!G6)</f>
        <v>2.9655808236017208E-2</v>
      </c>
      <c r="M6" s="73">
        <v>7161.06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450138.40499999997</v>
      </c>
      <c r="C7" s="18">
        <v>388911.48499999999</v>
      </c>
      <c r="D7" s="73">
        <v>318577.51</v>
      </c>
      <c r="E7" s="86">
        <f t="shared" si="0"/>
        <v>0.22866394429412171</v>
      </c>
      <c r="F7" s="73">
        <v>391424.7</v>
      </c>
      <c r="G7" s="74">
        <v>4509</v>
      </c>
      <c r="H7" s="63">
        <f t="shared" si="3"/>
        <v>99.831094477711233</v>
      </c>
      <c r="I7" s="61">
        <v>79</v>
      </c>
      <c r="J7" s="28">
        <f t="shared" si="1"/>
        <v>1.7520514526502551E-2</v>
      </c>
      <c r="K7" s="46">
        <f>I7+'Nov 19 - Nov 25'!I7+'Nov 26 - Dec 2'!I7</f>
        <v>199</v>
      </c>
      <c r="L7" s="89">
        <f>K7/SUM(G7+'Nov 19 - Nov 25'!G7+'Nov 26 - Dec 2'!G7)</f>
        <v>2.1513513513513514E-2</v>
      </c>
      <c r="M7" s="73">
        <v>12137.12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188753.63999999998</v>
      </c>
      <c r="C8" s="18">
        <v>155207.22</v>
      </c>
      <c r="D8" s="73">
        <v>128340.3</v>
      </c>
      <c r="E8" s="86">
        <f t="shared" si="0"/>
        <v>0.27889369122559321</v>
      </c>
      <c r="F8" s="73">
        <v>164133.6</v>
      </c>
      <c r="G8" s="74">
        <v>1226</v>
      </c>
      <c r="H8" s="63">
        <f t="shared" si="3"/>
        <v>153.95892332789558</v>
      </c>
      <c r="I8" s="61">
        <v>28</v>
      </c>
      <c r="J8" s="28">
        <f t="shared" si="1"/>
        <v>2.2838499184339316E-2</v>
      </c>
      <c r="K8" s="46">
        <f>I8+'Nov 19 - Nov 25'!I8+'Nov 26 - Dec 2'!I8</f>
        <v>73</v>
      </c>
      <c r="L8" s="89">
        <f>K8/SUM(G8+'Nov 19 - Nov 25'!G8+'Nov 26 - Dec 2'!G8)</f>
        <v>2.345758354755784E-2</v>
      </c>
      <c r="M8" s="73">
        <v>5236.2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514976.89999999997</v>
      </c>
      <c r="C9" s="18">
        <v>483981.18</v>
      </c>
      <c r="D9" s="73">
        <v>345474.7</v>
      </c>
      <c r="E9" s="86">
        <f t="shared" si="0"/>
        <v>0.29620490299289642</v>
      </c>
      <c r="F9" s="73">
        <v>447806</v>
      </c>
      <c r="G9" s="74">
        <v>2947</v>
      </c>
      <c r="H9" s="63">
        <f t="shared" si="3"/>
        <v>174.74614862572105</v>
      </c>
      <c r="I9" s="61">
        <v>76</v>
      </c>
      <c r="J9" s="28">
        <f t="shared" si="1"/>
        <v>2.5788937902952155E-2</v>
      </c>
      <c r="K9" s="46">
        <f>I9+'Nov 19 - Nov 25'!I9+'Nov 26 - Dec 2'!I9</f>
        <v>202</v>
      </c>
      <c r="L9" s="89">
        <f>K9/SUM(G9+'Nov 19 - Nov 25'!G9+'Nov 26 - Dec 2'!G9)</f>
        <v>2.4892174984596425E-2</v>
      </c>
      <c r="M9" s="73">
        <v>13023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I10+'Nov 19 - Nov 25'!I10+'Nov 26 - Dec 2'!I10</f>
        <v>0</v>
      </c>
      <c r="L10" s="89" t="e">
        <f>K10/SUM(G10+'Nov 19 - Nov 25'!G10+'Nov 26 - Dec 2'!G10)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171198.54499999998</v>
      </c>
      <c r="C11" s="18">
        <v>196003.93</v>
      </c>
      <c r="D11" s="73">
        <v>160121.5</v>
      </c>
      <c r="E11" s="86">
        <f t="shared" si="0"/>
        <v>-7.0279131784301369E-2</v>
      </c>
      <c r="F11" s="73">
        <v>148868.29999999999</v>
      </c>
      <c r="G11" s="74">
        <v>1079</v>
      </c>
      <c r="H11" s="63">
        <f t="shared" si="3"/>
        <v>158.66408248378127</v>
      </c>
      <c r="I11" s="61">
        <v>37</v>
      </c>
      <c r="J11" s="28">
        <f t="shared" si="1"/>
        <v>3.4291010194624653E-2</v>
      </c>
      <c r="K11" s="46">
        <f>I11+'Nov 19 - Nov 25'!I11+'Nov 26 - Dec 2'!I11</f>
        <v>120</v>
      </c>
      <c r="L11" s="89">
        <f>K11/SUM(G11+'Nov 19 - Nov 25'!G11+'Nov 26 - Dec 2'!G11)</f>
        <v>3.7128712871287127E-2</v>
      </c>
      <c r="M11" s="73">
        <v>5285.3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426804.1</v>
      </c>
      <c r="C12" s="18">
        <v>411386.73999999987</v>
      </c>
      <c r="D12" s="73">
        <v>379493.81</v>
      </c>
      <c r="E12" s="86">
        <f t="shared" si="0"/>
        <v>-2.2028844159539776E-2</v>
      </c>
      <c r="F12" s="73">
        <v>371134</v>
      </c>
      <c r="G12" s="74">
        <v>2435</v>
      </c>
      <c r="H12" s="63">
        <f t="shared" si="3"/>
        <v>175.27889117043119</v>
      </c>
      <c r="I12" s="61">
        <v>72</v>
      </c>
      <c r="J12" s="28">
        <f t="shared" si="1"/>
        <v>2.9568788501026694E-2</v>
      </c>
      <c r="K12" s="46">
        <f>I12+'Nov 19 - Nov 25'!I12+'Nov 26 - Dec 2'!I12</f>
        <v>232</v>
      </c>
      <c r="L12" s="89">
        <f>K12/SUM(G12+'Nov 19 - Nov 25'!G12+'Nov 26 - Dec 2'!G12)</f>
        <v>3.2968594571550373E-2</v>
      </c>
      <c r="M12" s="73">
        <v>13139.35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172644.32499999998</v>
      </c>
      <c r="C13" s="18">
        <v>166950.13449999999</v>
      </c>
      <c r="D13" s="73">
        <v>147431.5</v>
      </c>
      <c r="E13" s="86">
        <f t="shared" si="0"/>
        <v>1.82728928349776E-2</v>
      </c>
      <c r="F13" s="73">
        <v>150125.5</v>
      </c>
      <c r="G13" s="74">
        <v>1273</v>
      </c>
      <c r="H13" s="63">
        <f t="shared" si="3"/>
        <v>135.62005106048701</v>
      </c>
      <c r="I13" s="61">
        <v>46</v>
      </c>
      <c r="J13" s="28">
        <f t="shared" si="1"/>
        <v>3.6135113904163393E-2</v>
      </c>
      <c r="K13" s="46">
        <f>I13+'Nov 19 - Nov 25'!I13+'Nov 26 - Dec 2'!I13</f>
        <v>117</v>
      </c>
      <c r="L13" s="89">
        <f>K13/SUM(G13+'Nov 19 - Nov 25'!G13+'Nov 26 - Dec 2'!G13)</f>
        <v>3.2681564245810056E-2</v>
      </c>
      <c r="M13" s="73">
        <v>12158.15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315635.32499999995</v>
      </c>
      <c r="C14" s="18">
        <v>335256.90100000001</v>
      </c>
      <c r="D14" s="73">
        <v>171313.2</v>
      </c>
      <c r="E14" s="86">
        <f t="shared" si="0"/>
        <v>0.6021269814585215</v>
      </c>
      <c r="F14" s="73">
        <v>274465.5</v>
      </c>
      <c r="G14" s="74">
        <v>2047</v>
      </c>
      <c r="H14" s="63">
        <f t="shared" si="3"/>
        <v>154.19410112359549</v>
      </c>
      <c r="I14" s="61">
        <v>45</v>
      </c>
      <c r="J14" s="28">
        <f t="shared" si="1"/>
        <v>2.1983390327308255E-2</v>
      </c>
      <c r="K14" s="46">
        <f>I14+'Nov 19 - Nov 25'!I14+'Nov 26 - Dec 2'!I14</f>
        <v>132</v>
      </c>
      <c r="L14" s="89">
        <f>K14/SUM(G14+'Nov 19 - Nov 25'!G14+'Nov 26 - Dec 2'!G14)</f>
        <v>2.2129086336965632E-2</v>
      </c>
      <c r="M14" s="73">
        <v>8137.9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0</v>
      </c>
      <c r="D15" s="73">
        <v>118654.3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I15+'Nov 19 - Nov 25'!I15+'Nov 26 - Dec 2'!I15</f>
        <v>0</v>
      </c>
      <c r="L15" s="89">
        <f>K15/SUM(G15+'Nov 19 - Nov 25'!G15+'Nov 26 - Dec 2'!G15)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I16+'Nov 19 - Nov 25'!I16+'Nov 26 - Dec 2'!I16</f>
        <v>0</v>
      </c>
      <c r="L16" s="89" t="e">
        <f>K16/SUM(G16+'Nov 19 - Nov 25'!G16+'Nov 26 - Dec 2'!G16)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I17+'Nov 19 - Nov 25'!I17+'Nov 26 - Dec 2'!I17</f>
        <v>0</v>
      </c>
      <c r="L17" s="89" t="e">
        <f>K17/SUM(G17+'Nov 19 - Nov 25'!G17+'Nov 26 - Dec 2'!G17)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312386.80499999999</v>
      </c>
      <c r="C18" s="18">
        <v>235385.68</v>
      </c>
      <c r="D18" s="73">
        <v>214615.8</v>
      </c>
      <c r="E18" s="86">
        <f t="shared" si="0"/>
        <v>0.26570690508340966</v>
      </c>
      <c r="F18" s="73">
        <v>271640.7</v>
      </c>
      <c r="G18" s="74">
        <v>2574</v>
      </c>
      <c r="H18" s="63">
        <f>IFERROR(B18/G18,0)</f>
        <v>121.3623951048951</v>
      </c>
      <c r="I18" s="61">
        <v>50</v>
      </c>
      <c r="J18" s="28">
        <f t="shared" si="1"/>
        <v>1.9425019425019424E-2</v>
      </c>
      <c r="K18" s="46">
        <f>I18+'Nov 19 - Nov 25'!I18+'Nov 26 - Dec 2'!I18</f>
        <v>96</v>
      </c>
      <c r="L18" s="89">
        <f>K18/SUM(G18+'Nov 19 - Nov 25'!G18+'Nov 26 - Dec 2'!G18)</f>
        <v>1.6323754463526612E-2</v>
      </c>
      <c r="M18" s="73">
        <v>5134.8999999999996</v>
      </c>
      <c r="N18" s="9"/>
    </row>
    <row r="19" spans="1:14" ht="15.6" customHeight="1" x14ac:dyDescent="0.3">
      <c r="A19" s="40" t="s">
        <v>27</v>
      </c>
      <c r="B19" s="18">
        <f t="shared" si="2"/>
        <v>188704.19</v>
      </c>
      <c r="C19" s="18">
        <v>184996.337</v>
      </c>
      <c r="D19" s="73">
        <v>167601.41</v>
      </c>
      <c r="E19" s="86">
        <f t="shared" si="0"/>
        <v>-2.0947377471347034E-2</v>
      </c>
      <c r="F19" s="73">
        <v>164090.6</v>
      </c>
      <c r="G19" s="74">
        <v>1216</v>
      </c>
      <c r="H19" s="63">
        <f>IFERROR(B19/G19,0)</f>
        <v>155.18436677631578</v>
      </c>
      <c r="I19" s="61">
        <v>32</v>
      </c>
      <c r="J19" s="28">
        <f t="shared" si="1"/>
        <v>2.6315789473684209E-2</v>
      </c>
      <c r="K19" s="46">
        <f>I19+'Nov 19 - Nov 25'!I19+'Nov 26 - Dec 2'!I19</f>
        <v>79</v>
      </c>
      <c r="L19" s="89">
        <f>K19/SUM(G19+'Nov 19 - Nov 25'!G19+'Nov 26 - Dec 2'!G19)</f>
        <v>2.4889729048519219E-2</v>
      </c>
      <c r="M19" s="73">
        <v>6063.15</v>
      </c>
      <c r="N19" s="9"/>
    </row>
    <row r="20" spans="1:14" ht="15.6" customHeight="1" x14ac:dyDescent="0.3">
      <c r="A20" s="40" t="s">
        <v>28</v>
      </c>
      <c r="B20" s="18">
        <f t="shared" si="2"/>
        <v>262000.13</v>
      </c>
      <c r="C20" s="18">
        <v>277689.58</v>
      </c>
      <c r="D20" s="73"/>
      <c r="E20" s="86">
        <f t="shared" si="0"/>
        <v>0</v>
      </c>
      <c r="F20" s="73">
        <v>227826.2</v>
      </c>
      <c r="G20" s="74">
        <v>1464</v>
      </c>
      <c r="H20" s="63">
        <f>IFERROR(B20/G20,0)</f>
        <v>178.96183743169399</v>
      </c>
      <c r="I20" s="74">
        <v>34</v>
      </c>
      <c r="J20" s="28">
        <f t="shared" si="1"/>
        <v>2.3224043715846996E-2</v>
      </c>
      <c r="K20" s="46">
        <f>I20+'Nov 19 - Nov 25'!I20+'Nov 26 - Dec 2'!I20</f>
        <v>99</v>
      </c>
      <c r="L20" s="89">
        <f>K20/SUM(G20+'Nov 19 - Nov 25'!G20+'Nov 26 - Dec 2'!G20)</f>
        <v>2.0952380952380951E-2</v>
      </c>
      <c r="M20" s="73">
        <v>10601.65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2.2902578219731275E-2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3509022.784</v>
      </c>
      <c r="C4" s="3">
        <v>3372188.24</v>
      </c>
      <c r="D4" s="66">
        <v>2983005.64</v>
      </c>
      <c r="E4" s="90">
        <f t="shared" ref="E4:E20" si="0">IFERROR((SUM(F4-D4)/D4),0)</f>
        <v>2.2902578219731275E-2</v>
      </c>
      <c r="F4" s="66">
        <f>SUM(F6:F20)</f>
        <v>3051324.1599999997</v>
      </c>
      <c r="G4" s="62">
        <f>SUM(G6:G20)</f>
        <v>22743</v>
      </c>
      <c r="H4" s="85">
        <f>AVERAGE(H5:H20)</f>
        <v>123.37588366430192</v>
      </c>
      <c r="I4" s="88">
        <f>SUM(I6:I20)</f>
        <v>536</v>
      </c>
      <c r="J4" s="28">
        <f t="shared" ref="J4:J20" si="1">I4/G4</f>
        <v>2.3567691157718857E-2</v>
      </c>
      <c r="K4" s="46">
        <f>I4+'Nov 19 - Nov 25'!I4+'Nov 26 - Dec 2'!I4+'Dec 3 - Dec 9'!I4</f>
        <v>2078</v>
      </c>
      <c r="L4" s="89">
        <f>K4/SUM(G4+'Nov 19 - Nov 25'!G4+'Nov 26 - Dec 2'!G4)</f>
        <v>3.3667633382479224E-2</v>
      </c>
      <c r="M4" s="66">
        <f>SUM(M6:M20)</f>
        <v>105452.98000000001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I5+'Nov 19 - Nov 25'!I5+'Nov 26 - Dec 2'!I5+'Dec 3 - Dec 9'!I5</f>
        <v>0</v>
      </c>
      <c r="L5" s="89" t="e">
        <f>K5/SUM(G5+'Nov 19 - Nov 25'!G5+'Nov 26 - Dec 2'!G5)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399090.79049999994</v>
      </c>
      <c r="C6" s="18">
        <v>368945.875</v>
      </c>
      <c r="D6" s="73">
        <v>288516.63</v>
      </c>
      <c r="E6" s="86">
        <f t="shared" si="0"/>
        <v>0.20282657536932955</v>
      </c>
      <c r="F6" s="73">
        <v>347035.47</v>
      </c>
      <c r="G6" s="74">
        <v>2392</v>
      </c>
      <c r="H6" s="63">
        <f t="shared" ref="H6:H15" si="3">IFERROR(B6/G6,0)</f>
        <v>166.84397596153843</v>
      </c>
      <c r="I6" s="61">
        <v>72</v>
      </c>
      <c r="J6" s="28">
        <f t="shared" si="1"/>
        <v>3.0100334448160536E-2</v>
      </c>
      <c r="K6" s="46">
        <f>I6+'Nov 19 - Nov 25'!I6+'Nov 26 - Dec 2'!I6+'Dec 3 - Dec 9'!I6</f>
        <v>265</v>
      </c>
      <c r="L6" s="89">
        <f>K6/SUM(G6+'Nov 19 - Nov 25'!G6+'Nov 26 - Dec 2'!G6)</f>
        <v>3.9777844491143799E-2</v>
      </c>
      <c r="M6" s="73">
        <v>13419.6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506739.266</v>
      </c>
      <c r="C7" s="18">
        <v>450138.40500000003</v>
      </c>
      <c r="D7" s="73">
        <v>391098.82</v>
      </c>
      <c r="E7" s="86">
        <f t="shared" si="0"/>
        <v>0.12667903216890303</v>
      </c>
      <c r="F7" s="73">
        <v>440642.84</v>
      </c>
      <c r="G7" s="74">
        <v>3437</v>
      </c>
      <c r="H7" s="63">
        <f t="shared" si="3"/>
        <v>147.43650450974687</v>
      </c>
      <c r="I7" s="61">
        <v>83</v>
      </c>
      <c r="J7" s="28">
        <f t="shared" si="1"/>
        <v>2.4148967122490542E-2</v>
      </c>
      <c r="K7" s="46">
        <f>I7+'Nov 19 - Nov 25'!I7+'Nov 26 - Dec 2'!I7+'Dec 3 - Dec 9'!I7</f>
        <v>282</v>
      </c>
      <c r="L7" s="89">
        <f>K7/SUM(G7+'Nov 19 - Nov 25'!G7+'Nov 26 - Dec 2'!G7)</f>
        <v>3.4482758620689655E-2</v>
      </c>
      <c r="M7" s="73">
        <v>15538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159940.76949999997</v>
      </c>
      <c r="C8" s="18">
        <v>188753.64</v>
      </c>
      <c r="D8" s="73">
        <v>115154.21</v>
      </c>
      <c r="E8" s="86">
        <f t="shared" si="0"/>
        <v>0.20776244307524652</v>
      </c>
      <c r="F8" s="73">
        <v>139078.93</v>
      </c>
      <c r="G8" s="74">
        <v>1144</v>
      </c>
      <c r="H8" s="63">
        <f t="shared" si="3"/>
        <v>139.80836494755241</v>
      </c>
      <c r="I8" s="61">
        <v>20</v>
      </c>
      <c r="J8" s="28">
        <f t="shared" si="1"/>
        <v>1.7482517482517484E-2</v>
      </c>
      <c r="K8" s="46">
        <f>I8+'Nov 19 - Nov 25'!I8+'Nov 26 - Dec 2'!I8+'Dec 3 - Dec 9'!I8</f>
        <v>93</v>
      </c>
      <c r="L8" s="89">
        <f>K8/SUM(G8+'Nov 19 - Nov 25'!G8+'Nov 26 - Dec 2'!G8)</f>
        <v>3.0693069306930693E-2</v>
      </c>
      <c r="M8" s="73">
        <v>4298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477131.5845</v>
      </c>
      <c r="C9" s="18">
        <v>514976.9</v>
      </c>
      <c r="D9" s="73">
        <v>380716.39</v>
      </c>
      <c r="E9" s="86">
        <f t="shared" si="0"/>
        <v>8.9779796451631658E-2</v>
      </c>
      <c r="F9" s="73">
        <v>414897.03</v>
      </c>
      <c r="G9" s="74">
        <v>2900</v>
      </c>
      <c r="H9" s="63">
        <f t="shared" si="3"/>
        <v>164.52813258620691</v>
      </c>
      <c r="I9" s="61">
        <v>68</v>
      </c>
      <c r="J9" s="28">
        <f t="shared" si="1"/>
        <v>2.3448275862068966E-2</v>
      </c>
      <c r="K9" s="46">
        <f>I9+'Nov 19 - Nov 25'!I9+'Nov 26 - Dec 2'!I9+'Dec 3 - Dec 9'!I9</f>
        <v>270</v>
      </c>
      <c r="L9" s="89">
        <f>K9/SUM(G9+'Nov 19 - Nov 25'!G9+'Nov 26 - Dec 2'!G9)</f>
        <v>3.3465542885473473E-2</v>
      </c>
      <c r="M9" s="73">
        <v>11189.6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I10+'Nov 19 - Nov 25'!I10+'Nov 26 - Dec 2'!I10+'Dec 3 - Dec 9'!I10</f>
        <v>0</v>
      </c>
      <c r="L10" s="89" t="e">
        <f>K10/SUM(G10+'Nov 19 - Nov 25'!G10+'Nov 26 - Dec 2'!G10)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151239.61649999997</v>
      </c>
      <c r="C11" s="18">
        <v>171198.54500000001</v>
      </c>
      <c r="D11" s="73">
        <v>131449.60000000001</v>
      </c>
      <c r="E11" s="86">
        <f t="shared" si="0"/>
        <v>4.8010796533413589E-4</v>
      </c>
      <c r="F11" s="73">
        <v>131512.71</v>
      </c>
      <c r="G11" s="74">
        <v>844</v>
      </c>
      <c r="H11" s="63">
        <f t="shared" si="3"/>
        <v>179.19385841232224</v>
      </c>
      <c r="I11" s="61">
        <v>32</v>
      </c>
      <c r="J11" s="28">
        <f t="shared" si="1"/>
        <v>3.7914691943127965E-2</v>
      </c>
      <c r="K11" s="46">
        <f>I11+'Nov 19 - Nov 25'!I11+'Nov 26 - Dec 2'!I11+'Dec 3 - Dec 9'!I11</f>
        <v>152</v>
      </c>
      <c r="L11" s="89">
        <f>K11/SUM(G11+'Nov 19 - Nov 25'!G11+'Nov 26 - Dec 2'!G11)</f>
        <v>5.0717384050717386E-2</v>
      </c>
      <c r="M11" s="73">
        <v>6266.8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387434.76999999996</v>
      </c>
      <c r="C12" s="18">
        <v>426804.1</v>
      </c>
      <c r="D12" s="73">
        <v>360086</v>
      </c>
      <c r="E12" s="86">
        <f t="shared" si="0"/>
        <v>-6.4390728881433906E-2</v>
      </c>
      <c r="F12" s="73">
        <v>336899.8</v>
      </c>
      <c r="G12" s="74">
        <v>2185</v>
      </c>
      <c r="H12" s="63">
        <f t="shared" si="3"/>
        <v>177.31568421052629</v>
      </c>
      <c r="I12" s="61">
        <v>51</v>
      </c>
      <c r="J12" s="28">
        <f t="shared" si="1"/>
        <v>2.3340961098398168E-2</v>
      </c>
      <c r="K12" s="46">
        <f>I12+'Nov 19 - Nov 25'!I12+'Nov 26 - Dec 2'!I12+'Dec 3 - Dec 9'!I12</f>
        <v>283</v>
      </c>
      <c r="L12" s="89">
        <f>K12/SUM(G12+'Nov 19 - Nov 25'!G12+'Nov 26 - Dec 2'!G12)</f>
        <v>4.1697362604980109E-2</v>
      </c>
      <c r="M12" s="73">
        <v>13934.75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190169.70399999997</v>
      </c>
      <c r="C13" s="18">
        <v>172644.32500000001</v>
      </c>
      <c r="D13" s="73">
        <v>129849.23</v>
      </c>
      <c r="E13" s="86">
        <f t="shared" si="0"/>
        <v>0.27351513751756557</v>
      </c>
      <c r="F13" s="73">
        <v>165364.96</v>
      </c>
      <c r="G13" s="74">
        <v>1363</v>
      </c>
      <c r="H13" s="63">
        <f t="shared" si="3"/>
        <v>139.52289361702125</v>
      </c>
      <c r="I13" s="61">
        <v>41</v>
      </c>
      <c r="J13" s="28">
        <f t="shared" si="1"/>
        <v>3.008070432868672E-2</v>
      </c>
      <c r="K13" s="46">
        <f>I13+'Nov 19 - Nov 25'!I13+'Nov 26 - Dec 2'!I13+'Dec 3 - Dec 9'!I13</f>
        <v>158</v>
      </c>
      <c r="L13" s="89">
        <f>K13/SUM(G13+'Nov 19 - Nov 25'!G13+'Nov 26 - Dec 2'!G13)</f>
        <v>4.305177111716621E-2</v>
      </c>
      <c r="M13" s="73">
        <v>8658.73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287409.51799999998</v>
      </c>
      <c r="C14" s="18">
        <v>315635.32500000001</v>
      </c>
      <c r="D14" s="73">
        <v>222361.21</v>
      </c>
      <c r="E14" s="86">
        <f t="shared" si="0"/>
        <v>0.12394297548569742</v>
      </c>
      <c r="F14" s="73">
        <v>249921.32</v>
      </c>
      <c r="G14" s="74">
        <v>1854</v>
      </c>
      <c r="H14" s="63">
        <f t="shared" si="3"/>
        <v>155.02131499460626</v>
      </c>
      <c r="I14" s="61">
        <v>46</v>
      </c>
      <c r="J14" s="28">
        <f t="shared" si="1"/>
        <v>2.4811218985976269E-2</v>
      </c>
      <c r="K14" s="46">
        <f>I14+'Nov 19 - Nov 25'!I14+'Nov 26 - Dec 2'!I14+'Dec 3 - Dec 9'!I14</f>
        <v>178</v>
      </c>
      <c r="L14" s="89">
        <f>K14/SUM(G14+'Nov 19 - Nov 25'!G14+'Nov 26 - Dec 2'!G14)</f>
        <v>3.0838530838530838E-2</v>
      </c>
      <c r="M14" s="73">
        <v>6094.1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0</v>
      </c>
      <c r="D15" s="73">
        <v>148791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I15+'Nov 19 - Nov 25'!I15+'Nov 26 - Dec 2'!I15+'Dec 3 - Dec 9'!I15</f>
        <v>0</v>
      </c>
      <c r="L15" s="89">
        <f>K15/SUM(G15+'Nov 19 - Nov 25'!G15+'Nov 26 - Dec 2'!G15)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I16+'Nov 19 - Nov 25'!I16+'Nov 26 - Dec 2'!I16+'Dec 3 - Dec 9'!I16</f>
        <v>0</v>
      </c>
      <c r="L16" s="89" t="e">
        <f>K16/SUM(G16+'Nov 19 - Nov 25'!G16+'Nov 26 - Dec 2'!G16)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I17+'Nov 19 - Nov 25'!I17+'Nov 26 - Dec 2'!I17+'Dec 3 - Dec 9'!I17</f>
        <v>0</v>
      </c>
      <c r="L17" s="89" t="e">
        <f>K17/SUM(G17+'Nov 19 - Nov 25'!G17+'Nov 26 - Dec 2'!G17)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475128.80199999997</v>
      </c>
      <c r="C18" s="18">
        <v>312386.80499999999</v>
      </c>
      <c r="D18" s="73">
        <v>369228</v>
      </c>
      <c r="E18" s="86">
        <f t="shared" si="0"/>
        <v>0.11897115061696291</v>
      </c>
      <c r="F18" s="73">
        <v>413155.48</v>
      </c>
      <c r="G18" s="74">
        <v>3760</v>
      </c>
      <c r="H18" s="63">
        <f>IFERROR(B18/G18,0)</f>
        <v>126.36404308510637</v>
      </c>
      <c r="I18" s="61">
        <v>58</v>
      </c>
      <c r="J18" s="28">
        <f t="shared" si="1"/>
        <v>1.5425531914893617E-2</v>
      </c>
      <c r="K18" s="46">
        <f>I18+'Nov 19 - Nov 25'!I18+'Nov 26 - Dec 2'!I18+'Dec 3 - Dec 9'!I18</f>
        <v>154</v>
      </c>
      <c r="L18" s="89">
        <f>K18/SUM(G18+'Nov 19 - Nov 25'!G18+'Nov 26 - Dec 2'!G18)</f>
        <v>2.1791424932786189E-2</v>
      </c>
      <c r="M18" s="73">
        <v>7804.35</v>
      </c>
      <c r="N18" s="9"/>
    </row>
    <row r="19" spans="1:14" ht="15.6" customHeight="1" x14ac:dyDescent="0.3">
      <c r="A19" s="40" t="s">
        <v>27</v>
      </c>
      <c r="B19" s="18">
        <f t="shared" si="2"/>
        <v>206979.35749999998</v>
      </c>
      <c r="C19" s="18">
        <v>188704.19</v>
      </c>
      <c r="D19" s="73">
        <v>152929.95000000001</v>
      </c>
      <c r="E19" s="86">
        <f t="shared" si="0"/>
        <v>0.17689209994510541</v>
      </c>
      <c r="F19" s="73">
        <v>179982.05</v>
      </c>
      <c r="G19" s="74">
        <v>1259</v>
      </c>
      <c r="H19" s="63">
        <f>IFERROR(B19/G19,0)</f>
        <v>164.39980738681493</v>
      </c>
      <c r="I19" s="61">
        <v>32</v>
      </c>
      <c r="J19" s="28">
        <f t="shared" si="1"/>
        <v>2.5416997617156472E-2</v>
      </c>
      <c r="K19" s="46">
        <f>I19+'Nov 19 - Nov 25'!I19+'Nov 26 - Dec 2'!I19+'Dec 3 - Dec 9'!I19</f>
        <v>111</v>
      </c>
      <c r="L19" s="89">
        <f>K19/SUM(G19+'Nov 19 - Nov 25'!G19+'Nov 26 - Dec 2'!G19)</f>
        <v>3.450419645632577E-2</v>
      </c>
      <c r="M19" s="73">
        <v>6421.5</v>
      </c>
      <c r="N19" s="9"/>
    </row>
    <row r="20" spans="1:14" ht="15.6" customHeight="1" x14ac:dyDescent="0.3">
      <c r="A20" s="40" t="s">
        <v>28</v>
      </c>
      <c r="B20" s="18">
        <f t="shared" si="2"/>
        <v>267758.60550000001</v>
      </c>
      <c r="C20" s="18">
        <v>262000.13</v>
      </c>
      <c r="D20" s="73">
        <v>292824.59999999998</v>
      </c>
      <c r="E20" s="86">
        <f t="shared" si="0"/>
        <v>-0.2048701850869086</v>
      </c>
      <c r="F20" s="73">
        <v>232833.57</v>
      </c>
      <c r="G20" s="74">
        <v>1605</v>
      </c>
      <c r="H20" s="63">
        <f>IFERROR(B20/G20,0)</f>
        <v>166.82779158878506</v>
      </c>
      <c r="I20" s="74">
        <v>33</v>
      </c>
      <c r="J20" s="28">
        <f t="shared" si="1"/>
        <v>2.0560747663551402E-2</v>
      </c>
      <c r="K20" s="46">
        <f>I20+'Nov 19 - Nov 25'!I20+'Nov 26 - Dec 2'!I20+'Dec 3 - Dec 9'!I20</f>
        <v>132</v>
      </c>
      <c r="L20" s="89">
        <f>K20/SUM(G20+'Nov 19 - Nov 25'!G20+'Nov 26 - Dec 2'!G20)</f>
        <v>2.7127003699136867E-2</v>
      </c>
      <c r="M20" s="73">
        <v>11827.55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I21" sqref="I21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7.4874274127385537E-2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3602559.8624999998</v>
      </c>
      <c r="C4" s="3">
        <v>3509022.784</v>
      </c>
      <c r="D4" s="66">
        <v>2914443.879999999</v>
      </c>
      <c r="E4" s="90">
        <f t="shared" ref="E4:E20" si="0">IFERROR((SUM(F4-D4)/D4),0)</f>
        <v>7.4874274127385537E-2</v>
      </c>
      <c r="F4" s="66">
        <f>SUM(F6:F20)</f>
        <v>3132660.75</v>
      </c>
      <c r="G4" s="62">
        <f>SUM(G6:G20)</f>
        <v>24918</v>
      </c>
      <c r="H4" s="85">
        <f>AVERAGE(H5:H20)</f>
        <v>121.44345690460823</v>
      </c>
      <c r="I4" s="88">
        <f>SUM(I6:I20)</f>
        <v>543</v>
      </c>
      <c r="J4" s="28">
        <f t="shared" ref="J4:J20" si="1">I4/G4</f>
        <v>2.1791476041415844E-2</v>
      </c>
      <c r="K4" s="46">
        <f>I4+'Nov 19 - Nov 25'!I4+'Nov 26 - Dec 2'!I4+'Dec 3 - Dec 9'!I4+'Dec 10 - Dec 16'!I4</f>
        <v>2621</v>
      </c>
      <c r="L4" s="89">
        <f>K4/SUM(G4+'Nov 19 - Nov 25'!G4+'Nov 26 - Dec 2'!G4)</f>
        <v>4.1019782145987227E-2</v>
      </c>
      <c r="M4" s="66">
        <f>SUM(M6:M20)</f>
        <v>109655.28999999998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I5+'Nov 19 - Nov 25'!I5+'Nov 26 - Dec 2'!I5+'Dec 3 - Dec 9'!I5+'Dec 10 - Dec 16'!I5</f>
        <v>0</v>
      </c>
      <c r="L5" s="89" t="e">
        <f>K5/SUM(G5+'Nov 19 - Nov 25'!G5+'Nov 26 - Dec 2'!G5)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419201.0245</v>
      </c>
      <c r="C6" s="18">
        <v>399090.79049999989</v>
      </c>
      <c r="D6" s="73">
        <v>279475.14</v>
      </c>
      <c r="E6" s="86">
        <f t="shared" si="0"/>
        <v>0.30431146756022731</v>
      </c>
      <c r="F6" s="73">
        <v>364522.63</v>
      </c>
      <c r="G6" s="74">
        <v>2666</v>
      </c>
      <c r="H6" s="63">
        <f t="shared" ref="H6:H15" si="3">IFERROR(B6/G6,0)</f>
        <v>157.23969411102775</v>
      </c>
      <c r="I6" s="61">
        <v>59</v>
      </c>
      <c r="J6" s="28">
        <f t="shared" si="1"/>
        <v>2.2130532633158291E-2</v>
      </c>
      <c r="K6" s="46">
        <f>I6+'Nov 19 - Nov 25'!I6+'Nov 26 - Dec 2'!I6+'Dec 3 - Dec 9'!I6+'Dec 10 - Dec 16'!I6</f>
        <v>324</v>
      </c>
      <c r="L6" s="89">
        <f>K6/SUM(G6+'Nov 19 - Nov 25'!G6+'Nov 26 - Dec 2'!G6)</f>
        <v>4.6712802768166091E-2</v>
      </c>
      <c r="M6" s="73">
        <v>10834.6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488774.42599999998</v>
      </c>
      <c r="C7" s="18">
        <v>506739.266</v>
      </c>
      <c r="D7" s="73">
        <v>412132.74</v>
      </c>
      <c r="E7" s="86">
        <f t="shared" si="0"/>
        <v>3.127269141490676E-2</v>
      </c>
      <c r="F7" s="73">
        <v>425021.24</v>
      </c>
      <c r="G7" s="74">
        <v>3273</v>
      </c>
      <c r="H7" s="63">
        <f t="shared" si="3"/>
        <v>149.33529666972197</v>
      </c>
      <c r="I7" s="61">
        <v>76</v>
      </c>
      <c r="J7" s="28">
        <f t="shared" si="1"/>
        <v>2.322028719828903E-2</v>
      </c>
      <c r="K7" s="46">
        <f>I7+'Nov 19 - Nov 25'!I7+'Nov 26 - Dec 2'!I7+'Dec 3 - Dec 9'!I7+'Dec 10 - Dec 16'!I7</f>
        <v>358</v>
      </c>
      <c r="L7" s="89">
        <f>K7/SUM(G7+'Nov 19 - Nov 25'!G7+'Nov 26 - Dec 2'!G7)</f>
        <v>4.4671824307461944E-2</v>
      </c>
      <c r="M7" s="73">
        <v>13864.5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126122.07549999999</v>
      </c>
      <c r="C8" s="18">
        <v>159940.76949999999</v>
      </c>
      <c r="D8" s="73">
        <v>93419.36</v>
      </c>
      <c r="E8" s="86">
        <f t="shared" si="0"/>
        <v>0.17396832947688781</v>
      </c>
      <c r="F8" s="73">
        <v>109671.37</v>
      </c>
      <c r="G8" s="74">
        <v>835</v>
      </c>
      <c r="H8" s="63">
        <f t="shared" si="3"/>
        <v>151.04440179640719</v>
      </c>
      <c r="I8" s="61">
        <v>10</v>
      </c>
      <c r="J8" s="28">
        <f t="shared" si="1"/>
        <v>1.1976047904191617E-2</v>
      </c>
      <c r="K8" s="46">
        <f>I8+'Nov 19 - Nov 25'!I8+'Nov 26 - Dec 2'!I8+'Dec 3 - Dec 9'!I8+'Dec 10 - Dec 16'!I8</f>
        <v>103</v>
      </c>
      <c r="L8" s="89">
        <f>K8/SUM(G8+'Nov 19 - Nov 25'!G8+'Nov 26 - Dec 2'!G8)</f>
        <v>3.7853730246233001E-2</v>
      </c>
      <c r="M8" s="73">
        <v>5074.8500000000004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403750.70549999998</v>
      </c>
      <c r="C9" s="18">
        <v>477131.5845</v>
      </c>
      <c r="D9" s="73">
        <v>324548.83</v>
      </c>
      <c r="E9" s="86">
        <f t="shared" si="0"/>
        <v>8.1771177545147802E-2</v>
      </c>
      <c r="F9" s="73">
        <v>351087.57</v>
      </c>
      <c r="G9" s="74">
        <v>2382</v>
      </c>
      <c r="H9" s="63">
        <f t="shared" si="3"/>
        <v>169.50071599496221</v>
      </c>
      <c r="I9" s="61">
        <v>63</v>
      </c>
      <c r="J9" s="28">
        <f t="shared" si="1"/>
        <v>2.6448362720403022E-2</v>
      </c>
      <c r="K9" s="46">
        <f>I9+'Nov 19 - Nov 25'!I9+'Nov 26 - Dec 2'!I9+'Dec 3 - Dec 9'!I9+'Dec 10 - Dec 16'!I9</f>
        <v>333</v>
      </c>
      <c r="L9" s="89">
        <f>K9/SUM(G9+'Nov 19 - Nov 25'!G9+'Nov 26 - Dec 2'!G9)</f>
        <v>4.4105960264900664E-2</v>
      </c>
      <c r="M9" s="73">
        <v>11658.5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I10+'Nov 19 - Nov 25'!I10+'Nov 26 - Dec 2'!I10+'Dec 3 - Dec 9'!I10+'Dec 10 - Dec 16'!I10</f>
        <v>0</v>
      </c>
      <c r="L10" s="89" t="e">
        <f>K10/SUM(G10+'Nov 19 - Nov 25'!G10+'Nov 26 - Dec 2'!G10)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132522.56149999998</v>
      </c>
      <c r="C11" s="18">
        <v>151239.6165</v>
      </c>
      <c r="D11" s="73">
        <v>84328.9</v>
      </c>
      <c r="E11" s="86">
        <f t="shared" si="0"/>
        <v>0.36651859564158912</v>
      </c>
      <c r="F11" s="73">
        <v>115237.01</v>
      </c>
      <c r="G11" s="74">
        <v>741</v>
      </c>
      <c r="H11" s="63">
        <f t="shared" si="3"/>
        <v>178.84286302294194</v>
      </c>
      <c r="I11" s="61">
        <v>23</v>
      </c>
      <c r="J11" s="28">
        <f t="shared" si="1"/>
        <v>3.1039136302294199E-2</v>
      </c>
      <c r="K11" s="46">
        <f>I11+'Nov 19 - Nov 25'!I11+'Nov 26 - Dec 2'!I11+'Dec 3 - Dec 9'!I11+'Dec 10 - Dec 16'!I11</f>
        <v>175</v>
      </c>
      <c r="L11" s="89">
        <f>K11/SUM(G11+'Nov 19 - Nov 25'!G11+'Nov 26 - Dec 2'!G11)</f>
        <v>6.0469937802349688E-2</v>
      </c>
      <c r="M11" s="73">
        <v>4617.6000000000004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359425.68049999996</v>
      </c>
      <c r="C12" s="18">
        <v>387434.77</v>
      </c>
      <c r="D12" s="73">
        <v>292360.17</v>
      </c>
      <c r="E12" s="86">
        <f t="shared" si="0"/>
        <v>6.9037789928771839E-2</v>
      </c>
      <c r="F12" s="73">
        <v>312544.07</v>
      </c>
      <c r="G12" s="74">
        <v>2196</v>
      </c>
      <c r="H12" s="63">
        <f t="shared" si="3"/>
        <v>163.67289640255007</v>
      </c>
      <c r="I12" s="61">
        <v>46</v>
      </c>
      <c r="J12" s="28">
        <f t="shared" si="1"/>
        <v>2.0947176684881604E-2</v>
      </c>
      <c r="K12" s="46">
        <f>I12+'Nov 19 - Nov 25'!I12+'Nov 26 - Dec 2'!I12+'Dec 3 - Dec 9'!I12+'Dec 10 - Dec 16'!I12</f>
        <v>329</v>
      </c>
      <c r="L12" s="89">
        <f>K12/SUM(G12+'Nov 19 - Nov 25'!G12+'Nov 26 - Dec 2'!G12)</f>
        <v>4.8396587231538689E-2</v>
      </c>
      <c r="M12" s="73">
        <v>19309.21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168373.06399999998</v>
      </c>
      <c r="C13" s="18">
        <v>190169.704</v>
      </c>
      <c r="D13" s="73">
        <v>128839.67</v>
      </c>
      <c r="E13" s="86">
        <f t="shared" si="0"/>
        <v>0.13638415869894721</v>
      </c>
      <c r="F13" s="73">
        <v>146411.35999999999</v>
      </c>
      <c r="G13" s="74">
        <v>1166</v>
      </c>
      <c r="H13" s="63">
        <f t="shared" si="3"/>
        <v>144.40228473413379</v>
      </c>
      <c r="I13" s="61">
        <v>33</v>
      </c>
      <c r="J13" s="28">
        <f t="shared" si="1"/>
        <v>2.8301886792452831E-2</v>
      </c>
      <c r="K13" s="46">
        <f>I13+'Nov 19 - Nov 25'!I13+'Nov 26 - Dec 2'!I13+'Dec 3 - Dec 9'!I13+'Dec 10 - Dec 16'!I13</f>
        <v>191</v>
      </c>
      <c r="L13" s="89">
        <f>K13/SUM(G13+'Nov 19 - Nov 25'!G13+'Nov 26 - Dec 2'!G13)</f>
        <v>5.4995680967463288E-2</v>
      </c>
      <c r="M13" s="73">
        <v>7343</v>
      </c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244658.4405</v>
      </c>
      <c r="C14" s="18">
        <v>287409.51799999998</v>
      </c>
      <c r="D14" s="73">
        <v>183199.92</v>
      </c>
      <c r="E14" s="86">
        <f t="shared" si="0"/>
        <v>0.16128036518793232</v>
      </c>
      <c r="F14" s="73">
        <v>212746.47</v>
      </c>
      <c r="G14" s="74">
        <v>1680</v>
      </c>
      <c r="H14" s="63">
        <f t="shared" si="3"/>
        <v>145.63002410714284</v>
      </c>
      <c r="I14" s="61">
        <v>34</v>
      </c>
      <c r="J14" s="28">
        <f t="shared" si="1"/>
        <v>2.0238095238095239E-2</v>
      </c>
      <c r="K14" s="46">
        <f>I14+'Nov 19 - Nov 25'!I14+'Nov 26 - Dec 2'!I14+'Dec 3 - Dec 9'!I14+'Dec 10 - Dec 16'!I14</f>
        <v>212</v>
      </c>
      <c r="L14" s="89">
        <f>K14/SUM(G14+'Nov 19 - Nov 25'!G14+'Nov 26 - Dec 2'!G14)</f>
        <v>3.7870668095748482E-2</v>
      </c>
      <c r="M14" s="73">
        <v>5720.9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0</v>
      </c>
      <c r="D15" s="73">
        <v>110006.3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I15+'Nov 19 - Nov 25'!I15+'Nov 26 - Dec 2'!I15+'Dec 3 - Dec 9'!I15+'Dec 10 - Dec 16'!I15</f>
        <v>0</v>
      </c>
      <c r="L15" s="89">
        <f>K15/SUM(G15+'Nov 19 - Nov 25'!G15+'Nov 26 - Dec 2'!G15)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I16+'Nov 19 - Nov 25'!I16+'Nov 26 - Dec 2'!I16+'Dec 3 - Dec 9'!I16+'Dec 10 - Dec 16'!I16</f>
        <v>0</v>
      </c>
      <c r="L16" s="89" t="e">
        <f>K16/SUM(G16+'Nov 19 - Nov 25'!G16+'Nov 26 - Dec 2'!G16)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I17+'Nov 19 - Nov 25'!I17+'Nov 26 - Dec 2'!I17+'Dec 3 - Dec 9'!I17+'Dec 10 - Dec 16'!I17</f>
        <v>0</v>
      </c>
      <c r="L17" s="89" t="e">
        <f>K17/SUM(G17+'Nov 19 - Nov 25'!G17+'Nov 26 - Dec 2'!G17)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845802.39099999995</v>
      </c>
      <c r="C18" s="18">
        <v>475128.80200000003</v>
      </c>
      <c r="D18" s="73">
        <v>611913.13</v>
      </c>
      <c r="E18" s="86">
        <f t="shared" si="0"/>
        <v>0.20193586955717058</v>
      </c>
      <c r="F18" s="73">
        <v>735480.34</v>
      </c>
      <c r="G18" s="74">
        <v>7501</v>
      </c>
      <c r="H18" s="63">
        <f>IFERROR(B18/G18,0)</f>
        <v>112.75861765097986</v>
      </c>
      <c r="I18" s="61">
        <v>138</v>
      </c>
      <c r="J18" s="28">
        <f t="shared" si="1"/>
        <v>1.8397546993734169E-2</v>
      </c>
      <c r="K18" s="46">
        <f>I18+'Nov 19 - Nov 25'!I18+'Nov 26 - Dec 2'!I18+'Dec 3 - Dec 9'!I18+'Dec 10 - Dec 16'!I18</f>
        <v>292</v>
      </c>
      <c r="L18" s="89">
        <f>K18/SUM(G18+'Nov 19 - Nov 25'!G18+'Nov 26 - Dec 2'!G18)</f>
        <v>2.7017024426350851E-2</v>
      </c>
      <c r="M18" s="73">
        <v>14044</v>
      </c>
      <c r="N18" s="9"/>
    </row>
    <row r="19" spans="1:14" ht="15.6" customHeight="1" x14ac:dyDescent="0.3">
      <c r="A19" s="40" t="s">
        <v>27</v>
      </c>
      <c r="B19" s="18">
        <f t="shared" si="2"/>
        <v>148382.24599999998</v>
      </c>
      <c r="C19" s="18">
        <v>206979.35750000001</v>
      </c>
      <c r="D19" s="73">
        <v>118220.82</v>
      </c>
      <c r="E19" s="86">
        <f t="shared" si="0"/>
        <v>9.1415539157992526E-2</v>
      </c>
      <c r="F19" s="73">
        <v>129028.04</v>
      </c>
      <c r="G19" s="74">
        <v>1011</v>
      </c>
      <c r="H19" s="63">
        <f>IFERROR(B19/G19,0)</f>
        <v>146.76780019782393</v>
      </c>
      <c r="I19" s="61">
        <v>21</v>
      </c>
      <c r="J19" s="28">
        <f t="shared" si="1"/>
        <v>2.0771513353115726E-2</v>
      </c>
      <c r="K19" s="46">
        <f>I19+'Nov 19 - Nov 25'!I19+'Nov 26 - Dec 2'!I19+'Dec 3 - Dec 9'!I19+'Dec 10 - Dec 16'!I19</f>
        <v>132</v>
      </c>
      <c r="L19" s="89">
        <f>K19/SUM(G19+'Nov 19 - Nov 25'!G19+'Nov 26 - Dec 2'!G19)</f>
        <v>4.4459413944088921E-2</v>
      </c>
      <c r="M19" s="73">
        <v>5445.9</v>
      </c>
      <c r="N19" s="9"/>
    </row>
    <row r="20" spans="1:14" ht="15.6" customHeight="1" x14ac:dyDescent="0.3">
      <c r="A20" s="40" t="s">
        <v>28</v>
      </c>
      <c r="B20" s="18">
        <f t="shared" si="2"/>
        <v>265547.2475</v>
      </c>
      <c r="C20" s="18">
        <v>267758.60550000001</v>
      </c>
      <c r="D20" s="73">
        <v>275998.90000000002</v>
      </c>
      <c r="E20" s="86">
        <f t="shared" si="0"/>
        <v>-0.16336387572559175</v>
      </c>
      <c r="F20" s="73">
        <v>230910.65</v>
      </c>
      <c r="G20" s="74">
        <v>1467</v>
      </c>
      <c r="H20" s="63">
        <f>IFERROR(B20/G20,0)</f>
        <v>181.01380197682346</v>
      </c>
      <c r="I20" s="74">
        <v>40</v>
      </c>
      <c r="J20" s="28">
        <f t="shared" si="1"/>
        <v>2.7266530334014997E-2</v>
      </c>
      <c r="K20" s="46">
        <f>I20+'Nov 19 - Nov 25'!I20+'Nov 26 - Dec 2'!I20+'Dec 3 - Dec 9'!I20+'Dec 10 - Dec 16'!I20</f>
        <v>172</v>
      </c>
      <c r="L20" s="89">
        <f>K20/SUM(G20+'Nov 19 - Nov 25'!G20+'Nov 26 - Dec 2'!G20)</f>
        <v>3.6379018612521151E-2</v>
      </c>
      <c r="M20" s="73">
        <v>11742.23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R29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-6.2147740876849142E-2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SUM(B6:B20)</f>
        <v>2702589.4124999996</v>
      </c>
      <c r="C4" s="3">
        <v>3602559.8624999998</v>
      </c>
      <c r="D4" s="66">
        <f>SUM(D6:D20)</f>
        <v>2505808.06</v>
      </c>
      <c r="E4" s="90">
        <f t="shared" ref="E4:E20" si="0">IFERROR((SUM(F4-D4)/D4),0)</f>
        <v>-6.2147740876849142E-2</v>
      </c>
      <c r="F4" s="66">
        <f>SUM(F6:F20)</f>
        <v>2350077.75</v>
      </c>
      <c r="G4" s="62">
        <f>SUM(G6:G20)</f>
        <v>19326</v>
      </c>
      <c r="H4" s="85">
        <f>AVERAGE(H5:H20)</f>
        <v>108.35357881219103</v>
      </c>
      <c r="I4" s="88">
        <f>SUM(I6:I20)</f>
        <v>0</v>
      </c>
      <c r="J4" s="28">
        <f t="shared" ref="J4:J20" si="1">I4/G4</f>
        <v>0</v>
      </c>
      <c r="K4" s="46">
        <f>I4+'Nov 19 - Nov 25'!I4+'Nov 26 - Dec 2'!I4+'Dec 3 - Dec 9'!I4+'Dec 10 - Dec 16'!I4+'Dec 17 - Dec 23'!I4</f>
        <v>2621</v>
      </c>
      <c r="L4" s="89">
        <f>K4/SUM(G4+'Nov 19 - Nov 25'!G4+'Nov 26 - Dec 2'!G4+'Dec 3 - Dec 9'!G4+'Dec 10 - Dec 16'!G4+'Dec 17 - Dec 23'!G4)</f>
        <v>2.0322082916579439E-2</v>
      </c>
      <c r="M4" s="66">
        <f>SUM(M6:M20)</f>
        <v>93812.250000000015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 t="e">
        <f t="shared" si="1"/>
        <v>#DIV/0!</v>
      </c>
      <c r="K5" s="46">
        <f>I5+'Nov 19 - Nov 25'!I5+'Nov 26 - Dec 2'!I5+'Dec 3 - Dec 9'!I5+'Dec 10 - Dec 16'!I5+'Dec 17 - Dec 23'!I5</f>
        <v>0</v>
      </c>
      <c r="L5" s="89" t="e">
        <f>K5/SUM(G5+'Nov 19 - Nov 25'!G5+'Nov 26 - Dec 2'!G5+'Dec 3 - Dec 9'!G5+'Dec 10 - Dec 16'!G5+'Dec 17 - Dec 23'!G5)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20" si="2">F6*1.15</f>
        <v>363155.625</v>
      </c>
      <c r="C6" s="18">
        <v>419201.0245</v>
      </c>
      <c r="D6" s="73">
        <v>268379.65999999997</v>
      </c>
      <c r="E6" s="86">
        <f t="shared" si="0"/>
        <v>0.17664468313284259</v>
      </c>
      <c r="F6" s="73">
        <v>315787.5</v>
      </c>
      <c r="G6" s="74">
        <v>2388</v>
      </c>
      <c r="H6" s="63">
        <f t="shared" ref="H6:H15" si="3">IFERROR(B6/G6,0)</f>
        <v>152.07521984924622</v>
      </c>
      <c r="I6" s="61"/>
      <c r="J6" s="28">
        <f t="shared" si="1"/>
        <v>0</v>
      </c>
      <c r="K6" s="46">
        <f>I6+'Nov 19 - Nov 25'!I6+'Nov 26 - Dec 2'!I6+'Dec 3 - Dec 9'!I6+'Dec 10 - Dec 16'!I6+'Dec 17 - Dec 23'!I6</f>
        <v>324</v>
      </c>
      <c r="L6" s="89">
        <f>K6/SUM(G6+'Nov 19 - Nov 25'!G6+'Nov 26 - Dec 2'!G6+'Dec 3 - Dec 9'!G6+'Dec 10 - Dec 16'!G6+'Dec 17 - Dec 23'!G6)</f>
        <v>2.3219148631216855E-2</v>
      </c>
      <c r="M6" s="73">
        <v>8336.2999999999993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224489.77499999999</v>
      </c>
      <c r="C7" s="18">
        <v>488774.42599999998</v>
      </c>
      <c r="D7" s="73">
        <v>247039.76</v>
      </c>
      <c r="E7" s="86">
        <f t="shared" si="0"/>
        <v>-0.20980938452984252</v>
      </c>
      <c r="F7" s="73">
        <v>195208.5</v>
      </c>
      <c r="G7" s="74">
        <v>2015</v>
      </c>
      <c r="H7" s="63">
        <f t="shared" si="3"/>
        <v>111.40931761786601</v>
      </c>
      <c r="I7" s="61"/>
      <c r="J7" s="28">
        <f t="shared" si="1"/>
        <v>0</v>
      </c>
      <c r="K7" s="46">
        <f>I7+'Nov 19 - Nov 25'!I7+'Nov 26 - Dec 2'!I7+'Dec 3 - Dec 9'!I7+'Dec 10 - Dec 16'!I7+'Dec 17 - Dec 23'!I7</f>
        <v>358</v>
      </c>
      <c r="L7" s="89">
        <f>K7/SUM(G7+'Nov 19 - Nov 25'!G7+'Nov 26 - Dec 2'!G7+'Dec 3 - Dec 9'!G7+'Dec 10 - Dec 16'!G7+'Dec 17 - Dec 23'!G7)</f>
        <v>1.9916550764951323E-2</v>
      </c>
      <c r="M7" s="73">
        <v>8908.7000000000007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77785.14899999999</v>
      </c>
      <c r="C8" s="18">
        <v>126122.07550000001</v>
      </c>
      <c r="D8" s="73">
        <v>50611.88</v>
      </c>
      <c r="E8" s="86">
        <f t="shared" si="0"/>
        <v>0.33643049813601072</v>
      </c>
      <c r="F8" s="73">
        <v>67639.259999999995</v>
      </c>
      <c r="G8" s="74">
        <v>424</v>
      </c>
      <c r="H8" s="63">
        <f t="shared" si="3"/>
        <v>183.4555400943396</v>
      </c>
      <c r="I8" s="61"/>
      <c r="J8" s="28">
        <f t="shared" si="1"/>
        <v>0</v>
      </c>
      <c r="K8" s="46">
        <f>I8+'Nov 19 - Nov 25'!I8+'Nov 26 - Dec 2'!I8+'Dec 3 - Dec 9'!I8+'Dec 10 - Dec 16'!I8+'Dec 17 - Dec 23'!I8</f>
        <v>103</v>
      </c>
      <c r="L8" s="89">
        <f>K8/SUM(G8+'Nov 19 - Nov 25'!G8+'Nov 26 - Dec 2'!G8+'Dec 3 - Dec 9'!G8+'Dec 10 - Dec 16'!G8+'Dec 17 - Dec 23'!G8)</f>
        <v>1.8676337262012694E-2</v>
      </c>
      <c r="M8" s="73">
        <v>2523.6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289050.08499999996</v>
      </c>
      <c r="C9" s="18">
        <v>403750.70549999998</v>
      </c>
      <c r="D9" s="73">
        <v>232083.31</v>
      </c>
      <c r="E9" s="86">
        <f t="shared" si="0"/>
        <v>8.3007218399289442E-2</v>
      </c>
      <c r="F9" s="73">
        <v>251347.9</v>
      </c>
      <c r="G9" s="74">
        <v>1929</v>
      </c>
      <c r="H9" s="63">
        <f t="shared" si="3"/>
        <v>149.84452306894761</v>
      </c>
      <c r="I9" s="61"/>
      <c r="J9" s="28">
        <f t="shared" si="1"/>
        <v>0</v>
      </c>
      <c r="K9" s="46">
        <f>I9+'Nov 19 - Nov 25'!I9+'Nov 26 - Dec 2'!I9+'Dec 3 - Dec 9'!I9+'Dec 10 - Dec 16'!I9+'Dec 17 - Dec 23'!I9</f>
        <v>333</v>
      </c>
      <c r="L9" s="89">
        <f>K9/SUM(G9+'Nov 19 - Nov 25'!G9+'Nov 26 - Dec 2'!G9+'Dec 3 - Dec 9'!G9+'Dec 10 - Dec 16'!G9+'Dec 17 - Dec 23'!G9)</f>
        <v>2.1727782852668669E-2</v>
      </c>
      <c r="M9" s="73">
        <v>11633</v>
      </c>
      <c r="N9" s="26"/>
      <c r="O9" s="9"/>
      <c r="P9" s="9"/>
    </row>
    <row r="10" spans="1:16" ht="15.6" hidden="1" customHeight="1" x14ac:dyDescent="0.3">
      <c r="A10" s="39" t="s">
        <v>19</v>
      </c>
      <c r="B10" s="18">
        <f t="shared" si="2"/>
        <v>0</v>
      </c>
      <c r="C10" s="18">
        <v>0</v>
      </c>
      <c r="D10" s="73"/>
      <c r="E10" s="86">
        <f t="shared" si="0"/>
        <v>0</v>
      </c>
      <c r="F10" s="73"/>
      <c r="G10" s="74"/>
      <c r="H10" s="63">
        <f t="shared" si="3"/>
        <v>0</v>
      </c>
      <c r="I10" s="61"/>
      <c r="J10" s="28" t="e">
        <f t="shared" si="1"/>
        <v>#DIV/0!</v>
      </c>
      <c r="K10" s="46">
        <f>I10+'Nov 19 - Nov 25'!I10+'Nov 26 - Dec 2'!I10+'Dec 3 - Dec 9'!I10+'Dec 10 - Dec 16'!I10+'Dec 17 - Dec 23'!I10</f>
        <v>0</v>
      </c>
      <c r="L10" s="89" t="e">
        <f>K10/SUM(G10+'Nov 19 - Nov 25'!G10+'Nov 26 - Dec 2'!G10+'Dec 3 - Dec 9'!G10+'Dec 10 - Dec 16'!G10+'Dec 17 - Dec 23'!G10)</f>
        <v>#DIV/0!</v>
      </c>
      <c r="M10" s="73"/>
      <c r="N10" s="26"/>
      <c r="O10" s="9"/>
      <c r="P10" s="9"/>
    </row>
    <row r="11" spans="1:16" ht="15.6" customHeight="1" x14ac:dyDescent="0.3">
      <c r="A11" s="39" t="s">
        <v>20</v>
      </c>
      <c r="B11" s="18">
        <f t="shared" si="2"/>
        <v>100166.679</v>
      </c>
      <c r="C11" s="18">
        <v>132522.56150000001</v>
      </c>
      <c r="D11" s="73">
        <v>100241.89</v>
      </c>
      <c r="E11" s="86">
        <f t="shared" si="0"/>
        <v>-0.13108721314013524</v>
      </c>
      <c r="F11" s="73">
        <v>87101.46</v>
      </c>
      <c r="G11" s="74">
        <v>568</v>
      </c>
      <c r="H11" s="63">
        <f t="shared" si="3"/>
        <v>176.34978697183098</v>
      </c>
      <c r="I11" s="61"/>
      <c r="J11" s="28">
        <f t="shared" si="1"/>
        <v>0</v>
      </c>
      <c r="K11" s="46">
        <f>I11+'Nov 19 - Nov 25'!I11+'Nov 26 - Dec 2'!I11+'Dec 3 - Dec 9'!I11+'Dec 10 - Dec 16'!I11+'Dec 17 - Dec 23'!I11</f>
        <v>175</v>
      </c>
      <c r="L11" s="89">
        <f>K11/SUM(G11+'Nov 19 - Nov 25'!G11+'Nov 26 - Dec 2'!G11+'Dec 3 - Dec 9'!G11+'Dec 10 - Dec 16'!G11+'Dec 17 - Dec 23'!G11)</f>
        <v>3.2497678737233054E-2</v>
      </c>
      <c r="M11" s="73">
        <v>3355.8</v>
      </c>
      <c r="N11" s="26"/>
      <c r="O11" s="9"/>
      <c r="P11" s="9"/>
    </row>
    <row r="12" spans="1:16" ht="15.6" customHeight="1" x14ac:dyDescent="0.3">
      <c r="A12" s="39" t="s">
        <v>21</v>
      </c>
      <c r="B12" s="18">
        <f t="shared" si="2"/>
        <v>266166.005</v>
      </c>
      <c r="C12" s="18">
        <v>359425.68050000002</v>
      </c>
      <c r="D12" s="73">
        <v>243609.74</v>
      </c>
      <c r="E12" s="86">
        <f t="shared" si="0"/>
        <v>-4.9920171500531872E-2</v>
      </c>
      <c r="F12" s="73">
        <v>231448.7</v>
      </c>
      <c r="G12" s="74">
        <v>2092</v>
      </c>
      <c r="H12" s="63">
        <f t="shared" si="3"/>
        <v>127.23040391969407</v>
      </c>
      <c r="I12" s="61"/>
      <c r="J12" s="28">
        <f t="shared" si="1"/>
        <v>0</v>
      </c>
      <c r="K12" s="46">
        <f>I12+'Nov 19 - Nov 25'!I12+'Nov 26 - Dec 2'!I12+'Dec 3 - Dec 9'!I12+'Dec 10 - Dec 16'!I12+'Dec 17 - Dec 23'!I12</f>
        <v>329</v>
      </c>
      <c r="L12" s="89">
        <f>K12/SUM(G12+'Nov 19 - Nov 25'!G12+'Nov 26 - Dec 2'!G12+'Dec 3 - Dec 9'!G12+'Dec 10 - Dec 16'!G12+'Dec 17 - Dec 23'!G12)</f>
        <v>2.4352331606217616E-2</v>
      </c>
      <c r="M12" s="73">
        <v>13805.45</v>
      </c>
      <c r="N12" s="26"/>
      <c r="O12" s="9"/>
      <c r="P12" s="9"/>
    </row>
    <row r="13" spans="1:16" ht="15.6" customHeight="1" x14ac:dyDescent="0.3">
      <c r="A13" s="40" t="s">
        <v>22</v>
      </c>
      <c r="B13" s="18">
        <f t="shared" si="2"/>
        <v>0</v>
      </c>
      <c r="C13" s="18">
        <v>168373.06400000001</v>
      </c>
      <c r="D13" s="73">
        <v>105293.6</v>
      </c>
      <c r="E13" s="86">
        <f t="shared" si="0"/>
        <v>-1</v>
      </c>
      <c r="F13" s="73"/>
      <c r="G13" s="74"/>
      <c r="H13" s="63">
        <f t="shared" si="3"/>
        <v>0</v>
      </c>
      <c r="I13" s="61"/>
      <c r="J13" s="28" t="e">
        <f t="shared" si="1"/>
        <v>#DIV/0!</v>
      </c>
      <c r="K13" s="46">
        <f>I13+'Nov 19 - Nov 25'!I13+'Nov 26 - Dec 2'!I13+'Dec 3 - Dec 9'!I13+'Dec 10 - Dec 16'!I13+'Dec 17 - Dec 23'!I13</f>
        <v>191</v>
      </c>
      <c r="L13" s="89">
        <f>K13/SUM(G13+'Nov 19 - Nov 25'!G13+'Nov 26 - Dec 2'!G13+'Dec 3 - Dec 9'!G13+'Dec 10 - Dec 16'!G13+'Dec 17 - Dec 23'!G13)</f>
        <v>3.1265346210509082E-2</v>
      </c>
      <c r="M13" s="73"/>
      <c r="N13" s="26"/>
      <c r="O13" s="9"/>
      <c r="P13" s="9"/>
    </row>
    <row r="14" spans="1:16" ht="15.6" customHeight="1" x14ac:dyDescent="0.3">
      <c r="A14" s="40" t="s">
        <v>23</v>
      </c>
      <c r="B14" s="18">
        <f t="shared" si="2"/>
        <v>171700.405</v>
      </c>
      <c r="C14" s="18">
        <v>244658.4405</v>
      </c>
      <c r="D14" s="73">
        <v>137786.37</v>
      </c>
      <c r="E14" s="86">
        <f t="shared" si="0"/>
        <v>8.3595568995685252E-2</v>
      </c>
      <c r="F14" s="73">
        <v>149304.70000000001</v>
      </c>
      <c r="G14" s="74">
        <v>1138</v>
      </c>
      <c r="H14" s="63">
        <f t="shared" si="3"/>
        <v>150.87909050966607</v>
      </c>
      <c r="I14" s="61"/>
      <c r="J14" s="28">
        <f t="shared" si="1"/>
        <v>0</v>
      </c>
      <c r="K14" s="46">
        <f>I14+'Nov 19 - Nov 25'!I14+'Nov 26 - Dec 2'!I14+'Dec 3 - Dec 9'!I14+'Dec 10 - Dec 16'!I14+'Dec 17 - Dec 23'!I14</f>
        <v>212</v>
      </c>
      <c r="L14" s="89">
        <f>K14/SUM(G14+'Nov 19 - Nov 25'!G14+'Nov 26 - Dec 2'!G14+'Dec 3 - Dec 9'!G14+'Dec 10 - Dec 16'!G14+'Dec 17 - Dec 23'!G14)</f>
        <v>1.9930431512644543E-2</v>
      </c>
      <c r="M14" s="73">
        <v>6919.2</v>
      </c>
      <c r="N14" s="26"/>
      <c r="O14" s="9"/>
      <c r="P14" s="9"/>
    </row>
    <row r="15" spans="1:16" ht="15.6" customHeight="1" x14ac:dyDescent="0.3">
      <c r="A15" s="40" t="s">
        <v>24</v>
      </c>
      <c r="B15" s="18">
        <f t="shared" si="2"/>
        <v>0</v>
      </c>
      <c r="C15" s="18">
        <v>0</v>
      </c>
      <c r="D15" s="73">
        <v>171612.08</v>
      </c>
      <c r="E15" s="86">
        <f t="shared" si="0"/>
        <v>-1</v>
      </c>
      <c r="F15" s="73"/>
      <c r="G15" s="74"/>
      <c r="H15" s="63">
        <f t="shared" si="3"/>
        <v>0</v>
      </c>
      <c r="I15" s="61"/>
      <c r="J15" s="28" t="e">
        <f t="shared" si="1"/>
        <v>#DIV/0!</v>
      </c>
      <c r="K15" s="46">
        <f>I15+'Nov 19 - Nov 25'!I15+'Nov 26 - Dec 2'!I15+'Dec 3 - Dec 9'!I15+'Dec 10 - Dec 16'!I15+'Dec 17 - Dec 23'!I15</f>
        <v>0</v>
      </c>
      <c r="L15" s="89">
        <f>K15/SUM(G15+'Nov 19 - Nov 25'!G15+'Nov 26 - Dec 2'!G15+'Dec 3 - Dec 9'!G15+'Dec 10 - Dec 16'!G15+'Dec 17 - Dec 23'!G15)</f>
        <v>0</v>
      </c>
      <c r="M15" s="73"/>
      <c r="N15" s="26"/>
      <c r="O15" s="9"/>
      <c r="P15" s="9"/>
    </row>
    <row r="16" spans="1:16" ht="15.6" hidden="1" customHeight="1" x14ac:dyDescent="0.3">
      <c r="A16" s="19"/>
      <c r="B16" s="18">
        <f t="shared" si="2"/>
        <v>0</v>
      </c>
      <c r="C16" s="87">
        <v>0</v>
      </c>
      <c r="D16" s="32"/>
      <c r="E16" s="86">
        <f t="shared" si="0"/>
        <v>0</v>
      </c>
      <c r="F16" s="32"/>
      <c r="G16" s="61"/>
      <c r="H16" s="63"/>
      <c r="I16" s="61"/>
      <c r="J16" s="28" t="e">
        <f t="shared" si="1"/>
        <v>#DIV/0!</v>
      </c>
      <c r="K16" s="46">
        <f>I16+'Nov 19 - Nov 25'!I16+'Nov 26 - Dec 2'!I16+'Dec 3 - Dec 9'!I16+'Dec 10 - Dec 16'!I16+'Dec 17 - Dec 23'!I16</f>
        <v>0</v>
      </c>
      <c r="L16" s="89" t="e">
        <f>K16/SUM(G16+'Nov 19 - Nov 25'!G16+'Nov 26 - Dec 2'!G16+'Dec 3 - Dec 9'!G16+'Dec 10 - Dec 16'!G16+'Dec 17 - Dec 23'!G16)</f>
        <v>#DIV/0!</v>
      </c>
      <c r="M16" s="64"/>
      <c r="N16" s="26"/>
      <c r="O16" s="9"/>
      <c r="P16" s="9"/>
    </row>
    <row r="17" spans="1:14" ht="15.6" hidden="1" customHeight="1" x14ac:dyDescent="0.3">
      <c r="A17" s="12"/>
      <c r="B17" s="18">
        <f t="shared" si="2"/>
        <v>0</v>
      </c>
      <c r="C17" s="75">
        <v>0</v>
      </c>
      <c r="D17" s="32"/>
      <c r="E17" s="86">
        <f t="shared" si="0"/>
        <v>0</v>
      </c>
      <c r="F17" s="32"/>
      <c r="G17" s="61"/>
      <c r="H17" s="63">
        <f>IFERROR(D17/G17,0)</f>
        <v>0</v>
      </c>
      <c r="I17" s="74"/>
      <c r="J17" s="28" t="e">
        <f t="shared" si="1"/>
        <v>#DIV/0!</v>
      </c>
      <c r="K17" s="46">
        <f>I17+'Nov 19 - Nov 25'!I17+'Nov 26 - Dec 2'!I17+'Dec 3 - Dec 9'!I17+'Dec 10 - Dec 16'!I17+'Dec 17 - Dec 23'!I17</f>
        <v>0</v>
      </c>
      <c r="L17" s="89" t="e">
        <f>K17/SUM(G17+'Nov 19 - Nov 25'!G17+'Nov 26 - Dec 2'!G17+'Dec 3 - Dec 9'!G17+'Dec 10 - Dec 16'!G17+'Dec 17 - Dec 23'!G17)</f>
        <v>#DIV/0!</v>
      </c>
      <c r="M17" s="64"/>
      <c r="N17" s="22"/>
    </row>
    <row r="18" spans="1:14" ht="15.6" customHeight="1" x14ac:dyDescent="0.3">
      <c r="A18" s="40" t="s">
        <v>26</v>
      </c>
      <c r="B18" s="18">
        <f t="shared" si="2"/>
        <v>977073.57999999984</v>
      </c>
      <c r="C18" s="18">
        <v>845802.39099999995</v>
      </c>
      <c r="D18" s="73">
        <v>703760.14</v>
      </c>
      <c r="E18" s="86">
        <f t="shared" si="0"/>
        <v>0.20727098866383642</v>
      </c>
      <c r="F18" s="73">
        <v>849629.2</v>
      </c>
      <c r="G18" s="74">
        <v>7379</v>
      </c>
      <c r="H18" s="63">
        <f>IFERROR(B18/G18,0)</f>
        <v>132.41273614310879</v>
      </c>
      <c r="I18" s="61"/>
      <c r="J18" s="28">
        <f t="shared" si="1"/>
        <v>0</v>
      </c>
      <c r="K18" s="46">
        <f>I18+'Nov 19 - Nov 25'!I18+'Nov 26 - Dec 2'!I18+'Dec 3 - Dec 9'!I18+'Dec 10 - Dec 16'!I18+'Dec 17 - Dec 23'!I18</f>
        <v>292</v>
      </c>
      <c r="L18" s="89">
        <f>K18/SUM(G18+'Nov 19 - Nov 25'!G18+'Nov 26 - Dec 2'!G18+'Dec 3 - Dec 9'!G18+'Dec 10 - Dec 16'!G18+'Dec 17 - Dec 23'!G18)</f>
        <v>1.1908160352351047E-2</v>
      </c>
      <c r="M18" s="73">
        <v>26076.9</v>
      </c>
      <c r="N18" s="9"/>
    </row>
    <row r="19" spans="1:14" ht="15.6" customHeight="1" x14ac:dyDescent="0.3">
      <c r="A19" s="40" t="s">
        <v>27</v>
      </c>
      <c r="B19" s="18">
        <f t="shared" si="2"/>
        <v>101945.0045</v>
      </c>
      <c r="C19" s="18">
        <v>148382.24600000001</v>
      </c>
      <c r="D19" s="73">
        <v>90692.88</v>
      </c>
      <c r="E19" s="86">
        <f t="shared" si="0"/>
        <v>-2.2549179163788853E-2</v>
      </c>
      <c r="F19" s="73">
        <v>88647.83</v>
      </c>
      <c r="G19" s="74">
        <v>663</v>
      </c>
      <c r="H19" s="63">
        <f>IFERROR(B19/G19,0)</f>
        <v>153.7632043740573</v>
      </c>
      <c r="I19" s="61"/>
      <c r="J19" s="28">
        <f t="shared" si="1"/>
        <v>0</v>
      </c>
      <c r="K19" s="46">
        <f>I19+'Nov 19 - Nov 25'!I19+'Nov 26 - Dec 2'!I19+'Dec 3 - Dec 9'!I19+'Dec 10 - Dec 16'!I19+'Dec 17 - Dec 23'!I19</f>
        <v>132</v>
      </c>
      <c r="L19" s="89">
        <f>K19/SUM(G19+'Nov 19 - Nov 25'!G19+'Nov 26 - Dec 2'!G19+'Dec 3 - Dec 9'!G19+'Dec 10 - Dec 16'!G19+'Dec 17 - Dec 23'!G19)</f>
        <v>2.1614540691010316E-2</v>
      </c>
      <c r="M19" s="73">
        <v>5776.7</v>
      </c>
      <c r="N19" s="9"/>
    </row>
    <row r="20" spans="1:14" ht="15.6" customHeight="1" x14ac:dyDescent="0.3">
      <c r="A20" s="40" t="s">
        <v>28</v>
      </c>
      <c r="B20" s="18">
        <f t="shared" si="2"/>
        <v>131057.10499999998</v>
      </c>
      <c r="C20" s="18">
        <v>265547.2475</v>
      </c>
      <c r="D20" s="79">
        <v>154696.75</v>
      </c>
      <c r="E20" s="86">
        <f t="shared" si="0"/>
        <v>-0.26331548658908477</v>
      </c>
      <c r="F20" s="73">
        <v>113962.7</v>
      </c>
      <c r="G20" s="74">
        <v>730</v>
      </c>
      <c r="H20" s="63">
        <f>IFERROR(B20/G20,0)</f>
        <v>179.53028082191778</v>
      </c>
      <c r="I20" s="74"/>
      <c r="J20" s="28">
        <f t="shared" si="1"/>
        <v>0</v>
      </c>
      <c r="K20" s="46">
        <f>I20+'Nov 19 - Nov 25'!I20+'Nov 26 - Dec 2'!I20+'Dec 3 - Dec 9'!I20+'Dec 10 - Dec 16'!I20+'Dec 17 - Dec 23'!I20</f>
        <v>172</v>
      </c>
      <c r="L20" s="89">
        <f>K20/SUM(G20+'Nov 19 - Nov 25'!G20+'Nov 26 - Dec 2'!G20+'Dec 3 - Dec 9'!G20+'Dec 10 - Dec 16'!G20+'Dec 17 - Dec 23'!G20)</f>
        <v>2.0171220827958251E-2</v>
      </c>
      <c r="M20" s="73">
        <v>6476.6</v>
      </c>
      <c r="N20" s="9"/>
    </row>
    <row r="21" spans="1:14" x14ac:dyDescent="0.3">
      <c r="A21" s="81"/>
      <c r="B21" s="81"/>
      <c r="C21" s="81"/>
      <c r="D21" s="81"/>
      <c r="E21" s="81"/>
      <c r="F21" s="395"/>
      <c r="G21" s="396"/>
      <c r="H21" s="397"/>
      <c r="I21" s="91" t="s">
        <v>31</v>
      </c>
      <c r="J21" s="397"/>
      <c r="K21" s="397"/>
      <c r="L21" s="397"/>
      <c r="M21" s="397"/>
      <c r="N21" s="9"/>
    </row>
    <row r="22" spans="1:14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  <c r="N22" s="9"/>
    </row>
    <row r="23" spans="1:14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  <c r="N23" s="9"/>
    </row>
    <row r="24" spans="1:14" ht="15" customHeigh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27"/>
      <c r="N24" s="9"/>
    </row>
    <row r="25" spans="1:14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  <c r="N25" s="9"/>
    </row>
    <row r="26" spans="1:14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  <c r="N26" s="9"/>
    </row>
    <row r="27" spans="1:14" x14ac:dyDescent="0.3">
      <c r="A27" s="81"/>
      <c r="B27" s="81"/>
      <c r="C27" s="81"/>
      <c r="D27" s="81"/>
      <c r="E27" s="81"/>
      <c r="F27" s="83"/>
      <c r="G27" s="82"/>
      <c r="H27" s="81"/>
      <c r="I27" s="81"/>
      <c r="J27" s="81"/>
      <c r="K27" s="81"/>
      <c r="L27" s="81"/>
      <c r="M27" s="81"/>
      <c r="N27" s="9"/>
    </row>
    <row r="28" spans="1:14" x14ac:dyDescent="0.3">
      <c r="A28" s="81"/>
      <c r="B28" s="81"/>
      <c r="C28" s="81"/>
      <c r="D28" s="81"/>
      <c r="E28" s="81"/>
      <c r="F28" s="83"/>
      <c r="G28" s="82"/>
      <c r="H28" s="81"/>
      <c r="I28" s="81"/>
      <c r="J28" s="81"/>
      <c r="K28" s="81"/>
      <c r="L28" s="81"/>
      <c r="M28" s="81"/>
      <c r="N28" s="9"/>
    </row>
    <row r="29" spans="1:14" x14ac:dyDescent="0.3">
      <c r="A29" s="81"/>
      <c r="B29" s="81"/>
      <c r="C29" s="81"/>
      <c r="D29" s="81"/>
      <c r="E29" s="81"/>
      <c r="F29" s="83"/>
      <c r="G29" s="82"/>
      <c r="H29" s="81"/>
      <c r="I29" s="81"/>
      <c r="J29" s="81"/>
      <c r="K29" s="81"/>
      <c r="L29" s="81"/>
      <c r="M29" s="81"/>
      <c r="N29" s="9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R26"/>
  <sheetViews>
    <sheetView view="pageBreakPreview" zoomScale="70" zoomScaleNormal="80" zoomScaleSheetLayoutView="70" workbookViewId="0">
      <pane xSplit="1" topLeftCell="B1" activePane="topRight" state="frozen"/>
      <selection pane="topRight" activeCell="A10" activeCellId="1" sqref="A16:XFD17 A10:XFD10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2.5546875" style="69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-0.1523582190063158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0" t="s">
        <v>8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SUM(B6:B17)</f>
        <v>2903919.6825000001</v>
      </c>
      <c r="C4" s="3">
        <f>SUM(C6:C17)</f>
        <v>2525147.5499999998</v>
      </c>
      <c r="D4" s="3">
        <f>SUM(D6:D17)</f>
        <v>2979026.7618</v>
      </c>
      <c r="E4" s="90">
        <f t="shared" ref="E4:E17" si="0">IFERROR((SUM(F4-D4)/D4),0)</f>
        <v>-0.1523582190063158</v>
      </c>
      <c r="F4" s="66">
        <f>SUM(F6:F17)</f>
        <v>2525147.5499999998</v>
      </c>
      <c r="G4" s="66">
        <f>SUM(G6:G17)</f>
        <v>19056</v>
      </c>
      <c r="H4" s="85">
        <f>AVERAGE(H5:H17)</f>
        <v>145.33298251984749</v>
      </c>
      <c r="I4" s="88">
        <f>SUM(I6:I17)</f>
        <v>26</v>
      </c>
      <c r="J4" s="28">
        <f t="shared" ref="J4:J17" si="1">I4/G4</f>
        <v>1.3643996641477751E-3</v>
      </c>
      <c r="K4" s="46">
        <f>I4+'Nov 19 - Nov 25'!I4+'Nov 26 - Dec 2'!I4+'Dec 3 - Dec 9'!I4+'Dec 10 - Dec 16'!I4+'Dec 17 - Dec 23'!I4+'Dec 24 - Dec 30'!I4</f>
        <v>2647</v>
      </c>
      <c r="L4" s="89">
        <f>K4/SUM(G4+'Nov 19 - Nov 25'!G4+'Nov 26 - Dec 2'!G4+'Dec 3 - Dec 9'!G4+'Dec 10 - Dec 16'!G4+'Dec 17 - Dec 23'!G4+'Dec 24 - Dec 30'!G4)</f>
        <v>1.7881631301974614E-2</v>
      </c>
      <c r="M4" s="66">
        <f>SUM(M6:M17)</f>
        <v>89463.73000000001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88">
        <f>SUM(I7:I18)</f>
        <v>22</v>
      </c>
      <c r="J5" s="28" t="e">
        <f t="shared" si="1"/>
        <v>#DIV/0!</v>
      </c>
      <c r="K5" s="46">
        <f>I5+'Nov 19 - Nov 25'!I5+'Nov 26 - Dec 2'!I5+'Dec 3 - Dec 9'!I5+'Dec 10 - Dec 16'!I5+'Dec 17 - Dec 23'!I5+'Dec 24 - Dec 30'!I5</f>
        <v>22</v>
      </c>
      <c r="L5" s="89" t="e">
        <f>K5/SUM(G5+'Nov 19 - Nov 25'!G5+'Nov 26 - Dec 2'!G5+'Dec 3 - Dec 9'!G5+'Dec 10 - Dec 16'!G5+'Dec 17 - Dec 23'!G5+'Dec 24 - Dec 30'!G5)</f>
        <v>#DIV/0!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7" si="2">F6*1.15</f>
        <v>373860.7795</v>
      </c>
      <c r="C6" s="18">
        <v>325096.33</v>
      </c>
      <c r="D6" s="73">
        <f>VLOOKUP(A6,'Jan 1 - Jan 7'!A:M,2,FALSE)</f>
        <v>344966.82719999994</v>
      </c>
      <c r="E6" s="86">
        <f t="shared" si="0"/>
        <v>-5.7601182586984497E-2</v>
      </c>
      <c r="F6" s="73">
        <v>325096.33</v>
      </c>
      <c r="G6" s="74">
        <v>2406</v>
      </c>
      <c r="H6" s="63">
        <f t="shared" ref="H6:H17" si="3">IFERROR(B6/G6,0)</f>
        <v>155.3868576475478</v>
      </c>
      <c r="I6" s="61">
        <v>4</v>
      </c>
      <c r="J6" s="28">
        <f t="shared" si="1"/>
        <v>1.6625103906899418E-3</v>
      </c>
      <c r="K6" s="46">
        <f>I6+'Nov 19 - Nov 25'!I6+'Nov 26 - Dec 2'!I6+'Dec 3 - Dec 9'!I6+'Dec 10 - Dec 16'!I6+'Dec 17 - Dec 23'!I6+'Dec 24 - Dec 30'!I6</f>
        <v>328</v>
      </c>
      <c r="L6" s="89">
        <f>K6/SUM(G6+'Nov 19 - Nov 25'!G6+'Nov 26 - Dec 2'!G6+'Dec 3 - Dec 9'!G6+'Dec 10 - Dec 16'!G6+'Dec 17 - Dec 23'!G6+'Dec 24 - Dec 30'!G6)</f>
        <v>2.0048899755501223E-2</v>
      </c>
      <c r="M6" s="73">
        <v>9710.2999999999993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2"/>
        <v>181568.75049999999</v>
      </c>
      <c r="C7" s="18">
        <v>157885.87</v>
      </c>
      <c r="D7" s="73">
        <f>VLOOKUP(A7,'Jan 1 - Jan 7'!A:M,2,FALSE)</f>
        <v>255007.06739999997</v>
      </c>
      <c r="E7" s="86">
        <f t="shared" si="0"/>
        <v>-0.38085688522372296</v>
      </c>
      <c r="F7" s="73">
        <v>157885.87</v>
      </c>
      <c r="G7" s="74">
        <v>1230</v>
      </c>
      <c r="H7" s="63">
        <f t="shared" si="3"/>
        <v>147.61687032520325</v>
      </c>
      <c r="I7" s="61">
        <v>0</v>
      </c>
      <c r="J7" s="28">
        <f t="shared" si="1"/>
        <v>0</v>
      </c>
      <c r="K7" s="46">
        <f>I7+'Nov 19 - Nov 25'!I7+'Nov 26 - Dec 2'!I7+'Dec 3 - Dec 9'!I7+'Dec 10 - Dec 16'!I7+'Dec 17 - Dec 23'!I7+'Dec 24 - Dec 30'!I7</f>
        <v>358</v>
      </c>
      <c r="L7" s="89">
        <f>K7/SUM(G7+'Nov 19 - Nov 25'!G7+'Nov 26 - Dec 2'!G7+'Dec 3 - Dec 9'!G7+'Dec 10 - Dec 16'!G7+'Dec 17 - Dec 23'!G7+'Dec 24 - Dec 30'!G7)</f>
        <v>1.8640978911741733E-2</v>
      </c>
      <c r="M7" s="73">
        <v>11708.2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2"/>
        <v>103628.10999999999</v>
      </c>
      <c r="C8" s="18">
        <v>90111.4</v>
      </c>
      <c r="D8" s="73">
        <f>VLOOKUP(A8,'Jan 1 - Jan 7'!A:M,2,FALSE)</f>
        <v>81571.468799999988</v>
      </c>
      <c r="E8" s="86">
        <f t="shared" si="0"/>
        <v>0.10469262507628167</v>
      </c>
      <c r="F8" s="73">
        <v>90111.4</v>
      </c>
      <c r="G8" s="74">
        <v>579</v>
      </c>
      <c r="H8" s="63">
        <f t="shared" si="3"/>
        <v>178.97773747841103</v>
      </c>
      <c r="I8" s="61">
        <v>0</v>
      </c>
      <c r="J8" s="28">
        <f t="shared" si="1"/>
        <v>0</v>
      </c>
      <c r="K8" s="46">
        <f>I8+'Nov 19 - Nov 25'!I8+'Nov 26 - Dec 2'!I8+'Dec 3 - Dec 9'!I8+'Dec 10 - Dec 16'!I8+'Dec 17 - Dec 23'!I8+'Dec 24 - Dec 30'!I8</f>
        <v>103</v>
      </c>
      <c r="L8" s="89">
        <f>K8/SUM(G8+'Nov 19 - Nov 25'!G8+'Nov 26 - Dec 2'!G8+'Dec 3 - Dec 9'!G8+'Dec 10 - Dec 16'!G8+'Dec 17 - Dec 23'!G8+'Dec 24 - Dec 30'!G8)</f>
        <v>1.6901870692484409E-2</v>
      </c>
      <c r="M8" s="73">
        <v>3809.3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2"/>
        <v>379333.65249999997</v>
      </c>
      <c r="C9" s="18">
        <v>329855.34999999998</v>
      </c>
      <c r="D9" s="73">
        <f>VLOOKUP(A9,'Jan 1 - Jan 7'!A:M,2,FALSE)</f>
        <v>328490.90879999998</v>
      </c>
      <c r="E9" s="86">
        <f t="shared" si="0"/>
        <v>4.1536650283090001E-3</v>
      </c>
      <c r="F9" s="73">
        <v>329855.34999999998</v>
      </c>
      <c r="G9" s="74">
        <v>2311</v>
      </c>
      <c r="H9" s="63">
        <f t="shared" si="3"/>
        <v>164.14264495889225</v>
      </c>
      <c r="I9" s="61">
        <v>2</v>
      </c>
      <c r="J9" s="28">
        <f t="shared" si="1"/>
        <v>8.6542622241453913E-4</v>
      </c>
      <c r="K9" s="46">
        <f>I9+'Nov 19 - Nov 25'!I9+'Nov 26 - Dec 2'!I9+'Dec 3 - Dec 9'!I9+'Dec 10 - Dec 16'!I9+'Dec 17 - Dec 23'!I9+'Dec 24 - Dec 30'!I9</f>
        <v>335</v>
      </c>
      <c r="L9" s="89">
        <f>K9/SUM(G9+'Nov 19 - Nov 25'!G9+'Nov 26 - Dec 2'!G9+'Dec 3 - Dec 9'!G9+'Dec 10 - Dec 16'!G9+'Dec 17 - Dec 23'!G9+'Dec 24 - Dec 30'!G9)</f>
        <v>1.899416000453592E-2</v>
      </c>
      <c r="M9" s="73">
        <v>8758.5</v>
      </c>
      <c r="N9" s="26"/>
      <c r="O9" s="9"/>
      <c r="P9" s="9"/>
    </row>
    <row r="10" spans="1:16" ht="15.6" customHeight="1" x14ac:dyDescent="0.3">
      <c r="A10" s="39" t="s">
        <v>20</v>
      </c>
      <c r="B10" s="18">
        <f t="shared" si="2"/>
        <v>131828.709</v>
      </c>
      <c r="C10" s="18">
        <v>114633.66</v>
      </c>
      <c r="D10" s="73">
        <f>VLOOKUP(A10,'Jan 1 - Jan 7'!A:M,2,FALSE)</f>
        <v>116016.19259999998</v>
      </c>
      <c r="E10" s="86">
        <f t="shared" si="0"/>
        <v>-1.1916721011235608E-2</v>
      </c>
      <c r="F10" s="73">
        <v>114633.66</v>
      </c>
      <c r="G10" s="74">
        <v>753</v>
      </c>
      <c r="H10" s="63">
        <f t="shared" si="3"/>
        <v>175.07132669322709</v>
      </c>
      <c r="I10" s="61">
        <v>1</v>
      </c>
      <c r="J10" s="28">
        <f t="shared" si="1"/>
        <v>1.3280212483399733E-3</v>
      </c>
      <c r="K10" s="46">
        <f>I10+'Nov 19 - Nov 25'!I11+'Nov 26 - Dec 2'!I11+'Dec 3 - Dec 9'!I11+'Dec 10 - Dec 16'!I11+'Dec 17 - Dec 23'!I11+'Dec 24 - Dec 30'!I11</f>
        <v>176</v>
      </c>
      <c r="L10" s="89">
        <f>K10/SUM(G10+'Nov 19 - Nov 25'!G11+'Nov 26 - Dec 2'!G11+'Dec 3 - Dec 9'!G11+'Dec 10 - Dec 16'!G11+'Dec 17 - Dec 23'!G11+'Dec 24 - Dec 30'!G11)</f>
        <v>2.8673835125448029E-2</v>
      </c>
      <c r="M10" s="73">
        <v>3951.5</v>
      </c>
      <c r="N10" s="26"/>
      <c r="O10" s="9"/>
      <c r="P10" s="9"/>
    </row>
    <row r="11" spans="1:16" ht="15.6" customHeight="1" x14ac:dyDescent="0.3">
      <c r="A11" s="39" t="s">
        <v>21</v>
      </c>
      <c r="B11" s="18">
        <f t="shared" si="2"/>
        <v>262667.01500000001</v>
      </c>
      <c r="C11" s="18">
        <v>228406.1</v>
      </c>
      <c r="D11" s="73">
        <f>VLOOKUP(A11,'Jan 1 - Jan 7'!A:M,2,FALSE)</f>
        <v>302047.1496</v>
      </c>
      <c r="E11" s="86">
        <f t="shared" si="0"/>
        <v>-0.24380647093515892</v>
      </c>
      <c r="F11" s="73">
        <v>228406.1</v>
      </c>
      <c r="G11" s="74">
        <v>1539</v>
      </c>
      <c r="H11" s="63">
        <f t="shared" si="3"/>
        <v>170.67382391163093</v>
      </c>
      <c r="I11" s="61">
        <v>1</v>
      </c>
      <c r="J11" s="28">
        <f t="shared" si="1"/>
        <v>6.4977257959714096E-4</v>
      </c>
      <c r="K11" s="46">
        <f>I11+'Nov 19 - Nov 25'!I12+'Nov 26 - Dec 2'!I12+'Dec 3 - Dec 9'!I12+'Dec 10 - Dec 16'!I12+'Dec 17 - Dec 23'!I12+'Dec 24 - Dec 30'!I12</f>
        <v>330</v>
      </c>
      <c r="L11" s="89">
        <f>K11/SUM(G11+'Nov 19 - Nov 25'!G12+'Nov 26 - Dec 2'!G12+'Dec 3 - Dec 9'!G12+'Dec 10 - Dec 16'!G12+'Dec 17 - Dec 23'!G12+'Dec 24 - Dec 30'!G12)</f>
        <v>2.1928367333377632E-2</v>
      </c>
      <c r="M11" s="73">
        <v>14204.4</v>
      </c>
      <c r="N11" s="26"/>
      <c r="O11" s="9"/>
      <c r="P11" s="9"/>
    </row>
    <row r="12" spans="1:16" ht="15.6" customHeight="1" x14ac:dyDescent="0.3">
      <c r="A12" s="40" t="s">
        <v>22</v>
      </c>
      <c r="B12" s="18">
        <f t="shared" si="2"/>
        <v>153814.55849999998</v>
      </c>
      <c r="C12" s="18">
        <v>133751.79</v>
      </c>
      <c r="D12" s="73">
        <f>VLOOKUP(A12,'Jan 1 - Jan 7'!A:M,2,FALSE)</f>
        <v>132438.38279999999</v>
      </c>
      <c r="E12" s="86">
        <f t="shared" si="0"/>
        <v>9.917118981915083E-3</v>
      </c>
      <c r="F12" s="73">
        <v>133751.79</v>
      </c>
      <c r="G12" s="74">
        <v>1117</v>
      </c>
      <c r="H12" s="63">
        <f t="shared" si="3"/>
        <v>137.70327529095792</v>
      </c>
      <c r="I12" s="61">
        <v>2</v>
      </c>
      <c r="J12" s="28">
        <f t="shared" si="1"/>
        <v>1.7905102954341987E-3</v>
      </c>
      <c r="K12" s="46">
        <f>I12+'Nov 19 - Nov 25'!I13+'Nov 26 - Dec 2'!I13+'Dec 3 - Dec 9'!I13+'Dec 10 - Dec 16'!I13+'Dec 17 - Dec 23'!I13+'Dec 24 - Dec 30'!I13</f>
        <v>193</v>
      </c>
      <c r="L12" s="89">
        <f>K12/SUM(G12+'Nov 19 - Nov 25'!G13+'Nov 26 - Dec 2'!G13+'Dec 3 - Dec 9'!G13+'Dec 10 - Dec 16'!G13+'Dec 17 - Dec 23'!G13+'Dec 24 - Dec 30'!G13)</f>
        <v>2.6709106006089122E-2</v>
      </c>
      <c r="M12" s="73">
        <v>11085.5</v>
      </c>
      <c r="N12" s="26"/>
      <c r="O12" s="9"/>
      <c r="P12" s="9"/>
    </row>
    <row r="13" spans="1:16" ht="15.6" customHeight="1" x14ac:dyDescent="0.3">
      <c r="A13" s="40" t="s">
        <v>23</v>
      </c>
      <c r="B13" s="18">
        <f t="shared" si="2"/>
        <v>212946.73050000001</v>
      </c>
      <c r="C13" s="18">
        <v>185171.07</v>
      </c>
      <c r="D13" s="73">
        <f>VLOOKUP(A13,'Jan 1 - Jan 7'!A:M,2,FALSE)</f>
        <v>185942.43599999999</v>
      </c>
      <c r="E13" s="86">
        <f t="shared" si="0"/>
        <v>-4.1484128991403557E-3</v>
      </c>
      <c r="F13" s="73">
        <v>185171.07</v>
      </c>
      <c r="G13" s="74">
        <v>1433</v>
      </c>
      <c r="H13" s="63">
        <f t="shared" si="3"/>
        <v>148.60204501046755</v>
      </c>
      <c r="I13" s="61">
        <v>1</v>
      </c>
      <c r="J13" s="28">
        <f t="shared" si="1"/>
        <v>6.9783670621074664E-4</v>
      </c>
      <c r="K13" s="46">
        <f>I13+'Nov 19 - Nov 25'!I14+'Nov 26 - Dec 2'!I14+'Dec 3 - Dec 9'!I14+'Dec 10 - Dec 16'!I14+'Dec 17 - Dec 23'!I14+'Dec 24 - Dec 30'!I14</f>
        <v>213</v>
      </c>
      <c r="L13" s="89">
        <f>K13/SUM(G13+'Nov 19 - Nov 25'!G14+'Nov 26 - Dec 2'!G14+'Dec 3 - Dec 9'!G14+'Dec 10 - Dec 16'!G14+'Dec 17 - Dec 23'!G14+'Dec 24 - Dec 30'!G14)</f>
        <v>1.7647058823529412E-2</v>
      </c>
      <c r="M13" s="73">
        <v>6067</v>
      </c>
      <c r="N13" s="26"/>
      <c r="O13" s="9"/>
      <c r="P13" s="9"/>
    </row>
    <row r="14" spans="1:16" ht="15.6" customHeight="1" x14ac:dyDescent="0.3">
      <c r="A14" s="40" t="s">
        <v>24</v>
      </c>
      <c r="B14" s="18">
        <f t="shared" si="2"/>
        <v>0</v>
      </c>
      <c r="C14" s="18">
        <v>0</v>
      </c>
      <c r="D14" s="73">
        <f>VLOOKUP(A14,'Jan 1 - Jan 7'!A:M,2,FALSE)</f>
        <v>164385.90239999999</v>
      </c>
      <c r="E14" s="86">
        <f t="shared" si="0"/>
        <v>-1</v>
      </c>
      <c r="F14" s="73">
        <v>0</v>
      </c>
      <c r="G14" s="74">
        <v>0</v>
      </c>
      <c r="H14" s="63">
        <f t="shared" si="3"/>
        <v>0</v>
      </c>
      <c r="I14" s="61">
        <v>0</v>
      </c>
      <c r="J14" s="28" t="e">
        <f t="shared" si="1"/>
        <v>#DIV/0!</v>
      </c>
      <c r="K14" s="46">
        <f>I14+'Nov 19 - Nov 25'!I15+'Nov 26 - Dec 2'!I15+'Dec 3 - Dec 9'!I15+'Dec 10 - Dec 16'!I15+'Dec 17 - Dec 23'!I15+'Dec 24 - Dec 30'!I15</f>
        <v>0</v>
      </c>
      <c r="L14" s="89">
        <f>K14/SUM(G14+'Nov 19 - Nov 25'!G15+'Nov 26 - Dec 2'!G15+'Dec 3 - Dec 9'!G15+'Dec 10 - Dec 16'!G15+'Dec 17 - Dec 23'!G15+'Dec 24 - Dec 30'!G15)</f>
        <v>0</v>
      </c>
      <c r="M14" s="73">
        <v>0</v>
      </c>
      <c r="N14" s="26"/>
      <c r="O14" s="9"/>
      <c r="P14" s="9"/>
    </row>
    <row r="15" spans="1:16" ht="15.6" customHeight="1" x14ac:dyDescent="0.3">
      <c r="A15" s="40" t="s">
        <v>26</v>
      </c>
      <c r="B15" s="18">
        <f t="shared" si="2"/>
        <v>840385.41949999996</v>
      </c>
      <c r="C15" s="18">
        <v>730769.93</v>
      </c>
      <c r="D15" s="73">
        <f>VLOOKUP(A15,'Jan 1 - Jan 7'!A:M,2,FALSE)</f>
        <v>687439.07219999994</v>
      </c>
      <c r="E15" s="86">
        <f t="shared" si="0"/>
        <v>6.3032288318045526E-2</v>
      </c>
      <c r="F15" s="73">
        <v>730769.93</v>
      </c>
      <c r="G15" s="74">
        <v>6082</v>
      </c>
      <c r="H15" s="63">
        <f t="shared" si="3"/>
        <v>138.17583352515618</v>
      </c>
      <c r="I15" s="61">
        <v>13</v>
      </c>
      <c r="J15" s="28">
        <f t="shared" si="1"/>
        <v>2.1374547846103255E-3</v>
      </c>
      <c r="K15" s="46">
        <f>I15+'Nov 19 - Nov 25'!I18+'Nov 26 - Dec 2'!I18+'Dec 3 - Dec 9'!I18+'Dec 10 - Dec 16'!I18+'Dec 17 - Dec 23'!I18+'Dec 24 - Dec 30'!I18</f>
        <v>305</v>
      </c>
      <c r="L15" s="89">
        <f>K15/SUM(G15+'Nov 19 - Nov 25'!G18+'Nov 26 - Dec 2'!G18+'Dec 3 - Dec 9'!G18+'Dec 10 - Dec 16'!G18+'Dec 17 - Dec 23'!G18+'Dec 24 - Dec 30'!G18)</f>
        <v>9.9663431689703628E-3</v>
      </c>
      <c r="M15" s="73">
        <v>4545</v>
      </c>
      <c r="N15" s="9"/>
      <c r="O15" s="9"/>
      <c r="P15" s="9"/>
    </row>
    <row r="16" spans="1:16" ht="15.6" customHeight="1" x14ac:dyDescent="0.3">
      <c r="A16" s="40" t="s">
        <v>27</v>
      </c>
      <c r="B16" s="18">
        <f t="shared" si="2"/>
        <v>110496.41599999998</v>
      </c>
      <c r="C16" s="18">
        <v>96083.839999999997</v>
      </c>
      <c r="D16" s="73">
        <f>VLOOKUP(A16,'Jan 1 - Jan 7'!A:M,2,FALSE)</f>
        <v>121726.27019999998</v>
      </c>
      <c r="E16" s="86">
        <f t="shared" si="0"/>
        <v>-0.21065650132768129</v>
      </c>
      <c r="F16" s="73">
        <v>96083.839999999997</v>
      </c>
      <c r="G16" s="74">
        <v>689</v>
      </c>
      <c r="H16" s="63">
        <f t="shared" si="3"/>
        <v>160.37215674891144</v>
      </c>
      <c r="I16" s="61">
        <v>2</v>
      </c>
      <c r="J16" s="28">
        <f t="shared" si="1"/>
        <v>2.9027576197387518E-3</v>
      </c>
      <c r="K16" s="46">
        <f>I16+'Nov 19 - Nov 25'!I19+'Nov 26 - Dec 2'!I19+'Dec 3 - Dec 9'!I19+'Dec 10 - Dec 16'!I19+'Dec 17 - Dec 23'!I19+'Dec 24 - Dec 30'!I19</f>
        <v>134</v>
      </c>
      <c r="L16" s="89">
        <f>K16/SUM(G16+'Nov 19 - Nov 25'!G19+'Nov 26 - Dec 2'!G19+'Dec 3 - Dec 9'!G19+'Dec 10 - Dec 16'!G19+'Dec 17 - Dec 23'!G19+'Dec 24 - Dec 30'!G19)</f>
        <v>1.9717480871100649E-2</v>
      </c>
      <c r="M16" s="73">
        <v>5583.8</v>
      </c>
      <c r="N16" s="9"/>
      <c r="O16" s="9"/>
      <c r="P16" s="9"/>
    </row>
    <row r="17" spans="1:13" ht="15.6" customHeight="1" x14ac:dyDescent="0.3">
      <c r="A17" s="40" t="s">
        <v>28</v>
      </c>
      <c r="B17" s="18">
        <f t="shared" si="2"/>
        <v>153389.54149999999</v>
      </c>
      <c r="C17" s="18">
        <v>133382.21</v>
      </c>
      <c r="D17" s="73">
        <f>VLOOKUP(A17,'Jan 1 - Jan 7'!A:M,2,FALSE)</f>
        <v>258995.08379999999</v>
      </c>
      <c r="E17" s="86">
        <f t="shared" si="0"/>
        <v>-0.48500099676409381</v>
      </c>
      <c r="F17" s="73">
        <v>133382.21</v>
      </c>
      <c r="G17" s="74">
        <v>917</v>
      </c>
      <c r="H17" s="63">
        <f t="shared" si="3"/>
        <v>167.27321864776445</v>
      </c>
      <c r="I17" s="74">
        <v>0</v>
      </c>
      <c r="J17" s="28">
        <f t="shared" si="1"/>
        <v>0</v>
      </c>
      <c r="K17" s="46">
        <f>I17+'Nov 19 - Nov 25'!I20+'Nov 26 - Dec 2'!I20+'Dec 3 - Dec 9'!I20+'Dec 10 - Dec 16'!I20+'Dec 17 - Dec 23'!I20+'Dec 24 - Dec 30'!I20</f>
        <v>172</v>
      </c>
      <c r="L17" s="89">
        <f>K17/SUM(G17+'Nov 19 - Nov 25'!G20+'Nov 26 - Dec 2'!G20+'Dec 3 - Dec 9'!G20+'Dec 10 - Dec 16'!G20+'Dec 17 - Dec 23'!G20+'Dec 24 - Dec 30'!G20)</f>
        <v>1.8212621770436255E-2</v>
      </c>
      <c r="M17" s="73">
        <v>10040.23</v>
      </c>
    </row>
    <row r="18" spans="1:13" x14ac:dyDescent="0.3">
      <c r="A18" s="81"/>
      <c r="B18" s="81"/>
      <c r="C18" s="81"/>
      <c r="D18" s="81"/>
      <c r="E18" s="81"/>
      <c r="F18" s="395"/>
      <c r="G18" s="396"/>
      <c r="H18" s="397"/>
      <c r="I18" s="91" t="s">
        <v>31</v>
      </c>
      <c r="J18" s="397"/>
      <c r="K18" s="397"/>
      <c r="L18" s="397"/>
      <c r="M18" s="397"/>
    </row>
    <row r="19" spans="1:13" x14ac:dyDescent="0.3">
      <c r="A19" s="81"/>
      <c r="B19" s="81"/>
      <c r="C19" s="81"/>
      <c r="D19" s="81"/>
      <c r="E19" s="81"/>
      <c r="F19" s="83"/>
      <c r="G19" s="82"/>
      <c r="H19" s="81"/>
      <c r="I19" s="81"/>
      <c r="J19" s="81"/>
      <c r="K19" s="81"/>
      <c r="L19" s="81"/>
      <c r="M19" s="81"/>
    </row>
    <row r="20" spans="1:13" x14ac:dyDescent="0.3">
      <c r="A20" s="81"/>
      <c r="B20" s="81"/>
      <c r="C20" s="81"/>
      <c r="D20" s="81"/>
      <c r="E20" s="81"/>
      <c r="F20" s="83"/>
      <c r="G20" s="82"/>
      <c r="H20" s="81"/>
      <c r="I20" s="81"/>
      <c r="J20" s="81"/>
      <c r="K20" s="81"/>
      <c r="L20" s="81"/>
      <c r="M20" s="81"/>
    </row>
    <row r="21" spans="1:13" ht="15" customHeight="1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27"/>
    </row>
    <row r="22" spans="1:13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</row>
    <row r="23" spans="1:13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</row>
    <row r="24" spans="1:13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81"/>
    </row>
    <row r="25" spans="1:13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</row>
    <row r="26" spans="1:13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</row>
  </sheetData>
  <pageMargins left="0.70866141732283472" right="0.70866141732283472" top="0.74803149606299213" bottom="0.74803149606299213" header="0.31496062992125978" footer="0.31496062992125978"/>
  <pageSetup paperSize="9" scale="72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R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4.6640625" style="69" bestFit="1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9.4997998451980276E-3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5" t="s">
        <v>32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SUM(B6:B17)</f>
        <v>2570996.6145000001</v>
      </c>
      <c r="C4" s="3">
        <f>SUM(C6:C17)</f>
        <v>2903919.6825000001</v>
      </c>
      <c r="D4" s="3">
        <f>SUM(D6:D17)</f>
        <v>2214610.87</v>
      </c>
      <c r="E4" s="90">
        <f t="shared" ref="E4:E17" si="0">IFERROR((SUM(F4-D4)/D4),0)</f>
        <v>9.4997998451980276E-3</v>
      </c>
      <c r="F4" s="66">
        <f>SUM(F6:F17)</f>
        <v>2235649.23</v>
      </c>
      <c r="G4" s="66">
        <f>SUM(G6:G17)</f>
        <v>17233</v>
      </c>
      <c r="H4" s="85">
        <f>AVERAGE(H5:H17)</f>
        <v>157.51559131323893</v>
      </c>
      <c r="I4" s="88">
        <f>SUM(I6:I17)</f>
        <v>1018</v>
      </c>
      <c r="J4" s="28">
        <f t="shared" ref="J4:J17" si="1">IFERROR(I4/G4,0)</f>
        <v>5.9072709336737653E-2</v>
      </c>
      <c r="K4" s="46">
        <f>SUM(K6:K17)</f>
        <v>1018</v>
      </c>
      <c r="L4" s="89">
        <f t="shared" ref="L4:L17" si="2">IFERROR(K4/SUM(G4),0)</f>
        <v>5.9072709336737653E-2</v>
      </c>
      <c r="M4" s="66">
        <f>SUM(M6:M17)</f>
        <v>121948.15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>
        <f t="shared" si="1"/>
        <v>0</v>
      </c>
      <c r="K5" s="46">
        <f>I5+'Nov 19 - Nov 25'!I5+'Nov 26 - Dec 2'!I5+'Dec 3 - Dec 9'!I5+'Dec 10 - Dec 16'!I5+'Dec 17 - Dec 23'!I5+'Dec 24 - Dec 30'!I5</f>
        <v>0</v>
      </c>
      <c r="L5" s="89">
        <f t="shared" si="2"/>
        <v>0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7" si="3">F6*1.15</f>
        <v>324832.35799999995</v>
      </c>
      <c r="C6" s="18">
        <v>373860.7795</v>
      </c>
      <c r="D6" s="73">
        <v>268353.83</v>
      </c>
      <c r="E6" s="86">
        <f t="shared" si="0"/>
        <v>5.2576443570788486E-2</v>
      </c>
      <c r="F6" s="73">
        <v>282462.92</v>
      </c>
      <c r="G6" s="74">
        <v>2196</v>
      </c>
      <c r="H6" s="63">
        <f t="shared" ref="H6:H17" si="4">IFERROR(B6/G6,0)</f>
        <v>147.9200173041894</v>
      </c>
      <c r="I6" s="61">
        <f>VLOOKUP(A6,Promo!A:E,3,FALSE)</f>
        <v>106</v>
      </c>
      <c r="J6" s="28">
        <f t="shared" si="1"/>
        <v>4.8269581056466303E-2</v>
      </c>
      <c r="K6" s="46">
        <f t="shared" ref="K6:K17" si="5">I6</f>
        <v>106</v>
      </c>
      <c r="L6" s="89">
        <f t="shared" si="2"/>
        <v>4.8269581056466303E-2</v>
      </c>
      <c r="M6" s="73">
        <v>12374.85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163980.524</v>
      </c>
      <c r="C7" s="18">
        <v>181568.75049999999</v>
      </c>
      <c r="D7" s="73">
        <v>163075.54</v>
      </c>
      <c r="E7" s="86">
        <f t="shared" si="0"/>
        <v>-0.1256091502134532</v>
      </c>
      <c r="F7" s="73">
        <v>142591.76</v>
      </c>
      <c r="G7" s="74">
        <v>1230</v>
      </c>
      <c r="H7" s="63">
        <f t="shared" si="4"/>
        <v>133.31749918699188</v>
      </c>
      <c r="I7" s="61">
        <f>VLOOKUP(A7,Promo!A:E,3,FALSE)</f>
        <v>104</v>
      </c>
      <c r="J7" s="28">
        <f t="shared" si="1"/>
        <v>8.4552845528455281E-2</v>
      </c>
      <c r="K7" s="46">
        <f t="shared" si="5"/>
        <v>104</v>
      </c>
      <c r="L7" s="89">
        <f t="shared" si="2"/>
        <v>8.4552845528455281E-2</v>
      </c>
      <c r="M7" s="73">
        <v>9172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83891.016499999998</v>
      </c>
      <c r="C8" s="18">
        <v>103628.11</v>
      </c>
      <c r="D8" s="73">
        <v>83089.63</v>
      </c>
      <c r="E8" s="86">
        <f t="shared" si="0"/>
        <v>-0.12204796194182112</v>
      </c>
      <c r="F8" s="73">
        <v>72948.710000000006</v>
      </c>
      <c r="G8" s="74">
        <v>520</v>
      </c>
      <c r="H8" s="63">
        <f t="shared" si="4"/>
        <v>161.32887788461539</v>
      </c>
      <c r="I8" s="61">
        <f>VLOOKUP(A8,Promo!A:E,3,FALSE)</f>
        <v>23</v>
      </c>
      <c r="J8" s="28">
        <f t="shared" si="1"/>
        <v>4.4230769230769233E-2</v>
      </c>
      <c r="K8" s="46">
        <f t="shared" si="5"/>
        <v>23</v>
      </c>
      <c r="L8" s="89">
        <f t="shared" si="2"/>
        <v>4.4230769230769233E-2</v>
      </c>
      <c r="M8" s="73">
        <v>4756.8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311867.07399999996</v>
      </c>
      <c r="C9" s="18">
        <v>379333.65250000003</v>
      </c>
      <c r="D9" s="73">
        <v>266913.83</v>
      </c>
      <c r="E9" s="86">
        <f t="shared" si="0"/>
        <v>1.6016142737901563E-2</v>
      </c>
      <c r="F9" s="73">
        <v>271188.76</v>
      </c>
      <c r="G9" s="74">
        <v>1974</v>
      </c>
      <c r="H9" s="63">
        <f t="shared" si="4"/>
        <v>157.98737284701113</v>
      </c>
      <c r="I9" s="61">
        <f>VLOOKUP(A9,Promo!A:E,3,FALSE)</f>
        <v>80</v>
      </c>
      <c r="J9" s="28">
        <f t="shared" si="1"/>
        <v>4.0526849037487336E-2</v>
      </c>
      <c r="K9" s="46">
        <f t="shared" si="5"/>
        <v>80</v>
      </c>
      <c r="L9" s="89">
        <f t="shared" si="2"/>
        <v>4.0526849037487336E-2</v>
      </c>
      <c r="M9" s="73">
        <v>12276.8</v>
      </c>
      <c r="N9" s="26"/>
      <c r="O9" s="9"/>
      <c r="P9" s="9"/>
    </row>
    <row r="10" spans="1:16" s="70" customFormat="1" ht="15.6" customHeight="1" x14ac:dyDescent="0.3">
      <c r="A10" s="39" t="s">
        <v>20</v>
      </c>
      <c r="B10" s="18">
        <f t="shared" si="3"/>
        <v>156115.97299999997</v>
      </c>
      <c r="C10" s="18">
        <v>131828.709</v>
      </c>
      <c r="D10" s="73">
        <v>117708.7</v>
      </c>
      <c r="E10" s="86">
        <f t="shared" si="0"/>
        <v>0.15329640035103601</v>
      </c>
      <c r="F10" s="73">
        <v>135753.01999999999</v>
      </c>
      <c r="G10" s="74">
        <v>955</v>
      </c>
      <c r="H10" s="63">
        <f t="shared" si="4"/>
        <v>163.47222303664918</v>
      </c>
      <c r="I10" s="61">
        <f>VLOOKUP(A10,Promo!A:E,3,FALSE)</f>
        <v>73</v>
      </c>
      <c r="J10" s="28">
        <f t="shared" si="1"/>
        <v>7.6439790575916225E-2</v>
      </c>
      <c r="K10" s="46">
        <f t="shared" si="5"/>
        <v>73</v>
      </c>
      <c r="L10" s="89">
        <f t="shared" si="2"/>
        <v>7.6439790575916225E-2</v>
      </c>
      <c r="M10" s="73">
        <v>8544.5</v>
      </c>
      <c r="N10" s="26"/>
      <c r="O10" s="9"/>
      <c r="P10" s="9"/>
    </row>
    <row r="11" spans="1:16" s="70" customFormat="1" ht="15.6" customHeight="1" x14ac:dyDescent="0.3">
      <c r="A11" s="39" t="s">
        <v>21</v>
      </c>
      <c r="B11" s="18">
        <f t="shared" si="3"/>
        <v>368007.13</v>
      </c>
      <c r="C11" s="18">
        <v>262667.01500000001</v>
      </c>
      <c r="D11" s="73">
        <v>294196.37</v>
      </c>
      <c r="E11" s="86">
        <f t="shared" si="0"/>
        <v>8.7729940379617927E-2</v>
      </c>
      <c r="F11" s="73">
        <v>320006.2</v>
      </c>
      <c r="G11" s="74">
        <v>2400</v>
      </c>
      <c r="H11" s="63">
        <f t="shared" si="4"/>
        <v>153.33630416666668</v>
      </c>
      <c r="I11" s="61">
        <f>VLOOKUP(A11,Promo!A:E,3,FALSE)</f>
        <v>175</v>
      </c>
      <c r="J11" s="28">
        <f t="shared" si="1"/>
        <v>7.2916666666666671E-2</v>
      </c>
      <c r="K11" s="46">
        <f t="shared" si="5"/>
        <v>175</v>
      </c>
      <c r="L11" s="89">
        <f t="shared" si="2"/>
        <v>7.2916666666666671E-2</v>
      </c>
      <c r="M11" s="73">
        <v>16972.849999999999</v>
      </c>
      <c r="N11" s="26"/>
      <c r="O11" s="9"/>
      <c r="P11" s="9"/>
    </row>
    <row r="12" spans="1:16" s="70" customFormat="1" ht="15.6" customHeight="1" x14ac:dyDescent="0.3">
      <c r="A12" s="40" t="s">
        <v>22</v>
      </c>
      <c r="B12" s="18">
        <f t="shared" si="3"/>
        <v>142704.8455</v>
      </c>
      <c r="C12" s="18">
        <v>153814.55850000001</v>
      </c>
      <c r="D12" s="73">
        <v>107328.96000000001</v>
      </c>
      <c r="E12" s="86">
        <f t="shared" si="0"/>
        <v>0.15617602183045462</v>
      </c>
      <c r="F12" s="73">
        <v>124091.17</v>
      </c>
      <c r="G12" s="74">
        <v>1071</v>
      </c>
      <c r="H12" s="63">
        <f t="shared" si="4"/>
        <v>133.24448692810458</v>
      </c>
      <c r="I12" s="61">
        <f>VLOOKUP(A12,Promo!A:E,3,FALSE)</f>
        <v>72</v>
      </c>
      <c r="J12" s="28">
        <f t="shared" si="1"/>
        <v>6.7226890756302518E-2</v>
      </c>
      <c r="K12" s="46">
        <f t="shared" si="5"/>
        <v>72</v>
      </c>
      <c r="L12" s="89">
        <f t="shared" si="2"/>
        <v>6.7226890756302518E-2</v>
      </c>
      <c r="M12" s="73">
        <v>12387</v>
      </c>
      <c r="N12" s="26"/>
      <c r="O12" s="9"/>
      <c r="P12" s="9"/>
    </row>
    <row r="13" spans="1:16" s="70" customFormat="1" ht="15.6" customHeight="1" x14ac:dyDescent="0.3">
      <c r="A13" s="40" t="s">
        <v>23</v>
      </c>
      <c r="B13" s="18">
        <f t="shared" si="3"/>
        <v>252287.27599999998</v>
      </c>
      <c r="C13" s="18">
        <v>212946.73050000001</v>
      </c>
      <c r="D13" s="73">
        <v>203360.97</v>
      </c>
      <c r="E13" s="86">
        <f t="shared" si="0"/>
        <v>7.8772588466705235E-2</v>
      </c>
      <c r="F13" s="73">
        <v>219380.24</v>
      </c>
      <c r="G13" s="74">
        <v>1849</v>
      </c>
      <c r="H13" s="63">
        <f t="shared" si="4"/>
        <v>136.44525473228771</v>
      </c>
      <c r="I13" s="61">
        <f>VLOOKUP(A13,Promo!A:E,3,FALSE)</f>
        <v>127</v>
      </c>
      <c r="J13" s="28">
        <f t="shared" si="1"/>
        <v>6.8685776095186585E-2</v>
      </c>
      <c r="K13" s="46">
        <f t="shared" si="5"/>
        <v>127</v>
      </c>
      <c r="L13" s="89">
        <f t="shared" si="2"/>
        <v>6.8685776095186585E-2</v>
      </c>
      <c r="M13" s="73">
        <v>7469.1</v>
      </c>
      <c r="N13" s="26"/>
      <c r="O13" s="9"/>
      <c r="P13" s="9"/>
    </row>
    <row r="14" spans="1:16" s="70" customFormat="1" ht="15.6" customHeight="1" x14ac:dyDescent="0.3">
      <c r="A14" s="40" t="s">
        <v>24</v>
      </c>
      <c r="B14" s="18">
        <f t="shared" si="3"/>
        <v>107816.4905</v>
      </c>
      <c r="C14" s="18">
        <v>0</v>
      </c>
      <c r="D14" s="73">
        <v>0</v>
      </c>
      <c r="E14" s="86">
        <f t="shared" si="0"/>
        <v>0</v>
      </c>
      <c r="F14" s="73">
        <v>93753.47</v>
      </c>
      <c r="G14" s="74">
        <v>427</v>
      </c>
      <c r="H14" s="63">
        <f t="shared" si="4"/>
        <v>252.49763583138173</v>
      </c>
      <c r="I14" s="61">
        <v>0</v>
      </c>
      <c r="J14" s="28">
        <f t="shared" si="1"/>
        <v>0</v>
      </c>
      <c r="K14" s="46">
        <f t="shared" si="5"/>
        <v>0</v>
      </c>
      <c r="L14" s="89">
        <f t="shared" si="2"/>
        <v>0</v>
      </c>
      <c r="M14" s="73">
        <v>10099.75</v>
      </c>
      <c r="N14" s="26"/>
      <c r="O14" s="9"/>
      <c r="P14" s="9"/>
    </row>
    <row r="15" spans="1:16" s="70" customFormat="1" ht="15.6" customHeight="1" x14ac:dyDescent="0.3">
      <c r="A15" s="40" t="s">
        <v>26</v>
      </c>
      <c r="B15" s="18">
        <f t="shared" si="3"/>
        <v>299706.33</v>
      </c>
      <c r="C15" s="18">
        <v>840385.41949999996</v>
      </c>
      <c r="D15" s="73">
        <v>343995.82</v>
      </c>
      <c r="E15" s="86">
        <f t="shared" si="0"/>
        <v>-0.24239137556962173</v>
      </c>
      <c r="F15" s="73">
        <v>260614.2</v>
      </c>
      <c r="G15" s="74">
        <v>2405</v>
      </c>
      <c r="H15" s="63">
        <f t="shared" si="4"/>
        <v>124.61801663201663</v>
      </c>
      <c r="I15" s="61">
        <f>VLOOKUP(A15,Promo!A:E,3,FALSE)</f>
        <v>37</v>
      </c>
      <c r="J15" s="28">
        <f t="shared" si="1"/>
        <v>1.5384615384615385E-2</v>
      </c>
      <c r="K15" s="46">
        <f t="shared" si="5"/>
        <v>37</v>
      </c>
      <c r="L15" s="89">
        <f t="shared" si="2"/>
        <v>1.5384615384615385E-2</v>
      </c>
      <c r="M15" s="73">
        <v>7204.6</v>
      </c>
      <c r="N15" s="9"/>
      <c r="O15" s="9"/>
      <c r="P15" s="9"/>
    </row>
    <row r="16" spans="1:16" s="70" customFormat="1" ht="15.6" customHeight="1" x14ac:dyDescent="0.3">
      <c r="A16" s="40" t="s">
        <v>27</v>
      </c>
      <c r="B16" s="18">
        <f t="shared" si="3"/>
        <v>141789.26149999999</v>
      </c>
      <c r="C16" s="18">
        <v>110496.416</v>
      </c>
      <c r="D16" s="73">
        <v>119445.84</v>
      </c>
      <c r="E16" s="86">
        <f t="shared" si="0"/>
        <v>3.222523279169872E-2</v>
      </c>
      <c r="F16" s="73">
        <v>123295.01</v>
      </c>
      <c r="G16" s="74">
        <v>872</v>
      </c>
      <c r="H16" s="63">
        <f t="shared" si="4"/>
        <v>162.60236410550459</v>
      </c>
      <c r="I16" s="61">
        <f>VLOOKUP(A16,Promo!A:E,3,FALSE)</f>
        <v>68</v>
      </c>
      <c r="J16" s="28">
        <f t="shared" si="1"/>
        <v>7.7981651376146793E-2</v>
      </c>
      <c r="K16" s="46">
        <f t="shared" si="5"/>
        <v>68</v>
      </c>
      <c r="L16" s="89">
        <f t="shared" si="2"/>
        <v>7.7981651376146793E-2</v>
      </c>
      <c r="M16" s="73">
        <v>7508</v>
      </c>
      <c r="N16" s="9"/>
      <c r="O16" s="9"/>
      <c r="P16" s="9"/>
    </row>
    <row r="17" spans="1:13" s="70" customFormat="1" ht="15.6" customHeight="1" x14ac:dyDescent="0.3">
      <c r="A17" s="40" t="s">
        <v>28</v>
      </c>
      <c r="B17" s="18">
        <f t="shared" si="3"/>
        <v>217998.33549999996</v>
      </c>
      <c r="C17" s="18">
        <v>153389.54149999999</v>
      </c>
      <c r="D17" s="73">
        <v>247141.38</v>
      </c>
      <c r="E17" s="86">
        <f t="shared" si="0"/>
        <v>-0.23297438089890093</v>
      </c>
      <c r="F17" s="73">
        <v>189563.77</v>
      </c>
      <c r="G17" s="74">
        <v>1334</v>
      </c>
      <c r="H17" s="63">
        <f t="shared" si="4"/>
        <v>163.41704310344824</v>
      </c>
      <c r="I17" s="61">
        <f>VLOOKUP(A17,Promo!A:E,3,FALSE)</f>
        <v>153</v>
      </c>
      <c r="J17" s="28">
        <f t="shared" si="1"/>
        <v>0.11469265367316342</v>
      </c>
      <c r="K17" s="46">
        <f t="shared" si="5"/>
        <v>153</v>
      </c>
      <c r="L17" s="89">
        <f t="shared" si="2"/>
        <v>0.11469265367316342</v>
      </c>
      <c r="M17" s="73">
        <v>13181.9</v>
      </c>
    </row>
    <row r="18" spans="1:13" s="70" customFormat="1" x14ac:dyDescent="0.3">
      <c r="A18" s="81"/>
      <c r="B18" s="81"/>
      <c r="C18" s="81"/>
      <c r="D18" s="81"/>
      <c r="E18" s="81"/>
      <c r="F18" s="395"/>
      <c r="G18" s="396"/>
      <c r="H18" s="397"/>
      <c r="I18" s="91" t="s">
        <v>31</v>
      </c>
      <c r="J18" s="397"/>
      <c r="K18" s="397"/>
      <c r="L18" s="397"/>
      <c r="M18" s="397"/>
    </row>
    <row r="19" spans="1:13" s="70" customFormat="1" x14ac:dyDescent="0.3">
      <c r="A19" s="81"/>
      <c r="B19" s="81"/>
      <c r="C19" s="81"/>
      <c r="D19" s="81"/>
      <c r="E19" s="81"/>
      <c r="F19" s="83"/>
      <c r="G19" s="82"/>
      <c r="H19" s="81"/>
      <c r="I19" s="81"/>
      <c r="J19" s="81"/>
      <c r="K19" s="81"/>
      <c r="L19" s="81"/>
      <c r="M19" s="81"/>
    </row>
    <row r="20" spans="1:13" s="70" customFormat="1" x14ac:dyDescent="0.3">
      <c r="A20" s="81"/>
      <c r="B20" s="81"/>
      <c r="C20" s="81"/>
      <c r="D20" s="81"/>
      <c r="E20" s="81"/>
      <c r="F20" s="83"/>
      <c r="G20" s="82"/>
      <c r="H20" s="81"/>
      <c r="I20" s="81"/>
      <c r="J20" s="81"/>
      <c r="K20" s="81"/>
      <c r="L20" s="81"/>
      <c r="M20" s="81"/>
    </row>
    <row r="21" spans="1:13" s="70" customFormat="1" ht="15" customHeight="1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27"/>
    </row>
    <row r="22" spans="1:13" s="70" customFormat="1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</row>
    <row r="23" spans="1:13" s="70" customFormat="1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</row>
    <row r="24" spans="1:13" s="70" customForma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81"/>
    </row>
    <row r="25" spans="1:13" s="70" customFormat="1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</row>
    <row r="26" spans="1:13" s="70" customFormat="1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</row>
  </sheetData>
  <conditionalFormatting sqref="B6:M17">
    <cfRule type="cellIs" dxfId="689" priority="8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71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R26"/>
  <sheetViews>
    <sheetView view="pageBreakPreview" zoomScale="70" zoomScaleNormal="80" zoomScaleSheetLayoutView="70" workbookViewId="0">
      <pane xSplit="1" topLeftCell="B1" activePane="topRight" state="frozen"/>
      <selection pane="topRight" activeCell="I3" sqref="I3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4.6640625" style="69" bestFit="1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3.972508533911219E-2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5" t="s">
        <v>32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SUM(B6:B17)</f>
        <v>2516195.2965000002</v>
      </c>
      <c r="C4" s="3">
        <f>SUM(C6:C17)</f>
        <v>2570996.6145000001</v>
      </c>
      <c r="D4" s="3">
        <f>SUM(D6:D17)</f>
        <v>2104398.5</v>
      </c>
      <c r="E4" s="90">
        <f t="shared" ref="E4:E17" si="0">IFERROR((SUM(F4-D4)/D4),0)</f>
        <v>3.972508533911219E-2</v>
      </c>
      <c r="F4" s="66">
        <f>SUM(F6:F17)</f>
        <v>2187995.9099999997</v>
      </c>
      <c r="G4" s="66">
        <f>SUM(G6:G17)</f>
        <v>16477</v>
      </c>
      <c r="H4" s="85">
        <f>AVERAGE(H5:H17)</f>
        <v>156.81401349746054</v>
      </c>
      <c r="I4" s="88">
        <f>SUM(I6:I17)</f>
        <v>995</v>
      </c>
      <c r="J4" s="28">
        <f t="shared" ref="J4:J17" si="1">IFERROR(I4/G4,0)</f>
        <v>6.0387206408933664E-2</v>
      </c>
      <c r="K4" s="46">
        <f>SUM(K6:K17)</f>
        <v>2013</v>
      </c>
      <c r="L4" s="89">
        <f t="shared" ref="L4:L17" si="2">IFERROR(K4/SUM(G4),0)</f>
        <v>0.12217029799113917</v>
      </c>
      <c r="M4" s="66">
        <f>SUM(M6:M17)</f>
        <v>141065.71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>
        <f t="shared" si="1"/>
        <v>0</v>
      </c>
      <c r="K5" s="46">
        <f>I5+'Nov 19 - Nov 25'!I5+'Nov 26 - Dec 2'!I5+'Dec 3 - Dec 9'!I5+'Dec 10 - Dec 16'!I5+'Dec 17 - Dec 23'!I5+'Dec 24 - Dec 30'!I5</f>
        <v>0</v>
      </c>
      <c r="L5" s="89">
        <f t="shared" si="2"/>
        <v>0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7" si="3">F6*1.15</f>
        <v>287969.3725</v>
      </c>
      <c r="C6" s="18">
        <f>VLOOKUP(A6,'Jan 7 - Jan 13'!A:D,2,FALSE)</f>
        <v>324832.35799999995</v>
      </c>
      <c r="D6" s="73">
        <f>VLOOKUP(A6,'Jan 15 - Jan 21'!A:F,6,FALSE)</f>
        <v>222145.29</v>
      </c>
      <c r="E6" s="86">
        <f t="shared" si="0"/>
        <v>0.12722691532194982</v>
      </c>
      <c r="F6" s="73">
        <v>250408.15</v>
      </c>
      <c r="G6" s="74">
        <v>1887</v>
      </c>
      <c r="H6" s="63">
        <f t="shared" ref="H6:H17" si="4">IFERROR(B6/G6,0)</f>
        <v>152.60698065712771</v>
      </c>
      <c r="I6" s="61">
        <f>VLOOKUP(A6,Promo!A:E,4,FALSE)</f>
        <v>101</v>
      </c>
      <c r="J6" s="28">
        <f t="shared" si="1"/>
        <v>5.3524112347641761E-2</v>
      </c>
      <c r="K6" s="46">
        <f>I6+'Jan 7 - Jan 13'!I6</f>
        <v>207</v>
      </c>
      <c r="L6" s="89">
        <f t="shared" si="2"/>
        <v>0.10969793322734499</v>
      </c>
      <c r="M6" s="73">
        <v>13363.8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230914.549</v>
      </c>
      <c r="C7" s="18">
        <f>VLOOKUP(A7,'Jan 7 - Jan 13'!A:D,2,FALSE)</f>
        <v>163980.524</v>
      </c>
      <c r="D7" s="73">
        <f>VLOOKUP(A7,'Jan 15 - Jan 21'!A:F,6,FALSE)</f>
        <v>180800.81</v>
      </c>
      <c r="E7" s="86">
        <f t="shared" si="0"/>
        <v>0.11058827667862778</v>
      </c>
      <c r="F7" s="73">
        <v>200795.26</v>
      </c>
      <c r="G7" s="74">
        <v>1451</v>
      </c>
      <c r="H7" s="63">
        <f t="shared" si="4"/>
        <v>159.14166023432117</v>
      </c>
      <c r="I7" s="61">
        <f>VLOOKUP(A7,Promo!A:E,4,FALSE)</f>
        <v>111</v>
      </c>
      <c r="J7" s="28">
        <f t="shared" si="1"/>
        <v>7.649896623018608E-2</v>
      </c>
      <c r="K7" s="46">
        <f>I7+'Jan 7 - Jan 13'!I7</f>
        <v>215</v>
      </c>
      <c r="L7" s="89">
        <f t="shared" si="2"/>
        <v>0.14817367332873879</v>
      </c>
      <c r="M7" s="73">
        <v>10433.18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89672.089499999987</v>
      </c>
      <c r="C8" s="18">
        <f>VLOOKUP(A8,'Jan 7 - Jan 13'!A:D,2,FALSE)</f>
        <v>83891.016499999998</v>
      </c>
      <c r="D8" s="73">
        <f>VLOOKUP(A8,'Jan 15 - Jan 21'!A:F,6,FALSE)</f>
        <v>81768.649999999994</v>
      </c>
      <c r="E8" s="86">
        <f t="shared" si="0"/>
        <v>-4.6385992675677029E-2</v>
      </c>
      <c r="F8" s="73">
        <v>77975.73</v>
      </c>
      <c r="G8" s="74">
        <v>547</v>
      </c>
      <c r="H8" s="63">
        <f t="shared" si="4"/>
        <v>163.93435009140765</v>
      </c>
      <c r="I8" s="61">
        <f>VLOOKUP(A8,Promo!A:E,4,FALSE)</f>
        <v>33</v>
      </c>
      <c r="J8" s="28">
        <f t="shared" si="1"/>
        <v>6.0329067641681902E-2</v>
      </c>
      <c r="K8" s="46">
        <f>I8+'Jan 7 - Jan 13'!I8</f>
        <v>56</v>
      </c>
      <c r="L8" s="89">
        <f t="shared" si="2"/>
        <v>0.10237659963436929</v>
      </c>
      <c r="M8" s="73">
        <v>4770.5200000000004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330754.13349999994</v>
      </c>
      <c r="C9" s="18">
        <f>VLOOKUP(A9,'Jan 7 - Jan 13'!A:D,2,FALSE)</f>
        <v>311867.07399999996</v>
      </c>
      <c r="D9" s="73">
        <f>VLOOKUP(A9,'Jan 15 - Jan 21'!A:F,6,FALSE)</f>
        <v>270052.37</v>
      </c>
      <c r="E9" s="86">
        <f t="shared" si="0"/>
        <v>6.5024128468118919E-2</v>
      </c>
      <c r="F9" s="73">
        <v>287612.28999999998</v>
      </c>
      <c r="G9" s="74">
        <v>2232</v>
      </c>
      <c r="H9" s="63">
        <f t="shared" si="4"/>
        <v>148.18733579749102</v>
      </c>
      <c r="I9" s="61">
        <f>VLOOKUP(A9,Promo!A:E,4,FALSE)</f>
        <v>105</v>
      </c>
      <c r="J9" s="28">
        <f t="shared" si="1"/>
        <v>4.7043010752688172E-2</v>
      </c>
      <c r="K9" s="46">
        <f>I9+'Jan 7 - Jan 13'!I9</f>
        <v>185</v>
      </c>
      <c r="L9" s="89">
        <f t="shared" si="2"/>
        <v>8.2885304659498213E-2</v>
      </c>
      <c r="M9" s="73">
        <v>16316.6</v>
      </c>
      <c r="N9" s="26"/>
      <c r="O9" s="9"/>
      <c r="P9" s="9"/>
    </row>
    <row r="10" spans="1:16" s="70" customFormat="1" ht="15.6" customHeight="1" x14ac:dyDescent="0.3">
      <c r="A10" s="39" t="s">
        <v>20</v>
      </c>
      <c r="B10" s="18">
        <f t="shared" si="3"/>
        <v>152258.2175</v>
      </c>
      <c r="C10" s="18">
        <f>VLOOKUP(A10,'Jan 7 - Jan 13'!A:D,2,FALSE)</f>
        <v>156115.97299999997</v>
      </c>
      <c r="D10" s="73">
        <f>VLOOKUP(A10,'Jan 15 - Jan 21'!A:F,6,FALSE)</f>
        <v>136676.85</v>
      </c>
      <c r="E10" s="86">
        <f t="shared" si="0"/>
        <v>-3.1303033395926189E-2</v>
      </c>
      <c r="F10" s="73">
        <v>132398.45000000001</v>
      </c>
      <c r="G10" s="74">
        <v>932</v>
      </c>
      <c r="H10" s="63">
        <f t="shared" si="4"/>
        <v>163.36718615879829</v>
      </c>
      <c r="I10" s="61">
        <f>VLOOKUP(A10,Promo!A:E,4,FALSE)</f>
        <v>65</v>
      </c>
      <c r="J10" s="28">
        <f t="shared" si="1"/>
        <v>6.974248927038626E-2</v>
      </c>
      <c r="K10" s="46">
        <f>I10+'Jan 7 - Jan 13'!I10</f>
        <v>138</v>
      </c>
      <c r="L10" s="89">
        <f t="shared" si="2"/>
        <v>0.14806866952789699</v>
      </c>
      <c r="M10" s="73">
        <v>10954.41</v>
      </c>
      <c r="N10" s="26"/>
      <c r="O10" s="9"/>
      <c r="P10" s="9"/>
    </row>
    <row r="11" spans="1:16" s="70" customFormat="1" ht="15.6" customHeight="1" x14ac:dyDescent="0.3">
      <c r="A11" s="39" t="s">
        <v>21</v>
      </c>
      <c r="B11" s="18">
        <f t="shared" si="3"/>
        <v>360615.88449999999</v>
      </c>
      <c r="C11" s="18">
        <f>VLOOKUP(A11,'Jan 7 - Jan 13'!A:D,2,FALSE)</f>
        <v>368007.13</v>
      </c>
      <c r="D11" s="73">
        <f>VLOOKUP(A11,'Jan 15 - Jan 21'!A:F,6,FALSE)</f>
        <v>296711.83</v>
      </c>
      <c r="E11" s="86">
        <f t="shared" si="0"/>
        <v>5.6847076168146077E-2</v>
      </c>
      <c r="F11" s="73">
        <v>313579.03000000003</v>
      </c>
      <c r="G11" s="74">
        <v>2207</v>
      </c>
      <c r="H11" s="63">
        <f t="shared" si="4"/>
        <v>163.39641345718169</v>
      </c>
      <c r="I11" s="61">
        <f>VLOOKUP(A11,Promo!A:E,4,FALSE)</f>
        <v>153</v>
      </c>
      <c r="J11" s="28">
        <f t="shared" si="1"/>
        <v>6.9324875396465785E-2</v>
      </c>
      <c r="K11" s="46">
        <f>I11+'Jan 7 - Jan 13'!I11</f>
        <v>328</v>
      </c>
      <c r="L11" s="89">
        <f t="shared" si="2"/>
        <v>0.14861803352967828</v>
      </c>
      <c r="M11" s="73">
        <v>15628.45</v>
      </c>
      <c r="N11" s="26"/>
      <c r="O11" s="9"/>
      <c r="P11" s="9"/>
    </row>
    <row r="12" spans="1:16" s="70" customFormat="1" ht="15.6" customHeight="1" x14ac:dyDescent="0.3">
      <c r="A12" s="40" t="s">
        <v>22</v>
      </c>
      <c r="B12" s="18">
        <f t="shared" si="3"/>
        <v>160961.81999999998</v>
      </c>
      <c r="C12" s="18">
        <f>VLOOKUP(A12,'Jan 7 - Jan 13'!A:D,2,FALSE)</f>
        <v>142704.8455</v>
      </c>
      <c r="D12" s="73">
        <f>VLOOKUP(A12,'Jan 15 - Jan 21'!A:F,6,FALSE)</f>
        <v>120070.42</v>
      </c>
      <c r="E12" s="86">
        <f t="shared" si="0"/>
        <v>0.16570592490640068</v>
      </c>
      <c r="F12" s="73">
        <v>139966.79999999999</v>
      </c>
      <c r="G12" s="74">
        <v>1209</v>
      </c>
      <c r="H12" s="63">
        <f t="shared" si="4"/>
        <v>133.1363275434243</v>
      </c>
      <c r="I12" s="61">
        <f>VLOOKUP(A12,Promo!A:E,4,FALSE)</f>
        <v>74</v>
      </c>
      <c r="J12" s="28">
        <f t="shared" si="1"/>
        <v>6.1207609594706371E-2</v>
      </c>
      <c r="K12" s="46">
        <f>I12+'Jan 7 - Jan 13'!I12</f>
        <v>146</v>
      </c>
      <c r="L12" s="89">
        <f t="shared" si="2"/>
        <v>0.12076095947063689</v>
      </c>
      <c r="M12" s="73">
        <v>16331</v>
      </c>
      <c r="N12" s="26"/>
      <c r="O12" s="9"/>
      <c r="P12" s="9"/>
    </row>
    <row r="13" spans="1:16" s="70" customFormat="1" ht="15.6" customHeight="1" x14ac:dyDescent="0.3">
      <c r="A13" s="40" t="s">
        <v>23</v>
      </c>
      <c r="B13" s="18">
        <f t="shared" si="3"/>
        <v>228651.54449999996</v>
      </c>
      <c r="C13" s="18">
        <f>VLOOKUP(A13,'Jan 7 - Jan 13'!A:D,2,FALSE)</f>
        <v>252287.27599999998</v>
      </c>
      <c r="D13" s="73">
        <f>VLOOKUP(A13,'Jan 15 - Jan 21'!A:F,6,FALSE)</f>
        <v>208224.78</v>
      </c>
      <c r="E13" s="86">
        <f t="shared" si="0"/>
        <v>-4.5130795671869631E-2</v>
      </c>
      <c r="F13" s="73">
        <v>198827.43</v>
      </c>
      <c r="G13" s="74">
        <v>1657</v>
      </c>
      <c r="H13" s="63">
        <f t="shared" si="4"/>
        <v>137.99127610138802</v>
      </c>
      <c r="I13" s="61">
        <f>VLOOKUP(A13,Promo!A:E,4,FALSE)</f>
        <v>98</v>
      </c>
      <c r="J13" s="28">
        <f t="shared" si="1"/>
        <v>5.9143029571514787E-2</v>
      </c>
      <c r="K13" s="46">
        <f>I13+'Jan 7 - Jan 13'!I13</f>
        <v>225</v>
      </c>
      <c r="L13" s="89">
        <f t="shared" si="2"/>
        <v>0.13578756789378393</v>
      </c>
      <c r="M13" s="73">
        <v>13052.5</v>
      </c>
      <c r="N13" s="26"/>
      <c r="O13" s="9"/>
      <c r="P13" s="9"/>
    </row>
    <row r="14" spans="1:16" s="70" customFormat="1" ht="15.6" customHeight="1" x14ac:dyDescent="0.3">
      <c r="A14" s="40" t="s">
        <v>24</v>
      </c>
      <c r="B14" s="18">
        <f t="shared" si="3"/>
        <v>88348.496999999988</v>
      </c>
      <c r="C14" s="18">
        <f>VLOOKUP(A14,'Jan 7 - Jan 13'!A:D,2,FALSE)</f>
        <v>107816.4905</v>
      </c>
      <c r="D14" s="73">
        <f>VLOOKUP(A14,'Jan 15 - Jan 21'!A:F,6,FALSE)</f>
        <v>89888.45</v>
      </c>
      <c r="E14" s="86">
        <f t="shared" si="0"/>
        <v>-0.14533201985349617</v>
      </c>
      <c r="F14" s="73">
        <v>76824.78</v>
      </c>
      <c r="G14" s="74">
        <v>442</v>
      </c>
      <c r="H14" s="63">
        <f t="shared" si="4"/>
        <v>199.88347737556558</v>
      </c>
      <c r="I14" s="61">
        <v>0</v>
      </c>
      <c r="J14" s="28">
        <f t="shared" si="1"/>
        <v>0</v>
      </c>
      <c r="K14" s="46">
        <f>I14+'Jan 7 - Jan 13'!I14</f>
        <v>0</v>
      </c>
      <c r="L14" s="89">
        <f t="shared" si="2"/>
        <v>0</v>
      </c>
      <c r="M14" s="73">
        <v>6616.4</v>
      </c>
      <c r="N14" s="26"/>
      <c r="O14" s="9"/>
      <c r="P14" s="9"/>
    </row>
    <row r="15" spans="1:16" s="70" customFormat="1" ht="15.6" customHeight="1" x14ac:dyDescent="0.3">
      <c r="A15" s="40" t="s">
        <v>26</v>
      </c>
      <c r="B15" s="18">
        <f t="shared" si="3"/>
        <v>217751.30399999997</v>
      </c>
      <c r="C15" s="18">
        <f>VLOOKUP(A15,'Jan 7 - Jan 13'!A:D,2,FALSE)</f>
        <v>299706.33</v>
      </c>
      <c r="D15" s="73">
        <f>VLOOKUP(A15,'Jan 15 - Jan 21'!A:F,6,FALSE)</f>
        <v>144528.4</v>
      </c>
      <c r="E15" s="86">
        <f t="shared" si="0"/>
        <v>0.3101159356915319</v>
      </c>
      <c r="F15" s="73">
        <v>189348.96</v>
      </c>
      <c r="G15" s="74">
        <v>1669</v>
      </c>
      <c r="H15" s="63">
        <f t="shared" si="4"/>
        <v>130.46812702216894</v>
      </c>
      <c r="I15" s="61">
        <f>VLOOKUP(A15,Promo!A:E,4,FALSE)</f>
        <v>67</v>
      </c>
      <c r="J15" s="28">
        <f t="shared" si="1"/>
        <v>4.0143798681845415E-2</v>
      </c>
      <c r="K15" s="46">
        <f>I15+'Jan 7 - Jan 13'!I15</f>
        <v>104</v>
      </c>
      <c r="L15" s="89">
        <f t="shared" si="2"/>
        <v>6.2312762133013781E-2</v>
      </c>
      <c r="M15" s="73">
        <v>6353.35</v>
      </c>
      <c r="N15" s="9"/>
      <c r="O15" s="9"/>
      <c r="P15" s="9"/>
    </row>
    <row r="16" spans="1:16" s="70" customFormat="1" ht="15.6" customHeight="1" x14ac:dyDescent="0.3">
      <c r="A16" s="40" t="s">
        <v>27</v>
      </c>
      <c r="B16" s="18">
        <f t="shared" si="3"/>
        <v>140097.80699999997</v>
      </c>
      <c r="C16" s="18">
        <f>VLOOKUP(A16,'Jan 7 - Jan 13'!A:D,2,FALSE)</f>
        <v>141789.26149999999</v>
      </c>
      <c r="D16" s="73">
        <f>VLOOKUP(A16,'Jan 15 - Jan 21'!A:F,6,FALSE)</f>
        <v>125337.06</v>
      </c>
      <c r="E16" s="86">
        <f t="shared" si="0"/>
        <v>-2.8027464502518286E-2</v>
      </c>
      <c r="F16" s="73">
        <v>121824.18</v>
      </c>
      <c r="G16" s="74">
        <v>836</v>
      </c>
      <c r="H16" s="63">
        <f t="shared" si="4"/>
        <v>167.5811088516746</v>
      </c>
      <c r="I16" s="61">
        <f>VLOOKUP(A16,Promo!A:E,4,FALSE)</f>
        <v>40</v>
      </c>
      <c r="J16" s="28">
        <f t="shared" si="1"/>
        <v>4.784688995215311E-2</v>
      </c>
      <c r="K16" s="46">
        <f>I16+'Jan 7 - Jan 13'!I16</f>
        <v>108</v>
      </c>
      <c r="L16" s="89">
        <f t="shared" si="2"/>
        <v>0.12918660287081341</v>
      </c>
      <c r="M16" s="73">
        <v>11974.75</v>
      </c>
      <c r="N16" s="9"/>
      <c r="O16" s="9"/>
      <c r="P16" s="9"/>
    </row>
    <row r="17" spans="1:13" s="70" customFormat="1" ht="15.6" customHeight="1" x14ac:dyDescent="0.3">
      <c r="A17" s="40" t="s">
        <v>28</v>
      </c>
      <c r="B17" s="18">
        <f t="shared" si="3"/>
        <v>228200.07749999998</v>
      </c>
      <c r="C17" s="18">
        <f>VLOOKUP(A17,'Jan 7 - Jan 13'!A:D,2,FALSE)</f>
        <v>217998.33549999996</v>
      </c>
      <c r="D17" s="73">
        <f>VLOOKUP(A17,'Jan 15 - Jan 21'!A:F,6,FALSE)</f>
        <v>228193.59</v>
      </c>
      <c r="E17" s="86">
        <f t="shared" si="0"/>
        <v>-0.13041006103633318</v>
      </c>
      <c r="F17" s="73">
        <v>198434.85</v>
      </c>
      <c r="G17" s="74">
        <v>1408</v>
      </c>
      <c r="H17" s="63">
        <f t="shared" si="4"/>
        <v>162.07391867897726</v>
      </c>
      <c r="I17" s="61">
        <f>VLOOKUP(A17,Promo!A:E,4,FALSE)</f>
        <v>148</v>
      </c>
      <c r="J17" s="28">
        <f t="shared" si="1"/>
        <v>0.10511363636363637</v>
      </c>
      <c r="K17" s="46">
        <f>I17+'Jan 7 - Jan 13'!I17</f>
        <v>301</v>
      </c>
      <c r="L17" s="89">
        <f t="shared" si="2"/>
        <v>0.21377840909090909</v>
      </c>
      <c r="M17" s="73">
        <v>15270.75</v>
      </c>
    </row>
    <row r="18" spans="1:13" s="70" customFormat="1" x14ac:dyDescent="0.3">
      <c r="A18" s="81"/>
      <c r="B18" s="81"/>
      <c r="C18" s="81"/>
      <c r="D18" s="81"/>
      <c r="E18" s="81"/>
      <c r="F18" s="395"/>
      <c r="G18" s="396"/>
      <c r="H18" s="397"/>
      <c r="I18" s="91" t="s">
        <v>31</v>
      </c>
      <c r="J18" s="397"/>
      <c r="K18" s="397"/>
      <c r="L18" s="397"/>
      <c r="M18" s="397"/>
    </row>
    <row r="19" spans="1:13" s="70" customFormat="1" x14ac:dyDescent="0.3">
      <c r="A19" s="81"/>
      <c r="B19" s="81"/>
      <c r="C19" s="81"/>
      <c r="D19" s="81"/>
      <c r="E19" s="81"/>
      <c r="F19" s="83"/>
      <c r="G19" s="82"/>
      <c r="H19" s="81"/>
      <c r="I19" s="81"/>
      <c r="J19" s="81"/>
      <c r="K19" s="81"/>
      <c r="L19" s="81"/>
      <c r="M19" s="81"/>
    </row>
    <row r="20" spans="1:13" s="70" customFormat="1" x14ac:dyDescent="0.3">
      <c r="A20" s="81"/>
      <c r="B20" s="81"/>
      <c r="C20" s="81"/>
      <c r="D20" s="81"/>
      <c r="E20" s="81"/>
      <c r="F20" s="83"/>
      <c r="G20" s="82"/>
      <c r="H20" s="81"/>
      <c r="I20" s="81"/>
      <c r="J20" s="81"/>
      <c r="K20" s="81"/>
      <c r="L20" s="81"/>
      <c r="M20" s="81"/>
    </row>
    <row r="21" spans="1:13" s="70" customFormat="1" ht="15" customHeight="1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27"/>
    </row>
    <row r="22" spans="1:13" s="70" customFormat="1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</row>
    <row r="23" spans="1:13" s="70" customFormat="1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</row>
    <row r="24" spans="1:13" s="70" customForma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81"/>
    </row>
    <row r="25" spans="1:13" s="70" customFormat="1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</row>
    <row r="26" spans="1:13" s="70" customFormat="1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</row>
  </sheetData>
  <conditionalFormatting sqref="B6:M17">
    <cfRule type="cellIs" dxfId="688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71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R26"/>
  <sheetViews>
    <sheetView view="pageBreakPreview" zoomScale="70" zoomScaleNormal="80" zoomScaleSheetLayoutView="70" workbookViewId="0">
      <pane xSplit="1" topLeftCell="B1" activePane="topRight" state="frozen"/>
      <selection pane="topRight" activeCell="J14" sqref="J14"/>
    </sheetView>
  </sheetViews>
  <sheetFormatPr defaultColWidth="9.33203125" defaultRowHeight="14.4" outlineLevelRow="1" x14ac:dyDescent="0.3"/>
  <cols>
    <col min="1" max="1" width="20.44140625" style="69" customWidth="1"/>
    <col min="2" max="4" width="15.6640625" style="69" customWidth="1"/>
    <col min="5" max="5" width="12.6640625" style="69" customWidth="1"/>
    <col min="6" max="6" width="15.6640625" style="69" customWidth="1"/>
    <col min="7" max="7" width="14.6640625" style="69" bestFit="1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31">
        <f>(((F4-D4)/D4))</f>
        <v>3.7237976185774117E-2</v>
      </c>
      <c r="F2" s="1"/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3" t="s">
        <v>4</v>
      </c>
      <c r="F3" s="11" t="s">
        <v>5</v>
      </c>
      <c r="G3" s="35" t="s">
        <v>6</v>
      </c>
      <c r="H3" s="11" t="s">
        <v>7</v>
      </c>
      <c r="I3" s="15" t="s">
        <v>32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SUM(B6:B17)</f>
        <v>2677487.5689999997</v>
      </c>
      <c r="C4" s="3">
        <f>SUM(C6:C17)</f>
        <v>2516195.2964999997</v>
      </c>
      <c r="D4" s="3">
        <f>SUM(D6:D17)</f>
        <v>2244663.3400000003</v>
      </c>
      <c r="E4" s="90">
        <f t="shared" ref="E4:E17" si="0">IFERROR((SUM(F4-D4)/D4),0)</f>
        <v>3.7237976185774117E-2</v>
      </c>
      <c r="F4" s="66">
        <f>SUM(F6:F17)</f>
        <v>2328250.0600000005</v>
      </c>
      <c r="G4" s="66">
        <f>SUM(G6:G17)</f>
        <v>17196</v>
      </c>
      <c r="H4" s="85">
        <f>AVERAGE(H5:H17)</f>
        <v>161.50219149850551</v>
      </c>
      <c r="I4" s="88">
        <f>SUM(I6:I17)</f>
        <v>857</v>
      </c>
      <c r="J4" s="28">
        <f t="shared" ref="J4:J17" si="1">IFERROR(I4/G4,0)</f>
        <v>4.9837171435217494E-2</v>
      </c>
      <c r="K4" s="46">
        <f>SUM(K6:K17)</f>
        <v>2870</v>
      </c>
      <c r="L4" s="89">
        <f t="shared" ref="L4:L17" si="2">IFERROR(K4/SUM(G4),0)</f>
        <v>0.16689927890207024</v>
      </c>
      <c r="M4" s="66">
        <f>SUM(M6:M17)</f>
        <v>131940.09000000003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86">
        <f t="shared" si="0"/>
        <v>0</v>
      </c>
      <c r="F5" s="67"/>
      <c r="G5" s="68"/>
      <c r="H5" s="84"/>
      <c r="I5" s="68"/>
      <c r="J5" s="28">
        <f t="shared" si="1"/>
        <v>0</v>
      </c>
      <c r="K5" s="46">
        <f>I5+'Nov 19 - Nov 25'!I5+'Nov 26 - Dec 2'!I5+'Dec 3 - Dec 9'!I5+'Dec 10 - Dec 16'!I5+'Dec 17 - Dec 23'!I5+'Dec 24 - Dec 30'!I5</f>
        <v>0</v>
      </c>
      <c r="L5" s="89">
        <f t="shared" si="2"/>
        <v>0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7" si="3">F6*1.15</f>
        <v>293060.94</v>
      </c>
      <c r="C6" s="18">
        <v>287969.3725</v>
      </c>
      <c r="D6" s="73">
        <v>219701.61</v>
      </c>
      <c r="E6" s="86">
        <f t="shared" si="0"/>
        <v>0.1599168526803241</v>
      </c>
      <c r="F6" s="73">
        <v>254835.6</v>
      </c>
      <c r="G6" s="74">
        <v>1945</v>
      </c>
      <c r="H6" s="63">
        <f t="shared" ref="H6:H17" si="4">IFERROR(B6/G6,0)</f>
        <v>150.67400514138816</v>
      </c>
      <c r="I6" s="61">
        <v>68</v>
      </c>
      <c r="J6" s="28">
        <f t="shared" si="1"/>
        <v>3.4961439588688949E-2</v>
      </c>
      <c r="K6" s="46">
        <f>I6+'Jan 7 - Jan 13'!I6+'Jan 14 - Jan 20'!I6</f>
        <v>275</v>
      </c>
      <c r="L6" s="89">
        <f t="shared" si="2"/>
        <v>0.14138817480719795</v>
      </c>
      <c r="M6" s="73">
        <v>11987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220107.49299999999</v>
      </c>
      <c r="C7" s="18">
        <v>230914.549</v>
      </c>
      <c r="D7" s="73">
        <v>194235.3</v>
      </c>
      <c r="E7" s="86">
        <f t="shared" si="0"/>
        <v>-1.460846715298394E-2</v>
      </c>
      <c r="F7" s="73">
        <v>191397.82</v>
      </c>
      <c r="G7" s="74">
        <v>1392</v>
      </c>
      <c r="H7" s="63">
        <f t="shared" si="4"/>
        <v>158.12319899425287</v>
      </c>
      <c r="I7" s="61">
        <v>72</v>
      </c>
      <c r="J7" s="28">
        <f t="shared" si="1"/>
        <v>5.1724137931034482E-2</v>
      </c>
      <c r="K7" s="46">
        <f>I7+'Jan 7 - Jan 13'!I7+'Jan 14 - Jan 20'!I7</f>
        <v>287</v>
      </c>
      <c r="L7" s="89">
        <f t="shared" si="2"/>
        <v>0.20617816091954022</v>
      </c>
      <c r="M7" s="73">
        <v>12041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99720.329499999993</v>
      </c>
      <c r="C8" s="18">
        <v>89672.089499999987</v>
      </c>
      <c r="D8" s="73">
        <v>103193.47</v>
      </c>
      <c r="E8" s="86">
        <f t="shared" si="0"/>
        <v>-0.15970138420580293</v>
      </c>
      <c r="F8" s="73">
        <v>86713.33</v>
      </c>
      <c r="G8" s="74">
        <v>610</v>
      </c>
      <c r="H8" s="63">
        <f t="shared" si="4"/>
        <v>163.47594999999998</v>
      </c>
      <c r="I8" s="61">
        <v>43</v>
      </c>
      <c r="J8" s="28">
        <f t="shared" si="1"/>
        <v>7.0491803278688522E-2</v>
      </c>
      <c r="K8" s="46">
        <f>I8+'Jan 7 - Jan 13'!I8+'Jan 14 - Jan 20'!I8</f>
        <v>99</v>
      </c>
      <c r="L8" s="89">
        <f t="shared" si="2"/>
        <v>0.16229508196721312</v>
      </c>
      <c r="M8" s="73">
        <v>3468.2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377354.82449999999</v>
      </c>
      <c r="C9" s="18">
        <v>330754.13349999988</v>
      </c>
      <c r="D9" s="73">
        <v>314312.23</v>
      </c>
      <c r="E9" s="86">
        <f t="shared" si="0"/>
        <v>4.3976653406073395E-2</v>
      </c>
      <c r="F9" s="73">
        <v>328134.63</v>
      </c>
      <c r="G9" s="74">
        <v>2326</v>
      </c>
      <c r="H9" s="63">
        <f t="shared" si="4"/>
        <v>162.23337252794497</v>
      </c>
      <c r="I9" s="61">
        <v>123</v>
      </c>
      <c r="J9" s="28">
        <f t="shared" si="1"/>
        <v>5.2880481513327603E-2</v>
      </c>
      <c r="K9" s="46">
        <f>I9+'Jan 7 - Jan 13'!I9+'Jan 14 - Jan 20'!I9</f>
        <v>308</v>
      </c>
      <c r="L9" s="89">
        <f t="shared" si="2"/>
        <v>0.13241616509028376</v>
      </c>
      <c r="M9" s="73">
        <v>16952.150000000001</v>
      </c>
      <c r="N9" s="26"/>
      <c r="O9" s="9"/>
      <c r="P9" s="9"/>
    </row>
    <row r="10" spans="1:16" s="70" customFormat="1" ht="15.6" customHeight="1" x14ac:dyDescent="0.3">
      <c r="A10" s="39" t="s">
        <v>20</v>
      </c>
      <c r="B10" s="18">
        <f t="shared" si="3"/>
        <v>166290.03449999998</v>
      </c>
      <c r="C10" s="18">
        <v>152258.2175</v>
      </c>
      <c r="D10" s="73">
        <v>144422.1</v>
      </c>
      <c r="E10" s="86">
        <f t="shared" si="0"/>
        <v>1.2320136599591961E-3</v>
      </c>
      <c r="F10" s="73">
        <v>144600.03</v>
      </c>
      <c r="G10" s="74">
        <v>1010</v>
      </c>
      <c r="H10" s="63">
        <f t="shared" si="4"/>
        <v>164.64359851485148</v>
      </c>
      <c r="I10" s="61">
        <v>45</v>
      </c>
      <c r="J10" s="28">
        <f t="shared" si="1"/>
        <v>4.4554455445544552E-2</v>
      </c>
      <c r="K10" s="46">
        <f>I10+'Jan 7 - Jan 13'!I10+'Jan 14 - Jan 20'!I10</f>
        <v>183</v>
      </c>
      <c r="L10" s="89">
        <f t="shared" si="2"/>
        <v>0.18118811881188118</v>
      </c>
      <c r="M10" s="73">
        <v>10269.14</v>
      </c>
      <c r="N10" s="26"/>
      <c r="O10" s="9"/>
      <c r="P10" s="9"/>
    </row>
    <row r="11" spans="1:16" s="70" customFormat="1" ht="15.6" customHeight="1" x14ac:dyDescent="0.3">
      <c r="A11" s="39" t="s">
        <v>21</v>
      </c>
      <c r="B11" s="18">
        <f t="shared" si="3"/>
        <v>364819.00799999997</v>
      </c>
      <c r="C11" s="18">
        <v>360615.88449999999</v>
      </c>
      <c r="D11" s="73">
        <v>328278.32</v>
      </c>
      <c r="E11" s="86">
        <f t="shared" si="0"/>
        <v>-3.3643403560734753E-2</v>
      </c>
      <c r="F11" s="73">
        <v>317233.91999999998</v>
      </c>
      <c r="G11" s="74">
        <v>2214</v>
      </c>
      <c r="H11" s="63">
        <f t="shared" si="4"/>
        <v>164.7782330623306</v>
      </c>
      <c r="I11" s="61">
        <v>112</v>
      </c>
      <c r="J11" s="28">
        <f t="shared" si="1"/>
        <v>5.0587172538392053E-2</v>
      </c>
      <c r="K11" s="46">
        <f>I11+'Jan 7 - Jan 13'!I11+'Jan 14 - Jan 20'!I11</f>
        <v>440</v>
      </c>
      <c r="L11" s="89">
        <f t="shared" si="2"/>
        <v>0.19873532068654021</v>
      </c>
      <c r="M11" s="73">
        <v>17882.400000000001</v>
      </c>
      <c r="N11" s="26"/>
      <c r="O11" s="9"/>
      <c r="P11" s="9"/>
    </row>
    <row r="12" spans="1:16" s="70" customFormat="1" ht="15.6" customHeight="1" x14ac:dyDescent="0.3">
      <c r="A12" s="40" t="s">
        <v>22</v>
      </c>
      <c r="B12" s="18">
        <f t="shared" si="3"/>
        <v>175772.946</v>
      </c>
      <c r="C12" s="18">
        <v>160961.82</v>
      </c>
      <c r="D12" s="73">
        <v>137551.1</v>
      </c>
      <c r="E12" s="86">
        <f t="shared" si="0"/>
        <v>0.11119460331469543</v>
      </c>
      <c r="F12" s="73">
        <v>152846.04</v>
      </c>
      <c r="G12" s="74">
        <v>1510</v>
      </c>
      <c r="H12" s="63">
        <f t="shared" si="4"/>
        <v>116.40592450331125</v>
      </c>
      <c r="I12" s="61">
        <v>50</v>
      </c>
      <c r="J12" s="28">
        <f t="shared" si="1"/>
        <v>3.3112582781456956E-2</v>
      </c>
      <c r="K12" s="46">
        <f>I12+'Jan 7 - Jan 13'!I12+'Jan 14 - Jan 20'!I12</f>
        <v>196</v>
      </c>
      <c r="L12" s="89">
        <f t="shared" si="2"/>
        <v>0.12980132450331125</v>
      </c>
      <c r="M12" s="73">
        <v>14918</v>
      </c>
      <c r="N12" s="26"/>
      <c r="O12" s="9"/>
      <c r="P12" s="9"/>
    </row>
    <row r="13" spans="1:16" s="70" customFormat="1" ht="15.6" customHeight="1" x14ac:dyDescent="0.3">
      <c r="A13" s="40" t="s">
        <v>23</v>
      </c>
      <c r="B13" s="18">
        <f t="shared" si="3"/>
        <v>279461.63799999998</v>
      </c>
      <c r="C13" s="18">
        <v>228651.54449999999</v>
      </c>
      <c r="D13" s="73">
        <v>191786</v>
      </c>
      <c r="E13" s="86">
        <f t="shared" si="0"/>
        <v>0.26708998571324288</v>
      </c>
      <c r="F13" s="73">
        <v>243010.12</v>
      </c>
      <c r="G13" s="74">
        <v>1942</v>
      </c>
      <c r="H13" s="63">
        <f t="shared" si="4"/>
        <v>143.90403604531409</v>
      </c>
      <c r="I13" s="61">
        <v>101</v>
      </c>
      <c r="J13" s="28">
        <f t="shared" si="1"/>
        <v>5.2008238928939236E-2</v>
      </c>
      <c r="K13" s="46">
        <f>I13+'Jan 7 - Jan 13'!I13+'Jan 14 - Jan 20'!I13</f>
        <v>326</v>
      </c>
      <c r="L13" s="89">
        <f t="shared" si="2"/>
        <v>0.16786817713697219</v>
      </c>
      <c r="M13" s="73">
        <v>9133</v>
      </c>
      <c r="N13" s="26"/>
      <c r="O13" s="9"/>
      <c r="P13" s="9"/>
    </row>
    <row r="14" spans="1:16" s="70" customFormat="1" ht="15.6" customHeight="1" x14ac:dyDescent="0.3">
      <c r="A14" s="40" t="s">
        <v>24</v>
      </c>
      <c r="B14" s="18">
        <f t="shared" si="3"/>
        <v>126389.48499999999</v>
      </c>
      <c r="C14" s="18">
        <v>88348.496999999988</v>
      </c>
      <c r="D14" s="73">
        <v>80519.56</v>
      </c>
      <c r="E14" s="86">
        <f t="shared" si="0"/>
        <v>0.36493418493593355</v>
      </c>
      <c r="F14" s="73">
        <v>109903.9</v>
      </c>
      <c r="G14" s="74">
        <v>534</v>
      </c>
      <c r="H14" s="63">
        <f t="shared" si="4"/>
        <v>236.68442883895128</v>
      </c>
      <c r="I14" s="61">
        <v>0</v>
      </c>
      <c r="J14" s="28">
        <f t="shared" si="1"/>
        <v>0</v>
      </c>
      <c r="K14" s="46">
        <f>I14+'Jan 7 - Jan 13'!I14+'Jan 14 - Jan 20'!I14</f>
        <v>0</v>
      </c>
      <c r="L14" s="89">
        <f t="shared" si="2"/>
        <v>0</v>
      </c>
      <c r="M14" s="73">
        <v>5759.5</v>
      </c>
      <c r="N14" s="26"/>
      <c r="O14" s="9"/>
      <c r="P14" s="9"/>
    </row>
    <row r="15" spans="1:16" s="70" customFormat="1" ht="15.6" customHeight="1" x14ac:dyDescent="0.3">
      <c r="A15" s="40" t="s">
        <v>26</v>
      </c>
      <c r="B15" s="18">
        <f t="shared" si="3"/>
        <v>191908.79149999996</v>
      </c>
      <c r="C15" s="18">
        <v>217751.304</v>
      </c>
      <c r="D15" s="73">
        <v>136549.79</v>
      </c>
      <c r="E15" s="86">
        <f t="shared" si="0"/>
        <v>0.22209788825013924</v>
      </c>
      <c r="F15" s="73">
        <v>166877.21</v>
      </c>
      <c r="G15" s="74">
        <v>1472</v>
      </c>
      <c r="H15" s="63">
        <f t="shared" si="4"/>
        <v>130.37282031249998</v>
      </c>
      <c r="I15" s="61">
        <v>80</v>
      </c>
      <c r="J15" s="28">
        <f t="shared" si="1"/>
        <v>5.434782608695652E-2</v>
      </c>
      <c r="K15" s="46">
        <f>I15+'Jan 7 - Jan 13'!I15+'Jan 14 - Jan 20'!I15</f>
        <v>184</v>
      </c>
      <c r="L15" s="89">
        <f t="shared" si="2"/>
        <v>0.125</v>
      </c>
      <c r="M15" s="73">
        <v>4340.5</v>
      </c>
      <c r="N15" s="9"/>
      <c r="O15" s="9"/>
      <c r="P15" s="9"/>
    </row>
    <row r="16" spans="1:16" s="70" customFormat="1" ht="15.6" customHeight="1" x14ac:dyDescent="0.3">
      <c r="A16" s="40" t="s">
        <v>27</v>
      </c>
      <c r="B16" s="18">
        <f t="shared" si="3"/>
        <v>144837.86549999999</v>
      </c>
      <c r="C16" s="18">
        <v>140097.807</v>
      </c>
      <c r="D16" s="73">
        <v>135663.9</v>
      </c>
      <c r="E16" s="86">
        <f t="shared" si="0"/>
        <v>-7.1632394468978067E-2</v>
      </c>
      <c r="F16" s="73">
        <v>125945.97</v>
      </c>
      <c r="G16" s="74">
        <v>794</v>
      </c>
      <c r="H16" s="63">
        <f t="shared" si="4"/>
        <v>182.41544773299745</v>
      </c>
      <c r="I16" s="61">
        <v>35</v>
      </c>
      <c r="J16" s="28">
        <f t="shared" si="1"/>
        <v>4.4080604534005037E-2</v>
      </c>
      <c r="K16" s="46">
        <f>I16+'Jan 7 - Jan 13'!I16+'Jan 14 - Jan 20'!I16</f>
        <v>143</v>
      </c>
      <c r="L16" s="89">
        <f t="shared" si="2"/>
        <v>0.1801007556675063</v>
      </c>
      <c r="M16" s="73">
        <v>8271.75</v>
      </c>
      <c r="N16" s="9"/>
      <c r="O16" s="9"/>
      <c r="P16" s="9"/>
    </row>
    <row r="17" spans="1:13" s="70" customFormat="1" ht="15.6" customHeight="1" x14ac:dyDescent="0.3">
      <c r="A17" s="40" t="s">
        <v>28</v>
      </c>
      <c r="B17" s="18">
        <f t="shared" si="3"/>
        <v>237764.21349999998</v>
      </c>
      <c r="C17" s="18">
        <v>228200.07750000001</v>
      </c>
      <c r="D17" s="73">
        <v>258449.96</v>
      </c>
      <c r="E17" s="86">
        <f t="shared" si="0"/>
        <v>-0.20003280325522202</v>
      </c>
      <c r="F17" s="73">
        <v>206751.49</v>
      </c>
      <c r="G17" s="74">
        <v>1447</v>
      </c>
      <c r="H17" s="63">
        <f t="shared" si="4"/>
        <v>164.31528230822391</v>
      </c>
      <c r="I17" s="61">
        <v>128</v>
      </c>
      <c r="J17" s="28">
        <f t="shared" si="1"/>
        <v>8.8458880442294399E-2</v>
      </c>
      <c r="K17" s="46">
        <f>I17+'Jan 7 - Jan 13'!I17+'Jan 14 - Jan 20'!I17</f>
        <v>429</v>
      </c>
      <c r="L17" s="89">
        <f t="shared" si="2"/>
        <v>0.29647546648237733</v>
      </c>
      <c r="M17" s="73">
        <v>16917.45</v>
      </c>
    </row>
    <row r="18" spans="1:13" s="70" customFormat="1" x14ac:dyDescent="0.3">
      <c r="A18" s="81"/>
      <c r="B18" s="81"/>
      <c r="C18" s="81"/>
      <c r="D18" s="81"/>
      <c r="E18" s="81"/>
      <c r="F18" s="395"/>
      <c r="G18" s="396"/>
      <c r="H18" s="397"/>
      <c r="I18" s="91" t="s">
        <v>31</v>
      </c>
      <c r="J18" s="397"/>
      <c r="K18" s="397"/>
      <c r="L18" s="397"/>
      <c r="M18" s="397"/>
    </row>
    <row r="19" spans="1:13" s="70" customFormat="1" x14ac:dyDescent="0.3">
      <c r="A19" s="81"/>
      <c r="B19" s="81"/>
      <c r="C19" s="81"/>
      <c r="D19" s="81"/>
      <c r="E19" s="81"/>
      <c r="F19" s="83"/>
      <c r="G19" s="82"/>
      <c r="H19" s="81"/>
      <c r="I19" s="81"/>
      <c r="J19" s="81"/>
      <c r="K19" s="81"/>
      <c r="L19" s="81"/>
      <c r="M19" s="81"/>
    </row>
    <row r="20" spans="1:13" s="70" customFormat="1" x14ac:dyDescent="0.3">
      <c r="A20" s="81"/>
      <c r="B20" s="81"/>
      <c r="C20" s="81"/>
      <c r="D20" s="81"/>
      <c r="E20" s="81"/>
      <c r="F20" s="83"/>
      <c r="G20" s="82"/>
      <c r="H20" s="81"/>
      <c r="I20" s="81"/>
      <c r="J20" s="81"/>
      <c r="K20" s="81"/>
      <c r="L20" s="81"/>
      <c r="M20" s="81"/>
    </row>
    <row r="21" spans="1:13" s="70" customFormat="1" ht="15" customHeight="1" x14ac:dyDescent="0.3">
      <c r="A21" s="81"/>
      <c r="B21" s="81"/>
      <c r="C21" s="81"/>
      <c r="D21" s="81"/>
      <c r="E21" s="81"/>
      <c r="F21" s="83"/>
      <c r="G21" s="82"/>
      <c r="H21" s="81"/>
      <c r="I21" s="81"/>
      <c r="J21" s="81"/>
      <c r="K21" s="81"/>
      <c r="L21" s="81"/>
      <c r="M21" s="27"/>
    </row>
    <row r="22" spans="1:13" s="70" customFormat="1" x14ac:dyDescent="0.3">
      <c r="A22" s="81"/>
      <c r="B22" s="81"/>
      <c r="C22" s="81"/>
      <c r="D22" s="81"/>
      <c r="E22" s="81"/>
      <c r="F22" s="83"/>
      <c r="G22" s="82"/>
      <c r="H22" s="81"/>
      <c r="I22" s="81"/>
      <c r="J22" s="81"/>
      <c r="K22" s="81"/>
      <c r="L22" s="81"/>
      <c r="M22" s="81"/>
    </row>
    <row r="23" spans="1:13" s="70" customFormat="1" x14ac:dyDescent="0.3">
      <c r="A23" s="81"/>
      <c r="B23" s="81"/>
      <c r="C23" s="81"/>
      <c r="D23" s="81"/>
      <c r="E23" s="81"/>
      <c r="F23" s="83"/>
      <c r="G23" s="82"/>
      <c r="H23" s="81"/>
      <c r="I23" s="81"/>
      <c r="J23" s="81"/>
      <c r="K23" s="81"/>
      <c r="L23" s="81"/>
      <c r="M23" s="81"/>
    </row>
    <row r="24" spans="1:13" s="70" customFormat="1" x14ac:dyDescent="0.3">
      <c r="A24" s="81"/>
      <c r="B24" s="81"/>
      <c r="C24" s="81"/>
      <c r="D24" s="81"/>
      <c r="E24" s="81"/>
      <c r="F24" s="83"/>
      <c r="G24" s="82"/>
      <c r="H24" s="81"/>
      <c r="I24" s="81"/>
      <c r="J24" s="81"/>
      <c r="K24" s="81"/>
      <c r="L24" s="81"/>
      <c r="M24" s="81"/>
    </row>
    <row r="25" spans="1:13" s="70" customFormat="1" x14ac:dyDescent="0.3">
      <c r="A25" s="81"/>
      <c r="B25" s="81"/>
      <c r="C25" s="81"/>
      <c r="D25" s="81"/>
      <c r="E25" s="81"/>
      <c r="F25" s="83"/>
      <c r="G25" s="82"/>
      <c r="H25" s="81"/>
      <c r="I25" s="81"/>
      <c r="J25" s="81"/>
      <c r="K25" s="81"/>
      <c r="L25" s="81"/>
      <c r="M25" s="81"/>
    </row>
    <row r="26" spans="1:13" s="70" customFormat="1" x14ac:dyDescent="0.3">
      <c r="A26" s="81"/>
      <c r="B26" s="81"/>
      <c r="C26" s="81"/>
      <c r="D26" s="81"/>
      <c r="E26" s="81"/>
      <c r="F26" s="83"/>
      <c r="G26" s="82"/>
      <c r="H26" s="81"/>
      <c r="I26" s="81"/>
      <c r="J26" s="81"/>
      <c r="K26" s="81"/>
      <c r="L26" s="81"/>
      <c r="M26" s="81"/>
    </row>
  </sheetData>
  <conditionalFormatting sqref="B6:M17">
    <cfRule type="cellIs" dxfId="687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71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R27"/>
  <sheetViews>
    <sheetView view="pageBreakPreview" zoomScale="70" zoomScaleNormal="80" zoomScaleSheetLayoutView="70" workbookViewId="0">
      <pane xSplit="1" topLeftCell="B1" activePane="topRight" state="frozen"/>
      <selection pane="topRight" activeCell="I18" sqref="I18"/>
    </sheetView>
  </sheetViews>
  <sheetFormatPr defaultColWidth="9.33203125" defaultRowHeight="14.4" outlineLevelRow="1" x14ac:dyDescent="0.3"/>
  <cols>
    <col min="1" max="1" width="28.5546875" style="69" bestFit="1" customWidth="1"/>
    <col min="2" max="5" width="15.6640625" style="69" customWidth="1"/>
    <col min="6" max="6" width="12.6640625" style="69" customWidth="1"/>
    <col min="7" max="7" width="14.6640625" style="69" bestFit="1" customWidth="1"/>
    <col min="8" max="8" width="13.44140625" style="69" customWidth="1"/>
    <col min="9" max="10" width="9.6640625" style="69" customWidth="1"/>
    <col min="11" max="11" width="9.33203125" style="69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7"/>
      <c r="F1" s="14" t="s">
        <v>0</v>
      </c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1"/>
      <c r="F2" s="31">
        <f>(((E4-E18)-D4)/D4)</f>
        <v>-5.4426975486496394E-3</v>
      </c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1" t="s">
        <v>5</v>
      </c>
      <c r="F3" s="13" t="s">
        <v>4</v>
      </c>
      <c r="G3" s="35" t="s">
        <v>6</v>
      </c>
      <c r="H3" s="11" t="s">
        <v>7</v>
      </c>
      <c r="I3" s="15" t="s">
        <v>32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3">
        <f>SUM(B6:B18)</f>
        <v>2671266.4715</v>
      </c>
      <c r="C4" s="3">
        <f>SUM(C6:C18)</f>
        <v>2677487.5689999997</v>
      </c>
      <c r="D4" s="3">
        <f>SUM(D6:D18)</f>
        <v>2283861.98</v>
      </c>
      <c r="E4" s="66">
        <f>SUM(E6:E18)</f>
        <v>2322840.4099999997</v>
      </c>
      <c r="F4" s="96">
        <f t="shared" ref="F4:F18" si="0">IFERROR((SUM(E4-D4)/D4),0)</f>
        <v>1.7066893858445727E-2</v>
      </c>
      <c r="G4" s="66">
        <f>SUM(G6:G18)</f>
        <v>17682</v>
      </c>
      <c r="H4" s="85">
        <f>AVERAGE(H5:H18)</f>
        <v>152.12834556367847</v>
      </c>
      <c r="I4" s="88">
        <f>SUM(I6:I18)</f>
        <v>891</v>
      </c>
      <c r="J4" s="28">
        <f t="shared" ref="J4:J18" si="1">IFERROR(I4/G4,0)</f>
        <v>5.03902273498473E-2</v>
      </c>
      <c r="K4" s="46">
        <f>SUM(K6:K18)</f>
        <v>3761</v>
      </c>
      <c r="L4" s="89">
        <f t="shared" ref="L4:L18" si="2">IFERROR(K4/SUM(G4),0)</f>
        <v>0.2127021830109716</v>
      </c>
      <c r="M4" s="66">
        <f>SUM(M6:M18)</f>
        <v>178331.25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67"/>
      <c r="F5" s="86">
        <f t="shared" si="0"/>
        <v>0</v>
      </c>
      <c r="G5" s="68"/>
      <c r="H5" s="84"/>
      <c r="I5" s="68"/>
      <c r="J5" s="28">
        <f t="shared" si="1"/>
        <v>0</v>
      </c>
      <c r="K5" s="46">
        <f>I5+'Nov 19 - Nov 25'!I5+'Nov 26 - Dec 2'!I5+'Dec 3 - Dec 9'!I5+'Dec 10 - Dec 16'!I5+'Dec 17 - Dec 23'!I5+'Dec 24 - Dec 30'!I5</f>
        <v>0</v>
      </c>
      <c r="L5" s="89">
        <f t="shared" si="2"/>
        <v>0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8" si="3">E6*1.15</f>
        <v>270113.69049999997</v>
      </c>
      <c r="C6" s="18">
        <v>293060.94</v>
      </c>
      <c r="D6" s="73">
        <v>231853.84</v>
      </c>
      <c r="E6" s="73">
        <v>234881.47</v>
      </c>
      <c r="F6" s="86">
        <f t="shared" si="0"/>
        <v>1.305835607467189E-2</v>
      </c>
      <c r="G6" s="74">
        <v>1819</v>
      </c>
      <c r="H6" s="63">
        <f t="shared" ref="H6:H18" si="4">IFERROR(B6/G6,0)</f>
        <v>148.49570670698185</v>
      </c>
      <c r="I6" s="61">
        <v>71</v>
      </c>
      <c r="J6" s="28">
        <f t="shared" si="1"/>
        <v>3.9032435404068172E-2</v>
      </c>
      <c r="K6" s="46">
        <f>I6+'Jan 7 - Jan 13'!I6+'Jan 14 - Jan 20'!I6+'Jan 21 - Jan 27'!I6</f>
        <v>346</v>
      </c>
      <c r="L6" s="89">
        <f t="shared" si="2"/>
        <v>0.1902144035184167</v>
      </c>
      <c r="M6" s="73">
        <v>10153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198855.48149999999</v>
      </c>
      <c r="C7" s="18">
        <v>220107.49299999999</v>
      </c>
      <c r="D7" s="73">
        <v>187339.38</v>
      </c>
      <c r="E7" s="73">
        <v>172917.81</v>
      </c>
      <c r="F7" s="86">
        <f t="shared" si="0"/>
        <v>-7.6980984990982715E-2</v>
      </c>
      <c r="G7" s="74">
        <v>1364</v>
      </c>
      <c r="H7" s="63">
        <f t="shared" si="4"/>
        <v>145.78847617302051</v>
      </c>
      <c r="I7" s="61">
        <v>95</v>
      </c>
      <c r="J7" s="28">
        <f t="shared" si="1"/>
        <v>6.9648093841642222E-2</v>
      </c>
      <c r="K7" s="46">
        <f>I7+'Jan 7 - Jan 13'!I7+'Jan 14 - Jan 20'!I7+'Jan 21 - Jan 27'!I7</f>
        <v>382</v>
      </c>
      <c r="L7" s="89">
        <f t="shared" si="2"/>
        <v>0.28005865102639294</v>
      </c>
      <c r="M7" s="73">
        <v>10205.1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115838.86749999999</v>
      </c>
      <c r="C8" s="18">
        <v>99720.329499999993</v>
      </c>
      <c r="D8" s="73">
        <v>120462.74</v>
      </c>
      <c r="E8" s="73">
        <v>100729.45</v>
      </c>
      <c r="F8" s="86">
        <f t="shared" si="0"/>
        <v>-0.16381239543447215</v>
      </c>
      <c r="G8" s="74">
        <v>745</v>
      </c>
      <c r="H8" s="63">
        <f t="shared" si="4"/>
        <v>155.48841275167786</v>
      </c>
      <c r="I8" s="61">
        <v>50</v>
      </c>
      <c r="J8" s="28">
        <f t="shared" si="1"/>
        <v>6.7114093959731544E-2</v>
      </c>
      <c r="K8" s="46">
        <f>I8+'Jan 7 - Jan 13'!I8+'Jan 14 - Jan 20'!I8+'Jan 21 - Jan 27'!I8</f>
        <v>149</v>
      </c>
      <c r="L8" s="89">
        <f t="shared" si="2"/>
        <v>0.2</v>
      </c>
      <c r="M8" s="73">
        <v>6021.5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379280.33849999995</v>
      </c>
      <c r="C9" s="18">
        <v>377354.82449999999</v>
      </c>
      <c r="D9" s="73">
        <v>313880.02</v>
      </c>
      <c r="E9" s="73">
        <v>329808.99</v>
      </c>
      <c r="F9" s="86">
        <f t="shared" si="0"/>
        <v>5.0748594956760776E-2</v>
      </c>
      <c r="G9" s="74">
        <v>2523</v>
      </c>
      <c r="H9" s="63">
        <f t="shared" si="4"/>
        <v>150.32910760998809</v>
      </c>
      <c r="I9" s="61">
        <v>114</v>
      </c>
      <c r="J9" s="28">
        <f t="shared" si="1"/>
        <v>4.5184304399524373E-2</v>
      </c>
      <c r="K9" s="46">
        <f>I9+'Jan 7 - Jan 13'!I9+'Jan 14 - Jan 20'!I9+'Jan 21 - Jan 27'!I9</f>
        <v>422</v>
      </c>
      <c r="L9" s="89">
        <f t="shared" si="2"/>
        <v>0.16726119698771305</v>
      </c>
      <c r="M9" s="73">
        <v>17266.400000000001</v>
      </c>
      <c r="N9" s="26"/>
      <c r="O9" s="9"/>
      <c r="P9" s="9"/>
    </row>
    <row r="10" spans="1:16" s="70" customFormat="1" ht="15.6" customHeight="1" x14ac:dyDescent="0.3">
      <c r="A10" s="39" t="s">
        <v>20</v>
      </c>
      <c r="B10" s="18">
        <f t="shared" si="3"/>
        <v>172236.68449999997</v>
      </c>
      <c r="C10" s="18">
        <v>166290.03450000001</v>
      </c>
      <c r="D10" s="73">
        <v>165093.82999999999</v>
      </c>
      <c r="E10" s="73">
        <v>149771.03</v>
      </c>
      <c r="F10" s="86">
        <f t="shared" si="0"/>
        <v>-9.2812675070897493E-2</v>
      </c>
      <c r="G10" s="74">
        <v>1045</v>
      </c>
      <c r="H10" s="63">
        <f t="shared" si="4"/>
        <v>164.81979377990427</v>
      </c>
      <c r="I10" s="61">
        <v>60</v>
      </c>
      <c r="J10" s="28">
        <f t="shared" si="1"/>
        <v>5.7416267942583733E-2</v>
      </c>
      <c r="K10" s="46">
        <f>I10+'Jan 7 - Jan 13'!I10+'Jan 14 - Jan 20'!I10+'Jan 21 - Jan 27'!I10</f>
        <v>243</v>
      </c>
      <c r="L10" s="89">
        <f t="shared" si="2"/>
        <v>0.23253588516746412</v>
      </c>
      <c r="M10" s="73">
        <v>9573.0499999999993</v>
      </c>
      <c r="N10" s="26"/>
      <c r="O10" s="9"/>
      <c r="P10" s="9"/>
    </row>
    <row r="11" spans="1:16" s="70" customFormat="1" ht="15.6" customHeight="1" x14ac:dyDescent="0.3">
      <c r="A11" s="39" t="s">
        <v>21</v>
      </c>
      <c r="B11" s="18">
        <f t="shared" si="3"/>
        <v>385551.26549999992</v>
      </c>
      <c r="C11" s="18">
        <v>364819.00799999997</v>
      </c>
      <c r="D11" s="73">
        <v>315511.51</v>
      </c>
      <c r="E11" s="73">
        <v>335261.96999999997</v>
      </c>
      <c r="F11" s="86">
        <f t="shared" si="0"/>
        <v>6.2598223437236769E-2</v>
      </c>
      <c r="G11" s="74">
        <v>2286</v>
      </c>
      <c r="H11" s="63">
        <f t="shared" si="4"/>
        <v>168.65759645669289</v>
      </c>
      <c r="I11" s="61">
        <v>101</v>
      </c>
      <c r="J11" s="28">
        <f t="shared" si="1"/>
        <v>4.4181977252843396E-2</v>
      </c>
      <c r="K11" s="46">
        <f>I11+'Jan 7 - Jan 13'!I11+'Jan 14 - Jan 20'!I11+'Jan 21 - Jan 27'!I11</f>
        <v>541</v>
      </c>
      <c r="L11" s="89">
        <f t="shared" si="2"/>
        <v>0.23665791776027997</v>
      </c>
      <c r="M11" s="73">
        <v>21725.95</v>
      </c>
      <c r="N11" s="26"/>
      <c r="O11" s="9"/>
      <c r="P11" s="9"/>
    </row>
    <row r="12" spans="1:16" s="70" customFormat="1" ht="15.6" customHeight="1" x14ac:dyDescent="0.3">
      <c r="A12" s="40" t="s">
        <v>22</v>
      </c>
      <c r="B12" s="18">
        <f t="shared" si="3"/>
        <v>177940.25899999999</v>
      </c>
      <c r="C12" s="18">
        <v>175772.946</v>
      </c>
      <c r="D12" s="73">
        <v>147369.48000000001</v>
      </c>
      <c r="E12" s="73">
        <v>154730.66</v>
      </c>
      <c r="F12" s="86">
        <f t="shared" si="0"/>
        <v>4.9950505355654325E-2</v>
      </c>
      <c r="G12" s="74">
        <v>1332</v>
      </c>
      <c r="H12" s="63">
        <f t="shared" si="4"/>
        <v>133.58878303303302</v>
      </c>
      <c r="I12" s="61">
        <v>53</v>
      </c>
      <c r="J12" s="28">
        <f t="shared" si="1"/>
        <v>3.9789789789789788E-2</v>
      </c>
      <c r="K12" s="46">
        <f>I12+'Jan 7 - Jan 13'!I12+'Jan 14 - Jan 20'!I12+'Jan 21 - Jan 27'!I12</f>
        <v>249</v>
      </c>
      <c r="L12" s="89">
        <f t="shared" si="2"/>
        <v>0.18693693693693694</v>
      </c>
      <c r="M12" s="73">
        <v>15582.1</v>
      </c>
      <c r="N12" s="26"/>
      <c r="O12" s="9"/>
      <c r="P12" s="9"/>
    </row>
    <row r="13" spans="1:16" s="70" customFormat="1" ht="15.6" customHeight="1" x14ac:dyDescent="0.3">
      <c r="A13" s="40" t="s">
        <v>23</v>
      </c>
      <c r="B13" s="18">
        <f t="shared" si="3"/>
        <v>261721.85299999997</v>
      </c>
      <c r="C13" s="18">
        <v>279461.63799999998</v>
      </c>
      <c r="D13" s="73">
        <v>244283.92</v>
      </c>
      <c r="E13" s="73">
        <v>227584.22</v>
      </c>
      <c r="F13" s="86">
        <f t="shared" si="0"/>
        <v>-6.8361847149006005E-2</v>
      </c>
      <c r="G13" s="74">
        <v>1760</v>
      </c>
      <c r="H13" s="63">
        <f t="shared" si="4"/>
        <v>148.70559829545454</v>
      </c>
      <c r="I13" s="61">
        <v>83</v>
      </c>
      <c r="J13" s="28">
        <f t="shared" si="1"/>
        <v>4.7159090909090907E-2</v>
      </c>
      <c r="K13" s="46">
        <f>I13+'Jan 7 - Jan 13'!I13+'Jan 14 - Jan 20'!I13+'Jan 21 - Jan 27'!I13</f>
        <v>409</v>
      </c>
      <c r="L13" s="89">
        <f t="shared" si="2"/>
        <v>0.23238636363636364</v>
      </c>
      <c r="M13" s="73">
        <v>10328.4</v>
      </c>
      <c r="N13" s="26"/>
      <c r="O13" s="9"/>
      <c r="P13" s="9"/>
    </row>
    <row r="14" spans="1:16" s="70" customFormat="1" ht="15.6" customHeight="1" x14ac:dyDescent="0.3">
      <c r="A14" s="40" t="s">
        <v>24</v>
      </c>
      <c r="B14" s="18">
        <f t="shared" si="3"/>
        <v>77590.488500000007</v>
      </c>
      <c r="C14" s="18">
        <v>126389.485</v>
      </c>
      <c r="D14" s="73">
        <v>80519.56</v>
      </c>
      <c r="E14" s="73">
        <v>67469.990000000005</v>
      </c>
      <c r="F14" s="86">
        <f t="shared" si="0"/>
        <v>-0.16206708034668835</v>
      </c>
      <c r="G14" s="74">
        <v>369</v>
      </c>
      <c r="H14" s="63">
        <f t="shared" si="4"/>
        <v>210.2723265582656</v>
      </c>
      <c r="I14" s="61">
        <v>0</v>
      </c>
      <c r="J14" s="28">
        <f t="shared" si="1"/>
        <v>0</v>
      </c>
      <c r="K14" s="46">
        <f>I14+'Jan 7 - Jan 13'!I14+'Jan 14 - Jan 20'!I14+'Jan 21 - Jan 27'!I14</f>
        <v>0</v>
      </c>
      <c r="L14" s="89">
        <f t="shared" si="2"/>
        <v>0</v>
      </c>
      <c r="M14" s="73">
        <v>5619</v>
      </c>
      <c r="N14" s="26"/>
      <c r="O14" s="9"/>
      <c r="P14" s="9"/>
    </row>
    <row r="15" spans="1:16" s="70" customFormat="1" ht="15.6" customHeight="1" x14ac:dyDescent="0.3">
      <c r="A15" s="40" t="s">
        <v>26</v>
      </c>
      <c r="B15" s="18">
        <f t="shared" si="3"/>
        <v>190882.9455</v>
      </c>
      <c r="C15" s="18">
        <v>191908.79149999999</v>
      </c>
      <c r="D15" s="73">
        <v>140544.81</v>
      </c>
      <c r="E15" s="73">
        <v>165985.17000000001</v>
      </c>
      <c r="F15" s="86">
        <f t="shared" si="0"/>
        <v>0.18101244720456069</v>
      </c>
      <c r="G15" s="74">
        <v>1518</v>
      </c>
      <c r="H15" s="63">
        <f t="shared" si="4"/>
        <v>125.7463409090909</v>
      </c>
      <c r="I15" s="61">
        <v>85</v>
      </c>
      <c r="J15" s="28">
        <f t="shared" si="1"/>
        <v>5.5994729907773384E-2</v>
      </c>
      <c r="K15" s="46">
        <f>I15+'Jan 7 - Jan 13'!I15+'Jan 14 - Jan 20'!I15+'Jan 21 - Jan 27'!I15</f>
        <v>269</v>
      </c>
      <c r="L15" s="89">
        <f t="shared" si="2"/>
        <v>0.17720685111989459</v>
      </c>
      <c r="M15" s="73">
        <v>6405.15</v>
      </c>
      <c r="N15" s="9"/>
      <c r="O15" s="9"/>
      <c r="P15" s="9"/>
    </row>
    <row r="16" spans="1:16" s="70" customFormat="1" ht="15.6" customHeight="1" x14ac:dyDescent="0.3">
      <c r="A16" s="40" t="s">
        <v>27</v>
      </c>
      <c r="B16" s="18">
        <f t="shared" si="3"/>
        <v>144993.9895</v>
      </c>
      <c r="C16" s="18">
        <v>144837.86550000001</v>
      </c>
      <c r="D16" s="73">
        <v>118509.43</v>
      </c>
      <c r="E16" s="73">
        <v>126081.73</v>
      </c>
      <c r="F16" s="86">
        <f t="shared" si="0"/>
        <v>6.3896181088711701E-2</v>
      </c>
      <c r="G16" s="74">
        <v>904</v>
      </c>
      <c r="H16" s="63">
        <f t="shared" si="4"/>
        <v>160.39158130530973</v>
      </c>
      <c r="I16" s="61">
        <v>49</v>
      </c>
      <c r="J16" s="28">
        <f t="shared" si="1"/>
        <v>5.4203539823008851E-2</v>
      </c>
      <c r="K16" s="46">
        <f>I16+'Jan 7 - Jan 13'!I16+'Jan 14 - Jan 20'!I16+'Jan 21 - Jan 27'!I16</f>
        <v>192</v>
      </c>
      <c r="L16" s="89">
        <f t="shared" si="2"/>
        <v>0.21238938053097345</v>
      </c>
      <c r="M16" s="73">
        <v>7827.05</v>
      </c>
      <c r="N16" s="9"/>
      <c r="O16" s="9"/>
      <c r="P16" s="9"/>
    </row>
    <row r="17" spans="1:13" s="70" customFormat="1" ht="15.6" customHeight="1" x14ac:dyDescent="0.3">
      <c r="A17" s="40" t="s">
        <v>28</v>
      </c>
      <c r="B17" s="18">
        <f t="shared" si="3"/>
        <v>237140.48799999998</v>
      </c>
      <c r="C17" s="18">
        <v>237764.21350000001</v>
      </c>
      <c r="D17" s="73">
        <v>218493.46</v>
      </c>
      <c r="E17" s="73">
        <v>206209.12</v>
      </c>
      <c r="F17" s="86">
        <f t="shared" si="0"/>
        <v>-5.6222918525799338E-2</v>
      </c>
      <c r="G17" s="74">
        <v>1405</v>
      </c>
      <c r="H17" s="63">
        <f t="shared" si="4"/>
        <v>168.78326548042705</v>
      </c>
      <c r="I17" s="61">
        <v>130</v>
      </c>
      <c r="J17" s="28">
        <f t="shared" si="1"/>
        <v>9.2526690391459068E-2</v>
      </c>
      <c r="K17" s="46">
        <f>I17+'Jan 7 - Jan 13'!I17+'Jan 14 - Jan 20'!I17+'Jan 21 - Jan 27'!I17</f>
        <v>559</v>
      </c>
      <c r="L17" s="89">
        <f t="shared" si="2"/>
        <v>0.39786476868327403</v>
      </c>
      <c r="M17" s="73">
        <v>16140.55</v>
      </c>
    </row>
    <row r="18" spans="1:13" s="70" customFormat="1" ht="15.6" customHeight="1" x14ac:dyDescent="0.3">
      <c r="A18" s="40" t="s">
        <v>33</v>
      </c>
      <c r="B18" s="18">
        <f t="shared" si="3"/>
        <v>59120.119999999995</v>
      </c>
      <c r="C18" s="18">
        <v>0</v>
      </c>
      <c r="D18" s="73">
        <v>0</v>
      </c>
      <c r="E18" s="73">
        <v>51408.800000000003</v>
      </c>
      <c r="F18" s="86">
        <f t="shared" si="0"/>
        <v>0</v>
      </c>
      <c r="G18" s="74">
        <v>612</v>
      </c>
      <c r="H18" s="63">
        <f t="shared" si="4"/>
        <v>96.601503267973854</v>
      </c>
      <c r="I18" s="61">
        <v>0</v>
      </c>
      <c r="J18" s="28">
        <f t="shared" si="1"/>
        <v>0</v>
      </c>
      <c r="K18" s="46">
        <v>0</v>
      </c>
      <c r="L18" s="89">
        <f t="shared" si="2"/>
        <v>0</v>
      </c>
      <c r="M18" s="73">
        <v>41484</v>
      </c>
    </row>
    <row r="19" spans="1:13" s="70" customFormat="1" x14ac:dyDescent="0.3">
      <c r="A19" s="81"/>
      <c r="B19" s="81"/>
      <c r="C19" s="81"/>
      <c r="D19" s="81"/>
      <c r="E19" s="395"/>
      <c r="F19" s="81"/>
      <c r="G19" s="396"/>
      <c r="H19" s="397"/>
      <c r="I19" s="91" t="s">
        <v>31</v>
      </c>
      <c r="J19" s="397"/>
      <c r="K19" s="397"/>
      <c r="L19" s="397"/>
      <c r="M19" s="397"/>
    </row>
    <row r="20" spans="1:13" s="70" customFormat="1" x14ac:dyDescent="0.3">
      <c r="A20" s="81"/>
      <c r="B20" s="81"/>
      <c r="C20" s="81"/>
      <c r="D20" s="81"/>
      <c r="E20" s="83"/>
      <c r="F20" s="81"/>
      <c r="G20" s="82"/>
      <c r="H20" s="81"/>
      <c r="I20" s="81"/>
      <c r="J20" s="81"/>
      <c r="K20" s="81"/>
      <c r="L20" s="81"/>
      <c r="M20" s="81"/>
    </row>
    <row r="21" spans="1:13" s="70" customFormat="1" x14ac:dyDescent="0.3">
      <c r="A21" s="81"/>
      <c r="B21" s="81"/>
      <c r="C21" s="81"/>
      <c r="D21" s="81"/>
      <c r="E21" s="83"/>
      <c r="F21" s="81"/>
      <c r="G21" s="82"/>
      <c r="H21" s="81"/>
      <c r="I21" s="81"/>
      <c r="J21" s="81"/>
      <c r="K21" s="81"/>
      <c r="L21" s="81"/>
      <c r="M21" s="81"/>
    </row>
    <row r="22" spans="1:13" s="70" customFormat="1" ht="15" customHeight="1" x14ac:dyDescent="0.3">
      <c r="A22" s="81"/>
      <c r="B22" s="81"/>
      <c r="C22" s="81"/>
      <c r="D22" s="81"/>
      <c r="E22" s="83"/>
      <c r="F22" s="81"/>
      <c r="G22" s="82"/>
      <c r="H22" s="81"/>
      <c r="I22" s="81"/>
      <c r="J22" s="81"/>
      <c r="K22" s="81"/>
      <c r="L22" s="81"/>
      <c r="M22" s="27"/>
    </row>
    <row r="23" spans="1:13" s="70" customFormat="1" x14ac:dyDescent="0.3">
      <c r="A23" s="81"/>
      <c r="B23" s="81"/>
      <c r="C23" s="81"/>
      <c r="D23" s="81"/>
      <c r="E23" s="83"/>
      <c r="F23" s="81"/>
      <c r="G23" s="82"/>
      <c r="H23" s="81"/>
      <c r="I23" s="81"/>
      <c r="J23" s="81"/>
      <c r="K23" s="81"/>
      <c r="L23" s="81"/>
      <c r="M23" s="81"/>
    </row>
    <row r="24" spans="1:13" s="70" customFormat="1" x14ac:dyDescent="0.3">
      <c r="A24" s="81"/>
      <c r="B24" s="81"/>
      <c r="C24" s="81"/>
      <c r="D24" s="81"/>
      <c r="E24" s="83"/>
      <c r="F24" s="81"/>
      <c r="G24" s="82"/>
      <c r="H24" s="81"/>
      <c r="I24" s="81"/>
      <c r="J24" s="81"/>
      <c r="K24" s="81"/>
      <c r="L24" s="81"/>
      <c r="M24" s="81"/>
    </row>
    <row r="25" spans="1:13" s="70" customFormat="1" x14ac:dyDescent="0.3">
      <c r="A25" s="81"/>
      <c r="B25" s="81"/>
      <c r="C25" s="81"/>
      <c r="D25" s="81"/>
      <c r="E25" s="83"/>
      <c r="F25" s="81"/>
      <c r="G25" s="82"/>
      <c r="H25" s="81"/>
      <c r="I25" s="81"/>
      <c r="J25" s="81"/>
      <c r="K25" s="81"/>
      <c r="L25" s="81"/>
      <c r="M25" s="81"/>
    </row>
    <row r="26" spans="1:13" s="70" customFormat="1" x14ac:dyDescent="0.3">
      <c r="A26" s="81"/>
      <c r="B26" s="81"/>
      <c r="C26" s="81"/>
      <c r="D26" s="81"/>
      <c r="E26" s="83"/>
      <c r="F26" s="81"/>
      <c r="G26" s="82"/>
      <c r="H26" s="81"/>
      <c r="I26" s="81"/>
      <c r="J26" s="81"/>
      <c r="K26" s="81"/>
      <c r="L26" s="81"/>
      <c r="M26" s="81"/>
    </row>
    <row r="27" spans="1:13" s="70" customFormat="1" x14ac:dyDescent="0.3">
      <c r="A27" s="81"/>
      <c r="B27" s="81"/>
      <c r="C27" s="81"/>
      <c r="D27" s="81"/>
      <c r="E27" s="83"/>
      <c r="F27" s="81"/>
      <c r="G27" s="82"/>
      <c r="H27" s="81"/>
      <c r="I27" s="81"/>
      <c r="J27" s="81"/>
      <c r="K27" s="81"/>
      <c r="L27" s="81"/>
      <c r="M27" s="81"/>
    </row>
  </sheetData>
  <conditionalFormatting sqref="B6:M18">
    <cfRule type="cellIs" dxfId="686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68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R27"/>
  <sheetViews>
    <sheetView view="pageBreakPreview" zoomScale="70" zoomScaleNormal="80" zoomScaleSheetLayoutView="70" workbookViewId="0">
      <pane xSplit="1" topLeftCell="B1" activePane="topRight" state="frozen"/>
      <selection pane="topRight" activeCell="M6" sqref="M6:M18"/>
    </sheetView>
  </sheetViews>
  <sheetFormatPr defaultColWidth="9.33203125" defaultRowHeight="14.4" outlineLevelRow="1" x14ac:dyDescent="0.3"/>
  <cols>
    <col min="1" max="1" width="28.5546875" style="69" bestFit="1" customWidth="1"/>
    <col min="2" max="5" width="15.6640625" style="69" customWidth="1"/>
    <col min="6" max="6" width="12.6640625" style="69" customWidth="1"/>
    <col min="7" max="7" width="14.6640625" style="69" bestFit="1" customWidth="1"/>
    <col min="8" max="8" width="13.44140625" style="69" customWidth="1"/>
    <col min="9" max="10" width="9.6640625" style="69" customWidth="1"/>
    <col min="11" max="11" width="11" style="69" bestFit="1" customWidth="1"/>
    <col min="12" max="12" width="15.44140625" style="69" customWidth="1"/>
    <col min="13" max="13" width="15.6640625" style="69" customWidth="1"/>
    <col min="14" max="14" width="17" style="70" customWidth="1"/>
    <col min="15" max="18" width="9.33203125" style="70" customWidth="1"/>
    <col min="19" max="31" width="9.33203125" style="69" customWidth="1"/>
    <col min="32" max="16384" width="9.33203125" style="69"/>
  </cols>
  <sheetData>
    <row r="1" spans="1:16" ht="15.6" customHeight="1" x14ac:dyDescent="0.3">
      <c r="A1" s="7"/>
      <c r="B1" s="7"/>
      <c r="C1" s="7"/>
      <c r="D1" s="7"/>
      <c r="E1" s="7"/>
      <c r="F1" s="14" t="s">
        <v>0</v>
      </c>
      <c r="G1" s="7"/>
      <c r="H1" s="7"/>
      <c r="I1" s="7"/>
      <c r="J1" s="7"/>
      <c r="K1" s="7"/>
      <c r="L1" s="7"/>
      <c r="M1" s="81"/>
      <c r="N1" s="9"/>
      <c r="O1" s="9"/>
      <c r="P1" s="9"/>
    </row>
    <row r="2" spans="1:16" ht="15" customHeight="1" thickBot="1" x14ac:dyDescent="0.35">
      <c r="A2" s="1"/>
      <c r="B2" s="1"/>
      <c r="C2" s="1"/>
      <c r="D2" s="1"/>
      <c r="E2" s="1"/>
      <c r="F2" s="31">
        <f>(((E4-E18)-D4)/D4)</f>
        <v>6.857502651860975E-2</v>
      </c>
      <c r="G2" s="34"/>
      <c r="H2" s="1"/>
      <c r="I2" s="1"/>
      <c r="J2" s="1"/>
      <c r="K2" s="1"/>
      <c r="L2" s="1"/>
      <c r="M2" s="81"/>
      <c r="N2" s="17"/>
      <c r="O2" s="9"/>
      <c r="P2" s="9"/>
    </row>
    <row r="3" spans="1:16" ht="31.8" customHeight="1" thickBot="1" x14ac:dyDescent="0.35">
      <c r="A3" s="2"/>
      <c r="B3" s="16" t="s">
        <v>1</v>
      </c>
      <c r="C3" s="15" t="s">
        <v>2</v>
      </c>
      <c r="D3" s="15" t="s">
        <v>30</v>
      </c>
      <c r="E3" s="11" t="s">
        <v>5</v>
      </c>
      <c r="F3" s="13" t="s">
        <v>4</v>
      </c>
      <c r="G3" s="35" t="s">
        <v>6</v>
      </c>
      <c r="H3" s="11" t="s">
        <v>7</v>
      </c>
      <c r="I3" s="15" t="s">
        <v>32</v>
      </c>
      <c r="J3" s="15" t="s">
        <v>29</v>
      </c>
      <c r="K3" s="15" t="s">
        <v>9</v>
      </c>
      <c r="L3" s="15" t="s">
        <v>11</v>
      </c>
      <c r="M3" s="41" t="s">
        <v>12</v>
      </c>
      <c r="N3" s="23"/>
      <c r="O3" s="21"/>
      <c r="P3" s="22"/>
    </row>
    <row r="4" spans="1:16" ht="20.25" customHeight="1" thickBot="1" x14ac:dyDescent="0.35">
      <c r="A4" s="37" t="s">
        <v>13</v>
      </c>
      <c r="B4" s="98">
        <f>SUM(B6:B18)</f>
        <v>2867159.1735</v>
      </c>
      <c r="C4" s="98">
        <f>SUM(C6:C18)</f>
        <v>2671266.4715</v>
      </c>
      <c r="D4" s="98">
        <f>SUM(D6:D18)</f>
        <v>2156372.48</v>
      </c>
      <c r="E4" s="97">
        <f>SUM(E6:E18)</f>
        <v>2493181.89</v>
      </c>
      <c r="F4" s="90">
        <f t="shared" ref="F4:F18" si="0">IFERROR((SUM(E4-D4)/D4),0)</f>
        <v>0.15619259340575528</v>
      </c>
      <c r="G4" s="66">
        <f>SUM(G6:G18)</f>
        <v>19700</v>
      </c>
      <c r="H4" s="85">
        <f>AVERAGE(H5:H18)</f>
        <v>148.09889701291351</v>
      </c>
      <c r="I4" s="88">
        <f>SUM(I6:I18)</f>
        <v>991</v>
      </c>
      <c r="J4" s="28">
        <f t="shared" ref="J4:J18" si="1">IFERROR(I4/G4,0)</f>
        <v>5.0304568527918779E-2</v>
      </c>
      <c r="K4" s="46">
        <f>SUM(K6:K18)</f>
        <v>4752</v>
      </c>
      <c r="L4" s="89">
        <f t="shared" ref="L4:L18" si="2">IFERROR(K4/SUM(G4),0)</f>
        <v>0.24121827411167512</v>
      </c>
      <c r="M4" s="66">
        <f>SUM(M6:M18)</f>
        <v>147702.99999999997</v>
      </c>
      <c r="N4" s="24"/>
      <c r="O4" s="9"/>
      <c r="P4" s="9"/>
    </row>
    <row r="5" spans="1:16" ht="15.6" hidden="1" customHeight="1" outlineLevel="1" x14ac:dyDescent="0.3">
      <c r="A5" s="38" t="s">
        <v>25</v>
      </c>
      <c r="B5" s="5"/>
      <c r="C5" s="5"/>
      <c r="D5" s="67"/>
      <c r="E5" s="67"/>
      <c r="F5" s="86">
        <f t="shared" si="0"/>
        <v>0</v>
      </c>
      <c r="G5" s="68"/>
      <c r="H5" s="84"/>
      <c r="I5" s="68"/>
      <c r="J5" s="28">
        <f t="shared" si="1"/>
        <v>0</v>
      </c>
      <c r="K5" s="46">
        <f>I5+'Nov 19 - Nov 25'!I5+'Nov 26 - Dec 2'!I5+'Dec 3 - Dec 9'!I5+'Dec 10 - Dec 16'!I5+'Dec 17 - Dec 23'!I5+'Dec 24 - Dec 30'!I5</f>
        <v>0</v>
      </c>
      <c r="L5" s="89">
        <f t="shared" si="2"/>
        <v>0</v>
      </c>
      <c r="M5" s="73"/>
      <c r="N5" s="25"/>
      <c r="O5" s="9"/>
      <c r="P5" s="9"/>
    </row>
    <row r="6" spans="1:16" ht="15.6" customHeight="1" collapsed="1" x14ac:dyDescent="0.3">
      <c r="A6" s="39" t="s">
        <v>15</v>
      </c>
      <c r="B6" s="18">
        <f t="shared" ref="B6:B18" si="3">E6*1.15</f>
        <v>280480.49199999997</v>
      </c>
      <c r="C6" s="18">
        <v>270113.69050000003</v>
      </c>
      <c r="D6" s="73">
        <v>208861.48</v>
      </c>
      <c r="E6" s="73">
        <v>243896.08</v>
      </c>
      <c r="F6" s="86">
        <f t="shared" si="0"/>
        <v>0.16774083952675226</v>
      </c>
      <c r="G6" s="74">
        <v>1806</v>
      </c>
      <c r="H6" s="63">
        <f t="shared" ref="H6:H18" si="4">IFERROR(B6/G6,0)</f>
        <v>155.30481284606864</v>
      </c>
      <c r="I6" s="61">
        <v>49</v>
      </c>
      <c r="J6" s="28">
        <f t="shared" si="1"/>
        <v>2.7131782945736434E-2</v>
      </c>
      <c r="K6" s="46">
        <f>I6+'Jan 7 - Jan 13'!I6+'Jan 14 - Jan 20'!I6+'Jan 21 - Jan 27'!I6+'28 Jan - 3 Feb'!I6</f>
        <v>395</v>
      </c>
      <c r="L6" s="89">
        <f t="shared" si="2"/>
        <v>0.21871539313399779</v>
      </c>
      <c r="M6" s="73">
        <v>15736.7</v>
      </c>
      <c r="N6" s="26"/>
      <c r="O6" s="9"/>
      <c r="P6" s="9"/>
    </row>
    <row r="7" spans="1:16" ht="15.6" customHeight="1" x14ac:dyDescent="0.3">
      <c r="A7" s="39" t="s">
        <v>16</v>
      </c>
      <c r="B7" s="18">
        <f t="shared" si="3"/>
        <v>234058.87899999999</v>
      </c>
      <c r="C7" s="18">
        <v>198855.48149999999</v>
      </c>
      <c r="D7" s="73">
        <v>172993.67</v>
      </c>
      <c r="E7" s="73">
        <v>203529.46</v>
      </c>
      <c r="F7" s="86">
        <f t="shared" si="0"/>
        <v>0.17651391522013479</v>
      </c>
      <c r="G7" s="74">
        <v>1703</v>
      </c>
      <c r="H7" s="63">
        <f t="shared" si="4"/>
        <v>137.43915384615383</v>
      </c>
      <c r="I7" s="61">
        <v>89</v>
      </c>
      <c r="J7" s="28">
        <f t="shared" si="1"/>
        <v>5.2260716382853789E-2</v>
      </c>
      <c r="K7" s="46">
        <f>I7+'Jan 7 - Jan 13'!I7+'Jan 14 - Jan 20'!I7+'Jan 21 - Jan 27'!I7+'28 Jan - 3 Feb'!I7</f>
        <v>471</v>
      </c>
      <c r="L7" s="89">
        <f t="shared" si="2"/>
        <v>0.276570757486788</v>
      </c>
      <c r="M7" s="73">
        <v>12281</v>
      </c>
      <c r="N7" s="26"/>
      <c r="O7" s="9"/>
      <c r="P7" s="9"/>
    </row>
    <row r="8" spans="1:16" ht="15.6" customHeight="1" x14ac:dyDescent="0.3">
      <c r="A8" s="39" t="s">
        <v>17</v>
      </c>
      <c r="B8" s="18">
        <f t="shared" si="3"/>
        <v>95494.677500000005</v>
      </c>
      <c r="C8" s="18">
        <v>115838.86749999999</v>
      </c>
      <c r="D8" s="73">
        <v>103906.07</v>
      </c>
      <c r="E8" s="73">
        <v>83038.850000000006</v>
      </c>
      <c r="F8" s="86">
        <f t="shared" si="0"/>
        <v>-0.20082772835119256</v>
      </c>
      <c r="G8" s="74">
        <v>659</v>
      </c>
      <c r="H8" s="63">
        <f t="shared" si="4"/>
        <v>144.90846358118361</v>
      </c>
      <c r="I8" s="61">
        <v>29</v>
      </c>
      <c r="J8" s="28">
        <f t="shared" si="1"/>
        <v>4.4006069802731411E-2</v>
      </c>
      <c r="K8" s="46">
        <f>I8+'Jan 7 - Jan 13'!I8+'Jan 14 - Jan 20'!I8+'Jan 21 - Jan 27'!I8+'28 Jan - 3 Feb'!I8</f>
        <v>178</v>
      </c>
      <c r="L8" s="89">
        <f t="shared" si="2"/>
        <v>0.27010622154779967</v>
      </c>
      <c r="M8" s="73">
        <v>5326</v>
      </c>
      <c r="N8" s="26"/>
      <c r="O8" s="9"/>
      <c r="P8" s="9"/>
    </row>
    <row r="9" spans="1:16" ht="15.6" customHeight="1" x14ac:dyDescent="0.3">
      <c r="A9" s="39" t="s">
        <v>18</v>
      </c>
      <c r="B9" s="18">
        <f t="shared" si="3"/>
        <v>360186.70449999999</v>
      </c>
      <c r="C9" s="18">
        <v>379280.33850000001</v>
      </c>
      <c r="D9" s="73">
        <v>312117.28999999998</v>
      </c>
      <c r="E9" s="73">
        <v>313205.83</v>
      </c>
      <c r="F9" s="86">
        <f t="shared" si="0"/>
        <v>3.4875991650447731E-3</v>
      </c>
      <c r="G9" s="74">
        <v>2537</v>
      </c>
      <c r="H9" s="63">
        <f t="shared" si="4"/>
        <v>141.97347437918802</v>
      </c>
      <c r="I9" s="61">
        <v>95</v>
      </c>
      <c r="J9" s="28">
        <f t="shared" si="1"/>
        <v>3.7445802128498226E-2</v>
      </c>
      <c r="K9" s="46">
        <f>I9+'Jan 7 - Jan 13'!I9+'Jan 14 - Jan 20'!I9+'Jan 21 - Jan 27'!I9+'28 Jan - 3 Feb'!I9</f>
        <v>517</v>
      </c>
      <c r="L9" s="89">
        <f t="shared" si="2"/>
        <v>0.20378399684666929</v>
      </c>
      <c r="M9" s="73">
        <v>17761.349999999999</v>
      </c>
      <c r="N9" s="26"/>
      <c r="O9" s="9"/>
      <c r="P9" s="9"/>
    </row>
    <row r="10" spans="1:16" s="70" customFormat="1" ht="15.6" customHeight="1" x14ac:dyDescent="0.3">
      <c r="A10" s="39" t="s">
        <v>20</v>
      </c>
      <c r="B10" s="18">
        <f t="shared" si="3"/>
        <v>171433.04149999996</v>
      </c>
      <c r="C10" s="18">
        <v>172236.6845</v>
      </c>
      <c r="D10" s="73">
        <v>142486.85999999999</v>
      </c>
      <c r="E10" s="73">
        <v>149072.21</v>
      </c>
      <c r="F10" s="86">
        <f t="shared" si="0"/>
        <v>4.6217244172550409E-2</v>
      </c>
      <c r="G10" s="74">
        <v>1048</v>
      </c>
      <c r="H10" s="63">
        <f t="shared" si="4"/>
        <v>163.58114646946561</v>
      </c>
      <c r="I10" s="61">
        <v>51</v>
      </c>
      <c r="J10" s="28">
        <f t="shared" si="1"/>
        <v>4.8664122137404578E-2</v>
      </c>
      <c r="K10" s="46">
        <f>I10+'Jan 7 - Jan 13'!I10+'Jan 14 - Jan 20'!I10+'Jan 21 - Jan 27'!I10+'28 Jan - 3 Feb'!I10</f>
        <v>294</v>
      </c>
      <c r="L10" s="89">
        <f t="shared" si="2"/>
        <v>0.28053435114503816</v>
      </c>
      <c r="M10" s="73">
        <v>8842</v>
      </c>
      <c r="N10" s="26"/>
      <c r="O10" s="9"/>
      <c r="P10" s="9"/>
    </row>
    <row r="11" spans="1:16" s="70" customFormat="1" ht="15.6" customHeight="1" x14ac:dyDescent="0.3">
      <c r="A11" s="39" t="s">
        <v>21</v>
      </c>
      <c r="B11" s="18">
        <f t="shared" si="3"/>
        <v>379216.65149999998</v>
      </c>
      <c r="C11" s="18">
        <v>385551.26549999992</v>
      </c>
      <c r="D11" s="73">
        <v>300830.76</v>
      </c>
      <c r="E11" s="73">
        <v>329753.61</v>
      </c>
      <c r="F11" s="86">
        <f t="shared" si="0"/>
        <v>9.6143260084174828E-2</v>
      </c>
      <c r="G11" s="74">
        <v>2464</v>
      </c>
      <c r="H11" s="63">
        <f t="shared" si="4"/>
        <v>153.90286181006493</v>
      </c>
      <c r="I11" s="61">
        <v>150</v>
      </c>
      <c r="J11" s="28">
        <f t="shared" si="1"/>
        <v>6.0876623376623376E-2</v>
      </c>
      <c r="K11" s="46">
        <f>I11+'Jan 7 - Jan 13'!I11+'Jan 14 - Jan 20'!I11+'Jan 21 - Jan 27'!I11+'28 Jan - 3 Feb'!I11</f>
        <v>691</v>
      </c>
      <c r="L11" s="89">
        <f t="shared" si="2"/>
        <v>0.28043831168831168</v>
      </c>
      <c r="M11" s="73">
        <v>19883</v>
      </c>
      <c r="N11" s="26"/>
      <c r="O11" s="9"/>
      <c r="P11" s="9"/>
    </row>
    <row r="12" spans="1:16" s="70" customFormat="1" ht="15.6" customHeight="1" x14ac:dyDescent="0.3">
      <c r="A12" s="40" t="s">
        <v>22</v>
      </c>
      <c r="B12" s="18">
        <f t="shared" si="3"/>
        <v>166056.68799999999</v>
      </c>
      <c r="C12" s="18">
        <v>177940.25899999999</v>
      </c>
      <c r="D12" s="73">
        <v>123636.69</v>
      </c>
      <c r="E12" s="73">
        <v>144397.12</v>
      </c>
      <c r="F12" s="86">
        <f t="shared" si="0"/>
        <v>0.16791479940137505</v>
      </c>
      <c r="G12" s="74">
        <v>1251</v>
      </c>
      <c r="H12" s="63">
        <f t="shared" si="4"/>
        <v>132.73915907274181</v>
      </c>
      <c r="I12" s="61">
        <v>54</v>
      </c>
      <c r="J12" s="28">
        <f t="shared" si="1"/>
        <v>4.3165467625899283E-2</v>
      </c>
      <c r="K12" s="46">
        <f>I12+'Jan 7 - Jan 13'!I12+'Jan 14 - Jan 20'!I12+'Jan 21 - Jan 27'!I12+'28 Jan - 3 Feb'!I12</f>
        <v>303</v>
      </c>
      <c r="L12" s="89">
        <f t="shared" si="2"/>
        <v>0.2422062350119904</v>
      </c>
      <c r="M12" s="73">
        <v>13677.75</v>
      </c>
      <c r="N12" s="26"/>
      <c r="O12" s="9"/>
      <c r="P12" s="9"/>
    </row>
    <row r="13" spans="1:16" s="70" customFormat="1" ht="15.6" customHeight="1" x14ac:dyDescent="0.3">
      <c r="A13" s="40" t="s">
        <v>23</v>
      </c>
      <c r="B13" s="18">
        <f t="shared" si="3"/>
        <v>252053.15899999999</v>
      </c>
      <c r="C13" s="18">
        <v>261721.853</v>
      </c>
      <c r="D13" s="73">
        <v>183248.35</v>
      </c>
      <c r="E13" s="73">
        <v>219176.66</v>
      </c>
      <c r="F13" s="86">
        <f t="shared" si="0"/>
        <v>0.19606348433696671</v>
      </c>
      <c r="G13" s="74">
        <v>1774</v>
      </c>
      <c r="H13" s="63">
        <f t="shared" si="4"/>
        <v>142.08182581736187</v>
      </c>
      <c r="I13" s="61">
        <v>128</v>
      </c>
      <c r="J13" s="28">
        <f t="shared" si="1"/>
        <v>7.2153325817361891E-2</v>
      </c>
      <c r="K13" s="46">
        <f>I13+'Jan 7 - Jan 13'!I13+'Jan 14 - Jan 20'!I13+'Jan 21 - Jan 27'!I13+'28 Jan - 3 Feb'!I13</f>
        <v>537</v>
      </c>
      <c r="L13" s="89">
        <f t="shared" si="2"/>
        <v>0.30270574971815106</v>
      </c>
      <c r="M13" s="73">
        <v>9437</v>
      </c>
      <c r="N13" s="26"/>
      <c r="O13" s="9"/>
      <c r="P13" s="9"/>
    </row>
    <row r="14" spans="1:16" s="70" customFormat="1" ht="15.6" customHeight="1" x14ac:dyDescent="0.3">
      <c r="A14" s="40" t="s">
        <v>24</v>
      </c>
      <c r="B14" s="18">
        <f t="shared" si="3"/>
        <v>106223.48749999999</v>
      </c>
      <c r="C14" s="18">
        <v>77590.488500000007</v>
      </c>
      <c r="D14" s="73">
        <v>76997.09</v>
      </c>
      <c r="E14" s="73">
        <v>92368.25</v>
      </c>
      <c r="F14" s="86">
        <f t="shared" si="0"/>
        <v>0.19963299911723942</v>
      </c>
      <c r="G14" s="74">
        <v>579</v>
      </c>
      <c r="H14" s="63">
        <f t="shared" si="4"/>
        <v>183.46025474956821</v>
      </c>
      <c r="I14" s="61">
        <v>0</v>
      </c>
      <c r="J14" s="28">
        <f t="shared" si="1"/>
        <v>0</v>
      </c>
      <c r="K14" s="46">
        <f>I14+'Jan 7 - Jan 13'!I14+'Jan 14 - Jan 20'!I14+'Jan 21 - Jan 27'!I14+'28 Jan - 3 Feb'!I14</f>
        <v>0</v>
      </c>
      <c r="L14" s="89">
        <f t="shared" si="2"/>
        <v>0</v>
      </c>
      <c r="M14" s="73">
        <v>7365.5</v>
      </c>
      <c r="N14" s="26"/>
      <c r="O14" s="9"/>
      <c r="P14" s="9"/>
    </row>
    <row r="15" spans="1:16" s="70" customFormat="1" ht="15.6" customHeight="1" x14ac:dyDescent="0.3">
      <c r="A15" s="40" t="s">
        <v>26</v>
      </c>
      <c r="B15" s="18">
        <f t="shared" si="3"/>
        <v>202178.59049999999</v>
      </c>
      <c r="C15" s="18">
        <v>190882.9455</v>
      </c>
      <c r="D15" s="73">
        <v>162922.97</v>
      </c>
      <c r="E15" s="73">
        <v>175807.47</v>
      </c>
      <c r="F15" s="86">
        <f t="shared" si="0"/>
        <v>7.9083385234138562E-2</v>
      </c>
      <c r="G15" s="74">
        <v>1588</v>
      </c>
      <c r="H15" s="63">
        <f t="shared" si="4"/>
        <v>127.3164927581864</v>
      </c>
      <c r="I15" s="61">
        <v>86</v>
      </c>
      <c r="J15" s="28">
        <f t="shared" si="1"/>
        <v>5.4156171284634763E-2</v>
      </c>
      <c r="K15" s="46">
        <f>I15+'Jan 7 - Jan 13'!I15+'Jan 14 - Jan 20'!I15+'Jan 21 - Jan 27'!I15+'28 Jan - 3 Feb'!I15</f>
        <v>355</v>
      </c>
      <c r="L15" s="89">
        <f t="shared" si="2"/>
        <v>0.22355163727959698</v>
      </c>
      <c r="M15" s="73">
        <v>4615</v>
      </c>
      <c r="N15" s="9"/>
      <c r="O15" s="9"/>
      <c r="P15" s="9"/>
    </row>
    <row r="16" spans="1:16" s="70" customFormat="1" ht="15.6" customHeight="1" x14ac:dyDescent="0.3">
      <c r="A16" s="40" t="s">
        <v>27</v>
      </c>
      <c r="B16" s="18">
        <f t="shared" si="3"/>
        <v>168847.49649999998</v>
      </c>
      <c r="C16" s="18">
        <v>144993.9895</v>
      </c>
      <c r="D16" s="73">
        <v>151395.24</v>
      </c>
      <c r="E16" s="73">
        <v>146823.91</v>
      </c>
      <c r="F16" s="86">
        <f t="shared" si="0"/>
        <v>-3.0194674548552434E-2</v>
      </c>
      <c r="G16" s="74">
        <v>1068</v>
      </c>
      <c r="H16" s="63">
        <f t="shared" si="4"/>
        <v>158.09690683520597</v>
      </c>
      <c r="I16" s="61">
        <v>37</v>
      </c>
      <c r="J16" s="28">
        <f t="shared" si="1"/>
        <v>3.4644194756554308E-2</v>
      </c>
      <c r="K16" s="46">
        <f>I16+'Jan 7 - Jan 13'!I16+'Jan 14 - Jan 20'!I16+'Jan 21 - Jan 27'!I16+'28 Jan - 3 Feb'!I16</f>
        <v>229</v>
      </c>
      <c r="L16" s="89">
        <f t="shared" si="2"/>
        <v>0.21441947565543071</v>
      </c>
      <c r="M16" s="73">
        <v>11351.8</v>
      </c>
      <c r="N16" s="9"/>
      <c r="O16" s="9"/>
      <c r="P16" s="9"/>
    </row>
    <row r="17" spans="1:13" s="70" customFormat="1" ht="15.6" customHeight="1" x14ac:dyDescent="0.3">
      <c r="A17" s="40" t="s">
        <v>28</v>
      </c>
      <c r="B17" s="18">
        <f t="shared" si="3"/>
        <v>233652.77949999998</v>
      </c>
      <c r="C17" s="18">
        <v>237140.48800000001</v>
      </c>
      <c r="D17" s="73">
        <v>216976.01</v>
      </c>
      <c r="E17" s="73">
        <v>203176.33</v>
      </c>
      <c r="F17" s="86">
        <f t="shared" si="0"/>
        <v>-6.3600026565148932E-2</v>
      </c>
      <c r="G17" s="74">
        <v>1432</v>
      </c>
      <c r="H17" s="63">
        <f t="shared" si="4"/>
        <v>163.16534881284915</v>
      </c>
      <c r="I17" s="61">
        <v>128</v>
      </c>
      <c r="J17" s="28">
        <f t="shared" si="1"/>
        <v>8.9385474860335198E-2</v>
      </c>
      <c r="K17" s="46">
        <f>I17+'Jan 7 - Jan 13'!I17+'Jan 14 - Jan 20'!I17+'Jan 21 - Jan 27'!I17+'28 Jan - 3 Feb'!I17</f>
        <v>687</v>
      </c>
      <c r="L17" s="89">
        <f t="shared" si="2"/>
        <v>0.47974860335195529</v>
      </c>
      <c r="M17" s="73">
        <v>15358</v>
      </c>
    </row>
    <row r="18" spans="1:13" s="70" customFormat="1" ht="15.6" customHeight="1" x14ac:dyDescent="0.3">
      <c r="A18" s="40" t="s">
        <v>33</v>
      </c>
      <c r="B18" s="18">
        <f t="shared" si="3"/>
        <v>217276.52649999998</v>
      </c>
      <c r="C18" s="18">
        <v>59120.12</v>
      </c>
      <c r="D18" s="73">
        <v>0</v>
      </c>
      <c r="E18" s="73">
        <v>188936.11</v>
      </c>
      <c r="F18" s="86">
        <f t="shared" si="0"/>
        <v>0</v>
      </c>
      <c r="G18" s="74">
        <v>1791</v>
      </c>
      <c r="H18" s="63">
        <f t="shared" si="4"/>
        <v>121.31576018983807</v>
      </c>
      <c r="I18" s="61">
        <v>95</v>
      </c>
      <c r="J18" s="28">
        <f t="shared" si="1"/>
        <v>5.3042992741485204E-2</v>
      </c>
      <c r="K18" s="46">
        <f>I18+'28 Jan - 3 Feb'!I18</f>
        <v>95</v>
      </c>
      <c r="L18" s="89">
        <f t="shared" si="2"/>
        <v>5.3042992741485204E-2</v>
      </c>
      <c r="M18" s="73">
        <v>6067.9</v>
      </c>
    </row>
    <row r="19" spans="1:13" s="70" customFormat="1" x14ac:dyDescent="0.3">
      <c r="A19" s="81"/>
      <c r="B19" s="81"/>
      <c r="C19" s="81"/>
      <c r="D19" s="81"/>
      <c r="E19" s="395"/>
      <c r="F19" s="81"/>
      <c r="G19" s="396"/>
      <c r="H19" s="397"/>
      <c r="I19" s="91" t="s">
        <v>31</v>
      </c>
      <c r="J19" s="397"/>
      <c r="K19" s="397"/>
      <c r="L19" s="397"/>
      <c r="M19" s="397"/>
    </row>
    <row r="20" spans="1:13" s="70" customFormat="1" x14ac:dyDescent="0.3">
      <c r="A20" s="81"/>
      <c r="B20" s="81"/>
      <c r="C20" s="81"/>
      <c r="D20" s="81"/>
      <c r="E20" s="83"/>
      <c r="F20" s="81"/>
      <c r="G20" s="82"/>
      <c r="H20" s="81"/>
      <c r="I20" s="81"/>
      <c r="J20" s="81"/>
      <c r="K20" s="81"/>
      <c r="L20" s="81"/>
      <c r="M20" s="81"/>
    </row>
    <row r="21" spans="1:13" s="70" customFormat="1" x14ac:dyDescent="0.3">
      <c r="A21" s="81"/>
      <c r="B21" s="81"/>
      <c r="C21" s="81"/>
      <c r="D21" s="81"/>
      <c r="E21" s="83"/>
      <c r="F21" s="81"/>
      <c r="G21" s="82"/>
      <c r="H21" s="81"/>
      <c r="I21" s="81"/>
      <c r="J21" s="81"/>
      <c r="K21" s="81"/>
      <c r="L21" s="81"/>
      <c r="M21" s="81"/>
    </row>
    <row r="22" spans="1:13" s="70" customFormat="1" ht="15" customHeight="1" x14ac:dyDescent="0.3">
      <c r="A22" s="81"/>
      <c r="B22" s="81"/>
      <c r="C22" s="81"/>
      <c r="D22" s="81"/>
      <c r="E22" s="83"/>
      <c r="F22" s="81"/>
      <c r="G22" s="82"/>
      <c r="H22" s="81"/>
      <c r="I22" s="81"/>
      <c r="J22" s="81"/>
      <c r="K22" s="81"/>
      <c r="L22" s="81"/>
      <c r="M22" s="27"/>
    </row>
    <row r="23" spans="1:13" s="70" customFormat="1" x14ac:dyDescent="0.3">
      <c r="A23" s="81"/>
      <c r="B23" s="81"/>
      <c r="C23" s="81"/>
      <c r="D23" s="81"/>
      <c r="E23" s="83"/>
      <c r="F23" s="81"/>
      <c r="G23" s="82"/>
      <c r="H23" s="81"/>
      <c r="I23" s="81"/>
      <c r="J23" s="81"/>
      <c r="K23" s="81"/>
      <c r="L23" s="81"/>
      <c r="M23" s="81"/>
    </row>
    <row r="24" spans="1:13" s="70" customFormat="1" x14ac:dyDescent="0.3">
      <c r="A24" s="81"/>
      <c r="B24" s="81"/>
      <c r="C24" s="81"/>
      <c r="D24" s="81"/>
      <c r="E24" s="83"/>
      <c r="F24" s="81"/>
      <c r="G24" s="82"/>
      <c r="H24" s="81"/>
      <c r="I24" s="81"/>
      <c r="J24" s="81"/>
      <c r="K24" s="81"/>
      <c r="L24" s="81"/>
      <c r="M24" s="81"/>
    </row>
    <row r="25" spans="1:13" s="70" customFormat="1" x14ac:dyDescent="0.3">
      <c r="A25" s="81"/>
      <c r="B25" s="81"/>
      <c r="C25" s="81"/>
      <c r="D25" s="81"/>
      <c r="E25" s="83"/>
      <c r="F25" s="81"/>
      <c r="G25" s="82"/>
      <c r="H25" s="81"/>
      <c r="I25" s="81"/>
      <c r="J25" s="81"/>
      <c r="K25" s="81"/>
      <c r="L25" s="81"/>
      <c r="M25" s="81"/>
    </row>
    <row r="26" spans="1:13" s="70" customFormat="1" x14ac:dyDescent="0.3">
      <c r="A26" s="81"/>
      <c r="B26" s="81"/>
      <c r="C26" s="81"/>
      <c r="D26" s="81"/>
      <c r="E26" s="83"/>
      <c r="F26" s="81"/>
      <c r="G26" s="82"/>
      <c r="H26" s="81"/>
      <c r="I26" s="81"/>
      <c r="J26" s="81"/>
      <c r="K26" s="81"/>
      <c r="L26" s="81"/>
      <c r="M26" s="81"/>
    </row>
    <row r="27" spans="1:13" s="70" customFormat="1" x14ac:dyDescent="0.3">
      <c r="A27" s="81"/>
      <c r="B27" s="81"/>
      <c r="C27" s="81"/>
      <c r="D27" s="81"/>
      <c r="E27" s="83"/>
      <c r="F27" s="81"/>
      <c r="G27" s="82"/>
      <c r="H27" s="81"/>
      <c r="I27" s="81"/>
      <c r="J27" s="81"/>
      <c r="K27" s="81"/>
      <c r="L27" s="81"/>
      <c r="M27" s="81"/>
    </row>
  </sheetData>
  <conditionalFormatting sqref="B6:M18">
    <cfRule type="cellIs" dxfId="685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67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K6" sqref="K6"/>
    </sheetView>
  </sheetViews>
  <sheetFormatPr defaultColWidth="9.33203125" defaultRowHeight="14.4" outlineLevelRow="1" x14ac:dyDescent="0.3"/>
  <cols>
    <col min="1" max="1" width="28.5546875" style="69" bestFit="1" customWidth="1"/>
    <col min="2" max="3" width="15.6640625" style="69" customWidth="1"/>
    <col min="4" max="4" width="12.6640625" style="69" customWidth="1"/>
    <col min="5" max="5" width="14.6640625" style="69" bestFit="1" customWidth="1"/>
    <col min="6" max="6" width="13.44140625" style="69" customWidth="1"/>
    <col min="7" max="8" width="9.6640625" style="69" customWidth="1"/>
    <col min="9" max="9" width="11" style="69" bestFit="1" customWidth="1"/>
    <col min="10" max="10" width="15.44140625" style="69" hidden="1" customWidth="1"/>
    <col min="11" max="11" width="15.6640625" style="69" customWidth="1"/>
    <col min="12" max="12" width="17" style="70" customWidth="1"/>
    <col min="13" max="16" width="9.33203125" style="70" customWidth="1"/>
    <col min="17" max="29" width="9.33203125" style="69" customWidth="1"/>
    <col min="30" max="16384" width="9.33203125" style="69"/>
  </cols>
  <sheetData>
    <row r="1" spans="1:14" ht="15.6" customHeight="1" x14ac:dyDescent="0.3">
      <c r="A1" s="7"/>
      <c r="B1" s="7"/>
      <c r="C1" s="7"/>
      <c r="D1" s="14" t="s">
        <v>0</v>
      </c>
      <c r="E1" s="7"/>
      <c r="F1" s="7"/>
      <c r="G1" s="7"/>
      <c r="H1" s="7"/>
      <c r="I1" s="7"/>
      <c r="J1" s="7"/>
      <c r="K1" s="81"/>
      <c r="L1" s="9"/>
      <c r="M1" s="9"/>
      <c r="N1" s="9"/>
    </row>
    <row r="2" spans="1:14" ht="15" customHeight="1" thickBot="1" x14ac:dyDescent="0.35">
      <c r="A2" s="1"/>
      <c r="B2" s="1"/>
      <c r="C2" s="1"/>
      <c r="D2" s="31">
        <f>(((C4-C18)-B4)/B4)</f>
        <v>9.2179439480181549E-2</v>
      </c>
      <c r="E2" s="34"/>
      <c r="F2" s="1"/>
      <c r="G2" s="1"/>
      <c r="H2" s="1"/>
      <c r="I2" s="1"/>
      <c r="J2" s="1"/>
      <c r="K2" s="81"/>
      <c r="L2" s="17"/>
      <c r="M2" s="9"/>
      <c r="N2" s="9"/>
    </row>
    <row r="3" spans="1:14" ht="31.8" customHeight="1" thickBot="1" x14ac:dyDescent="0.35">
      <c r="A3" s="2"/>
      <c r="B3" s="15" t="s">
        <v>30</v>
      </c>
      <c r="C3" s="11" t="s">
        <v>5</v>
      </c>
      <c r="D3" s="13" t="s">
        <v>4</v>
      </c>
      <c r="E3" s="35" t="s">
        <v>6</v>
      </c>
      <c r="F3" s="11" t="s">
        <v>7</v>
      </c>
      <c r="G3" s="15" t="s">
        <v>32</v>
      </c>
      <c r="H3" s="15" t="s">
        <v>29</v>
      </c>
      <c r="I3" s="15" t="s">
        <v>9</v>
      </c>
      <c r="J3" s="15" t="s">
        <v>11</v>
      </c>
      <c r="K3" s="41" t="s">
        <v>12</v>
      </c>
      <c r="L3" s="23"/>
      <c r="M3" s="21"/>
      <c r="N3" s="22"/>
    </row>
    <row r="4" spans="1:14" ht="20.25" customHeight="1" thickBot="1" x14ac:dyDescent="0.35">
      <c r="A4" s="398" t="s">
        <v>13</v>
      </c>
      <c r="B4" s="99">
        <f>SUM(B6:B18)</f>
        <v>2354116.94</v>
      </c>
      <c r="C4" s="97">
        <f>SUM(C6:C18)</f>
        <v>2750780.06</v>
      </c>
      <c r="D4" s="90">
        <f t="shared" ref="D4:D18" si="0">IFERROR((SUM(C4-B4)/B4),0)</f>
        <v>0.1684976278196274</v>
      </c>
      <c r="E4" s="66">
        <f>SUM(E6:E18)</f>
        <v>20723</v>
      </c>
      <c r="F4" s="85">
        <f>AVERAGE(F5:F18)</f>
        <v>138.21495898654064</v>
      </c>
      <c r="G4" s="88">
        <f>SUM(G6:G18)</f>
        <v>880</v>
      </c>
      <c r="H4" s="28">
        <f t="shared" ref="H4:H18" si="1">IFERROR(G4/E4,0)</f>
        <v>4.2464894079042609E-2</v>
      </c>
      <c r="I4" s="46">
        <f>SUM(I6:I18)</f>
        <v>5632</v>
      </c>
      <c r="J4" s="89">
        <f t="shared" ref="J4:J18" si="2">IFERROR(I4/SUM(E4),0)</f>
        <v>0.27177532210587269</v>
      </c>
      <c r="K4" s="66">
        <f>SUM(K6:K18)</f>
        <v>139982.57</v>
      </c>
      <c r="L4" s="24"/>
      <c r="M4" s="9"/>
      <c r="N4" s="9"/>
    </row>
    <row r="5" spans="1:14" ht="15.6" hidden="1" customHeight="1" outlineLevel="1" x14ac:dyDescent="0.3">
      <c r="A5" s="38" t="s">
        <v>25</v>
      </c>
      <c r="B5" s="67"/>
      <c r="C5" s="67"/>
      <c r="D5" s="86">
        <f t="shared" si="0"/>
        <v>0</v>
      </c>
      <c r="E5" s="68"/>
      <c r="F5" s="84"/>
      <c r="G5" s="68"/>
      <c r="H5" s="28">
        <f t="shared" si="1"/>
        <v>0</v>
      </c>
      <c r="I5" s="46">
        <f>G5+'Nov 19 - Nov 25'!I5+'Nov 26 - Dec 2'!I5+'Dec 3 - Dec 9'!I5+'Dec 10 - Dec 16'!I5+'Dec 17 - Dec 23'!I5+'Dec 24 - Dec 30'!I5</f>
        <v>0</v>
      </c>
      <c r="J5" s="89">
        <f t="shared" si="2"/>
        <v>0</v>
      </c>
      <c r="K5" s="73"/>
      <c r="L5" s="25"/>
      <c r="M5" s="9"/>
      <c r="N5" s="9"/>
    </row>
    <row r="6" spans="1:14" ht="15.6" customHeight="1" collapsed="1" x14ac:dyDescent="0.3">
      <c r="A6" s="39" t="s">
        <v>15</v>
      </c>
      <c r="B6" s="73">
        <v>242378.88</v>
      </c>
      <c r="C6" s="73">
        <v>266174.90000000002</v>
      </c>
      <c r="D6" s="86">
        <f t="shared" si="0"/>
        <v>9.8176953371514955E-2</v>
      </c>
      <c r="E6" s="74">
        <v>2063</v>
      </c>
      <c r="F6" s="63">
        <f t="shared" ref="F6:F18" si="3">IFERROR(C6/E6,0)</f>
        <v>129.02321861366943</v>
      </c>
      <c r="G6" s="61">
        <v>50</v>
      </c>
      <c r="H6" s="28">
        <f t="shared" si="1"/>
        <v>2.4236548715462918E-2</v>
      </c>
      <c r="I6" s="46">
        <f>G6+'Jan 7 - Jan 13'!I6+'Jan 14 - Jan 20'!I6+'Jan 21 - Jan 27'!I6+'28 Jan - 3 Feb'!I6+'4 Feb - 10 Feb'!I6</f>
        <v>445</v>
      </c>
      <c r="J6" s="89">
        <f t="shared" si="2"/>
        <v>0.21570528356761998</v>
      </c>
      <c r="K6" s="73">
        <v>10748.2</v>
      </c>
      <c r="L6" s="26"/>
      <c r="M6" s="9"/>
      <c r="N6" s="9"/>
    </row>
    <row r="7" spans="1:14" ht="15.6" customHeight="1" x14ac:dyDescent="0.3">
      <c r="A7" s="39" t="s">
        <v>16</v>
      </c>
      <c r="B7" s="73">
        <v>207544.97</v>
      </c>
      <c r="C7" s="73">
        <v>242108.65</v>
      </c>
      <c r="D7" s="86">
        <f t="shared" si="0"/>
        <v>0.16653585967417081</v>
      </c>
      <c r="E7" s="74">
        <v>1724</v>
      </c>
      <c r="F7" s="63">
        <f t="shared" si="3"/>
        <v>140.43425174013922</v>
      </c>
      <c r="G7" s="61">
        <v>100</v>
      </c>
      <c r="H7" s="28">
        <f t="shared" si="1"/>
        <v>5.8004640371229696E-2</v>
      </c>
      <c r="I7" s="46">
        <f>G7+'Jan 7 - Jan 13'!I7+'Jan 14 - Jan 20'!I7+'Jan 21 - Jan 27'!I7+'28 Jan - 3 Feb'!I7+'4 Feb - 10 Feb'!I7</f>
        <v>571</v>
      </c>
      <c r="J7" s="89">
        <f t="shared" si="2"/>
        <v>0.33120649651972156</v>
      </c>
      <c r="K7" s="73">
        <v>14892.15</v>
      </c>
      <c r="L7" s="26"/>
      <c r="M7" s="9"/>
      <c r="N7" s="9"/>
    </row>
    <row r="8" spans="1:14" ht="15.6" customHeight="1" x14ac:dyDescent="0.3">
      <c r="A8" s="39" t="s">
        <v>17</v>
      </c>
      <c r="B8" s="73">
        <v>114390.05</v>
      </c>
      <c r="C8" s="73">
        <v>118438.43</v>
      </c>
      <c r="D8" s="86">
        <f t="shared" si="0"/>
        <v>3.5391015215047027E-2</v>
      </c>
      <c r="E8" s="74">
        <v>837</v>
      </c>
      <c r="F8" s="63">
        <f t="shared" si="3"/>
        <v>141.50350059737156</v>
      </c>
      <c r="G8" s="61">
        <v>23</v>
      </c>
      <c r="H8" s="28">
        <f t="shared" si="1"/>
        <v>2.7479091995221028E-2</v>
      </c>
      <c r="I8" s="46">
        <f>G8+'Jan 7 - Jan 13'!I8+'Jan 14 - Jan 20'!I8+'Jan 21 - Jan 27'!I8+'28 Jan - 3 Feb'!I8+'4 Feb - 10 Feb'!I8</f>
        <v>201</v>
      </c>
      <c r="J8" s="89">
        <f t="shared" si="2"/>
        <v>0.24014336917562723</v>
      </c>
      <c r="K8" s="73">
        <v>4155.5</v>
      </c>
      <c r="L8" s="26"/>
      <c r="M8" s="9"/>
      <c r="N8" s="9"/>
    </row>
    <row r="9" spans="1:14" ht="15.6" customHeight="1" x14ac:dyDescent="0.3">
      <c r="A9" s="39" t="s">
        <v>18</v>
      </c>
      <c r="B9" s="73">
        <v>324147.25</v>
      </c>
      <c r="C9" s="73">
        <v>342968.68</v>
      </c>
      <c r="D9" s="86">
        <f t="shared" si="0"/>
        <v>5.8064444477008502E-2</v>
      </c>
      <c r="E9" s="74">
        <v>2676</v>
      </c>
      <c r="F9" s="63">
        <f t="shared" si="3"/>
        <v>128.16467862481315</v>
      </c>
      <c r="G9" s="61">
        <v>64</v>
      </c>
      <c r="H9" s="28">
        <f t="shared" si="1"/>
        <v>2.391629297458894E-2</v>
      </c>
      <c r="I9" s="46">
        <f>G9+'Jan 7 - Jan 13'!I9+'Jan 14 - Jan 20'!I9+'Jan 21 - Jan 27'!I9+'28 Jan - 3 Feb'!I9+'4 Feb - 10 Feb'!I9</f>
        <v>581</v>
      </c>
      <c r="J9" s="89">
        <f t="shared" si="2"/>
        <v>0.21711509715994021</v>
      </c>
      <c r="K9" s="73">
        <v>15572.58</v>
      </c>
      <c r="L9" s="26"/>
      <c r="M9" s="9"/>
      <c r="N9" s="9"/>
    </row>
    <row r="10" spans="1:14" s="70" customFormat="1" ht="15.6" customHeight="1" x14ac:dyDescent="0.3">
      <c r="A10" s="39" t="s">
        <v>20</v>
      </c>
      <c r="B10" s="73">
        <v>180292.29</v>
      </c>
      <c r="C10" s="73">
        <v>165657.87</v>
      </c>
      <c r="D10" s="86">
        <f t="shared" si="0"/>
        <v>-8.1170525927647882E-2</v>
      </c>
      <c r="E10" s="74">
        <v>990</v>
      </c>
      <c r="F10" s="63">
        <f t="shared" si="3"/>
        <v>167.33118181818182</v>
      </c>
      <c r="G10" s="61">
        <v>54</v>
      </c>
      <c r="H10" s="28">
        <f t="shared" si="1"/>
        <v>5.4545454545454543E-2</v>
      </c>
      <c r="I10" s="46">
        <f>G10+'Jan 7 - Jan 13'!I10+'Jan 14 - Jan 20'!I10+'Jan 21 - Jan 27'!I10+'28 Jan - 3 Feb'!I10+'4 Feb - 10 Feb'!I10</f>
        <v>348</v>
      </c>
      <c r="J10" s="89">
        <f t="shared" si="2"/>
        <v>0.3515151515151515</v>
      </c>
      <c r="K10" s="73">
        <v>8894.61</v>
      </c>
      <c r="L10" s="26"/>
      <c r="M10" s="9"/>
      <c r="N10" s="9"/>
    </row>
    <row r="11" spans="1:14" s="70" customFormat="1" ht="15.6" customHeight="1" x14ac:dyDescent="0.3">
      <c r="A11" s="39" t="s">
        <v>21</v>
      </c>
      <c r="B11" s="73">
        <v>295932.86</v>
      </c>
      <c r="C11" s="73">
        <v>344555.3</v>
      </c>
      <c r="D11" s="86">
        <f t="shared" si="0"/>
        <v>0.16430226775086756</v>
      </c>
      <c r="E11" s="74">
        <v>2540</v>
      </c>
      <c r="F11" s="63">
        <f t="shared" si="3"/>
        <v>135.65169291338583</v>
      </c>
      <c r="G11" s="61">
        <v>136</v>
      </c>
      <c r="H11" s="28">
        <f t="shared" si="1"/>
        <v>5.3543307086614172E-2</v>
      </c>
      <c r="I11" s="46">
        <f>G11+'Jan 7 - Jan 13'!I11+'Jan 14 - Jan 20'!I11+'Jan 21 - Jan 27'!I11+'28 Jan - 3 Feb'!I11+'4 Feb - 10 Feb'!I11</f>
        <v>827</v>
      </c>
      <c r="J11" s="89">
        <f t="shared" si="2"/>
        <v>0.32559055118110236</v>
      </c>
      <c r="K11" s="73">
        <v>18360</v>
      </c>
      <c r="L11" s="26"/>
      <c r="M11" s="9"/>
      <c r="N11" s="9"/>
    </row>
    <row r="12" spans="1:14" s="70" customFormat="1" ht="15.6" customHeight="1" x14ac:dyDescent="0.3">
      <c r="A12" s="40" t="s">
        <v>22</v>
      </c>
      <c r="B12" s="73">
        <v>129246.81</v>
      </c>
      <c r="C12" s="73">
        <v>150132.07999999999</v>
      </c>
      <c r="D12" s="86">
        <f t="shared" si="0"/>
        <v>0.16159215070762667</v>
      </c>
      <c r="E12" s="74">
        <v>1359</v>
      </c>
      <c r="F12" s="63">
        <f t="shared" si="3"/>
        <v>110.47246504782927</v>
      </c>
      <c r="G12" s="61">
        <v>52</v>
      </c>
      <c r="H12" s="28">
        <f t="shared" si="1"/>
        <v>3.8263428991905817E-2</v>
      </c>
      <c r="I12" s="46">
        <f>G12+'Jan 7 - Jan 13'!I12+'Jan 14 - Jan 20'!I12+'Jan 21 - Jan 27'!I12+'28 Jan - 3 Feb'!I12+'4 Feb - 10 Feb'!I12</f>
        <v>355</v>
      </c>
      <c r="J12" s="89">
        <f t="shared" si="2"/>
        <v>0.26122148638704928</v>
      </c>
      <c r="K12" s="73">
        <v>16447</v>
      </c>
      <c r="L12" s="26"/>
      <c r="M12" s="9"/>
      <c r="N12" s="9"/>
    </row>
    <row r="13" spans="1:14" s="70" customFormat="1" ht="15.6" customHeight="1" x14ac:dyDescent="0.3">
      <c r="A13" s="40" t="s">
        <v>23</v>
      </c>
      <c r="B13" s="73">
        <v>218657.19</v>
      </c>
      <c r="C13" s="73">
        <v>239284.36</v>
      </c>
      <c r="D13" s="86">
        <f t="shared" si="0"/>
        <v>9.4335658479833134E-2</v>
      </c>
      <c r="E13" s="74">
        <v>1791</v>
      </c>
      <c r="F13" s="63">
        <f t="shared" si="3"/>
        <v>133.60377442769402</v>
      </c>
      <c r="G13" s="61">
        <v>98</v>
      </c>
      <c r="H13" s="28">
        <f t="shared" si="1"/>
        <v>5.4718034617532108E-2</v>
      </c>
      <c r="I13" s="46">
        <f>G13+'Jan 7 - Jan 13'!I13+'Jan 14 - Jan 20'!I13+'Jan 21 - Jan 27'!I13+'28 Jan - 3 Feb'!I13+'4 Feb - 10 Feb'!I13</f>
        <v>635</v>
      </c>
      <c r="J13" s="89">
        <f t="shared" si="2"/>
        <v>0.3545505304299274</v>
      </c>
      <c r="K13" s="73">
        <v>8881.5</v>
      </c>
      <c r="L13" s="26"/>
      <c r="M13" s="9"/>
      <c r="N13" s="9"/>
    </row>
    <row r="14" spans="1:14" s="70" customFormat="1" ht="15.6" customHeight="1" x14ac:dyDescent="0.3">
      <c r="A14" s="40" t="s">
        <v>24</v>
      </c>
      <c r="B14" s="73">
        <v>117903.36</v>
      </c>
      <c r="C14" s="73">
        <v>98380.86</v>
      </c>
      <c r="D14" s="86">
        <f t="shared" si="0"/>
        <v>-0.16558052289603961</v>
      </c>
      <c r="E14" s="74">
        <v>477</v>
      </c>
      <c r="F14" s="63">
        <f t="shared" si="3"/>
        <v>206.24918238993712</v>
      </c>
      <c r="G14" s="61">
        <v>0</v>
      </c>
      <c r="H14" s="28">
        <f t="shared" si="1"/>
        <v>0</v>
      </c>
      <c r="I14" s="46">
        <f>G14+'Jan 7 - Jan 13'!I14+'Jan 14 - Jan 20'!I14+'Jan 21 - Jan 27'!I14+'28 Jan - 3 Feb'!I14+'4 Feb - 10 Feb'!I14</f>
        <v>0</v>
      </c>
      <c r="J14" s="89">
        <f t="shared" si="2"/>
        <v>0</v>
      </c>
      <c r="K14" s="73">
        <v>9040.3799999999992</v>
      </c>
      <c r="L14" s="26"/>
      <c r="M14" s="9"/>
      <c r="N14" s="9"/>
    </row>
    <row r="15" spans="1:14" s="70" customFormat="1" ht="15.6" customHeight="1" x14ac:dyDescent="0.3">
      <c r="A15" s="40" t="s">
        <v>26</v>
      </c>
      <c r="B15" s="73">
        <v>159684.51</v>
      </c>
      <c r="C15" s="73">
        <v>201421.91</v>
      </c>
      <c r="D15" s="86">
        <f t="shared" si="0"/>
        <v>0.26137413077824512</v>
      </c>
      <c r="E15" s="74">
        <v>1817</v>
      </c>
      <c r="F15" s="63">
        <f t="shared" si="3"/>
        <v>110.85410566868465</v>
      </c>
      <c r="G15" s="61">
        <v>101</v>
      </c>
      <c r="H15" s="28">
        <f t="shared" si="1"/>
        <v>5.5586130985140342E-2</v>
      </c>
      <c r="I15" s="46">
        <f>G15+'Jan 7 - Jan 13'!I15+'Jan 14 - Jan 20'!I15+'Jan 21 - Jan 27'!I15+'28 Jan - 3 Feb'!I15+'4 Feb - 10 Feb'!I15</f>
        <v>456</v>
      </c>
      <c r="J15" s="89">
        <f t="shared" si="2"/>
        <v>0.25096312603192072</v>
      </c>
      <c r="K15" s="73">
        <v>5412.7</v>
      </c>
      <c r="L15" s="9"/>
      <c r="M15" s="9"/>
      <c r="N15" s="9"/>
    </row>
    <row r="16" spans="1:14" s="70" customFormat="1" ht="15.6" customHeight="1" x14ac:dyDescent="0.3">
      <c r="A16" s="40" t="s">
        <v>27</v>
      </c>
      <c r="B16" s="73">
        <v>142406.29</v>
      </c>
      <c r="C16" s="73">
        <v>194132.08</v>
      </c>
      <c r="D16" s="86">
        <f t="shared" si="0"/>
        <v>0.36322686308308416</v>
      </c>
      <c r="E16" s="74">
        <v>1462</v>
      </c>
      <c r="F16" s="63">
        <f t="shared" si="3"/>
        <v>132.78528043775648</v>
      </c>
      <c r="G16" s="61">
        <v>44</v>
      </c>
      <c r="H16" s="28">
        <f t="shared" si="1"/>
        <v>3.0095759233926128E-2</v>
      </c>
      <c r="I16" s="46">
        <f>G16+'Jan 7 - Jan 13'!I16+'Jan 14 - Jan 20'!I16+'Jan 21 - Jan 27'!I16+'28 Jan - 3 Feb'!I16+'4 Feb - 10 Feb'!I16</f>
        <v>273</v>
      </c>
      <c r="J16" s="89">
        <f t="shared" si="2"/>
        <v>0.18673050615595074</v>
      </c>
      <c r="K16" s="73">
        <v>7514.5</v>
      </c>
      <c r="L16" s="9"/>
      <c r="M16" s="9"/>
      <c r="N16" s="9"/>
    </row>
    <row r="17" spans="1:11" s="70" customFormat="1" ht="15.6" customHeight="1" x14ac:dyDescent="0.3">
      <c r="A17" s="40" t="s">
        <v>28</v>
      </c>
      <c r="B17" s="73">
        <v>221532.48</v>
      </c>
      <c r="C17" s="73">
        <v>207863</v>
      </c>
      <c r="D17" s="86">
        <f t="shared" si="0"/>
        <v>-6.170417990174628E-2</v>
      </c>
      <c r="E17" s="74">
        <v>1431</v>
      </c>
      <c r="F17" s="63">
        <f t="shared" si="3"/>
        <v>145.25716282320056</v>
      </c>
      <c r="G17" s="61">
        <v>106</v>
      </c>
      <c r="H17" s="28">
        <f t="shared" si="1"/>
        <v>7.407407407407407E-2</v>
      </c>
      <c r="I17" s="46">
        <f>G17+'Jan 7 - Jan 13'!I17+'Jan 14 - Jan 20'!I17+'Jan 21 - Jan 27'!I17+'28 Jan - 3 Feb'!I17+'4 Feb - 10 Feb'!I17</f>
        <v>793</v>
      </c>
      <c r="J17" s="89">
        <f t="shared" si="2"/>
        <v>0.55415793151642212</v>
      </c>
      <c r="K17" s="73">
        <v>16454.45</v>
      </c>
    </row>
    <row r="18" spans="1:11" s="70" customFormat="1" ht="15.6" customHeight="1" x14ac:dyDescent="0.3">
      <c r="A18" s="40" t="s">
        <v>33</v>
      </c>
      <c r="B18" s="73">
        <v>0</v>
      </c>
      <c r="C18" s="73">
        <v>179661.94</v>
      </c>
      <c r="D18" s="86">
        <f t="shared" si="0"/>
        <v>0</v>
      </c>
      <c r="E18" s="74">
        <v>1556</v>
      </c>
      <c r="F18" s="63">
        <f t="shared" si="3"/>
        <v>115.46397172236505</v>
      </c>
      <c r="G18" s="61">
        <v>52</v>
      </c>
      <c r="H18" s="28">
        <f t="shared" si="1"/>
        <v>3.3419023136246784E-2</v>
      </c>
      <c r="I18" s="46">
        <f>G18+'28 Jan - 3 Feb'!I18+'4 Feb - 10 Feb'!I18</f>
        <v>147</v>
      </c>
      <c r="J18" s="89">
        <f t="shared" si="2"/>
        <v>9.4473007712082266E-2</v>
      </c>
      <c r="K18" s="73">
        <v>3609</v>
      </c>
    </row>
    <row r="19" spans="1:11" s="70" customFormat="1" x14ac:dyDescent="0.3">
      <c r="A19" s="81"/>
      <c r="B19" s="81"/>
      <c r="C19" s="395"/>
      <c r="D19" s="81"/>
      <c r="E19" s="396"/>
      <c r="F19" s="397"/>
      <c r="G19" s="91" t="s">
        <v>31</v>
      </c>
      <c r="H19" s="397"/>
      <c r="I19" s="397"/>
      <c r="J19" s="397"/>
      <c r="K19" s="397"/>
    </row>
    <row r="20" spans="1:11" s="70" customFormat="1" x14ac:dyDescent="0.3">
      <c r="A20" s="81"/>
      <c r="B20" s="81"/>
      <c r="C20" s="83"/>
      <c r="D20" s="81"/>
      <c r="E20" s="82"/>
      <c r="F20" s="81"/>
      <c r="G20" s="81"/>
      <c r="H20" s="81"/>
      <c r="I20" s="81"/>
      <c r="J20" s="81"/>
      <c r="K20" s="81"/>
    </row>
    <row r="21" spans="1:11" s="70" customFormat="1" x14ac:dyDescent="0.3">
      <c r="A21" s="81"/>
      <c r="B21" s="81"/>
      <c r="C21" s="83"/>
      <c r="D21" s="81"/>
      <c r="E21" s="82"/>
      <c r="F21" s="81"/>
      <c r="G21" s="81"/>
      <c r="H21" s="81"/>
      <c r="I21" s="81"/>
      <c r="J21" s="81"/>
      <c r="K21" s="81"/>
    </row>
    <row r="22" spans="1:11" s="70" customFormat="1" ht="15" customHeight="1" x14ac:dyDescent="0.3">
      <c r="A22" s="81"/>
      <c r="B22" s="81"/>
      <c r="C22" s="83"/>
      <c r="D22" s="81"/>
      <c r="E22" s="82"/>
      <c r="F22" s="81"/>
      <c r="G22" s="81"/>
      <c r="H22" s="81"/>
      <c r="I22" s="81"/>
      <c r="J22" s="81"/>
      <c r="K22" s="27"/>
    </row>
    <row r="23" spans="1:11" s="70" customFormat="1" x14ac:dyDescent="0.3">
      <c r="A23" s="81"/>
      <c r="B23" s="81"/>
      <c r="C23" s="83"/>
      <c r="D23" s="81"/>
      <c r="E23" s="82"/>
      <c r="F23" s="81"/>
      <c r="G23" s="81"/>
      <c r="H23" s="81"/>
      <c r="I23" s="81"/>
      <c r="J23" s="81"/>
      <c r="K23" s="81"/>
    </row>
    <row r="24" spans="1:11" s="70" customFormat="1" x14ac:dyDescent="0.3">
      <c r="A24" s="81"/>
      <c r="B24" s="81"/>
      <c r="C24" s="83"/>
      <c r="D24" s="81"/>
      <c r="E24" s="82"/>
      <c r="F24" s="81"/>
      <c r="G24" s="81"/>
      <c r="H24" s="81"/>
      <c r="I24" s="81"/>
      <c r="J24" s="81"/>
      <c r="K24" s="81"/>
    </row>
    <row r="25" spans="1:11" s="70" customFormat="1" x14ac:dyDescent="0.3">
      <c r="A25" s="81"/>
      <c r="B25" s="81"/>
      <c r="C25" s="83"/>
      <c r="D25" s="81"/>
      <c r="E25" s="82"/>
      <c r="F25" s="81"/>
      <c r="G25" s="81"/>
      <c r="H25" s="81"/>
      <c r="I25" s="81"/>
      <c r="J25" s="81"/>
      <c r="K25" s="81"/>
    </row>
    <row r="26" spans="1:11" s="70" customFormat="1" x14ac:dyDescent="0.3">
      <c r="A26" s="81"/>
      <c r="B26" s="81"/>
      <c r="C26" s="83"/>
      <c r="D26" s="81"/>
      <c r="E26" s="82"/>
      <c r="F26" s="81"/>
      <c r="G26" s="81"/>
      <c r="H26" s="81"/>
      <c r="I26" s="81"/>
      <c r="J26" s="81"/>
      <c r="K26" s="81"/>
    </row>
    <row r="27" spans="1:11" s="70" customFormat="1" x14ac:dyDescent="0.3">
      <c r="A27" s="81"/>
      <c r="B27" s="81"/>
      <c r="C27" s="83"/>
      <c r="D27" s="81"/>
      <c r="E27" s="82"/>
      <c r="F27" s="81"/>
      <c r="G27" s="81"/>
      <c r="H27" s="81"/>
      <c r="I27" s="81"/>
      <c r="J27" s="81"/>
      <c r="K27" s="81"/>
    </row>
  </sheetData>
  <conditionalFormatting sqref="B6:K18">
    <cfRule type="cellIs" dxfId="684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6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pageSetUpPr fitToPage="1"/>
  </sheetPr>
  <dimension ref="A1:P27"/>
  <sheetViews>
    <sheetView view="pageBreakPreview" zoomScale="70" zoomScaleNormal="80" zoomScaleSheetLayoutView="70" workbookViewId="0">
      <pane xSplit="1" topLeftCell="B1" activePane="topRight" state="frozen"/>
      <selection pane="topRight" activeCell="B14" sqref="B14"/>
    </sheetView>
  </sheetViews>
  <sheetFormatPr defaultColWidth="9.33203125" defaultRowHeight="14.4" outlineLevelRow="1" x14ac:dyDescent="0.3"/>
  <cols>
    <col min="1" max="1" width="28.5546875" style="69" bestFit="1" customWidth="1"/>
    <col min="2" max="3" width="15.6640625" style="69" customWidth="1"/>
    <col min="4" max="4" width="12.6640625" style="69" customWidth="1"/>
    <col min="5" max="5" width="14.6640625" style="69" bestFit="1" customWidth="1"/>
    <col min="6" max="6" width="13.44140625" style="69" customWidth="1"/>
    <col min="7" max="7" width="11.44140625" style="69" bestFit="1" customWidth="1"/>
    <col min="8" max="8" width="10.44140625" style="69" bestFit="1" customWidth="1"/>
    <col min="9" max="9" width="11" style="69" bestFit="1" customWidth="1"/>
    <col min="10" max="10" width="15.44140625" style="69" hidden="1" customWidth="1"/>
    <col min="11" max="11" width="15.6640625" style="69" customWidth="1"/>
    <col min="12" max="12" width="17" style="70" customWidth="1"/>
    <col min="13" max="16" width="9.33203125" style="70" customWidth="1"/>
    <col min="17" max="29" width="9.33203125" style="69" customWidth="1"/>
    <col min="30" max="16384" width="9.33203125" style="69"/>
  </cols>
  <sheetData>
    <row r="1" spans="1:14" ht="15.6" customHeight="1" x14ac:dyDescent="0.3">
      <c r="A1" s="7"/>
      <c r="B1" s="100"/>
      <c r="C1" s="7"/>
      <c r="D1" s="14" t="s">
        <v>0</v>
      </c>
      <c r="E1" s="7"/>
      <c r="F1" s="7"/>
      <c r="G1" s="399"/>
      <c r="H1" s="399"/>
      <c r="I1" s="7"/>
      <c r="J1" s="7"/>
      <c r="K1" s="81"/>
      <c r="L1" s="9"/>
      <c r="M1" s="9"/>
      <c r="N1" s="9"/>
    </row>
    <row r="2" spans="1:14" ht="15" customHeight="1" thickBot="1" x14ac:dyDescent="0.35">
      <c r="A2" s="1"/>
      <c r="B2" s="1"/>
      <c r="C2" s="1"/>
      <c r="D2" s="31">
        <f>(((C4-C18)-B4)/B4)</f>
        <v>-4.825396482345974E-3</v>
      </c>
      <c r="E2" s="34"/>
      <c r="F2" s="1"/>
      <c r="G2" s="1"/>
      <c r="H2" s="1"/>
      <c r="I2" s="1"/>
      <c r="J2" s="1"/>
      <c r="K2" s="81"/>
      <c r="L2" s="17"/>
      <c r="M2" s="9"/>
      <c r="N2" s="9"/>
    </row>
    <row r="3" spans="1:14" ht="31.8" customHeight="1" thickBot="1" x14ac:dyDescent="0.35">
      <c r="A3" s="2"/>
      <c r="B3" s="15" t="s">
        <v>30</v>
      </c>
      <c r="C3" s="11" t="s">
        <v>5</v>
      </c>
      <c r="D3" s="13" t="s">
        <v>4</v>
      </c>
      <c r="E3" s="35" t="s">
        <v>6</v>
      </c>
      <c r="F3" s="11" t="s">
        <v>7</v>
      </c>
      <c r="G3" s="15" t="s">
        <v>32</v>
      </c>
      <c r="H3" s="15" t="s">
        <v>29</v>
      </c>
      <c r="I3" s="15" t="s">
        <v>9</v>
      </c>
      <c r="J3" s="15" t="s">
        <v>11</v>
      </c>
      <c r="K3" s="41" t="s">
        <v>12</v>
      </c>
      <c r="L3" s="23"/>
      <c r="M3" s="21"/>
      <c r="N3" s="22"/>
    </row>
    <row r="4" spans="1:14" ht="20.25" customHeight="1" thickBot="1" x14ac:dyDescent="0.35">
      <c r="A4" s="398" t="s">
        <v>13</v>
      </c>
      <c r="B4" s="99">
        <f>SUM(B6:B18)</f>
        <v>2350523.9499999997</v>
      </c>
      <c r="C4" s="97">
        <f>SUM(C6:C18)</f>
        <v>2508599.36</v>
      </c>
      <c r="D4" s="90">
        <f t="shared" ref="D4:D18" si="0">IFERROR((SUM(C4-B4)/B4),0)</f>
        <v>6.7251137772920869E-2</v>
      </c>
      <c r="E4" s="66">
        <f>SUM(E6:E18)</f>
        <v>19397</v>
      </c>
      <c r="F4" s="85">
        <f>AVERAGE(F5:F18)</f>
        <v>132.60894901520771</v>
      </c>
      <c r="G4" s="88">
        <f>SUM(G6:G18)</f>
        <v>895</v>
      </c>
      <c r="H4" s="28">
        <f t="shared" ref="H4:H18" si="1">IFERROR(G4/E4,0)</f>
        <v>4.6141155848842604E-2</v>
      </c>
      <c r="I4" s="46">
        <f>SUM(I6:I18)</f>
        <v>6527</v>
      </c>
      <c r="J4" s="89">
        <f t="shared" ref="J4:J18" si="2">IFERROR(I4/SUM(E4),0)</f>
        <v>0.33649533433005102</v>
      </c>
      <c r="K4" s="66">
        <f>SUM(K6:K18)</f>
        <v>142673.84</v>
      </c>
      <c r="L4" s="24"/>
      <c r="M4" s="9"/>
      <c r="N4" s="9"/>
    </row>
    <row r="5" spans="1:14" ht="15.6" hidden="1" customHeight="1" outlineLevel="1" x14ac:dyDescent="0.3">
      <c r="A5" s="38" t="s">
        <v>25</v>
      </c>
      <c r="B5" s="67"/>
      <c r="C5" s="67"/>
      <c r="D5" s="86">
        <f t="shared" si="0"/>
        <v>0</v>
      </c>
      <c r="E5" s="68"/>
      <c r="F5" s="84"/>
      <c r="G5" s="68"/>
      <c r="H5" s="28">
        <f t="shared" si="1"/>
        <v>0</v>
      </c>
      <c r="I5" s="46">
        <f>G5+'Nov 19 - Nov 25'!I5+'Nov 26 - Dec 2'!I5+'Dec 3 - Dec 9'!I5+'Dec 10 - Dec 16'!I5+'Dec 17 - Dec 23'!I5+'Dec 24 - Dec 30'!I5</f>
        <v>0</v>
      </c>
      <c r="J5" s="89">
        <f t="shared" si="2"/>
        <v>0</v>
      </c>
      <c r="K5" s="73"/>
      <c r="L5" s="25"/>
      <c r="M5" s="9"/>
      <c r="N5" s="9"/>
    </row>
    <row r="6" spans="1:14" ht="15.6" customHeight="1" collapsed="1" x14ac:dyDescent="0.3">
      <c r="A6" s="39" t="s">
        <v>15</v>
      </c>
      <c r="B6" s="73">
        <v>234617.82</v>
      </c>
      <c r="C6" s="73">
        <v>255478.47</v>
      </c>
      <c r="D6" s="86">
        <f t="shared" si="0"/>
        <v>8.8913322952195159E-2</v>
      </c>
      <c r="E6" s="74">
        <v>1926</v>
      </c>
      <c r="F6" s="63">
        <f t="shared" ref="F6:F18" si="3">IFERROR(C6/E6,0)</f>
        <v>132.64718068535825</v>
      </c>
      <c r="G6" s="61">
        <f>VLOOKUP(A6,Promo!A:I,9,FALSE)</f>
        <v>59</v>
      </c>
      <c r="H6" s="28">
        <f t="shared" si="1"/>
        <v>3.0633437175493251E-2</v>
      </c>
      <c r="I6" s="46">
        <f>G6+'Jan 7 - Jan 13'!I6+'Jan 14 - Jan 20'!I6+'Jan 21 - Jan 27'!I6+'28 Jan - 3 Feb'!I6+'4 Feb - 10 Feb'!I6+'11 Feb - 17 Feb'!G6</f>
        <v>504</v>
      </c>
      <c r="J6" s="89">
        <f t="shared" si="2"/>
        <v>0.26168224299065418</v>
      </c>
      <c r="K6" s="73">
        <v>12742.6</v>
      </c>
      <c r="L6" s="26"/>
      <c r="M6" s="9"/>
      <c r="N6" s="9"/>
    </row>
    <row r="7" spans="1:14" ht="15.6" customHeight="1" x14ac:dyDescent="0.3">
      <c r="A7" s="39" t="s">
        <v>16</v>
      </c>
      <c r="B7" s="73">
        <v>196295.06</v>
      </c>
      <c r="C7" s="73">
        <v>179311.69</v>
      </c>
      <c r="D7" s="86">
        <f t="shared" si="0"/>
        <v>-8.6519599627214228E-2</v>
      </c>
      <c r="E7" s="74">
        <v>1803</v>
      </c>
      <c r="F7" s="63">
        <f t="shared" si="3"/>
        <v>99.451852468108711</v>
      </c>
      <c r="G7" s="61">
        <f>VLOOKUP(A7,Promo!A:I,9,FALSE)</f>
        <v>85</v>
      </c>
      <c r="H7" s="28">
        <f t="shared" si="1"/>
        <v>4.7143649473100388E-2</v>
      </c>
      <c r="I7" s="46">
        <f>G7+'Jan 7 - Jan 13'!I7+'Jan 14 - Jan 20'!I7+'Jan 21 - Jan 27'!I7+'28 Jan - 3 Feb'!I7+'4 Feb - 10 Feb'!I7+'11 Feb - 17 Feb'!G7</f>
        <v>656</v>
      </c>
      <c r="J7" s="89">
        <f t="shared" si="2"/>
        <v>0.36383804769828065</v>
      </c>
      <c r="K7" s="73">
        <v>11417.4</v>
      </c>
      <c r="L7" s="26"/>
      <c r="M7" s="9"/>
      <c r="N7" s="9"/>
    </row>
    <row r="8" spans="1:14" ht="15.6" customHeight="1" x14ac:dyDescent="0.3">
      <c r="A8" s="39" t="s">
        <v>17</v>
      </c>
      <c r="B8" s="73">
        <v>106518.63</v>
      </c>
      <c r="C8" s="73">
        <v>106132.06</v>
      </c>
      <c r="D8" s="86">
        <f t="shared" si="0"/>
        <v>-3.6291304159657982E-3</v>
      </c>
      <c r="E8" s="74">
        <v>798</v>
      </c>
      <c r="F8" s="63">
        <f t="shared" si="3"/>
        <v>132.99756892230576</v>
      </c>
      <c r="G8" s="61">
        <f>VLOOKUP(A8,Promo!A:I,9,FALSE)</f>
        <v>29</v>
      </c>
      <c r="H8" s="28">
        <f t="shared" si="1"/>
        <v>3.6340852130325813E-2</v>
      </c>
      <c r="I8" s="46">
        <f>G8+'Jan 7 - Jan 13'!I8+'Jan 14 - Jan 20'!I8+'Jan 21 - Jan 27'!I8+'28 Jan - 3 Feb'!I8+'4 Feb - 10 Feb'!I8+'11 Feb - 17 Feb'!G8</f>
        <v>230</v>
      </c>
      <c r="J8" s="89">
        <f t="shared" si="2"/>
        <v>0.2882205513784461</v>
      </c>
      <c r="K8" s="73">
        <v>5655.6</v>
      </c>
      <c r="L8" s="26"/>
      <c r="M8" s="9"/>
      <c r="N8" s="9"/>
    </row>
    <row r="9" spans="1:14" ht="15.6" customHeight="1" x14ac:dyDescent="0.3">
      <c r="A9" s="39" t="s">
        <v>18</v>
      </c>
      <c r="B9" s="73">
        <v>362222.69</v>
      </c>
      <c r="C9" s="73">
        <v>325053.89</v>
      </c>
      <c r="D9" s="86">
        <f t="shared" si="0"/>
        <v>-0.10261311901802725</v>
      </c>
      <c r="E9" s="74">
        <v>2568</v>
      </c>
      <c r="F9" s="63">
        <f t="shared" si="3"/>
        <v>126.57861760124611</v>
      </c>
      <c r="G9" s="61">
        <f>VLOOKUP(A9,Promo!A:I,9,FALSE)</f>
        <v>80</v>
      </c>
      <c r="H9" s="28">
        <f t="shared" si="1"/>
        <v>3.1152647975077882E-2</v>
      </c>
      <c r="I9" s="46">
        <f>G9+'Jan 7 - Jan 13'!I9+'Jan 14 - Jan 20'!I9+'Jan 21 - Jan 27'!I9+'28 Jan - 3 Feb'!I9+'4 Feb - 10 Feb'!I9+'11 Feb - 17 Feb'!G9</f>
        <v>661</v>
      </c>
      <c r="J9" s="89">
        <f t="shared" si="2"/>
        <v>0.25739875389408101</v>
      </c>
      <c r="K9" s="73">
        <v>15969.7</v>
      </c>
      <c r="L9" s="26"/>
      <c r="M9" s="9"/>
      <c r="N9" s="9"/>
    </row>
    <row r="10" spans="1:14" s="70" customFormat="1" ht="15.6" customHeight="1" x14ac:dyDescent="0.3">
      <c r="A10" s="39" t="s">
        <v>20</v>
      </c>
      <c r="B10" s="73">
        <v>141629.57999999999</v>
      </c>
      <c r="C10" s="73">
        <v>146907.45000000001</v>
      </c>
      <c r="D10" s="86">
        <f t="shared" si="0"/>
        <v>3.7265308560542401E-2</v>
      </c>
      <c r="E10" s="74">
        <v>958</v>
      </c>
      <c r="F10" s="63">
        <f t="shared" si="3"/>
        <v>153.34806889352819</v>
      </c>
      <c r="G10" s="61">
        <f>VLOOKUP(A10,Promo!A:I,9,FALSE)</f>
        <v>44</v>
      </c>
      <c r="H10" s="28">
        <f t="shared" si="1"/>
        <v>4.5929018789144051E-2</v>
      </c>
      <c r="I10" s="46">
        <f>G10+'Jan 7 - Jan 13'!I10+'Jan 14 - Jan 20'!I10+'Jan 21 - Jan 27'!I10+'28 Jan - 3 Feb'!I10+'4 Feb - 10 Feb'!I10+'11 Feb - 17 Feb'!G10</f>
        <v>392</v>
      </c>
      <c r="J10" s="89">
        <f t="shared" si="2"/>
        <v>0.40918580375782881</v>
      </c>
      <c r="K10" s="73">
        <v>9455.7999999999993</v>
      </c>
      <c r="L10" s="26"/>
      <c r="M10" s="9"/>
      <c r="N10" s="9"/>
    </row>
    <row r="11" spans="1:14" s="70" customFormat="1" ht="15.6" customHeight="1" x14ac:dyDescent="0.3">
      <c r="A11" s="39" t="s">
        <v>21</v>
      </c>
      <c r="B11" s="73">
        <v>301960.55</v>
      </c>
      <c r="C11" s="73">
        <v>346076.98</v>
      </c>
      <c r="D11" s="86">
        <f t="shared" si="0"/>
        <v>0.14609997895420443</v>
      </c>
      <c r="E11" s="74">
        <v>2247</v>
      </c>
      <c r="F11" s="63">
        <f t="shared" si="3"/>
        <v>154.01734757454383</v>
      </c>
      <c r="G11" s="61">
        <f>VLOOKUP(A11,Promo!A:I,9,FALSE)</f>
        <v>165</v>
      </c>
      <c r="H11" s="28">
        <f t="shared" si="1"/>
        <v>7.3431241655540727E-2</v>
      </c>
      <c r="I11" s="46">
        <f>G11+'Jan 7 - Jan 13'!I11+'Jan 14 - Jan 20'!I11+'Jan 21 - Jan 27'!I11+'28 Jan - 3 Feb'!I11+'4 Feb - 10 Feb'!I11+'11 Feb - 17 Feb'!G11</f>
        <v>992</v>
      </c>
      <c r="J11" s="89">
        <f t="shared" si="2"/>
        <v>0.44147752558967512</v>
      </c>
      <c r="K11" s="73">
        <v>18815.45</v>
      </c>
      <c r="L11" s="26"/>
      <c r="M11" s="9"/>
      <c r="N11" s="9"/>
    </row>
    <row r="12" spans="1:14" s="70" customFormat="1" ht="15.6" customHeight="1" x14ac:dyDescent="0.3">
      <c r="A12" s="40" t="s">
        <v>22</v>
      </c>
      <c r="B12" s="73">
        <v>116587.85</v>
      </c>
      <c r="C12" s="73">
        <v>148820.94</v>
      </c>
      <c r="D12" s="86">
        <f t="shared" si="0"/>
        <v>0.27647040407726875</v>
      </c>
      <c r="E12" s="74">
        <v>1317</v>
      </c>
      <c r="F12" s="63">
        <f t="shared" si="3"/>
        <v>112.99995444191345</v>
      </c>
      <c r="G12" s="61">
        <f>VLOOKUP(A12,Promo!A:I,9,FALSE)</f>
        <v>43</v>
      </c>
      <c r="H12" s="28">
        <f t="shared" si="1"/>
        <v>3.2649962034927864E-2</v>
      </c>
      <c r="I12" s="46">
        <f>G12+'Jan 7 - Jan 13'!I12+'Jan 14 - Jan 20'!I12+'Jan 21 - Jan 27'!I12+'28 Jan - 3 Feb'!I12+'4 Feb - 10 Feb'!I12+'11 Feb - 17 Feb'!G12</f>
        <v>398</v>
      </c>
      <c r="J12" s="89">
        <f t="shared" si="2"/>
        <v>0.30220197418375094</v>
      </c>
      <c r="K12" s="73">
        <v>14156</v>
      </c>
      <c r="L12" s="26"/>
      <c r="M12" s="9"/>
      <c r="N12" s="9"/>
    </row>
    <row r="13" spans="1:14" s="70" customFormat="1" ht="15.6" customHeight="1" x14ac:dyDescent="0.3">
      <c r="A13" s="40" t="s">
        <v>23</v>
      </c>
      <c r="B13" s="73">
        <v>196761.76</v>
      </c>
      <c r="C13" s="73">
        <v>227627.23</v>
      </c>
      <c r="D13" s="86">
        <f t="shared" si="0"/>
        <v>0.15686721850831178</v>
      </c>
      <c r="E13" s="74">
        <v>1789</v>
      </c>
      <c r="F13" s="63">
        <f t="shared" si="3"/>
        <v>127.23713247624372</v>
      </c>
      <c r="G13" s="61">
        <f>VLOOKUP(A13,Promo!A:I,9,FALSE)</f>
        <v>98</v>
      </c>
      <c r="H13" s="28">
        <f t="shared" si="1"/>
        <v>5.4779206260480717E-2</v>
      </c>
      <c r="I13" s="46">
        <f>G13+'Jan 7 - Jan 13'!I13+'Jan 14 - Jan 20'!I13+'Jan 21 - Jan 27'!I13+'28 Jan - 3 Feb'!I13+'4 Feb - 10 Feb'!I13+'11 Feb - 17 Feb'!G13</f>
        <v>733</v>
      </c>
      <c r="J13" s="89">
        <f t="shared" si="2"/>
        <v>0.40972610396869757</v>
      </c>
      <c r="K13" s="73">
        <v>10016</v>
      </c>
      <c r="L13" s="26"/>
      <c r="M13" s="9"/>
      <c r="N13" s="9"/>
    </row>
    <row r="14" spans="1:14" s="70" customFormat="1" ht="15.6" customHeight="1" x14ac:dyDescent="0.3">
      <c r="A14" s="40" t="s">
        <v>24</v>
      </c>
      <c r="B14" s="73">
        <v>110413.04</v>
      </c>
      <c r="C14" s="73">
        <v>93224.78</v>
      </c>
      <c r="D14" s="86">
        <f t="shared" si="0"/>
        <v>-0.15567237348052365</v>
      </c>
      <c r="E14" s="74">
        <v>527</v>
      </c>
      <c r="F14" s="63">
        <f t="shared" si="3"/>
        <v>176.89711574952563</v>
      </c>
      <c r="G14" s="61">
        <f>VLOOKUP(A14,Promo!A:I,9,FALSE)</f>
        <v>0</v>
      </c>
      <c r="H14" s="28">
        <f t="shared" si="1"/>
        <v>0</v>
      </c>
      <c r="I14" s="46">
        <f>G14+'Jan 7 - Jan 13'!I14+'Jan 14 - Jan 20'!I14+'Jan 21 - Jan 27'!I14+'28 Jan - 3 Feb'!I14+'4 Feb - 10 Feb'!I14+'11 Feb - 17 Feb'!G14</f>
        <v>0</v>
      </c>
      <c r="J14" s="89">
        <f t="shared" si="2"/>
        <v>0</v>
      </c>
      <c r="K14" s="73">
        <v>6669.5</v>
      </c>
      <c r="L14" s="26"/>
      <c r="M14" s="9"/>
      <c r="N14" s="9"/>
    </row>
    <row r="15" spans="1:14" s="70" customFormat="1" ht="15.6" customHeight="1" x14ac:dyDescent="0.3">
      <c r="A15" s="40" t="s">
        <v>26</v>
      </c>
      <c r="B15" s="73">
        <v>150054.22</v>
      </c>
      <c r="C15" s="73">
        <v>159531.37</v>
      </c>
      <c r="D15" s="86">
        <f t="shared" si="0"/>
        <v>6.3158170426663066E-2</v>
      </c>
      <c r="E15" s="74">
        <v>1523</v>
      </c>
      <c r="F15" s="63">
        <f t="shared" si="3"/>
        <v>104.74810899540381</v>
      </c>
      <c r="G15" s="61">
        <f>VLOOKUP(A15,Promo!A:I,9,FALSE)</f>
        <v>101</v>
      </c>
      <c r="H15" s="28">
        <f t="shared" si="1"/>
        <v>6.6316480630334865E-2</v>
      </c>
      <c r="I15" s="46">
        <f>G15+'Jan 7 - Jan 13'!I15+'Jan 14 - Jan 20'!I15+'Jan 21 - Jan 27'!I15+'28 Jan - 3 Feb'!I15+'4 Feb - 10 Feb'!I15+'11 Feb - 17 Feb'!G15</f>
        <v>557</v>
      </c>
      <c r="J15" s="89">
        <f t="shared" si="2"/>
        <v>0.36572554169402494</v>
      </c>
      <c r="K15" s="73">
        <v>5134</v>
      </c>
      <c r="L15" s="9"/>
      <c r="M15" s="9"/>
      <c r="N15" s="9"/>
    </row>
    <row r="16" spans="1:14" s="70" customFormat="1" ht="15.6" customHeight="1" x14ac:dyDescent="0.3">
      <c r="A16" s="40" t="s">
        <v>27</v>
      </c>
      <c r="B16" s="73">
        <v>182551.64</v>
      </c>
      <c r="C16" s="73">
        <v>135434.34</v>
      </c>
      <c r="D16" s="86">
        <f t="shared" si="0"/>
        <v>-0.25810395348954418</v>
      </c>
      <c r="E16" s="74">
        <v>918</v>
      </c>
      <c r="F16" s="63">
        <f t="shared" si="3"/>
        <v>147.53196078431372</v>
      </c>
      <c r="G16" s="61">
        <f>VLOOKUP(A16,Promo!A:I,9,FALSE)</f>
        <v>38</v>
      </c>
      <c r="H16" s="28">
        <f t="shared" si="1"/>
        <v>4.1394335511982572E-2</v>
      </c>
      <c r="I16" s="46">
        <f>G16+'Jan 7 - Jan 13'!I16+'Jan 14 - Jan 20'!I16+'Jan 21 - Jan 27'!I16+'28 Jan - 3 Feb'!I16+'4 Feb - 10 Feb'!I16+'11 Feb - 17 Feb'!G16</f>
        <v>311</v>
      </c>
      <c r="J16" s="89">
        <f t="shared" si="2"/>
        <v>0.33877995642701525</v>
      </c>
      <c r="K16" s="73">
        <v>8759.81</v>
      </c>
      <c r="L16" s="9"/>
      <c r="M16" s="9"/>
      <c r="N16" s="9"/>
    </row>
    <row r="17" spans="1:11" s="70" customFormat="1" ht="15.6" customHeight="1" x14ac:dyDescent="0.3">
      <c r="A17" s="40" t="s">
        <v>28</v>
      </c>
      <c r="B17" s="73">
        <v>250911.11</v>
      </c>
      <c r="C17" s="73">
        <v>215582.54</v>
      </c>
      <c r="D17" s="86">
        <f t="shared" si="0"/>
        <v>-0.14080113869808308</v>
      </c>
      <c r="E17" s="74">
        <v>1480</v>
      </c>
      <c r="F17" s="63">
        <f t="shared" si="3"/>
        <v>145.66387837837837</v>
      </c>
      <c r="G17" s="61">
        <f>VLOOKUP(A17,Promo!A:I,9,FALSE)</f>
        <v>94</v>
      </c>
      <c r="H17" s="28">
        <f t="shared" si="1"/>
        <v>6.3513513513513517E-2</v>
      </c>
      <c r="I17" s="46">
        <f>G17+'Jan 7 - Jan 13'!I17+'Jan 14 - Jan 20'!I17+'Jan 21 - Jan 27'!I17+'28 Jan - 3 Feb'!I17+'4 Feb - 10 Feb'!I17+'11 Feb - 17 Feb'!G17</f>
        <v>887</v>
      </c>
      <c r="J17" s="89">
        <f t="shared" si="2"/>
        <v>0.59932432432432436</v>
      </c>
      <c r="K17" s="73">
        <v>19147.73</v>
      </c>
    </row>
    <row r="18" spans="1:11" s="70" customFormat="1" ht="15.6" customHeight="1" x14ac:dyDescent="0.3">
      <c r="A18" s="40" t="s">
        <v>33</v>
      </c>
      <c r="B18" s="73">
        <v>0</v>
      </c>
      <c r="C18" s="73">
        <v>169417.62</v>
      </c>
      <c r="D18" s="86">
        <f t="shared" si="0"/>
        <v>0</v>
      </c>
      <c r="E18" s="74">
        <v>1543</v>
      </c>
      <c r="F18" s="63">
        <f t="shared" si="3"/>
        <v>109.79755022683085</v>
      </c>
      <c r="G18" s="61">
        <f>VLOOKUP(A18,Promo!A:I,9,FALSE)</f>
        <v>59</v>
      </c>
      <c r="H18" s="28">
        <f t="shared" si="1"/>
        <v>3.8237200259235257E-2</v>
      </c>
      <c r="I18" s="46">
        <f>G18+'28 Jan - 3 Feb'!I18+'4 Feb - 10 Feb'!I18+'11 Feb - 17 Feb'!G18</f>
        <v>206</v>
      </c>
      <c r="J18" s="89">
        <f t="shared" si="2"/>
        <v>0.13350615683732989</v>
      </c>
      <c r="K18" s="73">
        <v>4734.25</v>
      </c>
    </row>
    <row r="19" spans="1:11" s="70" customFormat="1" x14ac:dyDescent="0.3">
      <c r="A19" s="81"/>
      <c r="B19" s="81"/>
      <c r="C19" s="395"/>
      <c r="D19" s="81"/>
      <c r="E19" s="396"/>
      <c r="F19" s="397"/>
      <c r="G19" s="91" t="s">
        <v>31</v>
      </c>
      <c r="H19" s="397"/>
      <c r="I19" s="397"/>
      <c r="J19" s="397"/>
      <c r="K19" s="397"/>
    </row>
    <row r="20" spans="1:11" s="70" customFormat="1" x14ac:dyDescent="0.3">
      <c r="A20" s="81"/>
      <c r="B20" s="81"/>
      <c r="C20" s="83"/>
      <c r="D20" s="81"/>
      <c r="E20" s="82"/>
      <c r="F20" s="81"/>
      <c r="G20" s="81"/>
      <c r="H20" s="81"/>
      <c r="I20" s="81"/>
      <c r="J20" s="81"/>
      <c r="K20" s="81"/>
    </row>
    <row r="21" spans="1:11" s="70" customFormat="1" x14ac:dyDescent="0.3">
      <c r="A21" s="81"/>
      <c r="B21" s="81"/>
      <c r="C21" s="83"/>
      <c r="D21" s="81"/>
      <c r="E21" s="82"/>
      <c r="F21" s="81"/>
      <c r="G21" s="81"/>
      <c r="H21" s="81"/>
      <c r="I21" s="81"/>
      <c r="J21" s="81"/>
      <c r="K21" s="81"/>
    </row>
    <row r="22" spans="1:11" s="70" customFormat="1" ht="15" customHeight="1" x14ac:dyDescent="0.3">
      <c r="A22" s="81"/>
      <c r="B22" s="81"/>
      <c r="C22" s="83"/>
      <c r="D22" s="81"/>
      <c r="E22" s="82"/>
      <c r="F22" s="81"/>
      <c r="G22" s="81"/>
      <c r="H22" s="81"/>
      <c r="I22" s="81"/>
      <c r="J22" s="81"/>
      <c r="K22" s="27"/>
    </row>
    <row r="23" spans="1:11" s="70" customFormat="1" x14ac:dyDescent="0.3">
      <c r="A23" s="81"/>
      <c r="B23" s="81"/>
      <c r="C23" s="83"/>
      <c r="D23" s="81"/>
      <c r="E23" s="82"/>
      <c r="F23" s="81"/>
      <c r="G23" s="81"/>
      <c r="H23" s="81"/>
      <c r="I23" s="81"/>
      <c r="J23" s="81"/>
      <c r="K23" s="81"/>
    </row>
    <row r="24" spans="1:11" s="70" customFormat="1" x14ac:dyDescent="0.3">
      <c r="A24" s="81"/>
      <c r="B24" s="81"/>
      <c r="C24" s="83"/>
      <c r="D24" s="81"/>
      <c r="E24" s="82"/>
      <c r="F24" s="81"/>
      <c r="G24" s="81"/>
      <c r="H24" s="81"/>
      <c r="I24" s="81"/>
      <c r="J24" s="81"/>
      <c r="K24" s="81"/>
    </row>
    <row r="25" spans="1:11" s="70" customFormat="1" x14ac:dyDescent="0.3">
      <c r="A25" s="81"/>
      <c r="B25" s="81"/>
      <c r="C25" s="83"/>
      <c r="D25" s="81"/>
      <c r="E25" s="82"/>
      <c r="F25" s="81"/>
      <c r="G25" s="81"/>
      <c r="H25" s="81"/>
      <c r="I25" s="81"/>
      <c r="J25" s="81"/>
      <c r="K25" s="81"/>
    </row>
    <row r="26" spans="1:11" s="70" customFormat="1" x14ac:dyDescent="0.3">
      <c r="A26" s="81"/>
      <c r="B26" s="81"/>
      <c r="C26" s="83"/>
      <c r="D26" s="81"/>
      <c r="E26" s="82"/>
      <c r="F26" s="81"/>
      <c r="G26" s="81"/>
      <c r="H26" s="81"/>
      <c r="I26" s="81"/>
      <c r="J26" s="81"/>
      <c r="K26" s="81"/>
    </row>
    <row r="27" spans="1:11" s="70" customFormat="1" x14ac:dyDescent="0.3">
      <c r="A27" s="81"/>
      <c r="B27" s="81"/>
      <c r="C27" s="83"/>
      <c r="D27" s="81"/>
      <c r="E27" s="82"/>
      <c r="F27" s="81"/>
      <c r="G27" s="81"/>
      <c r="H27" s="81"/>
      <c r="I27" s="81"/>
      <c r="J27" s="81"/>
      <c r="K27" s="81"/>
    </row>
  </sheetData>
  <conditionalFormatting sqref="B6:K18">
    <cfRule type="cellIs" dxfId="683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6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N23" sqref="N23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7.7185203484816334E-2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2508599.36</v>
      </c>
      <c r="C4" s="99">
        <f>SUM(C6:C18)</f>
        <v>2328725.35</v>
      </c>
      <c r="D4" s="97">
        <f>SUM(D6:D18)</f>
        <v>2698787.2600000002</v>
      </c>
      <c r="E4" s="90">
        <f>IFERROR((SUM(D4-C4)/C4),0)</f>
        <v>0.15891178837384157</v>
      </c>
      <c r="F4" s="66">
        <f>SUM(F6:F18)</f>
        <v>20574</v>
      </c>
      <c r="G4" s="85">
        <f>AVERAGE(G5:G18)</f>
        <v>134.24227447703851</v>
      </c>
      <c r="H4" s="88">
        <f>SUM(H6:H18)</f>
        <v>1051</v>
      </c>
      <c r="I4" s="28">
        <f>IFERROR(H4/F4,0)</f>
        <v>5.108389229124137E-2</v>
      </c>
      <c r="J4" s="46">
        <f>SUM(J6:J18)</f>
        <v>7578</v>
      </c>
      <c r="K4" s="89">
        <f>IFERROR(J4/SUM(F4),0)</f>
        <v>0.36832895888014</v>
      </c>
      <c r="L4" s="66">
        <f>SUM(L6:L18)</f>
        <v>162193.83999999997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255478.47</v>
      </c>
      <c r="C6" s="73">
        <v>249192.95</v>
      </c>
      <c r="D6" s="73">
        <v>251748.71</v>
      </c>
      <c r="E6" s="86">
        <v>1.025614889987851E-2</v>
      </c>
      <c r="F6" s="74">
        <v>1985</v>
      </c>
      <c r="G6" s="63">
        <v>126.82554659949621</v>
      </c>
      <c r="H6" s="61">
        <v>75</v>
      </c>
      <c r="I6" s="28">
        <v>3.7783375314861457E-2</v>
      </c>
      <c r="J6" s="46">
        <v>579</v>
      </c>
      <c r="K6" s="89">
        <v>0.2916876574307305</v>
      </c>
      <c r="L6" s="73">
        <v>14665.5</v>
      </c>
      <c r="M6" s="26"/>
      <c r="N6" s="9"/>
      <c r="O6" s="9"/>
    </row>
    <row r="7" spans="1:15" ht="15.6" customHeight="1" x14ac:dyDescent="0.3">
      <c r="A7" s="39" t="s">
        <v>16</v>
      </c>
      <c r="B7" s="102">
        <v>179311.69</v>
      </c>
      <c r="C7" s="73">
        <v>207663.59</v>
      </c>
      <c r="D7" s="73">
        <v>224533.36</v>
      </c>
      <c r="E7" s="86">
        <v>8.12360510573856E-2</v>
      </c>
      <c r="F7" s="74">
        <v>2009</v>
      </c>
      <c r="G7" s="63">
        <v>111.76374315579891</v>
      </c>
      <c r="H7" s="61">
        <v>121</v>
      </c>
      <c r="I7" s="28">
        <v>6.0228969636635141E-2</v>
      </c>
      <c r="J7" s="46">
        <v>777</v>
      </c>
      <c r="K7" s="89">
        <v>0.38675958188153309</v>
      </c>
      <c r="L7" s="73">
        <v>14006</v>
      </c>
      <c r="M7" s="26"/>
      <c r="N7" s="9"/>
      <c r="O7" s="9"/>
    </row>
    <row r="8" spans="1:15" ht="15.6" customHeight="1" x14ac:dyDescent="0.3">
      <c r="A8" s="39" t="s">
        <v>17</v>
      </c>
      <c r="B8" s="102">
        <v>106132.06</v>
      </c>
      <c r="C8" s="73">
        <v>106257.8</v>
      </c>
      <c r="D8" s="73">
        <v>118837.36</v>
      </c>
      <c r="E8" s="86">
        <v>0.11838716781262169</v>
      </c>
      <c r="F8" s="74">
        <v>865</v>
      </c>
      <c r="G8" s="63">
        <v>137.38423121387279</v>
      </c>
      <c r="H8" s="61">
        <v>38</v>
      </c>
      <c r="I8" s="28">
        <v>4.3930635838150288E-2</v>
      </c>
      <c r="J8" s="46">
        <v>268</v>
      </c>
      <c r="K8" s="89">
        <v>0.30982658959537568</v>
      </c>
      <c r="L8" s="73">
        <v>4734.3</v>
      </c>
      <c r="M8" s="26"/>
      <c r="N8" s="9"/>
      <c r="O8" s="9"/>
    </row>
    <row r="9" spans="1:15" ht="15.6" customHeight="1" x14ac:dyDescent="0.3">
      <c r="A9" s="39" t="s">
        <v>18</v>
      </c>
      <c r="B9" s="102">
        <v>325053.89</v>
      </c>
      <c r="C9" s="73">
        <v>362249.26</v>
      </c>
      <c r="D9" s="73">
        <v>354530.54</v>
      </c>
      <c r="E9" s="86">
        <v>-2.1307759193214169E-2</v>
      </c>
      <c r="F9" s="74">
        <v>2816</v>
      </c>
      <c r="G9" s="63">
        <v>125.8986292613636</v>
      </c>
      <c r="H9" s="61">
        <v>88</v>
      </c>
      <c r="I9" s="28">
        <v>3.125E-2</v>
      </c>
      <c r="J9" s="46">
        <v>749</v>
      </c>
      <c r="K9" s="89">
        <v>0.26598011363636359</v>
      </c>
      <c r="L9" s="73">
        <v>15736.4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146907.45000000001</v>
      </c>
      <c r="C10" s="73">
        <v>152808.71</v>
      </c>
      <c r="D10" s="73">
        <v>162768.13</v>
      </c>
      <c r="E10" s="86">
        <v>6.5175735074263857E-2</v>
      </c>
      <c r="F10" s="74">
        <v>1060</v>
      </c>
      <c r="G10" s="63">
        <v>153.55483962264151</v>
      </c>
      <c r="H10" s="61">
        <v>58</v>
      </c>
      <c r="I10" s="28">
        <v>5.4716981132075473E-2</v>
      </c>
      <c r="J10" s="46">
        <v>450</v>
      </c>
      <c r="K10" s="89">
        <v>0.42452830188679253</v>
      </c>
      <c r="L10" s="73">
        <v>10874.25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346076.98</v>
      </c>
      <c r="C11" s="73">
        <v>318588.43</v>
      </c>
      <c r="D11" s="73">
        <v>337802.42</v>
      </c>
      <c r="E11" s="86">
        <v>6.0309754500500821E-2</v>
      </c>
      <c r="F11" s="74">
        <v>2417</v>
      </c>
      <c r="G11" s="63">
        <v>139.76103434009099</v>
      </c>
      <c r="H11" s="61">
        <v>133</v>
      </c>
      <c r="I11" s="28">
        <v>5.5026892842366573E-2</v>
      </c>
      <c r="J11" s="46">
        <v>1125</v>
      </c>
      <c r="K11" s="89">
        <v>0.46545304095986761</v>
      </c>
      <c r="L11" s="73">
        <v>23143.29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148820.94</v>
      </c>
      <c r="C12" s="73">
        <v>132072.93</v>
      </c>
      <c r="D12" s="73">
        <v>176295.37</v>
      </c>
      <c r="E12" s="86">
        <v>0.3348334893456214</v>
      </c>
      <c r="F12" s="74">
        <v>1482</v>
      </c>
      <c r="G12" s="63">
        <v>118.95773954116061</v>
      </c>
      <c r="H12" s="61">
        <v>62</v>
      </c>
      <c r="I12" s="28">
        <v>4.1835357624831308E-2</v>
      </c>
      <c r="J12" s="46">
        <v>460</v>
      </c>
      <c r="K12" s="89">
        <v>0.31039136302294201</v>
      </c>
      <c r="L12" s="73">
        <v>18680.599999999999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227627.23</v>
      </c>
      <c r="C13" s="73">
        <v>222558.66</v>
      </c>
      <c r="D13" s="73">
        <v>222836.31</v>
      </c>
      <c r="E13" s="86">
        <v>1.2475362675170409E-3</v>
      </c>
      <c r="F13" s="74">
        <v>1756</v>
      </c>
      <c r="G13" s="63">
        <v>126.89994874715261</v>
      </c>
      <c r="H13" s="61">
        <v>103</v>
      </c>
      <c r="I13" s="28">
        <v>5.8656036446469252E-2</v>
      </c>
      <c r="J13" s="46">
        <v>836</v>
      </c>
      <c r="K13" s="89">
        <v>0.47608200455580868</v>
      </c>
      <c r="L13" s="73">
        <v>10398.4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93224.78</v>
      </c>
      <c r="C14" s="73">
        <v>94394.880000000005</v>
      </c>
      <c r="D14" s="73">
        <v>90297.38</v>
      </c>
      <c r="E14" s="86">
        <v>-4.3408074675236621E-2</v>
      </c>
      <c r="F14" s="74">
        <v>555</v>
      </c>
      <c r="G14" s="63">
        <v>162.697981981982</v>
      </c>
      <c r="H14" s="61">
        <v>0</v>
      </c>
      <c r="I14" s="28">
        <v>0</v>
      </c>
      <c r="J14" s="46">
        <v>0</v>
      </c>
      <c r="K14" s="89">
        <v>0</v>
      </c>
      <c r="L14" s="73">
        <v>8999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159531.37</v>
      </c>
      <c r="C15" s="73">
        <v>134408.07999999999</v>
      </c>
      <c r="D15" s="73">
        <v>167255.37</v>
      </c>
      <c r="E15" s="86">
        <v>0.24438478698602059</v>
      </c>
      <c r="F15" s="74">
        <v>1503</v>
      </c>
      <c r="G15" s="63">
        <v>111.28101796407191</v>
      </c>
      <c r="H15" s="61">
        <v>100</v>
      </c>
      <c r="I15" s="28">
        <v>6.65335994677312E-2</v>
      </c>
      <c r="J15" s="46">
        <v>657</v>
      </c>
      <c r="K15" s="89">
        <v>0.43712574850299402</v>
      </c>
      <c r="L15" s="73">
        <v>4072.4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135434.34</v>
      </c>
      <c r="C16" s="73">
        <v>127687.22</v>
      </c>
      <c r="D16" s="73">
        <v>151388.79999999999</v>
      </c>
      <c r="E16" s="86">
        <v>0.18562217894633451</v>
      </c>
      <c r="F16" s="74">
        <v>1057</v>
      </c>
      <c r="G16" s="63">
        <v>143.22497634815511</v>
      </c>
      <c r="H16" s="61">
        <v>49</v>
      </c>
      <c r="I16" s="28">
        <v>4.6357615894039743E-2</v>
      </c>
      <c r="J16" s="46">
        <v>360</v>
      </c>
      <c r="K16" s="89">
        <v>0.34058656575212859</v>
      </c>
      <c r="L16" s="73">
        <v>10502.3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215582.54</v>
      </c>
      <c r="C17" s="73">
        <v>220842.84</v>
      </c>
      <c r="D17" s="73">
        <v>250174.74</v>
      </c>
      <c r="E17" s="86">
        <v>0.1328179804244502</v>
      </c>
      <c r="F17" s="74">
        <v>1541</v>
      </c>
      <c r="G17" s="63">
        <v>162.34571057754701</v>
      </c>
      <c r="H17" s="61">
        <v>147</v>
      </c>
      <c r="I17" s="28">
        <v>9.5392602206359506E-2</v>
      </c>
      <c r="J17" s="46">
        <v>1034</v>
      </c>
      <c r="K17" s="89">
        <v>0.67099286177806616</v>
      </c>
      <c r="L17" s="73">
        <v>22126.65</v>
      </c>
    </row>
    <row r="18" spans="1:12" s="70" customFormat="1" ht="15.6" customHeight="1" x14ac:dyDescent="0.3">
      <c r="A18" s="40" t="s">
        <v>33</v>
      </c>
      <c r="B18" s="102">
        <v>169417.62</v>
      </c>
      <c r="C18" s="73">
        <v>0</v>
      </c>
      <c r="D18" s="73">
        <v>190318.77</v>
      </c>
      <c r="E18" s="86">
        <v>0</v>
      </c>
      <c r="F18" s="74">
        <v>1528</v>
      </c>
      <c r="G18" s="63">
        <v>124.55416884816751</v>
      </c>
      <c r="H18" s="61">
        <v>77</v>
      </c>
      <c r="I18" s="28">
        <v>5.039267015706806E-2</v>
      </c>
      <c r="J18" s="46">
        <v>283</v>
      </c>
      <c r="K18" s="89">
        <v>0.18520942408376961</v>
      </c>
      <c r="L18" s="73">
        <v>4254.75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82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I7" sqref="I7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0.10507387727117451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2698787.2600000002</v>
      </c>
      <c r="C4" s="99">
        <f>SUM(C6:C18)</f>
        <v>2202129.9299999997</v>
      </c>
      <c r="D4" s="97">
        <f>SUM(D6:D18)</f>
        <v>2629200.92</v>
      </c>
      <c r="E4" s="90">
        <f t="shared" ref="E4:E18" si="0">IFERROR((SUM(D4-C4)/C4),0)</f>
        <v>0.19393541869711578</v>
      </c>
      <c r="F4" s="66">
        <f>SUM(F6:F18)</f>
        <v>19985</v>
      </c>
      <c r="G4" s="85">
        <f>AVERAGE(G5:G18)</f>
        <v>136.09572972355738</v>
      </c>
      <c r="H4" s="88">
        <f>SUM(H6:H18)</f>
        <v>876</v>
      </c>
      <c r="I4" s="28">
        <f t="shared" ref="I4:I18" si="1">IFERROR(H4/F4,0)</f>
        <v>4.3832874655991991E-2</v>
      </c>
      <c r="J4" s="46">
        <f>SUM(J6:J18)</f>
        <v>8454</v>
      </c>
      <c r="K4" s="89">
        <f>IFERROR(J4/SUM(F4),0)</f>
        <v>0.42301726294721043</v>
      </c>
      <c r="L4" s="66">
        <f>SUM(L6:L18)</f>
        <v>145803.78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 t="shared" si="0"/>
        <v>0</v>
      </c>
      <c r="F5" s="68"/>
      <c r="G5" s="84"/>
      <c r="H5" s="68"/>
      <c r="I5" s="28">
        <f t="shared" si="1"/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251748.71</v>
      </c>
      <c r="C6" s="73">
        <v>222516.75</v>
      </c>
      <c r="D6" s="73">
        <v>237319.79</v>
      </c>
      <c r="E6" s="86">
        <f t="shared" si="0"/>
        <v>6.6525508753835422E-2</v>
      </c>
      <c r="F6" s="74">
        <v>1848</v>
      </c>
      <c r="G6" s="63">
        <f t="shared" ref="G6:G18" si="2">IFERROR(D6/F6,0)</f>
        <v>128.41979978354979</v>
      </c>
      <c r="H6" s="61">
        <v>51</v>
      </c>
      <c r="I6" s="28">
        <f t="shared" si="1"/>
        <v>2.7597402597402596E-2</v>
      </c>
      <c r="J6" s="46">
        <v>630</v>
      </c>
      <c r="K6" s="89">
        <v>0.34090909090909088</v>
      </c>
      <c r="L6" s="73">
        <v>12542.35</v>
      </c>
      <c r="M6" s="26"/>
      <c r="N6" s="9"/>
      <c r="O6" s="9"/>
    </row>
    <row r="7" spans="1:15" ht="15.6" customHeight="1" x14ac:dyDescent="0.3">
      <c r="A7" s="39" t="s">
        <v>16</v>
      </c>
      <c r="B7" s="102">
        <v>224533.36</v>
      </c>
      <c r="C7" s="73">
        <v>176573.9</v>
      </c>
      <c r="D7" s="73">
        <v>233007.56</v>
      </c>
      <c r="E7" s="86">
        <f t="shared" si="0"/>
        <v>0.31960363337956521</v>
      </c>
      <c r="F7" s="74">
        <v>1821</v>
      </c>
      <c r="G7" s="63">
        <f t="shared" si="2"/>
        <v>127.95582646897309</v>
      </c>
      <c r="H7" s="61">
        <v>100</v>
      </c>
      <c r="I7" s="28">
        <f t="shared" si="1"/>
        <v>5.4914881933003847E-2</v>
      </c>
      <c r="J7" s="46">
        <v>877</v>
      </c>
      <c r="K7" s="89">
        <v>0.48160351455244371</v>
      </c>
      <c r="L7" s="73">
        <v>13046.55</v>
      </c>
      <c r="M7" s="26"/>
      <c r="N7" s="9"/>
      <c r="O7" s="9"/>
    </row>
    <row r="8" spans="1:15" ht="15.6" customHeight="1" x14ac:dyDescent="0.3">
      <c r="A8" s="39" t="s">
        <v>17</v>
      </c>
      <c r="B8" s="102">
        <v>118837.36</v>
      </c>
      <c r="C8" s="73">
        <v>98720.22</v>
      </c>
      <c r="D8" s="73">
        <v>127072.32000000001</v>
      </c>
      <c r="E8" s="86">
        <f t="shared" si="0"/>
        <v>0.28719648315208379</v>
      </c>
      <c r="F8" s="74">
        <v>814</v>
      </c>
      <c r="G8" s="63">
        <f t="shared" si="2"/>
        <v>156.10850122850124</v>
      </c>
      <c r="H8" s="61">
        <v>25</v>
      </c>
      <c r="I8" s="28">
        <f t="shared" si="1"/>
        <v>3.0712530712530713E-2</v>
      </c>
      <c r="J8" s="46">
        <v>293</v>
      </c>
      <c r="K8" s="89">
        <v>0.35995085995086001</v>
      </c>
      <c r="L8" s="73">
        <v>7019.5</v>
      </c>
      <c r="M8" s="26"/>
      <c r="N8" s="9"/>
      <c r="O8" s="9"/>
    </row>
    <row r="9" spans="1:15" ht="15.6" customHeight="1" x14ac:dyDescent="0.3">
      <c r="A9" s="39" t="s">
        <v>18</v>
      </c>
      <c r="B9" s="102">
        <v>354530.54</v>
      </c>
      <c r="C9" s="73">
        <v>327754.26</v>
      </c>
      <c r="D9" s="73">
        <v>354792.07</v>
      </c>
      <c r="E9" s="86">
        <f t="shared" si="0"/>
        <v>8.2494152783857022E-2</v>
      </c>
      <c r="F9" s="74">
        <v>2701</v>
      </c>
      <c r="G9" s="63">
        <f t="shared" si="2"/>
        <v>131.355820066642</v>
      </c>
      <c r="H9" s="61">
        <v>104</v>
      </c>
      <c r="I9" s="28">
        <f t="shared" si="1"/>
        <v>3.8504257682339872E-2</v>
      </c>
      <c r="J9" s="46">
        <v>853</v>
      </c>
      <c r="K9" s="89">
        <v>0.31580895964457611</v>
      </c>
      <c r="L9" s="73">
        <v>14343.25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162768.13</v>
      </c>
      <c r="C10" s="73">
        <v>146985.57</v>
      </c>
      <c r="D10" s="73">
        <v>162214.98000000001</v>
      </c>
      <c r="E10" s="86">
        <f t="shared" si="0"/>
        <v>0.10361159942435168</v>
      </c>
      <c r="F10" s="74">
        <v>1107</v>
      </c>
      <c r="G10" s="63">
        <f t="shared" si="2"/>
        <v>146.53566395663958</v>
      </c>
      <c r="H10" s="61">
        <v>48</v>
      </c>
      <c r="I10" s="28">
        <f t="shared" si="1"/>
        <v>4.3360433604336043E-2</v>
      </c>
      <c r="J10" s="46">
        <v>498</v>
      </c>
      <c r="K10" s="89">
        <v>0.44986449864498651</v>
      </c>
      <c r="L10" s="73">
        <v>10274.299999999999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337802.42</v>
      </c>
      <c r="C11" s="73">
        <v>314568.71000000002</v>
      </c>
      <c r="D11" s="73">
        <v>339050.03</v>
      </c>
      <c r="E11" s="86">
        <f t="shared" si="0"/>
        <v>7.7825032248121581E-2</v>
      </c>
      <c r="F11" s="74">
        <v>2485</v>
      </c>
      <c r="G11" s="63">
        <f t="shared" si="2"/>
        <v>136.4386438631791</v>
      </c>
      <c r="H11" s="61">
        <v>129</v>
      </c>
      <c r="I11" s="28">
        <f t="shared" si="1"/>
        <v>5.1911468812877261E-2</v>
      </c>
      <c r="J11" s="46">
        <v>1254</v>
      </c>
      <c r="K11" s="89">
        <v>0.50462776659959763</v>
      </c>
      <c r="L11" s="73">
        <v>21312.15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176295.37</v>
      </c>
      <c r="C12" s="73">
        <v>144748.49</v>
      </c>
      <c r="D12" s="73">
        <v>164881.56</v>
      </c>
      <c r="E12" s="86">
        <f t="shared" si="0"/>
        <v>0.13909001745026844</v>
      </c>
      <c r="F12" s="74">
        <v>1445</v>
      </c>
      <c r="G12" s="63">
        <f t="shared" si="2"/>
        <v>114.10488581314878</v>
      </c>
      <c r="H12" s="61">
        <v>42</v>
      </c>
      <c r="I12" s="28">
        <f t="shared" si="1"/>
        <v>2.9065743944636679E-2</v>
      </c>
      <c r="J12" s="46">
        <v>502</v>
      </c>
      <c r="K12" s="89">
        <v>0.34740484429065738</v>
      </c>
      <c r="L12" s="73">
        <v>19223.849999999999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222836.31</v>
      </c>
      <c r="C13" s="73">
        <v>209138.95</v>
      </c>
      <c r="D13" s="73">
        <v>220450.34</v>
      </c>
      <c r="E13" s="86">
        <f t="shared" si="0"/>
        <v>5.4085525436557771E-2</v>
      </c>
      <c r="F13" s="74">
        <v>1803</v>
      </c>
      <c r="G13" s="63">
        <f t="shared" si="2"/>
        <v>122.26863006100943</v>
      </c>
      <c r="H13" s="61">
        <v>80</v>
      </c>
      <c r="I13" s="28">
        <f t="shared" si="1"/>
        <v>4.4370493621741544E-2</v>
      </c>
      <c r="J13" s="46">
        <v>916</v>
      </c>
      <c r="K13" s="89">
        <v>0.50804215196894065</v>
      </c>
      <c r="L13" s="73">
        <v>10266.200000000001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90297.38</v>
      </c>
      <c r="C14" s="73">
        <v>74134</v>
      </c>
      <c r="D14" s="73">
        <v>70723.91</v>
      </c>
      <c r="E14" s="86">
        <f t="shared" si="0"/>
        <v>-4.5999001807537652E-2</v>
      </c>
      <c r="F14" s="74">
        <v>383</v>
      </c>
      <c r="G14" s="63">
        <f t="shared" si="2"/>
        <v>184.65772845953003</v>
      </c>
      <c r="H14" s="61">
        <v>0</v>
      </c>
      <c r="I14" s="28">
        <f t="shared" si="1"/>
        <v>0</v>
      </c>
      <c r="J14" s="46">
        <v>0</v>
      </c>
      <c r="K14" s="89">
        <v>0</v>
      </c>
      <c r="L14" s="73">
        <v>5812.08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167255.37</v>
      </c>
      <c r="C15" s="73">
        <v>133439.17000000001</v>
      </c>
      <c r="D15" s="73">
        <v>156695.26999999999</v>
      </c>
      <c r="E15" s="86">
        <f t="shared" si="0"/>
        <v>0.17428240898081107</v>
      </c>
      <c r="F15" s="74">
        <v>1364</v>
      </c>
      <c r="G15" s="63">
        <f t="shared" si="2"/>
        <v>114.87923020527859</v>
      </c>
      <c r="H15" s="61">
        <v>68</v>
      </c>
      <c r="I15" s="28">
        <f t="shared" si="1"/>
        <v>4.9853372434017593E-2</v>
      </c>
      <c r="J15" s="46">
        <v>725</v>
      </c>
      <c r="K15" s="89">
        <v>0.53152492668621698</v>
      </c>
      <c r="L15" s="73">
        <v>4458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151388.79999999999</v>
      </c>
      <c r="C16" s="73">
        <v>134873.74</v>
      </c>
      <c r="D16" s="73">
        <v>139497.94</v>
      </c>
      <c r="E16" s="86">
        <f t="shared" si="0"/>
        <v>3.428539907027129E-2</v>
      </c>
      <c r="F16" s="74">
        <v>943</v>
      </c>
      <c r="G16" s="63">
        <f t="shared" si="2"/>
        <v>147.92994697773065</v>
      </c>
      <c r="H16" s="61">
        <v>27</v>
      </c>
      <c r="I16" s="28">
        <f t="shared" si="1"/>
        <v>2.863202545068929E-2</v>
      </c>
      <c r="J16" s="46">
        <v>387</v>
      </c>
      <c r="K16" s="89">
        <v>0.41039236479321323</v>
      </c>
      <c r="L16" s="73">
        <v>7039.5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250174.74</v>
      </c>
      <c r="C17" s="73">
        <v>218676.17</v>
      </c>
      <c r="D17" s="73">
        <v>227810.49</v>
      </c>
      <c r="E17" s="86">
        <f t="shared" si="0"/>
        <v>4.1770989495563134E-2</v>
      </c>
      <c r="F17" s="74">
        <v>1682</v>
      </c>
      <c r="G17" s="63">
        <f t="shared" si="2"/>
        <v>135.44024375743163</v>
      </c>
      <c r="H17" s="61">
        <v>139</v>
      </c>
      <c r="I17" s="28">
        <f t="shared" si="1"/>
        <v>8.2639714625445893E-2</v>
      </c>
      <c r="J17" s="46">
        <v>1173</v>
      </c>
      <c r="K17" s="89">
        <v>0.69738406658739593</v>
      </c>
      <c r="L17" s="73">
        <v>15060.55</v>
      </c>
    </row>
    <row r="18" spans="1:12" s="70" customFormat="1" ht="15.6" customHeight="1" x14ac:dyDescent="0.3">
      <c r="A18" s="40" t="s">
        <v>33</v>
      </c>
      <c r="B18" s="102">
        <v>190318.77</v>
      </c>
      <c r="C18" s="73">
        <v>0</v>
      </c>
      <c r="D18" s="73">
        <v>195684.66</v>
      </c>
      <c r="E18" s="86">
        <f t="shared" si="0"/>
        <v>0</v>
      </c>
      <c r="F18" s="74">
        <v>1589</v>
      </c>
      <c r="G18" s="63">
        <f t="shared" si="2"/>
        <v>123.14956576463184</v>
      </c>
      <c r="H18" s="61">
        <v>63</v>
      </c>
      <c r="I18" s="28">
        <f t="shared" si="1"/>
        <v>3.9647577092511016E-2</v>
      </c>
      <c r="J18" s="46">
        <v>346</v>
      </c>
      <c r="K18" s="89">
        <v>0.21774701069855251</v>
      </c>
      <c r="L18" s="73">
        <v>5405.5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81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L6" sqref="L6:L18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0.16890377724865444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2629200.92</v>
      </c>
      <c r="C4" s="99">
        <f>SUM(C6:C18)</f>
        <v>2176346</v>
      </c>
      <c r="D4" s="97">
        <f>SUM(D6:D18)</f>
        <v>2733402.08</v>
      </c>
      <c r="E4" s="90">
        <f t="shared" ref="E4:E18" si="0">IFERROR((SUM(D4-C4)/C4),0)</f>
        <v>0.25595933734801363</v>
      </c>
      <c r="F4" s="66">
        <f>SUM(F6:F18)</f>
        <v>19975</v>
      </c>
      <c r="G4" s="85">
        <f>AVERAGE(G5:G18)</f>
        <v>123.65542080230739</v>
      </c>
      <c r="H4" s="88">
        <f>SUM(H6:H18)</f>
        <v>880</v>
      </c>
      <c r="I4" s="28">
        <f t="shared" ref="I4:I18" si="1">IFERROR(H4/F4,0)</f>
        <v>4.4055068836045055E-2</v>
      </c>
      <c r="J4" s="46">
        <f>SUM(J6:J18)</f>
        <v>9334</v>
      </c>
      <c r="K4" s="89">
        <f t="shared" ref="K4:K18" si="2">IFERROR(J4/SUM(F4),0)</f>
        <v>0.46728410513141427</v>
      </c>
      <c r="L4" s="66">
        <f>SUM(L6:L18)</f>
        <v>147271.96000000002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 t="shared" si="0"/>
        <v>0</v>
      </c>
      <c r="F5" s="68"/>
      <c r="G5" s="84"/>
      <c r="H5" s="68"/>
      <c r="I5" s="28">
        <f t="shared" si="1"/>
        <v>0</v>
      </c>
      <c r="J5" s="46">
        <f>H5+'Nov 19 - Nov 25'!I5+'Nov 26 - Dec 2'!I5+'Dec 3 - Dec 9'!I5+'Dec 10 - Dec 16'!I5+'Dec 17 - Dec 23'!I5+'Dec 24 - Dec 30'!I5</f>
        <v>0</v>
      </c>
      <c r="K5" s="89">
        <f t="shared" si="2"/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237319.79</v>
      </c>
      <c r="C6" s="73">
        <v>215211.27</v>
      </c>
      <c r="D6" s="73">
        <v>268849.73</v>
      </c>
      <c r="E6" s="86">
        <f t="shared" si="0"/>
        <v>0.24923629696530294</v>
      </c>
      <c r="F6" s="74">
        <f>IFERROR(VLOOKUP(A6,Data!A:E,5,FALSE),0)</f>
        <v>2457</v>
      </c>
      <c r="G6" s="63">
        <f t="shared" ref="G6:G18" si="3">IFERROR(D6/F6,0)</f>
        <v>109.42194953194952</v>
      </c>
      <c r="H6" s="61">
        <f>VLOOKUP(A6,Promo!A:L,12,FALSE)</f>
        <v>61</v>
      </c>
      <c r="I6" s="28">
        <f t="shared" si="1"/>
        <v>2.4827024827024827E-2</v>
      </c>
      <c r="J6" s="46">
        <f>H6+'Jan 7 - Jan 13'!I6+'Jan 14 - Jan 20'!I6+'Jan 21 - Jan 27'!I6+'28 Jan - 3 Feb'!I6+'4 Feb - 10 Feb'!I6+'11 Feb - 17 Feb'!G6+'18 Feb - 24 Feb'!G6+'25 Feb - 3 Mar'!H6+'4 Mar- 10 Mar'!H6</f>
        <v>691</v>
      </c>
      <c r="K6" s="89">
        <f t="shared" si="2"/>
        <v>0.28123728123728126</v>
      </c>
      <c r="L6" s="73">
        <v>14644.3</v>
      </c>
      <c r="M6" s="26"/>
      <c r="N6" s="9"/>
      <c r="O6" s="9"/>
    </row>
    <row r="7" spans="1:15" ht="15.6" customHeight="1" x14ac:dyDescent="0.3">
      <c r="A7" s="39" t="s">
        <v>16</v>
      </c>
      <c r="B7" s="102">
        <v>233007.56</v>
      </c>
      <c r="C7" s="73">
        <v>163238.9</v>
      </c>
      <c r="D7" s="73">
        <v>247782.44</v>
      </c>
      <c r="E7" s="86">
        <f t="shared" si="0"/>
        <v>0.51791294844549929</v>
      </c>
      <c r="F7" s="74">
        <f>IFERROR(VLOOKUP(A7,Data!A:E,5,FALSE),0)</f>
        <v>1993</v>
      </c>
      <c r="G7" s="63">
        <f t="shared" si="3"/>
        <v>124.32636226793778</v>
      </c>
      <c r="H7" s="61">
        <f>VLOOKUP(A7,Promo!A:L,12,FALSE)</f>
        <v>107</v>
      </c>
      <c r="I7" s="28">
        <f t="shared" si="1"/>
        <v>5.368790767686904E-2</v>
      </c>
      <c r="J7" s="46">
        <f>H7+'Jan 7 - Jan 13'!I7+'Jan 14 - Jan 20'!I7+'Jan 21 - Jan 27'!I7+'28 Jan - 3 Feb'!I7+'4 Feb - 10 Feb'!I7+'11 Feb - 17 Feb'!G7+'18 Feb - 24 Feb'!G7+'25 Feb - 3 Mar'!H7+'4 Mar- 10 Mar'!H7</f>
        <v>984</v>
      </c>
      <c r="K7" s="89">
        <f t="shared" si="2"/>
        <v>0.49372804816859006</v>
      </c>
      <c r="L7" s="73">
        <v>14497</v>
      </c>
      <c r="M7" s="26"/>
      <c r="N7" s="9"/>
      <c r="O7" s="9"/>
    </row>
    <row r="8" spans="1:15" ht="15.6" customHeight="1" x14ac:dyDescent="0.3">
      <c r="A8" s="39" t="s">
        <v>17</v>
      </c>
      <c r="B8" s="102">
        <v>127072.32000000001</v>
      </c>
      <c r="C8" s="73">
        <v>92237.47</v>
      </c>
      <c r="D8" s="73">
        <v>112508.16</v>
      </c>
      <c r="E8" s="86">
        <f t="shared" si="0"/>
        <v>0.21976632706859806</v>
      </c>
      <c r="F8" s="74">
        <f>IFERROR(VLOOKUP(A8,Data!A:E,5,FALSE),0)</f>
        <v>887</v>
      </c>
      <c r="G8" s="63">
        <f t="shared" si="3"/>
        <v>126.84121758737317</v>
      </c>
      <c r="H8" s="61">
        <f>VLOOKUP(A8,Promo!A:L,12,FALSE)</f>
        <v>25</v>
      </c>
      <c r="I8" s="28">
        <f t="shared" si="1"/>
        <v>2.8184892897406989E-2</v>
      </c>
      <c r="J8" s="46">
        <f>H8+'Jan 7 - Jan 13'!I8+'Jan 14 - Jan 20'!I8+'Jan 21 - Jan 27'!I8+'28 Jan - 3 Feb'!I8+'4 Feb - 10 Feb'!I8+'11 Feb - 17 Feb'!G8+'18 Feb - 24 Feb'!G8+'25 Feb - 3 Mar'!H8+'4 Mar- 10 Mar'!H8</f>
        <v>318</v>
      </c>
      <c r="K8" s="89">
        <f t="shared" si="2"/>
        <v>0.35851183765501693</v>
      </c>
      <c r="L8" s="73">
        <v>4134</v>
      </c>
      <c r="M8" s="26"/>
      <c r="N8" s="9"/>
      <c r="O8" s="9"/>
    </row>
    <row r="9" spans="1:15" ht="15.6" customHeight="1" x14ac:dyDescent="0.3">
      <c r="A9" s="39" t="s">
        <v>18</v>
      </c>
      <c r="B9" s="102">
        <v>354792.07</v>
      </c>
      <c r="C9" s="73">
        <v>322540</v>
      </c>
      <c r="D9" s="73">
        <v>355321</v>
      </c>
      <c r="E9" s="86">
        <f t="shared" si="0"/>
        <v>0.10163390587213988</v>
      </c>
      <c r="F9" s="74">
        <f>IFERROR(VLOOKUP(A9,Data!A:E,5,FALSE),0)</f>
        <v>2352</v>
      </c>
      <c r="G9" s="63">
        <f t="shared" si="3"/>
        <v>151.0718537414966</v>
      </c>
      <c r="H9" s="61">
        <f>VLOOKUP(A9,Promo!A:L,12,FALSE)</f>
        <v>54</v>
      </c>
      <c r="I9" s="28">
        <f t="shared" si="1"/>
        <v>2.2959183673469389E-2</v>
      </c>
      <c r="J9" s="46">
        <f>H9+'Jan 7 - Jan 13'!I9+'Jan 14 - Jan 20'!I9+'Jan 21 - Jan 27'!I9+'28 Jan - 3 Feb'!I9+'4 Feb - 10 Feb'!I9+'11 Feb - 17 Feb'!G9+'18 Feb - 24 Feb'!G9+'25 Feb - 3 Mar'!H9+'4 Mar- 10 Mar'!H9</f>
        <v>907</v>
      </c>
      <c r="K9" s="89">
        <f t="shared" si="2"/>
        <v>0.3856292517006803</v>
      </c>
      <c r="L9" s="73">
        <v>16550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162214.98000000001</v>
      </c>
      <c r="C10" s="73">
        <v>146854.79999999999</v>
      </c>
      <c r="D10" s="73">
        <v>153600.97</v>
      </c>
      <c r="E10" s="86">
        <f t="shared" si="0"/>
        <v>4.5937688110977738E-2</v>
      </c>
      <c r="F10" s="74">
        <f>IFERROR(VLOOKUP(A10,Data!A:E,5,FALSE),0)</f>
        <v>1006</v>
      </c>
      <c r="G10" s="63">
        <f t="shared" si="3"/>
        <v>152.68486083499005</v>
      </c>
      <c r="H10" s="61">
        <f>VLOOKUP(A10,Promo!A:L,12,FALSE)</f>
        <v>51</v>
      </c>
      <c r="I10" s="28">
        <f t="shared" si="1"/>
        <v>5.0695825049701791E-2</v>
      </c>
      <c r="J10" s="46">
        <f>H10+'Jan 7 - Jan 13'!I10+'Jan 14 - Jan 20'!I10+'Jan 21 - Jan 27'!I10+'28 Jan - 3 Feb'!I10+'4 Feb - 10 Feb'!I10+'11 Feb - 17 Feb'!G10+'18 Feb - 24 Feb'!G10+'25 Feb - 3 Mar'!H10+'4 Mar- 10 Mar'!H10</f>
        <v>549</v>
      </c>
      <c r="K10" s="89">
        <f t="shared" si="2"/>
        <v>0.54572564612326047</v>
      </c>
      <c r="L10" s="73">
        <v>9510.7000000000007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339050.03</v>
      </c>
      <c r="C11" s="73">
        <v>329307.73</v>
      </c>
      <c r="D11" s="73">
        <v>339268.89</v>
      </c>
      <c r="E11" s="86">
        <f t="shared" si="0"/>
        <v>3.0248788875985491E-2</v>
      </c>
      <c r="F11" s="74">
        <f>IFERROR(VLOOKUP(A11,Data!A:E,5,FALSE),0)</f>
        <v>2541</v>
      </c>
      <c r="G11" s="63">
        <f t="shared" si="3"/>
        <v>133.51786304604488</v>
      </c>
      <c r="H11" s="61">
        <f>VLOOKUP(A11,Promo!A:L,12,FALSE)</f>
        <v>148</v>
      </c>
      <c r="I11" s="28">
        <f t="shared" si="1"/>
        <v>5.824478551751279E-2</v>
      </c>
      <c r="J11" s="46">
        <f>H11+'Jan 7 - Jan 13'!I11+'Jan 14 - Jan 20'!I11+'Jan 21 - Jan 27'!I11+'28 Jan - 3 Feb'!I11+'4 Feb - 10 Feb'!I11+'11 Feb - 17 Feb'!G11+'18 Feb - 24 Feb'!G11+'25 Feb - 3 Mar'!H11+'4 Mar- 10 Mar'!H11</f>
        <v>1402</v>
      </c>
      <c r="K11" s="89">
        <f t="shared" si="2"/>
        <v>0.55175127902400634</v>
      </c>
      <c r="L11" s="73">
        <v>21828.1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164881.56</v>
      </c>
      <c r="C12" s="73">
        <v>112539.35</v>
      </c>
      <c r="D12" s="73">
        <v>151174.76</v>
      </c>
      <c r="E12" s="86">
        <f t="shared" si="0"/>
        <v>0.34330578593176519</v>
      </c>
      <c r="F12" s="74">
        <f>IFERROR(VLOOKUP(A12,Data!A:E,5,FALSE),0)</f>
        <v>1209</v>
      </c>
      <c r="G12" s="63">
        <f t="shared" si="3"/>
        <v>125.04115798180315</v>
      </c>
      <c r="H12" s="61">
        <f>VLOOKUP(A12,Promo!A:L,12,FALSE)</f>
        <v>53</v>
      </c>
      <c r="I12" s="28">
        <f t="shared" si="1"/>
        <v>4.3837882547559964E-2</v>
      </c>
      <c r="J12" s="46">
        <f>H12+'Jan 7 - Jan 13'!I12+'Jan 14 - Jan 20'!I12+'Jan 21 - Jan 27'!I12+'28 Jan - 3 Feb'!I12+'4 Feb - 10 Feb'!I12+'11 Feb - 17 Feb'!G12+'18 Feb - 24 Feb'!G12+'25 Feb - 3 Mar'!H12+'4 Mar- 10 Mar'!H12</f>
        <v>555</v>
      </c>
      <c r="K12" s="89">
        <f t="shared" si="2"/>
        <v>0.45905707196029777</v>
      </c>
      <c r="L12" s="73">
        <v>14036.4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220450.34</v>
      </c>
      <c r="C13" s="73">
        <v>207590.85</v>
      </c>
      <c r="D13" s="73">
        <v>230113.69</v>
      </c>
      <c r="E13" s="86">
        <f t="shared" si="0"/>
        <v>0.10849630414828011</v>
      </c>
      <c r="F13" s="74">
        <f>IFERROR(VLOOKUP(A13,Data!A:E,5,FALSE),0)</f>
        <v>1988</v>
      </c>
      <c r="G13" s="63">
        <f t="shared" si="3"/>
        <v>115.75135311871227</v>
      </c>
      <c r="H13" s="61">
        <f>VLOOKUP(A13,Promo!A:L,12,FALSE)</f>
        <v>92</v>
      </c>
      <c r="I13" s="28">
        <f t="shared" si="1"/>
        <v>4.6277665995975853E-2</v>
      </c>
      <c r="J13" s="46">
        <f>H13+'Jan 7 - Jan 13'!I13+'Jan 14 - Jan 20'!I13+'Jan 21 - Jan 27'!I13+'28 Jan - 3 Feb'!I13+'4 Feb - 10 Feb'!I13+'11 Feb - 17 Feb'!G13+'18 Feb - 24 Feb'!G13+'25 Feb - 3 Mar'!H13+'4 Mar- 10 Mar'!H13</f>
        <v>1008</v>
      </c>
      <c r="K13" s="89">
        <f t="shared" si="2"/>
        <v>0.50704225352112675</v>
      </c>
      <c r="L13" s="73">
        <v>12958.5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70723.91</v>
      </c>
      <c r="C14" s="73">
        <v>76807.19</v>
      </c>
      <c r="D14" s="73">
        <v>91086.52</v>
      </c>
      <c r="E14" s="86">
        <f t="shared" si="0"/>
        <v>0.18591137105783978</v>
      </c>
      <c r="F14" s="74">
        <f>IFERROR(VLOOKUP(A14,Data!A:E,5,FALSE),0)</f>
        <v>0</v>
      </c>
      <c r="G14" s="63">
        <f t="shared" si="3"/>
        <v>0</v>
      </c>
      <c r="H14" s="61">
        <f>VLOOKUP(A14,Promo!A:L,12,FALSE)</f>
        <v>0</v>
      </c>
      <c r="I14" s="28">
        <f t="shared" si="1"/>
        <v>0</v>
      </c>
      <c r="J14" s="46">
        <f>H14+'Jan 7 - Jan 13'!I14+'Jan 14 - Jan 20'!I14+'Jan 21 - Jan 27'!I14+'28 Jan - 3 Feb'!I14+'4 Feb - 10 Feb'!I14+'11 Feb - 17 Feb'!G14+'18 Feb - 24 Feb'!G14+'25 Feb - 3 Mar'!H14</f>
        <v>0</v>
      </c>
      <c r="K14" s="89">
        <f t="shared" si="2"/>
        <v>0</v>
      </c>
      <c r="L14" s="73">
        <v>6278.95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156695.26999999999</v>
      </c>
      <c r="C15" s="73">
        <v>141484.38</v>
      </c>
      <c r="D15" s="73">
        <v>223622.64</v>
      </c>
      <c r="E15" s="86">
        <f t="shared" si="0"/>
        <v>0.58054648859471281</v>
      </c>
      <c r="F15" s="74">
        <f>IFERROR(VLOOKUP(A15,Data!A:E,5,FALSE),0)</f>
        <v>1429</v>
      </c>
      <c r="G15" s="63">
        <f t="shared" si="3"/>
        <v>156.48890132960113</v>
      </c>
      <c r="H15" s="61">
        <f>VLOOKUP(A15,Promo!A:L,12,FALSE)</f>
        <v>103</v>
      </c>
      <c r="I15" s="28">
        <f t="shared" si="1"/>
        <v>7.2078376487053883E-2</v>
      </c>
      <c r="J15" s="46">
        <f>H15+'Jan 7 - Jan 13'!I15+'Jan 14 - Jan 20'!I15+'Jan 21 - Jan 27'!I15+'28 Jan - 3 Feb'!I15+'4 Feb - 10 Feb'!I15+'11 Feb - 17 Feb'!G15+'18 Feb - 24 Feb'!G15+'25 Feb - 3 Mar'!H15+'4 Mar- 10 Mar'!H15</f>
        <v>828</v>
      </c>
      <c r="K15" s="89">
        <f t="shared" si="2"/>
        <v>0.57942617214835546</v>
      </c>
      <c r="L15" s="73">
        <v>3958.33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139497.94</v>
      </c>
      <c r="C16" s="73">
        <v>125999.03999999999</v>
      </c>
      <c r="D16" s="73">
        <v>152677.41</v>
      </c>
      <c r="E16" s="86">
        <f t="shared" si="0"/>
        <v>0.21173470845492165</v>
      </c>
      <c r="F16" s="74">
        <f>IFERROR(VLOOKUP(A16,Data!A:E,5,FALSE),0)</f>
        <v>1089</v>
      </c>
      <c r="G16" s="63">
        <f t="shared" si="3"/>
        <v>140.19964187327824</v>
      </c>
      <c r="H16" s="61">
        <f>VLOOKUP(A16,Promo!A:L,12,FALSE)</f>
        <v>28</v>
      </c>
      <c r="I16" s="28">
        <f t="shared" si="1"/>
        <v>2.5711662075298437E-2</v>
      </c>
      <c r="J16" s="46">
        <f>H16+'Jan 7 - Jan 13'!I16+'Jan 14 - Jan 20'!I16+'Jan 21 - Jan 27'!I16+'28 Jan - 3 Feb'!I16+'4 Feb - 10 Feb'!I16+'11 Feb - 17 Feb'!G16+'18 Feb - 24 Feb'!G16+'25 Feb - 3 Mar'!H16+'4 Mar- 10 Mar'!H16</f>
        <v>415</v>
      </c>
      <c r="K16" s="89">
        <f t="shared" si="2"/>
        <v>0.38108356290174472</v>
      </c>
      <c r="L16" s="73">
        <v>10454.5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227810.49</v>
      </c>
      <c r="C17" s="73">
        <v>242535.02</v>
      </c>
      <c r="D17" s="73">
        <v>217932.85</v>
      </c>
      <c r="E17" s="86">
        <f t="shared" si="0"/>
        <v>-0.10143759857854748</v>
      </c>
      <c r="F17" s="74">
        <f>IFERROR(VLOOKUP(A17,Data!A:E,5,FALSE),0)</f>
        <v>1404</v>
      </c>
      <c r="G17" s="63">
        <f t="shared" si="3"/>
        <v>155.22282763532763</v>
      </c>
      <c r="H17" s="61">
        <f>VLOOKUP(A17,Promo!A:L,12,FALSE)</f>
        <v>90</v>
      </c>
      <c r="I17" s="28">
        <f t="shared" si="1"/>
        <v>6.4102564102564097E-2</v>
      </c>
      <c r="J17" s="46">
        <f>H17+'Jan 7 - Jan 13'!I17+'Jan 14 - Jan 20'!I17+'Jan 21 - Jan 27'!I17+'28 Jan - 3 Feb'!I17+'4 Feb - 10 Feb'!I17+'11 Feb - 17 Feb'!G17+'18 Feb - 24 Feb'!G17+'25 Feb - 3 Mar'!H17+'4 Mar- 10 Mar'!H17</f>
        <v>1263</v>
      </c>
      <c r="K17" s="89">
        <f t="shared" si="2"/>
        <v>0.8995726495726496</v>
      </c>
      <c r="L17" s="73">
        <v>15077.98</v>
      </c>
    </row>
    <row r="18" spans="1:12" s="70" customFormat="1" ht="15.6" customHeight="1" x14ac:dyDescent="0.3">
      <c r="A18" s="40" t="s">
        <v>33</v>
      </c>
      <c r="B18" s="102">
        <v>195684.66</v>
      </c>
      <c r="C18" s="73">
        <v>0</v>
      </c>
      <c r="D18" s="73">
        <v>189463.02</v>
      </c>
      <c r="E18" s="86">
        <f t="shared" si="0"/>
        <v>0</v>
      </c>
      <c r="F18" s="74">
        <f>IFERROR(VLOOKUP(A18,Data!A:E,5,FALSE),0)</f>
        <v>1620</v>
      </c>
      <c r="G18" s="63">
        <f t="shared" si="3"/>
        <v>116.95248148148147</v>
      </c>
      <c r="H18" s="61">
        <f>VLOOKUP(A18,Promo!A:L,12,FALSE)</f>
        <v>68</v>
      </c>
      <c r="I18" s="28">
        <f t="shared" si="1"/>
        <v>4.1975308641975309E-2</v>
      </c>
      <c r="J18" s="46">
        <f>H18+'28 Jan - 3 Feb'!I18+'4 Feb - 10 Feb'!I18+'11 Feb - 17 Feb'!G18+'18 Feb - 24 Feb'!G18+'25 Feb - 3 Mar'!H18+'4 Mar- 10 Mar'!H18</f>
        <v>414</v>
      </c>
      <c r="K18" s="89">
        <f t="shared" si="2"/>
        <v>0.25555555555555554</v>
      </c>
      <c r="L18" s="73">
        <v>3343.2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80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F18" sqref="F18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0.20229309028631504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2733402.08</v>
      </c>
      <c r="C4" s="99">
        <f>SUM(C6:C18)</f>
        <v>2438571.23</v>
      </c>
      <c r="D4" s="97">
        <f>SUM(D6:D18)</f>
        <v>3128777.1100000003</v>
      </c>
      <c r="E4" s="90">
        <f>IFERROR((SUM(D4-C4)/C4),0)</f>
        <v>0.28303699785714292</v>
      </c>
      <c r="F4" s="66">
        <f>SUM(F6:F18)</f>
        <v>24178</v>
      </c>
      <c r="G4" s="85">
        <f>AVERAGE(G5:G18)</f>
        <v>134.65072864971592</v>
      </c>
      <c r="H4" s="88">
        <f>SUM(H6:H18)</f>
        <v>745</v>
      </c>
      <c r="I4" s="28">
        <f>IFERROR(H4/F4,0)</f>
        <v>3.0813135908677309E-2</v>
      </c>
      <c r="J4" s="46">
        <f>SUM(J6:J18)</f>
        <v>10079</v>
      </c>
      <c r="K4" s="89">
        <f>IFERROR(J4/SUM(F4),0)</f>
        <v>0.41686657291752832</v>
      </c>
      <c r="L4" s="66">
        <f>SUM(L6:L18)</f>
        <v>144572.14000000001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268849.73</v>
      </c>
      <c r="C6" s="73">
        <v>263381.39</v>
      </c>
      <c r="D6" s="73">
        <v>339552.82</v>
      </c>
      <c r="E6" s="86">
        <v>0.2892058167055766</v>
      </c>
      <c r="F6" s="74">
        <v>2723</v>
      </c>
      <c r="G6" s="63">
        <v>124.6980609621741</v>
      </c>
      <c r="H6" s="61">
        <v>70</v>
      </c>
      <c r="I6" s="28">
        <v>2.570694087403599E-2</v>
      </c>
      <c r="J6" s="46">
        <v>761</v>
      </c>
      <c r="K6" s="89">
        <v>0.27947117150201978</v>
      </c>
      <c r="L6" s="73">
        <v>13450.89</v>
      </c>
      <c r="M6" s="26"/>
      <c r="N6" s="9"/>
      <c r="O6" s="9"/>
    </row>
    <row r="7" spans="1:15" ht="15.6" customHeight="1" x14ac:dyDescent="0.3">
      <c r="A7" s="39" t="s">
        <v>16</v>
      </c>
      <c r="B7" s="102">
        <v>247782.44</v>
      </c>
      <c r="C7" s="73">
        <v>210661.12</v>
      </c>
      <c r="D7" s="73">
        <v>237354.06</v>
      </c>
      <c r="E7" s="86">
        <v>0.1267103298415958</v>
      </c>
      <c r="F7" s="74">
        <v>1882</v>
      </c>
      <c r="G7" s="63">
        <v>126.117991498406</v>
      </c>
      <c r="H7" s="61">
        <v>89</v>
      </c>
      <c r="I7" s="28">
        <v>4.7290116896918172E-2</v>
      </c>
      <c r="J7" s="46">
        <v>1073</v>
      </c>
      <c r="K7" s="89">
        <v>0.57013815090329434</v>
      </c>
      <c r="L7" s="73">
        <v>15563.35</v>
      </c>
      <c r="M7" s="26"/>
      <c r="N7" s="9"/>
      <c r="O7" s="9"/>
    </row>
    <row r="8" spans="1:15" ht="15.6" customHeight="1" x14ac:dyDescent="0.3">
      <c r="A8" s="39" t="s">
        <v>17</v>
      </c>
      <c r="B8" s="102">
        <v>112508.16</v>
      </c>
      <c r="C8" s="73">
        <v>100413.54</v>
      </c>
      <c r="D8" s="73">
        <v>127846.77</v>
      </c>
      <c r="E8" s="86">
        <v>0.27320249838816568</v>
      </c>
      <c r="F8" s="74">
        <v>1021</v>
      </c>
      <c r="G8" s="63">
        <v>125.217208619001</v>
      </c>
      <c r="H8" s="61">
        <v>26</v>
      </c>
      <c r="I8" s="28">
        <v>2.5465230166503431E-2</v>
      </c>
      <c r="J8" s="46">
        <v>344</v>
      </c>
      <c r="K8" s="89">
        <v>0.33692458374142997</v>
      </c>
      <c r="L8" s="73">
        <v>5138.5</v>
      </c>
      <c r="M8" s="26"/>
      <c r="N8" s="9"/>
      <c r="O8" s="9"/>
    </row>
    <row r="9" spans="1:15" ht="15.6" customHeight="1" x14ac:dyDescent="0.3">
      <c r="A9" s="39" t="s">
        <v>18</v>
      </c>
      <c r="B9" s="102">
        <v>355321</v>
      </c>
      <c r="C9" s="73">
        <v>358813.66</v>
      </c>
      <c r="D9" s="73">
        <v>394259.89</v>
      </c>
      <c r="E9" s="86">
        <v>9.8787292546220346E-2</v>
      </c>
      <c r="F9" s="74">
        <v>3137</v>
      </c>
      <c r="G9" s="63">
        <v>125.68055148230791</v>
      </c>
      <c r="H9" s="61">
        <v>67</v>
      </c>
      <c r="I9" s="28">
        <v>2.1357985336308571E-2</v>
      </c>
      <c r="J9" s="46">
        <v>974</v>
      </c>
      <c r="K9" s="89">
        <v>0.31048772712782913</v>
      </c>
      <c r="L9" s="73">
        <v>15704.9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153600.97</v>
      </c>
      <c r="C10" s="73">
        <v>157515.75</v>
      </c>
      <c r="D10" s="73">
        <v>134544.66</v>
      </c>
      <c r="E10" s="86">
        <v>-0.14583360711547891</v>
      </c>
      <c r="F10" s="74">
        <v>938</v>
      </c>
      <c r="G10" s="63">
        <v>143.43780383795311</v>
      </c>
      <c r="H10" s="61">
        <v>33</v>
      </c>
      <c r="I10" s="28">
        <v>3.5181236673773993E-2</v>
      </c>
      <c r="J10" s="46">
        <v>582</v>
      </c>
      <c r="K10" s="89">
        <v>0.6204690831556503</v>
      </c>
      <c r="L10" s="73">
        <v>5905.85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339268.89</v>
      </c>
      <c r="C11" s="73">
        <v>338439.21</v>
      </c>
      <c r="D11" s="73">
        <v>369279.11</v>
      </c>
      <c r="E11" s="86">
        <v>9.1123897848597285E-2</v>
      </c>
      <c r="F11" s="74">
        <v>2550</v>
      </c>
      <c r="G11" s="63">
        <v>144.81533725490189</v>
      </c>
      <c r="H11" s="61">
        <v>127</v>
      </c>
      <c r="I11" s="28">
        <v>4.9803921568627452E-2</v>
      </c>
      <c r="J11" s="46">
        <v>1529</v>
      </c>
      <c r="K11" s="89">
        <v>0.5996078431372549</v>
      </c>
      <c r="L11" s="73">
        <v>17329.7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151174.76</v>
      </c>
      <c r="C12" s="73">
        <v>124684</v>
      </c>
      <c r="D12" s="73">
        <v>166773.71</v>
      </c>
      <c r="E12" s="86">
        <v>0.33757105963876671</v>
      </c>
      <c r="F12" s="74">
        <v>1373</v>
      </c>
      <c r="G12" s="63">
        <v>121.4666496722505</v>
      </c>
      <c r="H12" s="61">
        <v>36</v>
      </c>
      <c r="I12" s="28">
        <v>2.621995630007283E-2</v>
      </c>
      <c r="J12" s="46">
        <v>591</v>
      </c>
      <c r="K12" s="89">
        <v>0.43044428259286233</v>
      </c>
      <c r="L12" s="73">
        <v>12609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230113.69</v>
      </c>
      <c r="C13" s="73">
        <v>210553.62</v>
      </c>
      <c r="D13" s="73">
        <v>231068.59</v>
      </c>
      <c r="E13" s="86">
        <v>9.7433470865996047E-2</v>
      </c>
      <c r="F13" s="74">
        <v>1791</v>
      </c>
      <c r="G13" s="63">
        <v>129.0165214963707</v>
      </c>
      <c r="H13" s="61">
        <v>68</v>
      </c>
      <c r="I13" s="28">
        <v>3.796761585706309E-2</v>
      </c>
      <c r="J13" s="46">
        <v>1076</v>
      </c>
      <c r="K13" s="89">
        <v>0.60078168620882189</v>
      </c>
      <c r="L13" s="73">
        <v>10344.5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91086.52</v>
      </c>
      <c r="C14" s="73">
        <v>110413.04</v>
      </c>
      <c r="D14" s="73">
        <v>109167.39</v>
      </c>
      <c r="E14" s="86">
        <v>-1.128172904214932E-2</v>
      </c>
      <c r="F14" s="74">
        <v>574</v>
      </c>
      <c r="G14" s="63">
        <v>190.1870905923345</v>
      </c>
      <c r="H14" s="61">
        <v>0</v>
      </c>
      <c r="I14" s="28">
        <v>0</v>
      </c>
      <c r="J14" s="46">
        <v>0</v>
      </c>
      <c r="K14" s="89">
        <v>0</v>
      </c>
      <c r="L14" s="73">
        <v>10519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223622.64</v>
      </c>
      <c r="C15" s="73">
        <v>171625.98</v>
      </c>
      <c r="D15" s="73">
        <v>407133.91</v>
      </c>
      <c r="E15" s="86">
        <v>1.3722160829030661</v>
      </c>
      <c r="F15" s="74">
        <v>3699</v>
      </c>
      <c r="G15" s="63">
        <v>110.0659394430927</v>
      </c>
      <c r="H15" s="61">
        <v>47</v>
      </c>
      <c r="I15" s="28">
        <v>1.2706136793728029E-2</v>
      </c>
      <c r="J15" s="46">
        <v>875</v>
      </c>
      <c r="K15" s="89">
        <v>0.23655041903217089</v>
      </c>
      <c r="L15" s="73">
        <v>11067.5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152677.41</v>
      </c>
      <c r="C16" s="73">
        <v>162972.82</v>
      </c>
      <c r="D16" s="73">
        <v>164652.97</v>
      </c>
      <c r="E16" s="86">
        <v>1.0309387786257821E-2</v>
      </c>
      <c r="F16" s="74">
        <v>1130</v>
      </c>
      <c r="G16" s="63">
        <v>145.710592920354</v>
      </c>
      <c r="H16" s="61">
        <v>28</v>
      </c>
      <c r="I16" s="28">
        <v>2.4778761061946899E-2</v>
      </c>
      <c r="J16" s="46">
        <v>443</v>
      </c>
      <c r="K16" s="89">
        <v>0.39203539823008848</v>
      </c>
      <c r="L16" s="73">
        <v>7641.5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217932.85</v>
      </c>
      <c r="C17" s="73">
        <v>229097.1</v>
      </c>
      <c r="D17" s="73">
        <v>250243.46</v>
      </c>
      <c r="E17" s="86">
        <v>9.2303045302624898E-2</v>
      </c>
      <c r="F17" s="74">
        <v>1701</v>
      </c>
      <c r="G17" s="63">
        <v>147.11549676660789</v>
      </c>
      <c r="H17" s="61">
        <v>75</v>
      </c>
      <c r="I17" s="28">
        <v>4.4091710758377423E-2</v>
      </c>
      <c r="J17" s="46">
        <v>1338</v>
      </c>
      <c r="K17" s="89">
        <v>0.78659611992945322</v>
      </c>
      <c r="L17" s="73">
        <v>13245.75</v>
      </c>
    </row>
    <row r="18" spans="1:12" s="70" customFormat="1" ht="15.6" customHeight="1" x14ac:dyDescent="0.3">
      <c r="A18" s="40" t="s">
        <v>33</v>
      </c>
      <c r="B18" s="102">
        <v>189463.02</v>
      </c>
      <c r="C18" s="73">
        <v>0</v>
      </c>
      <c r="D18" s="73">
        <v>196899.77</v>
      </c>
      <c r="E18" s="86">
        <v>0</v>
      </c>
      <c r="F18" s="74">
        <v>1659</v>
      </c>
      <c r="G18" s="63">
        <v>116.9302279005525</v>
      </c>
      <c r="H18" s="61">
        <v>79</v>
      </c>
      <c r="I18" s="28">
        <v>5.4558011049723763E-2</v>
      </c>
      <c r="J18" s="46">
        <v>493</v>
      </c>
      <c r="K18" s="89">
        <v>0.34046961325966851</v>
      </c>
      <c r="L18" s="73">
        <v>6051.7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9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I1" sqref="I1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0.11476055637615346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3128777.1100000003</v>
      </c>
      <c r="C4" s="99">
        <f>SUM(C6:C18)</f>
        <v>2594767.5700000003</v>
      </c>
      <c r="D4" s="97">
        <f>SUM(D6:D18)</f>
        <v>3077441.2</v>
      </c>
      <c r="E4" s="90">
        <f>IFERROR((SUM(D4-C4)/C4),0)</f>
        <v>0.18601806018409572</v>
      </c>
      <c r="F4" s="66">
        <f>SUM(F6:F18)</f>
        <v>22466</v>
      </c>
      <c r="G4" s="85">
        <f>AVERAGE(G5:G18)</f>
        <v>140.49996959927597</v>
      </c>
      <c r="H4" s="88">
        <f>SUM(H6:H18)</f>
        <v>787</v>
      </c>
      <c r="I4" s="28">
        <f>IFERROR(H4/F4,0)</f>
        <v>3.503071307753939E-2</v>
      </c>
      <c r="J4" s="46">
        <f>SUM(J6:J18)</f>
        <v>10866</v>
      </c>
      <c r="K4" s="89">
        <f>IFERROR(J4/SUM(F4),0)</f>
        <v>0.48366420368556928</v>
      </c>
      <c r="L4" s="66">
        <f>SUM(L6:L18)</f>
        <v>143962.46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339552.82</v>
      </c>
      <c r="C6" s="73">
        <v>266247.3</v>
      </c>
      <c r="D6" s="73">
        <v>302665.28999999998</v>
      </c>
      <c r="E6" s="86">
        <v>0.13678257018944409</v>
      </c>
      <c r="F6" s="74">
        <v>2430</v>
      </c>
      <c r="G6" s="63">
        <v>124.5536172839506</v>
      </c>
      <c r="H6" s="61">
        <f>VLOOKUP(A6,Promo!A:N,14,FALSE)</f>
        <v>110</v>
      </c>
      <c r="I6" s="28">
        <v>8.2304526748971192E-4</v>
      </c>
      <c r="J6" s="46">
        <f>H6+'18 Mar- 24 Mar'!J6</f>
        <v>871</v>
      </c>
      <c r="K6" s="89">
        <v>0.31399176954732511</v>
      </c>
      <c r="L6" s="73">
        <v>13268</v>
      </c>
      <c r="M6" s="26"/>
      <c r="N6" s="9"/>
      <c r="O6" s="9"/>
    </row>
    <row r="7" spans="1:15" ht="15.6" customHeight="1" x14ac:dyDescent="0.3">
      <c r="A7" s="39" t="s">
        <v>16</v>
      </c>
      <c r="B7" s="102">
        <v>237354.06</v>
      </c>
      <c r="C7" s="73">
        <v>223509</v>
      </c>
      <c r="D7" s="73">
        <v>258147.93</v>
      </c>
      <c r="E7" s="86">
        <v>0.15497778612941759</v>
      </c>
      <c r="F7" s="74">
        <v>2104</v>
      </c>
      <c r="G7" s="63">
        <v>122.69388307984789</v>
      </c>
      <c r="H7" s="61">
        <f>VLOOKUP(A7,Promo!A:N,14,FALSE)</f>
        <v>107</v>
      </c>
      <c r="I7" s="28">
        <v>4.7528517110266158E-3</v>
      </c>
      <c r="J7" s="46">
        <f>H7+'18 Mar- 24 Mar'!J7</f>
        <v>1180</v>
      </c>
      <c r="K7" s="89">
        <v>0.51473384030418246</v>
      </c>
      <c r="L7" s="73">
        <v>14850.9</v>
      </c>
      <c r="M7" s="26"/>
      <c r="N7" s="9"/>
      <c r="O7" s="9"/>
    </row>
    <row r="8" spans="1:15" ht="15.6" customHeight="1" x14ac:dyDescent="0.3">
      <c r="A8" s="39" t="s">
        <v>17</v>
      </c>
      <c r="B8" s="102">
        <v>127846.77</v>
      </c>
      <c r="C8" s="73">
        <v>107411.5</v>
      </c>
      <c r="D8" s="73">
        <v>136569.38</v>
      </c>
      <c r="E8" s="86">
        <v>0.27145957369555412</v>
      </c>
      <c r="F8" s="74">
        <v>1015</v>
      </c>
      <c r="G8" s="63">
        <v>134.5511133004926</v>
      </c>
      <c r="H8" s="61">
        <f>VLOOKUP(A8,Promo!A:N,14,FALSE)</f>
        <v>34</v>
      </c>
      <c r="I8" s="28">
        <v>2.9556650246305421E-3</v>
      </c>
      <c r="J8" s="46">
        <f>H8+'18 Mar- 24 Mar'!J8</f>
        <v>378</v>
      </c>
      <c r="K8" s="89">
        <v>0.341871921182266</v>
      </c>
      <c r="L8" s="73">
        <v>5991</v>
      </c>
      <c r="M8" s="26"/>
      <c r="N8" s="9"/>
      <c r="O8" s="9"/>
    </row>
    <row r="9" spans="1:15" ht="15.6" customHeight="1" x14ac:dyDescent="0.3">
      <c r="A9" s="39" t="s">
        <v>18</v>
      </c>
      <c r="B9" s="102">
        <v>394259.89</v>
      </c>
      <c r="C9" s="73">
        <v>373097.4</v>
      </c>
      <c r="D9" s="73">
        <v>373516.14</v>
      </c>
      <c r="E9" s="86">
        <v>1.122334275178521E-3</v>
      </c>
      <c r="F9" s="74">
        <v>2897</v>
      </c>
      <c r="G9" s="63">
        <v>128.93204694511559</v>
      </c>
      <c r="H9" s="61">
        <f>VLOOKUP(A9,Promo!A:N,14,FALSE)</f>
        <v>55</v>
      </c>
      <c r="I9" s="28">
        <v>6.9036934760096649E-4</v>
      </c>
      <c r="J9" s="46">
        <f>H9+'18 Mar- 24 Mar'!J9</f>
        <v>1029</v>
      </c>
      <c r="K9" s="89">
        <v>0.33690024162927168</v>
      </c>
      <c r="L9" s="73">
        <v>13279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134544.66</v>
      </c>
      <c r="C10" s="73">
        <v>133152.70000000001</v>
      </c>
      <c r="D10" s="73">
        <v>160533.82</v>
      </c>
      <c r="E10" s="86">
        <v>0.20563698670774219</v>
      </c>
      <c r="F10" s="74">
        <v>1021</v>
      </c>
      <c r="G10" s="63">
        <v>157.2319490695397</v>
      </c>
      <c r="H10" s="61">
        <f>VLOOKUP(A10,Promo!A:N,14,FALSE)</f>
        <v>27</v>
      </c>
      <c r="I10" s="28">
        <v>9.7943192948090111E-4</v>
      </c>
      <c r="J10" s="46">
        <f>H10+'18 Mar- 24 Mar'!J10</f>
        <v>609</v>
      </c>
      <c r="K10" s="89">
        <v>0.57100881488736532</v>
      </c>
      <c r="L10" s="73">
        <v>10136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369279.11</v>
      </c>
      <c r="C11" s="73">
        <v>331751.3</v>
      </c>
      <c r="D11" s="73">
        <v>390104.3</v>
      </c>
      <c r="E11" s="86">
        <v>0.17589380960978901</v>
      </c>
      <c r="F11" s="74">
        <v>2427</v>
      </c>
      <c r="G11" s="63">
        <v>160.73518747424811</v>
      </c>
      <c r="H11" s="61">
        <f>VLOOKUP(A11,Promo!A:N,14,FALSE)</f>
        <v>140</v>
      </c>
      <c r="I11" s="28">
        <v>2.88421920065925E-3</v>
      </c>
      <c r="J11" s="46">
        <f>H11+'18 Mar- 24 Mar'!J11</f>
        <v>1669</v>
      </c>
      <c r="K11" s="89">
        <v>0.6328800988875154</v>
      </c>
      <c r="L11" s="73">
        <v>18267.849999999999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166773.71</v>
      </c>
      <c r="C12" s="73">
        <v>117570.6</v>
      </c>
      <c r="D12" s="73">
        <v>145176.81</v>
      </c>
      <c r="E12" s="86">
        <v>0.2348053850197242</v>
      </c>
      <c r="F12" s="74">
        <v>1220</v>
      </c>
      <c r="G12" s="63">
        <v>118.9973852459016</v>
      </c>
      <c r="H12" s="61">
        <f>VLOOKUP(A12,Promo!A:N,14,FALSE)</f>
        <v>49</v>
      </c>
      <c r="I12" s="28">
        <v>0</v>
      </c>
      <c r="J12" s="46">
        <f>H12+'18 Mar- 24 Mar'!J12</f>
        <v>640</v>
      </c>
      <c r="K12" s="89">
        <v>0.48442622950819669</v>
      </c>
      <c r="L12" s="73">
        <v>14885.4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231068.59</v>
      </c>
      <c r="C13" s="73">
        <v>216182.3</v>
      </c>
      <c r="D13" s="73">
        <v>248268.47</v>
      </c>
      <c r="E13" s="86">
        <v>0.14842181806743671</v>
      </c>
      <c r="F13" s="74">
        <v>1846</v>
      </c>
      <c r="G13" s="63">
        <v>134.48996208017331</v>
      </c>
      <c r="H13" s="61">
        <f>VLOOKUP(A13,Promo!A:N,14,FALSE)</f>
        <v>98</v>
      </c>
      <c r="I13" s="28">
        <v>0</v>
      </c>
      <c r="J13" s="46">
        <f>H13+'18 Mar- 24 Mar'!J13</f>
        <v>1174</v>
      </c>
      <c r="K13" s="89">
        <v>0.58288190682556884</v>
      </c>
      <c r="L13" s="73">
        <v>10811.45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109167.39</v>
      </c>
      <c r="C14" s="73">
        <v>92989.97</v>
      </c>
      <c r="D14" s="73">
        <v>111265.86</v>
      </c>
      <c r="E14" s="86">
        <v>0.196536142553869</v>
      </c>
      <c r="F14" s="74">
        <v>595</v>
      </c>
      <c r="G14" s="63">
        <v>187.00144537815129</v>
      </c>
      <c r="H14" s="61">
        <f>VLOOKUP(A14,Promo!A:N,14,FALSE)</f>
        <v>0</v>
      </c>
      <c r="I14" s="28">
        <v>0</v>
      </c>
      <c r="J14" s="46">
        <f>H14+'18 Mar- 24 Mar'!J14</f>
        <v>0</v>
      </c>
      <c r="K14" s="89">
        <v>0</v>
      </c>
      <c r="L14" s="73">
        <v>8843.36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407133.91</v>
      </c>
      <c r="C15" s="73">
        <v>333749</v>
      </c>
      <c r="D15" s="73">
        <v>374034.67</v>
      </c>
      <c r="E15" s="86">
        <v>0.1207064890082067</v>
      </c>
      <c r="F15" s="74">
        <v>2786</v>
      </c>
      <c r="G15" s="63">
        <v>134.25508614501081</v>
      </c>
      <c r="H15" s="61">
        <f>VLOOKUP(A15,Promo!A:N,14,FALSE)</f>
        <v>17</v>
      </c>
      <c r="I15" s="28">
        <v>0</v>
      </c>
      <c r="J15" s="46">
        <f>H15+'18 Mar- 24 Mar'!J15</f>
        <v>892</v>
      </c>
      <c r="K15" s="89">
        <v>0.314070351758794</v>
      </c>
      <c r="L15" s="73">
        <v>2787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164652.97</v>
      </c>
      <c r="C16" s="73">
        <v>156551.9</v>
      </c>
      <c r="D16" s="73">
        <v>163350.70000000001</v>
      </c>
      <c r="E16" s="86">
        <v>4.3428409364562277E-2</v>
      </c>
      <c r="F16" s="74">
        <v>1066</v>
      </c>
      <c r="G16" s="63">
        <v>153.23705440900571</v>
      </c>
      <c r="H16" s="61">
        <f>VLOOKUP(A16,Promo!A:N,14,FALSE)</f>
        <v>33</v>
      </c>
      <c r="I16" s="28">
        <v>1.876172607879925E-3</v>
      </c>
      <c r="J16" s="46">
        <f>H16+'18 Mar- 24 Mar'!J16</f>
        <v>476</v>
      </c>
      <c r="K16" s="89">
        <v>0.41744840525328331</v>
      </c>
      <c r="L16" s="73">
        <v>12108.7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250243.46</v>
      </c>
      <c r="C17" s="73">
        <v>242554.6</v>
      </c>
      <c r="D17" s="73">
        <v>228911.17</v>
      </c>
      <c r="E17" s="86">
        <v>-5.6248902309005859E-2</v>
      </c>
      <c r="F17" s="74">
        <v>1629</v>
      </c>
      <c r="G17" s="63">
        <v>140.52251074278701</v>
      </c>
      <c r="H17" s="61">
        <f>VLOOKUP(A17,Promo!A:N,14,FALSE)</f>
        <v>86</v>
      </c>
      <c r="I17" s="28">
        <v>1.841620626151013E-3</v>
      </c>
      <c r="J17" s="46">
        <f>H17+'18 Mar- 24 Mar'!J17</f>
        <v>1424</v>
      </c>
      <c r="K17" s="89">
        <v>0.82320441988950277</v>
      </c>
      <c r="L17" s="73">
        <v>15125.3</v>
      </c>
    </row>
    <row r="18" spans="1:12" s="70" customFormat="1" ht="15.6" customHeight="1" x14ac:dyDescent="0.3">
      <c r="A18" s="40" t="s">
        <v>33</v>
      </c>
      <c r="B18" s="102">
        <v>196899.77</v>
      </c>
      <c r="C18" s="73">
        <v>0</v>
      </c>
      <c r="D18" s="73">
        <v>184896.66</v>
      </c>
      <c r="E18" s="86">
        <v>0</v>
      </c>
      <c r="F18" s="74">
        <v>1430</v>
      </c>
      <c r="G18" s="63">
        <v>129.2983636363636</v>
      </c>
      <c r="H18" s="61">
        <f>VLOOKUP(A18,Promo!A:N,14,FALSE)</f>
        <v>31</v>
      </c>
      <c r="I18" s="28">
        <v>6.993006993006993E-4</v>
      </c>
      <c r="J18" s="46">
        <f>H18+'18 Mar- 24 Mar'!J18</f>
        <v>524</v>
      </c>
      <c r="K18" s="89">
        <v>0.34545454545454551</v>
      </c>
      <c r="L18" s="73">
        <v>3608.5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8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J6" sqref="J6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-0.10818943511322937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3077441.2</v>
      </c>
      <c r="C4" s="99">
        <f>SUM(C6:C18)</f>
        <v>2503480.1199999996</v>
      </c>
      <c r="D4" s="97">
        <f>SUM(D6:D18)</f>
        <v>2411213.37</v>
      </c>
      <c r="E4" s="90">
        <f>IFERROR((SUM(D4-C4)/C4),0)</f>
        <v>-3.685539552037647E-2</v>
      </c>
      <c r="F4" s="66">
        <f>SUM(F6:F18)</f>
        <v>18063</v>
      </c>
      <c r="G4" s="85">
        <f>AVERAGE(G5:G18)</f>
        <v>137.23088070569838</v>
      </c>
      <c r="H4" s="88">
        <f>SUM(H6:H18)</f>
        <v>774</v>
      </c>
      <c r="I4" s="28">
        <f>IFERROR(H4/F4,0)</f>
        <v>4.2850024912805179E-2</v>
      </c>
      <c r="J4" s="46">
        <f>SUM(J6:J18)</f>
        <v>11640</v>
      </c>
      <c r="K4" s="89">
        <f>IFERROR(J4/SUM(F4),0)</f>
        <v>0.64441122737086864</v>
      </c>
      <c r="L4" s="66">
        <f>SUM(L6:L18)</f>
        <v>134264.30000000002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302665.28999999998</v>
      </c>
      <c r="C6" s="73">
        <v>280351.31</v>
      </c>
      <c r="D6" s="73">
        <v>248530.67</v>
      </c>
      <c r="E6" s="86">
        <v>-0.113502733409735</v>
      </c>
      <c r="F6" s="74">
        <v>1898</v>
      </c>
      <c r="G6" s="63">
        <v>130.94345100105369</v>
      </c>
      <c r="H6" s="61">
        <v>77</v>
      </c>
      <c r="I6" s="28">
        <v>4.0569020021074813E-2</v>
      </c>
      <c r="J6" s="46">
        <v>948</v>
      </c>
      <c r="K6" s="89">
        <v>0.49947312961011592</v>
      </c>
      <c r="L6" s="73">
        <v>12151.2</v>
      </c>
      <c r="M6" s="26"/>
      <c r="N6" s="9"/>
      <c r="O6" s="9"/>
    </row>
    <row r="7" spans="1:15" ht="15.6" customHeight="1" x14ac:dyDescent="0.3">
      <c r="A7" s="39" t="s">
        <v>16</v>
      </c>
      <c r="B7" s="102">
        <v>258147.93</v>
      </c>
      <c r="C7" s="73">
        <v>203342.33</v>
      </c>
      <c r="D7" s="73">
        <v>176666.07</v>
      </c>
      <c r="E7" s="86">
        <v>-0.13118891673956909</v>
      </c>
      <c r="F7" s="74">
        <v>1435</v>
      </c>
      <c r="G7" s="63">
        <v>123.112243902439</v>
      </c>
      <c r="H7" s="61">
        <v>65</v>
      </c>
      <c r="I7" s="28">
        <v>4.5296167247386762E-2</v>
      </c>
      <c r="J7" s="46">
        <v>1245</v>
      </c>
      <c r="K7" s="89">
        <v>0.86759581881533099</v>
      </c>
      <c r="L7" s="73">
        <v>9376.5</v>
      </c>
      <c r="M7" s="26"/>
      <c r="N7" s="9"/>
      <c r="O7" s="9"/>
    </row>
    <row r="8" spans="1:15" ht="15.6" customHeight="1" x14ac:dyDescent="0.3">
      <c r="A8" s="39" t="s">
        <v>17</v>
      </c>
      <c r="B8" s="102">
        <v>136569.38</v>
      </c>
      <c r="C8" s="73">
        <v>93084.27</v>
      </c>
      <c r="D8" s="73">
        <v>123407.79</v>
      </c>
      <c r="E8" s="86">
        <v>0.32576417046618072</v>
      </c>
      <c r="F8" s="74">
        <v>856</v>
      </c>
      <c r="G8" s="63">
        <v>144.16797897196261</v>
      </c>
      <c r="H8" s="61">
        <v>22</v>
      </c>
      <c r="I8" s="28">
        <v>2.5700934579439252E-2</v>
      </c>
      <c r="J8" s="46">
        <v>400</v>
      </c>
      <c r="K8" s="89">
        <v>0.46728971962616822</v>
      </c>
      <c r="L8" s="73">
        <v>4342.1000000000004</v>
      </c>
      <c r="M8" s="26"/>
      <c r="N8" s="9"/>
      <c r="O8" s="9"/>
    </row>
    <row r="9" spans="1:15" ht="15.6" customHeight="1" x14ac:dyDescent="0.3">
      <c r="A9" s="39" t="s">
        <v>18</v>
      </c>
      <c r="B9" s="102">
        <v>373516.14</v>
      </c>
      <c r="C9" s="73">
        <v>395704.53</v>
      </c>
      <c r="D9" s="73">
        <v>295821.73</v>
      </c>
      <c r="E9" s="86">
        <v>-0.25241763090253228</v>
      </c>
      <c r="F9" s="74">
        <v>2310</v>
      </c>
      <c r="G9" s="63">
        <v>128.06135497835501</v>
      </c>
      <c r="H9" s="61">
        <v>42</v>
      </c>
      <c r="I9" s="28">
        <v>1.8181818181818181E-2</v>
      </c>
      <c r="J9" s="46">
        <v>1071</v>
      </c>
      <c r="K9" s="89">
        <v>0.46363636363636362</v>
      </c>
      <c r="L9" s="73">
        <v>15648.5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160533.82</v>
      </c>
      <c r="C10" s="73">
        <v>125229.44</v>
      </c>
      <c r="D10" s="73">
        <v>142866.03</v>
      </c>
      <c r="E10" s="86">
        <v>0.1408342159798846</v>
      </c>
      <c r="F10" s="74">
        <v>943</v>
      </c>
      <c r="G10" s="63">
        <v>151.50162248144221</v>
      </c>
      <c r="H10" s="61">
        <v>35</v>
      </c>
      <c r="I10" s="28">
        <v>3.7115588547189819E-2</v>
      </c>
      <c r="J10" s="46">
        <v>644</v>
      </c>
      <c r="K10" s="89">
        <v>0.68292682926829273</v>
      </c>
      <c r="L10" s="73">
        <v>12428.8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390104.3</v>
      </c>
      <c r="C11" s="73">
        <v>307505.65999999997</v>
      </c>
      <c r="D11" s="73">
        <v>308766.37</v>
      </c>
      <c r="E11" s="86">
        <v>4.0997944558159383E-3</v>
      </c>
      <c r="F11" s="74">
        <v>2151</v>
      </c>
      <c r="G11" s="63">
        <v>143.54549976755001</v>
      </c>
      <c r="H11" s="61">
        <v>118</v>
      </c>
      <c r="I11" s="28">
        <v>5.4858205485820551E-2</v>
      </c>
      <c r="J11" s="46">
        <v>1787</v>
      </c>
      <c r="K11" s="89">
        <v>0.83077638307763835</v>
      </c>
      <c r="L11" s="73">
        <v>17430.05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145176.81</v>
      </c>
      <c r="C12" s="73">
        <v>103713.22</v>
      </c>
      <c r="D12" s="73">
        <v>157205.84</v>
      </c>
      <c r="E12" s="86">
        <v>0.5157743631911148</v>
      </c>
      <c r="F12" s="74">
        <v>1341</v>
      </c>
      <c r="G12" s="63">
        <v>117.2303057419836</v>
      </c>
      <c r="H12" s="61">
        <v>57</v>
      </c>
      <c r="I12" s="28">
        <v>4.2505592841163307E-2</v>
      </c>
      <c r="J12" s="46">
        <v>697</v>
      </c>
      <c r="K12" s="89">
        <v>0.51976137211036544</v>
      </c>
      <c r="L12" s="73">
        <v>15295.25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248268.47</v>
      </c>
      <c r="C13" s="73">
        <v>203812.72</v>
      </c>
      <c r="D13" s="73">
        <v>205429.98</v>
      </c>
      <c r="E13" s="86">
        <v>7.935029766542586E-3</v>
      </c>
      <c r="F13" s="74">
        <v>1620</v>
      </c>
      <c r="G13" s="63">
        <v>126.80862962962961</v>
      </c>
      <c r="H13" s="61">
        <v>86</v>
      </c>
      <c r="I13" s="28">
        <v>5.3086419753086422E-2</v>
      </c>
      <c r="J13" s="46">
        <v>1260</v>
      </c>
      <c r="K13" s="89">
        <v>0.77777777777777779</v>
      </c>
      <c r="L13" s="73">
        <v>11209.05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111265.86</v>
      </c>
      <c r="C14" s="73">
        <v>94763.5</v>
      </c>
      <c r="D14" s="73">
        <v>75249.56</v>
      </c>
      <c r="E14" s="86">
        <v>-0.2059225334648889</v>
      </c>
      <c r="F14" s="74">
        <v>410</v>
      </c>
      <c r="G14" s="63">
        <v>183.53551219512201</v>
      </c>
      <c r="H14" s="61">
        <v>0</v>
      </c>
      <c r="I14" s="28">
        <v>0</v>
      </c>
      <c r="J14" s="46">
        <v>0</v>
      </c>
      <c r="K14" s="89">
        <v>0</v>
      </c>
      <c r="L14" s="73">
        <v>5477.5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374034.67</v>
      </c>
      <c r="C15" s="73">
        <v>347847.61</v>
      </c>
      <c r="D15" s="73">
        <v>162507.67000000001</v>
      </c>
      <c r="E15" s="86">
        <v>-0.53281935730419416</v>
      </c>
      <c r="F15" s="74">
        <v>1396</v>
      </c>
      <c r="G15" s="63">
        <v>116.40950573065901</v>
      </c>
      <c r="H15" s="61">
        <v>51</v>
      </c>
      <c r="I15" s="28">
        <v>3.6532951289398277E-2</v>
      </c>
      <c r="J15" s="46">
        <v>943</v>
      </c>
      <c r="K15" s="89">
        <v>0.67550143266475648</v>
      </c>
      <c r="L15" s="73">
        <v>10408.25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163350.70000000001</v>
      </c>
      <c r="C16" s="73">
        <v>139422.32</v>
      </c>
      <c r="D16" s="73">
        <v>128214.39</v>
      </c>
      <c r="E16" s="86">
        <v>-8.0388348149708078E-2</v>
      </c>
      <c r="F16" s="74">
        <v>899</v>
      </c>
      <c r="G16" s="63">
        <v>142.61889877641821</v>
      </c>
      <c r="H16" s="61">
        <v>36</v>
      </c>
      <c r="I16" s="28">
        <v>4.0044493882091213E-2</v>
      </c>
      <c r="J16" s="46">
        <v>512</v>
      </c>
      <c r="K16" s="89">
        <v>0.56952169076751946</v>
      </c>
      <c r="L16" s="73">
        <v>7138.8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228911.17</v>
      </c>
      <c r="C17" s="73">
        <v>208703.21</v>
      </c>
      <c r="D17" s="73">
        <v>207963.92</v>
      </c>
      <c r="E17" s="86">
        <v>-3.54230296697391E-3</v>
      </c>
      <c r="F17" s="74">
        <v>1382</v>
      </c>
      <c r="G17" s="63">
        <v>150.4804052098408</v>
      </c>
      <c r="H17" s="61">
        <v>116</v>
      </c>
      <c r="I17" s="28">
        <v>8.3936324167872653E-2</v>
      </c>
      <c r="J17" s="46">
        <v>1540</v>
      </c>
      <c r="K17" s="89">
        <v>1.1143270622286541</v>
      </c>
      <c r="L17" s="73">
        <v>10844.8</v>
      </c>
    </row>
    <row r="18" spans="1:12" s="70" customFormat="1" ht="15.6" customHeight="1" x14ac:dyDescent="0.3">
      <c r="A18" s="40" t="s">
        <v>33</v>
      </c>
      <c r="B18" s="102">
        <v>184896.66</v>
      </c>
      <c r="C18" s="73">
        <v>0</v>
      </c>
      <c r="D18" s="73">
        <v>178583.35</v>
      </c>
      <c r="E18" s="86">
        <v>0</v>
      </c>
      <c r="F18" s="74">
        <v>1422</v>
      </c>
      <c r="G18" s="63">
        <v>125.58604078762311</v>
      </c>
      <c r="H18" s="61">
        <v>69</v>
      </c>
      <c r="I18" s="28">
        <v>4.852320675105485E-2</v>
      </c>
      <c r="J18" s="46">
        <v>593</v>
      </c>
      <c r="K18" s="89">
        <v>0.41701828410689168</v>
      </c>
      <c r="L18" s="73">
        <v>2513.5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7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6.4184199902370329E-2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2411213.37</v>
      </c>
      <c r="C4" s="99">
        <f>SUM(C6:C18)</f>
        <v>2055708.6900000002</v>
      </c>
      <c r="D4" s="97">
        <f>SUM(D6:D18)</f>
        <v>2371443.8774999999</v>
      </c>
      <c r="E4" s="90">
        <f>IFERROR((SUM(D4-C4)/C4),0)</f>
        <v>0.15358945994434636</v>
      </c>
      <c r="F4" s="66">
        <f>SUM(F6:F18)</f>
        <v>17867</v>
      </c>
      <c r="G4" s="85">
        <f>AVERAGE(G5:G18)</f>
        <v>139.21778043427815</v>
      </c>
      <c r="H4" s="88">
        <f>SUM(H6:H18)</f>
        <v>837</v>
      </c>
      <c r="I4" s="28">
        <f>IFERROR(H4/F4,0)</f>
        <v>4.6846140930206524E-2</v>
      </c>
      <c r="J4" s="46">
        <f>SUM(J6:J18)</f>
        <v>12477</v>
      </c>
      <c r="K4" s="89">
        <f>IFERROR(J4/SUM(F4),0)</f>
        <v>0.69832652375888504</v>
      </c>
      <c r="L4" s="66">
        <f>SUM(L6:L18)</f>
        <v>138262.89000000001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248530.67</v>
      </c>
      <c r="C6" s="73">
        <v>207061.9</v>
      </c>
      <c r="D6" s="73">
        <v>201679.88</v>
      </c>
      <c r="E6" s="86">
        <v>-2.599232403450364E-2</v>
      </c>
      <c r="F6" s="74">
        <v>1622</v>
      </c>
      <c r="G6" s="63">
        <v>124.34024660912451</v>
      </c>
      <c r="H6" s="61">
        <v>84</v>
      </c>
      <c r="I6" s="28">
        <v>5.1787916152897663E-2</v>
      </c>
      <c r="J6" s="46">
        <v>1032</v>
      </c>
      <c r="K6" s="89">
        <v>0.63625154130702832</v>
      </c>
      <c r="L6" s="73">
        <v>12418.15</v>
      </c>
      <c r="M6" s="26"/>
      <c r="N6" s="9"/>
      <c r="O6" s="9"/>
    </row>
    <row r="7" spans="1:15" ht="15.6" customHeight="1" x14ac:dyDescent="0.3">
      <c r="A7" s="39" t="s">
        <v>16</v>
      </c>
      <c r="B7" s="102">
        <v>176666.07</v>
      </c>
      <c r="C7" s="73">
        <v>190952.05</v>
      </c>
      <c r="D7" s="73">
        <v>184805.59</v>
      </c>
      <c r="E7" s="86">
        <v>-3.2188499678322352E-2</v>
      </c>
      <c r="F7" s="74">
        <v>1513</v>
      </c>
      <c r="G7" s="63">
        <v>122.14513549239921</v>
      </c>
      <c r="H7" s="61">
        <v>101</v>
      </c>
      <c r="I7" s="28">
        <v>6.6754791804362196E-2</v>
      </c>
      <c r="J7" s="46">
        <v>1346</v>
      </c>
      <c r="K7" s="89">
        <v>0.88962326503635158</v>
      </c>
      <c r="L7" s="73">
        <v>13003.15</v>
      </c>
      <c r="M7" s="26"/>
      <c r="N7" s="9"/>
      <c r="O7" s="9"/>
    </row>
    <row r="8" spans="1:15" ht="15.6" customHeight="1" x14ac:dyDescent="0.3">
      <c r="A8" s="39" t="s">
        <v>17</v>
      </c>
      <c r="B8" s="102">
        <v>123407.79</v>
      </c>
      <c r="C8" s="73">
        <v>105168.35</v>
      </c>
      <c r="D8" s="73">
        <v>128771.64</v>
      </c>
      <c r="E8" s="86">
        <v>0.22443339654943709</v>
      </c>
      <c r="F8" s="74">
        <v>925</v>
      </c>
      <c r="G8" s="63">
        <v>139.2125837837838</v>
      </c>
      <c r="H8" s="61">
        <v>35</v>
      </c>
      <c r="I8" s="28">
        <v>3.783783783783784E-2</v>
      </c>
      <c r="J8" s="46">
        <v>435</v>
      </c>
      <c r="K8" s="89">
        <v>0.4702702702702703</v>
      </c>
      <c r="L8" s="73">
        <v>6131.8</v>
      </c>
      <c r="M8" s="26"/>
      <c r="N8" s="9"/>
      <c r="O8" s="9"/>
    </row>
    <row r="9" spans="1:15" ht="15.6" customHeight="1" x14ac:dyDescent="0.3">
      <c r="A9" s="39" t="s">
        <v>18</v>
      </c>
      <c r="B9" s="102">
        <v>295821.73</v>
      </c>
      <c r="C9" s="73">
        <v>306308.53999999998</v>
      </c>
      <c r="D9" s="73">
        <v>287782.46000000002</v>
      </c>
      <c r="E9" s="86">
        <v>-6.0481761298591147E-2</v>
      </c>
      <c r="F9" s="74">
        <v>2230</v>
      </c>
      <c r="G9" s="63">
        <v>129.05043049327361</v>
      </c>
      <c r="H9" s="61">
        <v>52</v>
      </c>
      <c r="I9" s="28">
        <v>2.3318385650224219E-2</v>
      </c>
      <c r="J9" s="46">
        <v>1123</v>
      </c>
      <c r="K9" s="89">
        <v>0.50358744394618837</v>
      </c>
      <c r="L9" s="73">
        <v>12247.74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142866.03</v>
      </c>
      <c r="C10" s="73">
        <v>123497.04</v>
      </c>
      <c r="D10" s="73">
        <v>139046.1</v>
      </c>
      <c r="E10" s="86">
        <v>0.125906337512219</v>
      </c>
      <c r="F10" s="74">
        <v>898</v>
      </c>
      <c r="G10" s="63">
        <v>154.83975501113579</v>
      </c>
      <c r="H10" s="61">
        <v>36</v>
      </c>
      <c r="I10" s="28">
        <v>4.0089086859688199E-2</v>
      </c>
      <c r="J10" s="46">
        <v>680</v>
      </c>
      <c r="K10" s="89">
        <v>0.75723830734966591</v>
      </c>
      <c r="L10" s="73">
        <v>9481.4500000000007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308766.37</v>
      </c>
      <c r="C11" s="73">
        <v>298329.57</v>
      </c>
      <c r="D11" s="73">
        <v>339715.46</v>
      </c>
      <c r="E11" s="86">
        <v>0.138725403586376</v>
      </c>
      <c r="F11" s="74">
        <v>2335</v>
      </c>
      <c r="G11" s="63">
        <v>145.48841970021411</v>
      </c>
      <c r="H11" s="61">
        <v>132</v>
      </c>
      <c r="I11" s="28">
        <v>5.6531049250535328E-2</v>
      </c>
      <c r="J11" s="46">
        <v>1919</v>
      </c>
      <c r="K11" s="89">
        <v>0.82184154175588864</v>
      </c>
      <c r="L11" s="73">
        <v>20726.900000000001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157205.84</v>
      </c>
      <c r="C12" s="73">
        <v>120383.09</v>
      </c>
      <c r="D12" s="73">
        <v>151603.94</v>
      </c>
      <c r="E12" s="86">
        <v>0.25934581011336399</v>
      </c>
      <c r="F12" s="74">
        <v>1245</v>
      </c>
      <c r="G12" s="63">
        <v>121.77023293172689</v>
      </c>
      <c r="H12" s="61">
        <v>51</v>
      </c>
      <c r="I12" s="28">
        <v>4.0963855421686748E-2</v>
      </c>
      <c r="J12" s="46">
        <v>748</v>
      </c>
      <c r="K12" s="89">
        <v>0.60080321285140559</v>
      </c>
      <c r="L12" s="73">
        <v>16710.900000000001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205429.98</v>
      </c>
      <c r="C13" s="73">
        <v>192172.76</v>
      </c>
      <c r="D13" s="73">
        <v>204317.08</v>
      </c>
      <c r="E13" s="86">
        <v>6.3194804508193453E-2</v>
      </c>
      <c r="F13" s="74">
        <v>1559</v>
      </c>
      <c r="G13" s="63">
        <v>131.0564977549711</v>
      </c>
      <c r="H13" s="61">
        <v>100</v>
      </c>
      <c r="I13" s="28">
        <v>6.4143681847338041E-2</v>
      </c>
      <c r="J13" s="46">
        <v>1360</v>
      </c>
      <c r="K13" s="89">
        <v>0.87235407312379731</v>
      </c>
      <c r="L13" s="73">
        <v>12593.25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75249.56</v>
      </c>
      <c r="C14" s="73">
        <v>73416.009999999995</v>
      </c>
      <c r="D14" s="73">
        <v>54770.8675</v>
      </c>
      <c r="E14" s="86">
        <v>-0.25396562003301448</v>
      </c>
      <c r="F14" s="74">
        <v>252</v>
      </c>
      <c r="G14" s="63">
        <v>217.34471230158729</v>
      </c>
      <c r="H14" s="61">
        <v>0</v>
      </c>
      <c r="I14" s="28">
        <v>0</v>
      </c>
      <c r="J14" s="46">
        <v>0</v>
      </c>
      <c r="K14" s="89">
        <v>0</v>
      </c>
      <c r="L14" s="73">
        <v>3415.6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162507.67000000001</v>
      </c>
      <c r="C15" s="73">
        <v>143309.31</v>
      </c>
      <c r="D15" s="73">
        <v>170092.54</v>
      </c>
      <c r="E15" s="86">
        <v>0.18689106799830391</v>
      </c>
      <c r="F15" s="74">
        <v>1686</v>
      </c>
      <c r="G15" s="63">
        <v>100.88525504151841</v>
      </c>
      <c r="H15" s="61">
        <v>71</v>
      </c>
      <c r="I15" s="28">
        <v>4.2111506524317922E-2</v>
      </c>
      <c r="J15" s="46">
        <v>1014</v>
      </c>
      <c r="K15" s="89">
        <v>0.60142348754448394</v>
      </c>
      <c r="L15" s="73">
        <v>6960.8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128214.39</v>
      </c>
      <c r="C16" s="73">
        <v>116441.78</v>
      </c>
      <c r="D16" s="73">
        <v>112828.63</v>
      </c>
      <c r="E16" s="86">
        <v>-3.1029669934623069E-2</v>
      </c>
      <c r="F16" s="74">
        <v>800</v>
      </c>
      <c r="G16" s="63">
        <v>141.0357875</v>
      </c>
      <c r="H16" s="61">
        <v>25</v>
      </c>
      <c r="I16" s="28">
        <v>3.125E-2</v>
      </c>
      <c r="J16" s="46">
        <v>537</v>
      </c>
      <c r="K16" s="89">
        <v>0.67125000000000001</v>
      </c>
      <c r="L16" s="73">
        <v>7658.4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207963.92</v>
      </c>
      <c r="C17" s="73">
        <v>178668.29</v>
      </c>
      <c r="D17" s="73">
        <v>212238.52</v>
      </c>
      <c r="E17" s="86">
        <v>0.18789137121086219</v>
      </c>
      <c r="F17" s="74">
        <v>1402</v>
      </c>
      <c r="G17" s="63">
        <v>151.38268188302419</v>
      </c>
      <c r="H17" s="61">
        <v>86</v>
      </c>
      <c r="I17" s="28">
        <v>6.1340941512125532E-2</v>
      </c>
      <c r="J17" s="46">
        <v>1626</v>
      </c>
      <c r="K17" s="89">
        <v>1.1597717546362341</v>
      </c>
      <c r="L17" s="73">
        <v>13277.75</v>
      </c>
    </row>
    <row r="18" spans="1:12" s="70" customFormat="1" ht="15.6" customHeight="1" x14ac:dyDescent="0.3">
      <c r="A18" s="40" t="s">
        <v>33</v>
      </c>
      <c r="B18" s="102">
        <v>178583.35</v>
      </c>
      <c r="C18" s="73">
        <v>0</v>
      </c>
      <c r="D18" s="73">
        <v>183791.17</v>
      </c>
      <c r="E18" s="86">
        <v>0</v>
      </c>
      <c r="F18" s="74">
        <v>1400</v>
      </c>
      <c r="G18" s="63">
        <v>131.27940714285711</v>
      </c>
      <c r="H18" s="61">
        <v>64</v>
      </c>
      <c r="I18" s="28">
        <v>4.5714285714285707E-2</v>
      </c>
      <c r="J18" s="46">
        <v>657</v>
      </c>
      <c r="K18" s="89">
        <v>0.46928571428571431</v>
      </c>
      <c r="L18" s="73">
        <v>3637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6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0.11614738358701925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2371443.8774999999</v>
      </c>
      <c r="C4" s="99">
        <f>SUM(C6:C18)</f>
        <v>2036262.8300000003</v>
      </c>
      <c r="D4" s="97">
        <f>SUM(D6:D18)</f>
        <v>2444884.9399999995</v>
      </c>
      <c r="E4" s="90">
        <f>IFERROR((SUM(D4-C4)/C4),0)</f>
        <v>0.20067257722324536</v>
      </c>
      <c r="F4" s="66">
        <f>SUM(F6:F18)</f>
        <v>25262</v>
      </c>
      <c r="G4" s="85">
        <f>AVERAGE(G5:G18)</f>
        <v>125.34117356715615</v>
      </c>
      <c r="H4" s="88">
        <f>SUM(H6:H18)</f>
        <v>588</v>
      </c>
      <c r="I4" s="28">
        <f>IFERROR(H4/F4,0)</f>
        <v>2.3276066819729237E-2</v>
      </c>
      <c r="J4" s="46">
        <f>SUM(J6:J18)</f>
        <v>13065</v>
      </c>
      <c r="K4" s="89">
        <f>IFERROR(J4/SUM(F4),0)</f>
        <v>0.51717995408122874</v>
      </c>
      <c r="L4" s="66">
        <f>SUM(L6:L18)</f>
        <v>128347.9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201679.88</v>
      </c>
      <c r="C6" s="73">
        <v>197929.61</v>
      </c>
      <c r="D6" s="73">
        <v>230488.04</v>
      </c>
      <c r="E6" s="86">
        <v>0.16449499395264819</v>
      </c>
      <c r="F6" s="74">
        <v>1904</v>
      </c>
      <c r="G6" s="63">
        <v>121.05464285714289</v>
      </c>
      <c r="H6" s="61">
        <v>45</v>
      </c>
      <c r="I6" s="28">
        <v>2.3634453781512601E-2</v>
      </c>
      <c r="J6" s="46">
        <v>1077</v>
      </c>
      <c r="K6" s="89">
        <v>0.56565126050420167</v>
      </c>
      <c r="L6" s="73">
        <v>13711</v>
      </c>
      <c r="M6" s="26"/>
      <c r="N6" s="9"/>
      <c r="O6" s="9"/>
    </row>
    <row r="7" spans="1:15" ht="15.6" customHeight="1" x14ac:dyDescent="0.3">
      <c r="A7" s="39" t="s">
        <v>16</v>
      </c>
      <c r="B7" s="102">
        <v>184805.59</v>
      </c>
      <c r="C7" s="73">
        <v>171542.2</v>
      </c>
      <c r="D7" s="73">
        <v>184585.22</v>
      </c>
      <c r="E7" s="86">
        <v>7.6033885539534815E-2</v>
      </c>
      <c r="F7" s="74">
        <v>1529</v>
      </c>
      <c r="G7" s="63">
        <v>120.7228384565075</v>
      </c>
      <c r="H7" s="61">
        <v>54</v>
      </c>
      <c r="I7" s="28">
        <v>3.5317200784826683E-2</v>
      </c>
      <c r="J7" s="46">
        <v>1400</v>
      </c>
      <c r="K7" s="89">
        <v>0.91563113145846964</v>
      </c>
      <c r="L7" s="73">
        <v>10723.4</v>
      </c>
      <c r="M7" s="26"/>
      <c r="N7" s="9"/>
      <c r="O7" s="9"/>
    </row>
    <row r="8" spans="1:15" ht="15.6" customHeight="1" x14ac:dyDescent="0.3">
      <c r="A8" s="39" t="s">
        <v>17</v>
      </c>
      <c r="B8" s="102">
        <v>128771.64</v>
      </c>
      <c r="C8" s="73">
        <v>103915.13</v>
      </c>
      <c r="D8" s="73">
        <v>114183.99</v>
      </c>
      <c r="E8" s="86">
        <v>9.8819681022388181E-2</v>
      </c>
      <c r="F8" s="74">
        <v>822</v>
      </c>
      <c r="G8" s="63">
        <v>138.90996350364961</v>
      </c>
      <c r="H8" s="61">
        <v>31</v>
      </c>
      <c r="I8" s="28">
        <v>3.7712895377128963E-2</v>
      </c>
      <c r="J8" s="46">
        <v>466</v>
      </c>
      <c r="K8" s="89">
        <v>0.56690997566909973</v>
      </c>
      <c r="L8" s="73">
        <v>4278.6000000000004</v>
      </c>
      <c r="M8" s="26"/>
      <c r="N8" s="9"/>
      <c r="O8" s="9"/>
    </row>
    <row r="9" spans="1:15" ht="15.6" customHeight="1" x14ac:dyDescent="0.3">
      <c r="A9" s="39" t="s">
        <v>18</v>
      </c>
      <c r="B9" s="102">
        <v>287782.46000000002</v>
      </c>
      <c r="C9" s="73">
        <v>299662.40000000002</v>
      </c>
      <c r="D9" s="73">
        <v>300470.18</v>
      </c>
      <c r="E9" s="86">
        <v>2.6956334862163881E-3</v>
      </c>
      <c r="F9" s="74">
        <v>2294</v>
      </c>
      <c r="G9" s="63">
        <v>130.98089799476901</v>
      </c>
      <c r="H9" s="61">
        <v>62</v>
      </c>
      <c r="I9" s="28">
        <v>2.7027027027027029E-2</v>
      </c>
      <c r="J9" s="46">
        <v>1185</v>
      </c>
      <c r="K9" s="89">
        <v>0.51656495204882302</v>
      </c>
      <c r="L9" s="73">
        <v>12473.5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139046.1</v>
      </c>
      <c r="C10" s="73">
        <v>150364.32</v>
      </c>
      <c r="D10" s="73">
        <v>128193.73</v>
      </c>
      <c r="E10" s="86">
        <v>-0.14744581693316611</v>
      </c>
      <c r="F10" s="74">
        <v>819</v>
      </c>
      <c r="G10" s="63">
        <v>156.52470085470091</v>
      </c>
      <c r="H10" s="61">
        <v>27</v>
      </c>
      <c r="I10" s="28">
        <v>3.2967032967032968E-2</v>
      </c>
      <c r="J10" s="46">
        <v>707</v>
      </c>
      <c r="K10" s="89">
        <v>0.86324786324786329</v>
      </c>
      <c r="L10" s="73">
        <v>8034.2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339715.46</v>
      </c>
      <c r="C11" s="73">
        <v>305149.49</v>
      </c>
      <c r="D11" s="73">
        <v>308450.45</v>
      </c>
      <c r="E11" s="86">
        <v>1.081751766978218E-2</v>
      </c>
      <c r="F11" s="74">
        <v>1991</v>
      </c>
      <c r="G11" s="63">
        <v>154.92237569060771</v>
      </c>
      <c r="H11" s="61">
        <v>108</v>
      </c>
      <c r="I11" s="28">
        <v>5.4244098442993473E-2</v>
      </c>
      <c r="J11" s="46">
        <v>2027</v>
      </c>
      <c r="K11" s="89">
        <v>1.018081366147664</v>
      </c>
      <c r="L11" s="73">
        <v>17256.55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151603.94</v>
      </c>
      <c r="C12" s="73">
        <v>126708.44</v>
      </c>
      <c r="D12" s="73">
        <v>140833.69</v>
      </c>
      <c r="E12" s="86">
        <v>0.1114783671869056</v>
      </c>
      <c r="F12" s="74">
        <v>1094</v>
      </c>
      <c r="G12" s="63">
        <v>128.73280621572209</v>
      </c>
      <c r="H12" s="61">
        <v>23</v>
      </c>
      <c r="I12" s="28">
        <v>2.1023765996343691E-2</v>
      </c>
      <c r="J12" s="46">
        <v>771</v>
      </c>
      <c r="K12" s="89">
        <v>0.70475319926873858</v>
      </c>
      <c r="L12" s="73">
        <v>9580.7999999999993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204317.08</v>
      </c>
      <c r="C13" s="73">
        <v>201732.63</v>
      </c>
      <c r="D13" s="73">
        <v>194170.35</v>
      </c>
      <c r="E13" s="86">
        <v>-3.7486647549283422E-2</v>
      </c>
      <c r="F13" s="74">
        <v>1500</v>
      </c>
      <c r="G13" s="63">
        <v>129.4469</v>
      </c>
      <c r="H13" s="61">
        <v>51</v>
      </c>
      <c r="I13" s="28">
        <v>3.4000000000000002E-2</v>
      </c>
      <c r="J13" s="46">
        <v>1411</v>
      </c>
      <c r="K13" s="89">
        <v>0.94066666666666665</v>
      </c>
      <c r="L13" s="73">
        <v>10205.200000000001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54770.8675</v>
      </c>
      <c r="C14" s="73">
        <v>57445.66</v>
      </c>
      <c r="D14" s="73">
        <v>66499.56</v>
      </c>
      <c r="E14" s="86">
        <v>0.15760807691999701</v>
      </c>
      <c r="F14" s="74">
        <v>7420</v>
      </c>
      <c r="G14" s="63">
        <v>8.9622048517520216</v>
      </c>
      <c r="H14" s="61">
        <v>0</v>
      </c>
      <c r="I14" s="28">
        <v>0</v>
      </c>
      <c r="J14" s="46">
        <v>0</v>
      </c>
      <c r="K14" s="89">
        <v>0</v>
      </c>
      <c r="L14" s="73">
        <v>6554.88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170092.54</v>
      </c>
      <c r="C15" s="73">
        <v>121351.35</v>
      </c>
      <c r="D15" s="73">
        <v>269262.96999999997</v>
      </c>
      <c r="E15" s="86">
        <v>1.2188708242635951</v>
      </c>
      <c r="F15" s="74">
        <v>2210</v>
      </c>
      <c r="G15" s="63">
        <v>121.8384479638009</v>
      </c>
      <c r="H15" s="61">
        <v>29</v>
      </c>
      <c r="I15" s="28">
        <v>1.3122171945701359E-2</v>
      </c>
      <c r="J15" s="46">
        <v>1043</v>
      </c>
      <c r="K15" s="89">
        <v>0.47194570135746611</v>
      </c>
      <c r="L15" s="73">
        <v>13241.12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112828.63</v>
      </c>
      <c r="C16" s="73">
        <v>106714.27</v>
      </c>
      <c r="D16" s="73">
        <v>133685.73000000001</v>
      </c>
      <c r="E16" s="86">
        <v>0.25274464230510141</v>
      </c>
      <c r="F16" s="74">
        <v>931</v>
      </c>
      <c r="G16" s="63">
        <v>143.5936949516649</v>
      </c>
      <c r="H16" s="61">
        <v>28</v>
      </c>
      <c r="I16" s="28">
        <v>3.007518796992481E-2</v>
      </c>
      <c r="J16" s="46">
        <v>565</v>
      </c>
      <c r="K16" s="89">
        <v>0.60687432867883995</v>
      </c>
      <c r="L16" s="73">
        <v>6934.9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212238.52</v>
      </c>
      <c r="C17" s="73">
        <v>193747.33</v>
      </c>
      <c r="D17" s="73">
        <v>201945.52</v>
      </c>
      <c r="E17" s="86">
        <v>4.2313821821441368E-2</v>
      </c>
      <c r="F17" s="74">
        <v>1313</v>
      </c>
      <c r="G17" s="63">
        <v>153.80466108149281</v>
      </c>
      <c r="H17" s="61">
        <v>90</v>
      </c>
      <c r="I17" s="28">
        <v>6.8545316070068543E-2</v>
      </c>
      <c r="J17" s="46">
        <v>1716</v>
      </c>
      <c r="K17" s="89">
        <v>1.306930693069307</v>
      </c>
      <c r="L17" s="73">
        <v>10970.55</v>
      </c>
    </row>
    <row r="18" spans="1:12" s="70" customFormat="1" ht="15.6" customHeight="1" x14ac:dyDescent="0.3">
      <c r="A18" s="40" t="s">
        <v>33</v>
      </c>
      <c r="B18" s="102">
        <v>183791.17</v>
      </c>
      <c r="C18" s="73">
        <v>0</v>
      </c>
      <c r="D18" s="73">
        <v>172115.51</v>
      </c>
      <c r="E18" s="86">
        <v>0</v>
      </c>
      <c r="F18" s="74">
        <v>1435</v>
      </c>
      <c r="G18" s="63">
        <v>119.9411219512195</v>
      </c>
      <c r="H18" s="61">
        <v>40</v>
      </c>
      <c r="I18" s="28">
        <v>2.787456445993031E-2</v>
      </c>
      <c r="J18" s="46">
        <v>697</v>
      </c>
      <c r="K18" s="89">
        <v>0.48571428571428571</v>
      </c>
      <c r="L18" s="73">
        <v>4383.2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5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J2" sqref="J2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9.6300743547296438E-2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2444884.9399999995</v>
      </c>
      <c r="C4" s="99">
        <f>SUM(C6:C18)</f>
        <v>2229325.5699999998</v>
      </c>
      <c r="D4" s="97">
        <f>SUM(D6:D18)</f>
        <v>2622211.79</v>
      </c>
      <c r="E4" s="90">
        <f>IFERROR((SUM(D4-C4)/C4),0)</f>
        <v>0.17623546120273506</v>
      </c>
      <c r="F4" s="66">
        <f>SUM(F6:F18)</f>
        <v>19139</v>
      </c>
      <c r="G4" s="85">
        <f>AVERAGE(G5:G18)</f>
        <v>140.90302516622145</v>
      </c>
      <c r="H4" s="88">
        <f>SUM(H6:H18)</f>
        <v>615</v>
      </c>
      <c r="I4" s="28">
        <f>IFERROR(H4/F4,0)</f>
        <v>3.2133340299911176E-2</v>
      </c>
      <c r="J4" s="46">
        <f>SUM(J6:J18)</f>
        <v>13680</v>
      </c>
      <c r="K4" s="89">
        <f>IFERROR(J4/SUM(F4),0)</f>
        <v>0.71477088667119493</v>
      </c>
      <c r="L4" s="66">
        <f>SUM(L6:L18)</f>
        <v>119162.84999999999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230488.04</v>
      </c>
      <c r="C6" s="73">
        <v>256698.91</v>
      </c>
      <c r="D6" s="73">
        <v>278639.64</v>
      </c>
      <c r="E6" s="86">
        <v>8.5472626276441963E-2</v>
      </c>
      <c r="F6" s="74">
        <v>2227</v>
      </c>
      <c r="G6" s="63">
        <v>125.1188325101033</v>
      </c>
      <c r="H6" s="61">
        <v>67</v>
      </c>
      <c r="I6" s="28">
        <v>3.0085316569375839E-2</v>
      </c>
      <c r="J6" s="46">
        <v>1144</v>
      </c>
      <c r="K6" s="89">
        <v>0.513695554557701</v>
      </c>
      <c r="L6" s="73">
        <v>9519.75</v>
      </c>
      <c r="M6" s="26"/>
      <c r="N6" s="9"/>
      <c r="O6" s="9"/>
    </row>
    <row r="7" spans="1:15" ht="15.6" customHeight="1" x14ac:dyDescent="0.3">
      <c r="A7" s="39" t="s">
        <v>16</v>
      </c>
      <c r="B7" s="102">
        <v>184585.22</v>
      </c>
      <c r="C7" s="73">
        <v>181356.98</v>
      </c>
      <c r="D7" s="73">
        <v>205425.47</v>
      </c>
      <c r="E7" s="86">
        <v>0.13271333697771101</v>
      </c>
      <c r="F7" s="74">
        <v>1575</v>
      </c>
      <c r="G7" s="63">
        <v>130.4288698412698</v>
      </c>
      <c r="H7" s="61">
        <v>58</v>
      </c>
      <c r="I7" s="28">
        <v>3.6825396825396817E-2</v>
      </c>
      <c r="J7" s="46">
        <v>1458</v>
      </c>
      <c r="K7" s="89">
        <v>0.92571428571428571</v>
      </c>
      <c r="L7" s="73">
        <v>10708</v>
      </c>
      <c r="M7" s="26"/>
      <c r="N7" s="9"/>
      <c r="O7" s="9"/>
    </row>
    <row r="8" spans="1:15" ht="15.6" customHeight="1" x14ac:dyDescent="0.3">
      <c r="A8" s="39" t="s">
        <v>17</v>
      </c>
      <c r="B8" s="102">
        <v>114183.99</v>
      </c>
      <c r="C8" s="73">
        <v>109660.7</v>
      </c>
      <c r="D8" s="73">
        <v>125462.37</v>
      </c>
      <c r="E8" s="86">
        <v>0.14409601616622911</v>
      </c>
      <c r="F8" s="74">
        <v>807</v>
      </c>
      <c r="G8" s="63">
        <v>155.46762081784391</v>
      </c>
      <c r="H8" s="61">
        <v>9</v>
      </c>
      <c r="I8" s="28">
        <v>1.1152416356877319E-2</v>
      </c>
      <c r="J8" s="46">
        <v>475</v>
      </c>
      <c r="K8" s="89">
        <v>0.58859975216852545</v>
      </c>
      <c r="L8" s="73">
        <v>4425.5</v>
      </c>
      <c r="M8" s="26"/>
      <c r="N8" s="9"/>
      <c r="O8" s="9"/>
    </row>
    <row r="9" spans="1:15" ht="15.6" customHeight="1" x14ac:dyDescent="0.3">
      <c r="A9" s="39" t="s">
        <v>18</v>
      </c>
      <c r="B9" s="102">
        <v>300470.18</v>
      </c>
      <c r="C9" s="73">
        <v>331693.38</v>
      </c>
      <c r="D9" s="73">
        <v>341411.74</v>
      </c>
      <c r="E9" s="86">
        <v>2.9299228100361799E-2</v>
      </c>
      <c r="F9" s="74">
        <v>2484</v>
      </c>
      <c r="G9" s="63">
        <v>137.44433977455719</v>
      </c>
      <c r="H9" s="61">
        <v>68</v>
      </c>
      <c r="I9" s="28">
        <v>2.737520128824477E-2</v>
      </c>
      <c r="J9" s="46">
        <v>1253</v>
      </c>
      <c r="K9" s="89">
        <v>0.50442834138486314</v>
      </c>
      <c r="L9" s="73">
        <v>14039.7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128193.73</v>
      </c>
      <c r="C10" s="73">
        <v>128841.5</v>
      </c>
      <c r="D10" s="73">
        <v>137627.16</v>
      </c>
      <c r="E10" s="86">
        <v>6.818967491064605E-2</v>
      </c>
      <c r="F10" s="74">
        <v>850</v>
      </c>
      <c r="G10" s="63">
        <v>161.91430588235289</v>
      </c>
      <c r="H10" s="61">
        <v>54</v>
      </c>
      <c r="I10" s="28">
        <v>6.3529411764705876E-2</v>
      </c>
      <c r="J10" s="46">
        <v>761</v>
      </c>
      <c r="K10" s="89">
        <v>0.8952941176470588</v>
      </c>
      <c r="L10" s="73">
        <v>7411.1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308450.45</v>
      </c>
      <c r="C11" s="73">
        <v>305554.94</v>
      </c>
      <c r="D11" s="73">
        <v>342630.09</v>
      </c>
      <c r="E11" s="86">
        <v>0.1213370989845558</v>
      </c>
      <c r="F11" s="74">
        <v>2314</v>
      </c>
      <c r="G11" s="63">
        <v>148.06831892826281</v>
      </c>
      <c r="H11" s="61">
        <v>85</v>
      </c>
      <c r="I11" s="28">
        <v>3.6732929991356959E-2</v>
      </c>
      <c r="J11" s="46">
        <v>2112</v>
      </c>
      <c r="K11" s="89">
        <v>0.91270527225583409</v>
      </c>
      <c r="L11" s="73">
        <v>18913.05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140833.69</v>
      </c>
      <c r="C12" s="73">
        <v>100037.08</v>
      </c>
      <c r="D12" s="73">
        <v>163242.43</v>
      </c>
      <c r="E12" s="86">
        <v>0.63181922143269265</v>
      </c>
      <c r="F12" s="74">
        <v>1495</v>
      </c>
      <c r="G12" s="63">
        <v>109.1922608695652</v>
      </c>
      <c r="H12" s="61">
        <v>28</v>
      </c>
      <c r="I12" s="28">
        <v>1.872909698996655E-2</v>
      </c>
      <c r="J12" s="46">
        <v>799</v>
      </c>
      <c r="K12" s="89">
        <v>0.53444816053511701</v>
      </c>
      <c r="L12" s="73">
        <v>12026.3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194170.35</v>
      </c>
      <c r="C13" s="73">
        <v>205831.62</v>
      </c>
      <c r="D13" s="73">
        <v>206365.41</v>
      </c>
      <c r="E13" s="86">
        <v>2.5933333275033649E-3</v>
      </c>
      <c r="F13" s="74">
        <v>1518</v>
      </c>
      <c r="G13" s="63">
        <v>135.9455928853755</v>
      </c>
      <c r="H13" s="61">
        <v>64</v>
      </c>
      <c r="I13" s="28">
        <v>4.2160737812911728E-2</v>
      </c>
      <c r="J13" s="46">
        <v>1475</v>
      </c>
      <c r="K13" s="89">
        <v>0.97167325428194995</v>
      </c>
      <c r="L13" s="73">
        <v>7669.75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66499.56</v>
      </c>
      <c r="C14" s="73">
        <v>77817.570000000007</v>
      </c>
      <c r="D14" s="73">
        <v>95538.26</v>
      </c>
      <c r="E14" s="86">
        <v>0.22772093757232439</v>
      </c>
      <c r="F14" s="74">
        <v>557</v>
      </c>
      <c r="G14" s="63">
        <v>171.52290843806099</v>
      </c>
      <c r="H14" s="61">
        <v>0</v>
      </c>
      <c r="I14" s="28">
        <v>0</v>
      </c>
      <c r="J14" s="46">
        <v>0</v>
      </c>
      <c r="K14" s="89">
        <v>0</v>
      </c>
      <c r="L14" s="73">
        <v>1122.5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269262.96999999997</v>
      </c>
      <c r="C15" s="73">
        <v>232094.91</v>
      </c>
      <c r="D15" s="73">
        <v>212160.14</v>
      </c>
      <c r="E15" s="86">
        <v>-8.589059536032044E-2</v>
      </c>
      <c r="F15" s="74">
        <v>1748</v>
      </c>
      <c r="G15" s="63">
        <v>121.3730778032037</v>
      </c>
      <c r="H15" s="61">
        <v>45</v>
      </c>
      <c r="I15" s="28">
        <v>2.5743707093821511E-2</v>
      </c>
      <c r="J15" s="46">
        <v>1088</v>
      </c>
      <c r="K15" s="89">
        <v>0.62242562929061784</v>
      </c>
      <c r="L15" s="73">
        <v>8888.85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133685.73000000001</v>
      </c>
      <c r="C16" s="73">
        <v>112202.87</v>
      </c>
      <c r="D16" s="73">
        <v>122313.92</v>
      </c>
      <c r="E16" s="86">
        <v>9.011400510521704E-2</v>
      </c>
      <c r="F16" s="74">
        <v>809</v>
      </c>
      <c r="G16" s="63">
        <v>151.1914956736712</v>
      </c>
      <c r="H16" s="61">
        <v>19</v>
      </c>
      <c r="I16" s="28">
        <v>2.348578491965389E-2</v>
      </c>
      <c r="J16" s="46">
        <v>584</v>
      </c>
      <c r="K16" s="89">
        <v>0.72187886279357227</v>
      </c>
      <c r="L16" s="73">
        <v>6177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201945.52</v>
      </c>
      <c r="C17" s="73">
        <v>187535.11</v>
      </c>
      <c r="D17" s="73">
        <v>213194.65</v>
      </c>
      <c r="E17" s="86">
        <v>0.13682525901416551</v>
      </c>
      <c r="F17" s="74">
        <v>1381</v>
      </c>
      <c r="G17" s="63">
        <v>154.3770094134685</v>
      </c>
      <c r="H17" s="61">
        <v>90</v>
      </c>
      <c r="I17" s="28">
        <v>6.5170166545981179E-2</v>
      </c>
      <c r="J17" s="46">
        <v>1806</v>
      </c>
      <c r="K17" s="89">
        <v>1.307748008689356</v>
      </c>
      <c r="L17" s="73">
        <v>14734.45</v>
      </c>
    </row>
    <row r="18" spans="1:12" s="70" customFormat="1" ht="15.6" customHeight="1" x14ac:dyDescent="0.3">
      <c r="A18" s="40" t="s">
        <v>33</v>
      </c>
      <c r="B18" s="102">
        <v>172115.51</v>
      </c>
      <c r="C18" s="73">
        <v>0</v>
      </c>
      <c r="D18" s="73">
        <v>178200.51</v>
      </c>
      <c r="E18" s="86">
        <v>0</v>
      </c>
      <c r="F18" s="74">
        <v>1374</v>
      </c>
      <c r="G18" s="63">
        <v>129.69469432314409</v>
      </c>
      <c r="H18" s="61">
        <v>28</v>
      </c>
      <c r="I18" s="28">
        <v>2.0378457059679771E-2</v>
      </c>
      <c r="J18" s="46">
        <v>725</v>
      </c>
      <c r="K18" s="89">
        <v>0.52765647743813682</v>
      </c>
      <c r="L18" s="73">
        <v>3526.9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4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pageSetUpPr fitToPage="1"/>
  </sheetPr>
  <dimension ref="A1:Q27"/>
  <sheetViews>
    <sheetView view="pageBreakPreview" zoomScale="70" zoomScaleNormal="80" zoomScaleSheetLayoutView="70" workbookViewId="0">
      <pane xSplit="1" topLeftCell="B1" activePane="topRight" state="frozen"/>
      <selection pane="topRight" activeCell="D6" sqref="D6:D18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/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0.1049980121605379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2622211.79</v>
      </c>
      <c r="C4" s="99">
        <f>SUM(C6:C18)</f>
        <v>2278705.14</v>
      </c>
      <c r="D4" s="97">
        <f>SUM(D6:D18)</f>
        <v>2713962.3200000003</v>
      </c>
      <c r="E4" s="90">
        <f>IFERROR((SUM(D4-C4)/C4),0)</f>
        <v>0.19101075095657183</v>
      </c>
      <c r="F4" s="66">
        <f>SUM(F6:F18)</f>
        <v>20630</v>
      </c>
      <c r="G4" s="85">
        <f>AVERAGE(G5:G18)</f>
        <v>136.00189616547604</v>
      </c>
      <c r="H4" s="88">
        <f>SUM(H6:H18)</f>
        <v>616</v>
      </c>
      <c r="I4" s="28">
        <f>IFERROR(H4/F4,0)</f>
        <v>2.9859428017450316E-2</v>
      </c>
      <c r="J4" s="46">
        <f>SUM(J6:J18)</f>
        <v>14296</v>
      </c>
      <c r="K4" s="89">
        <f>IFERROR(J4/SUM(F4),0)</f>
        <v>0.69297140087251574</v>
      </c>
      <c r="L4" s="66">
        <f>SUM(L6:L18)</f>
        <v>134848.43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>IFERROR((SUM(D5-C5)/C5),0)</f>
        <v>0</v>
      </c>
      <c r="F5" s="68"/>
      <c r="G5" s="84"/>
      <c r="H5" s="68"/>
      <c r="I5" s="28">
        <f>IFERROR(H5/F5,0)</f>
        <v>0</v>
      </c>
      <c r="J5" s="46">
        <f>H5+'Nov 19 - Nov 25'!I5+'Nov 26 - Dec 2'!I5+'Dec 3 - Dec 9'!I5+'Dec 10 - Dec 16'!I5+'Dec 17 - Dec 23'!I5+'Dec 24 - Dec 30'!I5</f>
        <v>0</v>
      </c>
      <c r="K5" s="89">
        <f>IFERROR(J5/SUM(F5),0)</f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278639.64</v>
      </c>
      <c r="C6" s="73">
        <v>269324.95</v>
      </c>
      <c r="D6" s="73">
        <v>302080.89</v>
      </c>
      <c r="E6" s="86">
        <v>0.1216223747558479</v>
      </c>
      <c r="F6" s="74">
        <v>2388</v>
      </c>
      <c r="G6" s="63">
        <v>126.4995351758794</v>
      </c>
      <c r="H6" s="61">
        <v>75</v>
      </c>
      <c r="I6" s="28">
        <v>3.1407035175879387E-2</v>
      </c>
      <c r="J6" s="46">
        <v>1219</v>
      </c>
      <c r="K6" s="89">
        <v>0.51046901172529313</v>
      </c>
      <c r="L6" s="73">
        <v>13574.6</v>
      </c>
      <c r="M6" s="26"/>
      <c r="N6" s="9"/>
      <c r="O6" s="9"/>
    </row>
    <row r="7" spans="1:15" ht="15.6" customHeight="1" x14ac:dyDescent="0.3">
      <c r="A7" s="39" t="s">
        <v>16</v>
      </c>
      <c r="B7" s="102">
        <v>205425.47</v>
      </c>
      <c r="C7" s="73">
        <v>187990.2</v>
      </c>
      <c r="D7" s="73">
        <v>255815.43</v>
      </c>
      <c r="E7" s="86">
        <v>0.36079130720643943</v>
      </c>
      <c r="F7" s="74">
        <v>1975</v>
      </c>
      <c r="G7" s="63">
        <v>129.52680000000001</v>
      </c>
      <c r="H7" s="61">
        <v>52</v>
      </c>
      <c r="I7" s="28">
        <v>2.6329113924050629E-2</v>
      </c>
      <c r="J7" s="46">
        <v>1510</v>
      </c>
      <c r="K7" s="89">
        <v>0.76455696202531642</v>
      </c>
      <c r="L7" s="73">
        <v>10417</v>
      </c>
      <c r="M7" s="26"/>
      <c r="N7" s="9"/>
      <c r="O7" s="9"/>
    </row>
    <row r="8" spans="1:15" ht="15.6" customHeight="1" x14ac:dyDescent="0.3">
      <c r="A8" s="39" t="s">
        <v>17</v>
      </c>
      <c r="B8" s="102">
        <v>125462.37</v>
      </c>
      <c r="C8" s="73">
        <v>97703.48</v>
      </c>
      <c r="D8" s="73">
        <v>126931.31</v>
      </c>
      <c r="E8" s="86">
        <v>0.299148300551833</v>
      </c>
      <c r="F8" s="74">
        <v>855</v>
      </c>
      <c r="G8" s="63">
        <v>148.4576725146199</v>
      </c>
      <c r="H8" s="61">
        <v>15</v>
      </c>
      <c r="I8" s="28">
        <v>1.754385964912281E-2</v>
      </c>
      <c r="J8" s="46">
        <v>490</v>
      </c>
      <c r="K8" s="89">
        <v>0.57309941520467833</v>
      </c>
      <c r="L8" s="73">
        <v>3905.5</v>
      </c>
      <c r="M8" s="26"/>
      <c r="N8" s="9"/>
      <c r="O8" s="9"/>
    </row>
    <row r="9" spans="1:15" ht="15.6" customHeight="1" x14ac:dyDescent="0.3">
      <c r="A9" s="39" t="s">
        <v>18</v>
      </c>
      <c r="B9" s="102">
        <v>341411.74</v>
      </c>
      <c r="C9" s="73">
        <v>320185.65000000002</v>
      </c>
      <c r="D9" s="73">
        <v>342635.31</v>
      </c>
      <c r="E9" s="86">
        <v>7.0114510128733043E-2</v>
      </c>
      <c r="F9" s="74">
        <v>2549</v>
      </c>
      <c r="G9" s="63">
        <v>134.41950176539819</v>
      </c>
      <c r="H9" s="61">
        <v>39</v>
      </c>
      <c r="I9" s="28">
        <v>1.5300117693213031E-2</v>
      </c>
      <c r="J9" s="46">
        <v>1292</v>
      </c>
      <c r="K9" s="89">
        <v>0.50686543742644175</v>
      </c>
      <c r="L9" s="73">
        <v>15642.75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137627.16</v>
      </c>
      <c r="C10" s="73">
        <v>170280.71</v>
      </c>
      <c r="D10" s="73">
        <v>140870.71</v>
      </c>
      <c r="E10" s="86">
        <v>-0.17271480721451071</v>
      </c>
      <c r="F10" s="74">
        <v>941</v>
      </c>
      <c r="G10" s="63">
        <v>149.70319872476091</v>
      </c>
      <c r="H10" s="61">
        <v>31</v>
      </c>
      <c r="I10" s="28">
        <v>3.2943676939426139E-2</v>
      </c>
      <c r="J10" s="46">
        <v>792</v>
      </c>
      <c r="K10" s="89">
        <v>0.84165781083953239</v>
      </c>
      <c r="L10" s="73">
        <v>10050.299999999999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342630.09</v>
      </c>
      <c r="C11" s="73">
        <v>327846.33</v>
      </c>
      <c r="D11" s="73">
        <v>390245.8</v>
      </c>
      <c r="E11" s="86">
        <v>0.19033145803401241</v>
      </c>
      <c r="F11" s="74">
        <v>2580</v>
      </c>
      <c r="G11" s="63">
        <v>151.2580620155039</v>
      </c>
      <c r="H11" s="61">
        <v>108</v>
      </c>
      <c r="I11" s="28">
        <v>4.1860465116279069E-2</v>
      </c>
      <c r="J11" s="46">
        <v>2220</v>
      </c>
      <c r="K11" s="89">
        <v>0.86046511627906974</v>
      </c>
      <c r="L11" s="73">
        <v>19465.349999999999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163242.43</v>
      </c>
      <c r="C12" s="73">
        <v>106938.02</v>
      </c>
      <c r="D12" s="73">
        <v>136510.79999999999</v>
      </c>
      <c r="E12" s="86">
        <v>0.27654130869451282</v>
      </c>
      <c r="F12" s="74">
        <v>1959</v>
      </c>
      <c r="G12" s="63">
        <v>69.683920367534455</v>
      </c>
      <c r="H12" s="61">
        <v>20</v>
      </c>
      <c r="I12" s="28">
        <v>1.020929045431342E-2</v>
      </c>
      <c r="J12" s="46">
        <v>819</v>
      </c>
      <c r="K12" s="89">
        <v>0.41807044410413469</v>
      </c>
      <c r="L12" s="73">
        <v>11224.5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206365.41</v>
      </c>
      <c r="C13" s="73">
        <v>221834.6</v>
      </c>
      <c r="D13" s="73">
        <v>233608.46</v>
      </c>
      <c r="E13" s="86">
        <v>5.3074948632900312E-2</v>
      </c>
      <c r="F13" s="74">
        <v>1745</v>
      </c>
      <c r="G13" s="63">
        <v>133.87304297994271</v>
      </c>
      <c r="H13" s="61">
        <v>69</v>
      </c>
      <c r="I13" s="28">
        <v>3.9541547277936961E-2</v>
      </c>
      <c r="J13" s="46">
        <v>1544</v>
      </c>
      <c r="K13" s="89">
        <v>0.88481375358166192</v>
      </c>
      <c r="L13" s="73">
        <v>11604.63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95538.26</v>
      </c>
      <c r="C14" s="73">
        <v>86372.31</v>
      </c>
      <c r="D14" s="73">
        <v>86615.65</v>
      </c>
      <c r="E14" s="86">
        <v>2.8173381029174341E-3</v>
      </c>
      <c r="F14" s="74">
        <v>484</v>
      </c>
      <c r="G14" s="63">
        <v>178.9579545454545</v>
      </c>
      <c r="H14" s="61">
        <v>0</v>
      </c>
      <c r="I14" s="28">
        <v>0</v>
      </c>
      <c r="J14" s="46">
        <v>0</v>
      </c>
      <c r="K14" s="89">
        <v>0</v>
      </c>
      <c r="L14" s="73">
        <v>5856.8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212160.14</v>
      </c>
      <c r="C15" s="73">
        <v>167993.44</v>
      </c>
      <c r="D15" s="73">
        <v>157667.46</v>
      </c>
      <c r="E15" s="86">
        <v>-6.1466566789750897E-2</v>
      </c>
      <c r="F15" s="74">
        <v>1314</v>
      </c>
      <c r="G15" s="63">
        <v>119.9904566210046</v>
      </c>
      <c r="H15" s="61">
        <v>49</v>
      </c>
      <c r="I15" s="28">
        <v>3.7290715372907152E-2</v>
      </c>
      <c r="J15" s="46">
        <v>1137</v>
      </c>
      <c r="K15" s="89">
        <v>0.86529680365296802</v>
      </c>
      <c r="L15" s="73">
        <v>6520.35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122313.92</v>
      </c>
      <c r="C16" s="73">
        <v>125951.95</v>
      </c>
      <c r="D16" s="73">
        <v>127075.46</v>
      </c>
      <c r="E16" s="86">
        <v>8.9201477230007892E-3</v>
      </c>
      <c r="F16" s="74">
        <v>879</v>
      </c>
      <c r="G16" s="63">
        <v>144.5682138794084</v>
      </c>
      <c r="H16" s="61">
        <v>26</v>
      </c>
      <c r="I16" s="28">
        <v>2.9579067121729238E-2</v>
      </c>
      <c r="J16" s="46">
        <v>610</v>
      </c>
      <c r="K16" s="89">
        <v>0.69397042093287831</v>
      </c>
      <c r="L16" s="73">
        <v>8018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213194.65</v>
      </c>
      <c r="C17" s="73">
        <v>196283.5</v>
      </c>
      <c r="D17" s="73">
        <v>217907.37</v>
      </c>
      <c r="E17" s="86">
        <v>0.1101665193457422</v>
      </c>
      <c r="F17" s="74">
        <v>1404</v>
      </c>
      <c r="G17" s="63">
        <v>155.2046794871795</v>
      </c>
      <c r="H17" s="61">
        <v>69</v>
      </c>
      <c r="I17" s="28">
        <v>4.9145299145299137E-2</v>
      </c>
      <c r="J17" s="46">
        <v>1875</v>
      </c>
      <c r="K17" s="89">
        <v>1.3354700854700849</v>
      </c>
      <c r="L17" s="73">
        <v>13307.15</v>
      </c>
    </row>
    <row r="18" spans="1:12" s="70" customFormat="1" ht="15.6" customHeight="1" x14ac:dyDescent="0.3">
      <c r="A18" s="40" t="s">
        <v>33</v>
      </c>
      <c r="B18" s="102">
        <v>178200.51</v>
      </c>
      <c r="C18" s="73">
        <v>0</v>
      </c>
      <c r="D18" s="73">
        <v>195997.67</v>
      </c>
      <c r="E18" s="86">
        <v>0</v>
      </c>
      <c r="F18" s="74">
        <v>1557</v>
      </c>
      <c r="G18" s="63">
        <v>125.8816120745023</v>
      </c>
      <c r="H18" s="61">
        <v>63</v>
      </c>
      <c r="I18" s="28">
        <v>4.046242774566474E-2</v>
      </c>
      <c r="J18" s="46">
        <v>788</v>
      </c>
      <c r="K18" s="89">
        <v>0.50610147719974308</v>
      </c>
      <c r="L18" s="73">
        <v>5261.5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3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pageSetUpPr fitToPage="1"/>
  </sheetPr>
  <dimension ref="A1:Q27"/>
  <sheetViews>
    <sheetView view="pageBreakPreview" topLeftCell="A2" zoomScale="70" zoomScaleNormal="80" zoomScaleSheetLayoutView="70" workbookViewId="0">
      <pane xSplit="1" topLeftCell="B1" activePane="topRight" state="frozen"/>
      <selection pane="topRight" activeCell="N35" sqref="N35"/>
    </sheetView>
  </sheetViews>
  <sheetFormatPr defaultColWidth="9.33203125" defaultRowHeight="14.4" outlineLevelRow="1" x14ac:dyDescent="0.3"/>
  <cols>
    <col min="1" max="1" width="28.5546875" style="69" bestFit="1" customWidth="1"/>
    <col min="2" max="2" width="16.6640625" style="69" customWidth="1"/>
    <col min="3" max="4" width="15.6640625" style="69" customWidth="1"/>
    <col min="5" max="5" width="12.6640625" style="69" customWidth="1"/>
    <col min="6" max="6" width="14.6640625" style="69" bestFit="1" customWidth="1"/>
    <col min="7" max="7" width="13.44140625" style="69" customWidth="1"/>
    <col min="8" max="9" width="9.6640625" style="69" customWidth="1"/>
    <col min="10" max="10" width="11" style="69" bestFit="1" customWidth="1"/>
    <col min="11" max="11" width="15.44140625" style="69" hidden="1" customWidth="1"/>
    <col min="12" max="12" width="15.6640625" style="69" customWidth="1"/>
    <col min="13" max="13" width="17" style="70" customWidth="1"/>
    <col min="14" max="17" width="9.33203125" style="70" customWidth="1"/>
    <col min="18" max="30" width="9.33203125" style="69" customWidth="1"/>
    <col min="31" max="16384" width="9.33203125" style="69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  <c r="N1" s="9"/>
      <c r="O1" s="9"/>
    </row>
    <row r="2" spans="1:15" ht="15" customHeight="1" thickBot="1" x14ac:dyDescent="0.35">
      <c r="A2" s="1"/>
      <c r="B2" s="1"/>
      <c r="C2" s="1"/>
      <c r="D2" s="1"/>
      <c r="E2" s="31">
        <f>(((D4-D18)-C4)/C4)</f>
        <v>0.13406783224833743</v>
      </c>
      <c r="F2" s="34"/>
      <c r="G2" s="1"/>
      <c r="H2" s="1"/>
      <c r="I2" s="1"/>
      <c r="J2" s="1"/>
      <c r="K2" s="1"/>
      <c r="L2" s="81"/>
      <c r="M2" s="17"/>
      <c r="N2" s="9"/>
      <c r="O2" s="9"/>
    </row>
    <row r="3" spans="1:15" ht="31.8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  <c r="N3" s="21"/>
      <c r="O3" s="22"/>
    </row>
    <row r="4" spans="1:15" ht="20.25" customHeight="1" thickBot="1" x14ac:dyDescent="0.35">
      <c r="A4" s="398" t="s">
        <v>13</v>
      </c>
      <c r="B4" s="99">
        <f>SUM(B6:B18)</f>
        <v>2713962.3200000003</v>
      </c>
      <c r="C4" s="99">
        <f>SUM(C6:C18)</f>
        <v>2143531.1900000004</v>
      </c>
      <c r="D4" s="97">
        <f>SUM(D6:D18)</f>
        <v>2628416.2499999995</v>
      </c>
      <c r="E4" s="90">
        <f t="shared" ref="E4:E18" si="0">IFERROR((SUM(D4-C4)/C4),0)</f>
        <v>0.22620853956410078</v>
      </c>
      <c r="F4" s="66">
        <f>SUM(F6:F18)</f>
        <v>19975</v>
      </c>
      <c r="G4" s="85">
        <f>AVERAGE(G5:G18)</f>
        <v>123.37367539992007</v>
      </c>
      <c r="H4" s="88">
        <f>SUM(H6:H18)</f>
        <v>617</v>
      </c>
      <c r="I4" s="28">
        <f t="shared" ref="I4:I18" si="1">IFERROR(H4/F4,0)</f>
        <v>3.0888610763454317E-2</v>
      </c>
      <c r="J4" s="46">
        <f>SUM(J6:J18)</f>
        <v>14913</v>
      </c>
      <c r="K4" s="89">
        <f t="shared" ref="K4:K18" si="2">IFERROR(J4/SUM(F4),0)</f>
        <v>0.74658322903629537</v>
      </c>
      <c r="L4" s="66">
        <f>SUM(L6:L18)</f>
        <v>150805.56</v>
      </c>
      <c r="M4" s="24"/>
      <c r="N4" s="9"/>
      <c r="O4" s="9"/>
    </row>
    <row r="5" spans="1:15" ht="15.6" hidden="1" customHeight="1" outlineLevel="1" x14ac:dyDescent="0.3">
      <c r="A5" s="38" t="s">
        <v>25</v>
      </c>
      <c r="B5" s="38"/>
      <c r="C5" s="67"/>
      <c r="D5" s="67"/>
      <c r="E5" s="86">
        <f t="shared" si="0"/>
        <v>0</v>
      </c>
      <c r="F5" s="68"/>
      <c r="G5" s="84"/>
      <c r="H5" s="68"/>
      <c r="I5" s="28">
        <f t="shared" si="1"/>
        <v>0</v>
      </c>
      <c r="J5" s="46">
        <f>H5+'Nov 19 - Nov 25'!I5+'Nov 26 - Dec 2'!I5+'Dec 3 - Dec 9'!I5+'Dec 10 - Dec 16'!I5+'Dec 17 - Dec 23'!I5+'Dec 24 - Dec 30'!I5</f>
        <v>0</v>
      </c>
      <c r="K5" s="89">
        <f t="shared" si="2"/>
        <v>0</v>
      </c>
      <c r="L5" s="73"/>
      <c r="M5" s="25"/>
      <c r="N5" s="9"/>
      <c r="O5" s="9"/>
    </row>
    <row r="6" spans="1:15" ht="15.6" customHeight="1" collapsed="1" x14ac:dyDescent="0.3">
      <c r="A6" s="39" t="s">
        <v>15</v>
      </c>
      <c r="B6" s="102">
        <v>302080.89</v>
      </c>
      <c r="C6" s="73">
        <f>IFERROR(VLOOKUP(A6,'May 7 - May 13'!A:F,6,FALSE),0)</f>
        <v>237445.42</v>
      </c>
      <c r="D6" s="73">
        <f>IFERROR(VLOOKUP(A6,Data!A:E,4,FALSE),0)</f>
        <v>277850.46999999997</v>
      </c>
      <c r="E6" s="86">
        <f t="shared" si="0"/>
        <v>0.17016563216927896</v>
      </c>
      <c r="F6" s="74">
        <f>IFERROR(VLOOKUP(A6,Data!A:E,5,FALSE),0)</f>
        <v>2457</v>
      </c>
      <c r="G6" s="63">
        <f t="shared" ref="G6:G18" si="3">IFERROR(D6/F6,0)</f>
        <v>113.08525437525437</v>
      </c>
      <c r="H6" s="61">
        <f>VLOOKUP(A6,Promo!A:T,20,FALSE)</f>
        <v>73</v>
      </c>
      <c r="I6" s="28">
        <f t="shared" si="1"/>
        <v>2.9711029711029711E-2</v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</f>
        <v>1292</v>
      </c>
      <c r="K6" s="89">
        <f t="shared" si="2"/>
        <v>0.52584452584452579</v>
      </c>
      <c r="L6" s="73">
        <f>IFERROR(VLOOKUP(A6,Data!A:E,3,FALSE),0)</f>
        <v>13822.45</v>
      </c>
      <c r="M6" s="26"/>
      <c r="N6" s="9"/>
      <c r="O6" s="9"/>
    </row>
    <row r="7" spans="1:15" ht="15.6" customHeight="1" x14ac:dyDescent="0.3">
      <c r="A7" s="39" t="s">
        <v>16</v>
      </c>
      <c r="B7" s="102">
        <v>255815.43</v>
      </c>
      <c r="C7" s="73">
        <f>IFERROR(VLOOKUP(A7,'May 7 - May 13'!A:F,6,FALSE),0)</f>
        <v>185846.5</v>
      </c>
      <c r="D7" s="73">
        <f>IFERROR(VLOOKUP(A7,Data!A:E,4,FALSE),0)</f>
        <v>255721.48</v>
      </c>
      <c r="E7" s="86">
        <f t="shared" si="0"/>
        <v>0.37598222188741792</v>
      </c>
      <c r="F7" s="74">
        <f>IFERROR(VLOOKUP(A7,Data!A:E,5,FALSE),0)</f>
        <v>1993</v>
      </c>
      <c r="G7" s="63">
        <f t="shared" si="3"/>
        <v>128.30982438534872</v>
      </c>
      <c r="H7" s="61">
        <f>VLOOKUP(A7,Promo!A:T,20,FALSE)</f>
        <v>61</v>
      </c>
      <c r="I7" s="28">
        <f t="shared" si="1"/>
        <v>3.0607124937280482E-2</v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</f>
        <v>1571</v>
      </c>
      <c r="K7" s="89">
        <f t="shared" si="2"/>
        <v>0.78825890617160055</v>
      </c>
      <c r="L7" s="73">
        <f>IFERROR(VLOOKUP(A7,Data!A:E,3,FALSE),0)</f>
        <v>14659.2</v>
      </c>
      <c r="M7" s="26"/>
      <c r="N7" s="9"/>
      <c r="O7" s="9"/>
    </row>
    <row r="8" spans="1:15" ht="15.6" customHeight="1" x14ac:dyDescent="0.3">
      <c r="A8" s="39" t="s">
        <v>17</v>
      </c>
      <c r="B8" s="102">
        <v>126931.31</v>
      </c>
      <c r="C8" s="73">
        <f>IFERROR(VLOOKUP(A8,'May 7 - May 13'!A:F,6,FALSE),0)</f>
        <v>106888.4</v>
      </c>
      <c r="D8" s="73">
        <f>IFERROR(VLOOKUP(A8,Data!A:E,4,FALSE),0)</f>
        <v>149467.35999999999</v>
      </c>
      <c r="E8" s="86">
        <f t="shared" si="0"/>
        <v>0.39834968060144971</v>
      </c>
      <c r="F8" s="74">
        <f>IFERROR(VLOOKUP(A8,Data!A:E,5,FALSE),0)</f>
        <v>887</v>
      </c>
      <c r="G8" s="63">
        <f t="shared" si="3"/>
        <v>168.50886133032694</v>
      </c>
      <c r="H8" s="61">
        <f>VLOOKUP(A8,Promo!A:T,20,FALSE)</f>
        <v>16</v>
      </c>
      <c r="I8" s="28">
        <f t="shared" si="1"/>
        <v>1.8038331454340473E-2</v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</f>
        <v>506</v>
      </c>
      <c r="K8" s="89">
        <f t="shared" si="2"/>
        <v>0.57046223224351744</v>
      </c>
      <c r="L8" s="73">
        <f>IFERROR(VLOOKUP(A8,Data!A:E,3,FALSE),0)</f>
        <v>3916.8</v>
      </c>
      <c r="M8" s="26"/>
      <c r="N8" s="9"/>
      <c r="O8" s="9"/>
    </row>
    <row r="9" spans="1:15" ht="15.6" customHeight="1" x14ac:dyDescent="0.3">
      <c r="A9" s="39" t="s">
        <v>18</v>
      </c>
      <c r="B9" s="102">
        <v>342635.31</v>
      </c>
      <c r="C9" s="73">
        <f>IFERROR(VLOOKUP(A9,'May 7 - May 13'!A:F,6,FALSE),0)</f>
        <v>310891.8</v>
      </c>
      <c r="D9" s="73">
        <f>IFERROR(VLOOKUP(A9,Data!A:E,4,FALSE),0)</f>
        <v>314671.8</v>
      </c>
      <c r="E9" s="86">
        <f t="shared" si="0"/>
        <v>1.2158570924032091E-2</v>
      </c>
      <c r="F9" s="74">
        <f>IFERROR(VLOOKUP(A9,Data!A:E,5,FALSE),0)</f>
        <v>2352</v>
      </c>
      <c r="G9" s="63">
        <f t="shared" si="3"/>
        <v>133.78903061224489</v>
      </c>
      <c r="H9" s="61">
        <f>VLOOKUP(A9,Promo!A:T,20,FALSE)</f>
        <v>46</v>
      </c>
      <c r="I9" s="28">
        <f t="shared" si="1"/>
        <v>1.9557823129251702E-2</v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</f>
        <v>1338</v>
      </c>
      <c r="K9" s="89">
        <f t="shared" si="2"/>
        <v>0.56887755102040816</v>
      </c>
      <c r="L9" s="73">
        <f>IFERROR(VLOOKUP(A9,Data!A:E,3,FALSE),0)</f>
        <v>16713.7</v>
      </c>
      <c r="M9" s="26"/>
      <c r="N9" s="9"/>
      <c r="O9" s="9"/>
    </row>
    <row r="10" spans="1:15" s="70" customFormat="1" ht="15.6" customHeight="1" x14ac:dyDescent="0.3">
      <c r="A10" s="39" t="s">
        <v>20</v>
      </c>
      <c r="B10" s="102">
        <v>140870.71</v>
      </c>
      <c r="C10" s="73">
        <f>IFERROR(VLOOKUP(A10,'May 7 - May 13'!A:F,6,FALSE),0)</f>
        <v>144208.29</v>
      </c>
      <c r="D10" s="73">
        <f>IFERROR(VLOOKUP(A10,Data!A:E,4,FALSE),0)</f>
        <v>146819.43</v>
      </c>
      <c r="E10" s="86">
        <f t="shared" si="0"/>
        <v>1.8106726041893881E-2</v>
      </c>
      <c r="F10" s="74">
        <f>IFERROR(VLOOKUP(A10,Data!A:E,5,FALSE),0)</f>
        <v>1006</v>
      </c>
      <c r="G10" s="63">
        <f t="shared" si="3"/>
        <v>145.94376739562622</v>
      </c>
      <c r="H10" s="61">
        <f>VLOOKUP(A10,Promo!A:T,20,FALSE)</f>
        <v>38</v>
      </c>
      <c r="I10" s="28">
        <f t="shared" si="1"/>
        <v>3.7773359840954271E-2</v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</f>
        <v>830</v>
      </c>
      <c r="K10" s="89">
        <f t="shared" si="2"/>
        <v>0.8250497017892644</v>
      </c>
      <c r="L10" s="73">
        <f>IFERROR(VLOOKUP(A10,Data!A:E,3,FALSE),0)</f>
        <v>14894.11</v>
      </c>
      <c r="M10" s="26"/>
      <c r="N10" s="9"/>
      <c r="O10" s="9"/>
    </row>
    <row r="11" spans="1:15" s="70" customFormat="1" ht="15.6" customHeight="1" x14ac:dyDescent="0.3">
      <c r="A11" s="39" t="s">
        <v>21</v>
      </c>
      <c r="B11" s="102">
        <v>390245.8</v>
      </c>
      <c r="C11" s="73">
        <f>IFERROR(VLOOKUP(A11,'May 7 - May 13'!A:F,6,FALSE),0)</f>
        <v>298867.59999999998</v>
      </c>
      <c r="D11" s="73">
        <f>IFERROR(VLOOKUP(A11,Data!A:E,4,FALSE),0)</f>
        <v>382519.05</v>
      </c>
      <c r="E11" s="86">
        <f t="shared" si="0"/>
        <v>0.27989467576947125</v>
      </c>
      <c r="F11" s="74">
        <f>IFERROR(VLOOKUP(A11,Data!A:E,5,FALSE),0)</f>
        <v>2541</v>
      </c>
      <c r="G11" s="63">
        <f t="shared" si="3"/>
        <v>150.53878394332941</v>
      </c>
      <c r="H11" s="61">
        <f>VLOOKUP(A11,Promo!A:T,20,FALSE)</f>
        <v>111</v>
      </c>
      <c r="I11" s="28">
        <f t="shared" si="1"/>
        <v>4.3683589138134596E-2</v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</f>
        <v>2331</v>
      </c>
      <c r="K11" s="89">
        <f t="shared" si="2"/>
        <v>0.9173553719008265</v>
      </c>
      <c r="L11" s="73">
        <f>IFERROR(VLOOKUP(A11,Data!A:E,3,FALSE),0)</f>
        <v>22738.6</v>
      </c>
      <c r="M11" s="26"/>
      <c r="N11" s="9"/>
      <c r="O11" s="9"/>
    </row>
    <row r="12" spans="1:15" s="70" customFormat="1" ht="15.6" customHeight="1" x14ac:dyDescent="0.3">
      <c r="A12" s="40" t="s">
        <v>22</v>
      </c>
      <c r="B12" s="102">
        <v>136510.79999999999</v>
      </c>
      <c r="C12" s="73">
        <f>IFERROR(VLOOKUP(A12,'May 7 - May 13'!A:F,6,FALSE),0)</f>
        <v>111772.07</v>
      </c>
      <c r="D12" s="73">
        <f>IFERROR(VLOOKUP(A12,Data!A:E,4,FALSE),0)</f>
        <v>144817.99</v>
      </c>
      <c r="E12" s="86">
        <f t="shared" si="0"/>
        <v>0.2956545405305635</v>
      </c>
      <c r="F12" s="74">
        <f>IFERROR(VLOOKUP(A12,Data!A:E,5,FALSE),0)</f>
        <v>1209</v>
      </c>
      <c r="G12" s="63">
        <f t="shared" si="3"/>
        <v>119.78328370554176</v>
      </c>
      <c r="H12" s="61">
        <f>VLOOKUP(A12,Promo!A:T,20,FALSE)</f>
        <v>58</v>
      </c>
      <c r="I12" s="28">
        <f t="shared" si="1"/>
        <v>4.7973531844499588E-2</v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</f>
        <v>877</v>
      </c>
      <c r="K12" s="89">
        <f t="shared" si="2"/>
        <v>0.72539288668320923</v>
      </c>
      <c r="L12" s="73">
        <f>IFERROR(VLOOKUP(A12,Data!A:E,3,FALSE),0)</f>
        <v>14313.2</v>
      </c>
      <c r="M12" s="26"/>
      <c r="N12" s="9"/>
      <c r="O12" s="9"/>
    </row>
    <row r="13" spans="1:15" s="70" customFormat="1" ht="15.6" customHeight="1" x14ac:dyDescent="0.3">
      <c r="A13" s="40" t="s">
        <v>23</v>
      </c>
      <c r="B13" s="102">
        <v>233608.46</v>
      </c>
      <c r="C13" s="73">
        <f>IFERROR(VLOOKUP(A13,'May 7 - May 13'!A:F,6,FALSE),0)</f>
        <v>206376.85</v>
      </c>
      <c r="D13" s="73">
        <f>IFERROR(VLOOKUP(A13,Data!A:E,4,FALSE),0)</f>
        <v>233865.68</v>
      </c>
      <c r="E13" s="86">
        <f t="shared" si="0"/>
        <v>0.13319725540921856</v>
      </c>
      <c r="F13" s="74">
        <f>IFERROR(VLOOKUP(A13,Data!A:E,5,FALSE),0)</f>
        <v>1988</v>
      </c>
      <c r="G13" s="63">
        <f t="shared" si="3"/>
        <v>117.63867203219316</v>
      </c>
      <c r="H13" s="61">
        <f>VLOOKUP(A13,Promo!A:T,20,FALSE)</f>
        <v>43</v>
      </c>
      <c r="I13" s="28">
        <f t="shared" si="1"/>
        <v>2.1629778672032193E-2</v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</f>
        <v>1587</v>
      </c>
      <c r="K13" s="89">
        <f t="shared" si="2"/>
        <v>0.79828973843058348</v>
      </c>
      <c r="L13" s="73">
        <f>IFERROR(VLOOKUP(A13,Data!A:E,3,FALSE),0)</f>
        <v>12809.95</v>
      </c>
      <c r="M13" s="26"/>
      <c r="N13" s="9"/>
      <c r="O13" s="9"/>
    </row>
    <row r="14" spans="1:15" s="70" customFormat="1" ht="15.6" customHeight="1" x14ac:dyDescent="0.3">
      <c r="A14" s="40" t="s">
        <v>24</v>
      </c>
      <c r="B14" s="102">
        <v>86615.65</v>
      </c>
      <c r="C14" s="73">
        <f>IFERROR(VLOOKUP(A14,'May 7 - May 13'!A:F,6,FALSE),0)</f>
        <v>63275.65</v>
      </c>
      <c r="D14" s="73">
        <f>IFERROR(VLOOKUP(A14,Data!A:E,4,FALSE),0)</f>
        <v>0</v>
      </c>
      <c r="E14" s="86">
        <f t="shared" si="0"/>
        <v>-1</v>
      </c>
      <c r="F14" s="74">
        <f>IFERROR(VLOOKUP(A14,Data!A:E,5,FALSE),0)</f>
        <v>0</v>
      </c>
      <c r="G14" s="63">
        <f t="shared" si="3"/>
        <v>0</v>
      </c>
      <c r="H14" s="61">
        <f>VLOOKUP(A14,Promo!A:T,20,FALSE)</f>
        <v>0</v>
      </c>
      <c r="I14" s="28">
        <f t="shared" si="1"/>
        <v>0</v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</f>
        <v>0</v>
      </c>
      <c r="K14" s="89">
        <f t="shared" si="2"/>
        <v>0</v>
      </c>
      <c r="L14" s="73">
        <f>IFERROR(VLOOKUP(A14,Data!A:E,3,FALSE),0)</f>
        <v>0</v>
      </c>
      <c r="M14" s="26"/>
      <c r="N14" s="9"/>
      <c r="O14" s="9"/>
    </row>
    <row r="15" spans="1:15" s="70" customFormat="1" ht="15.6" customHeight="1" x14ac:dyDescent="0.3">
      <c r="A15" s="40" t="s">
        <v>26</v>
      </c>
      <c r="B15" s="102">
        <v>157667.46</v>
      </c>
      <c r="C15" s="73">
        <f>IFERROR(VLOOKUP(A15,'May 7 - May 13'!A:F,6,FALSE),0)</f>
        <v>110917.1</v>
      </c>
      <c r="D15" s="73">
        <f>IFERROR(VLOOKUP(A15,Data!A:E,4,FALSE),0)</f>
        <v>163941.60999999999</v>
      </c>
      <c r="E15" s="86">
        <f t="shared" si="0"/>
        <v>0.47805532239843973</v>
      </c>
      <c r="F15" s="74">
        <f>IFERROR(VLOOKUP(A15,Data!A:E,5,FALSE),0)</f>
        <v>1429</v>
      </c>
      <c r="G15" s="63">
        <f t="shared" si="3"/>
        <v>114.72470958712385</v>
      </c>
      <c r="H15" s="61">
        <f>VLOOKUP(A15,Promo!A:T,20,FALSE)</f>
        <v>31</v>
      </c>
      <c r="I15" s="28">
        <f t="shared" si="1"/>
        <v>2.1693491952414275E-2</v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</f>
        <v>1168</v>
      </c>
      <c r="K15" s="89">
        <f t="shared" si="2"/>
        <v>0.81735479356193141</v>
      </c>
      <c r="L15" s="73">
        <f>IFERROR(VLOOKUP(A15,Data!A:E,3,FALSE),0)</f>
        <v>8193.4</v>
      </c>
      <c r="M15" s="9"/>
      <c r="N15" s="9"/>
      <c r="O15" s="9"/>
    </row>
    <row r="16" spans="1:15" s="70" customFormat="1" ht="15.6" customHeight="1" x14ac:dyDescent="0.3">
      <c r="A16" s="40" t="s">
        <v>27</v>
      </c>
      <c r="B16" s="102">
        <v>127075.46</v>
      </c>
      <c r="C16" s="73">
        <f>IFERROR(VLOOKUP(A16,'May 7 - May 13'!A:F,6,FALSE),0)</f>
        <v>143298.10999999999</v>
      </c>
      <c r="D16" s="73">
        <f>IFERROR(VLOOKUP(A16,Data!A:E,4,FALSE),0)</f>
        <v>156915.53</v>
      </c>
      <c r="E16" s="86">
        <f t="shared" si="0"/>
        <v>9.5028608542010881E-2</v>
      </c>
      <c r="F16" s="74">
        <f>IFERROR(VLOOKUP(A16,Data!A:E,5,FALSE),0)</f>
        <v>1089</v>
      </c>
      <c r="G16" s="63">
        <f t="shared" si="3"/>
        <v>144.09139577594124</v>
      </c>
      <c r="H16" s="61">
        <f>VLOOKUP(A16,Promo!A:T,20,FALSE)</f>
        <v>24</v>
      </c>
      <c r="I16" s="28">
        <f t="shared" si="1"/>
        <v>2.2038567493112948E-2</v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</f>
        <v>634</v>
      </c>
      <c r="K16" s="89">
        <f t="shared" si="2"/>
        <v>0.5821854912764004</v>
      </c>
      <c r="L16" s="73">
        <f>IFERROR(VLOOKUP(A16,Data!A:E,3,FALSE),0)</f>
        <v>10417.299999999999</v>
      </c>
      <c r="M16" s="9"/>
      <c r="N16" s="9"/>
      <c r="O16" s="9"/>
    </row>
    <row r="17" spans="1:12" s="70" customFormat="1" ht="15.6" customHeight="1" x14ac:dyDescent="0.3">
      <c r="A17" s="40" t="s">
        <v>28</v>
      </c>
      <c r="B17" s="102">
        <v>217907.37</v>
      </c>
      <c r="C17" s="73">
        <f>IFERROR(VLOOKUP(A17,'May 7 - May 13'!A:F,6,FALSE),0)</f>
        <v>223743.4</v>
      </c>
      <c r="D17" s="73">
        <f>IFERROR(VLOOKUP(A17,Data!A:E,4,FALSE),0)</f>
        <v>204319.37</v>
      </c>
      <c r="E17" s="86">
        <f t="shared" si="0"/>
        <v>-8.6813868029179855E-2</v>
      </c>
      <c r="F17" s="74">
        <f>IFERROR(VLOOKUP(A17,Data!A:E,5,FALSE),0)</f>
        <v>1404</v>
      </c>
      <c r="G17" s="63">
        <f t="shared" si="3"/>
        <v>145.5266168091168</v>
      </c>
      <c r="H17" s="61">
        <f>VLOOKUP(A17,Promo!A:T,20,FALSE)</f>
        <v>71</v>
      </c>
      <c r="I17" s="28">
        <f t="shared" si="1"/>
        <v>5.0569800569800573E-2</v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</f>
        <v>1946</v>
      </c>
      <c r="K17" s="89">
        <f t="shared" si="2"/>
        <v>1.3860398860398861</v>
      </c>
      <c r="L17" s="73">
        <f>IFERROR(VLOOKUP(A17,Data!A:E,3,FALSE),0)</f>
        <v>12081.35</v>
      </c>
    </row>
    <row r="18" spans="1:12" s="70" customFormat="1" ht="15.6" customHeight="1" x14ac:dyDescent="0.3">
      <c r="A18" s="40" t="s">
        <v>33</v>
      </c>
      <c r="B18" s="102">
        <v>195997.67</v>
      </c>
      <c r="C18" s="73">
        <f>IFERROR(VLOOKUP(A18,'May 7 - May 13'!A:F,6,FALSE),0)</f>
        <v>0</v>
      </c>
      <c r="D18" s="73">
        <f>IFERROR(VLOOKUP(A18,Data!A:E,4,FALSE),0)</f>
        <v>197506.48</v>
      </c>
      <c r="E18" s="86">
        <f t="shared" si="0"/>
        <v>0</v>
      </c>
      <c r="F18" s="74">
        <f>IFERROR(VLOOKUP(A18,Data!A:E,5,FALSE),0)</f>
        <v>1620</v>
      </c>
      <c r="G18" s="63">
        <f t="shared" si="3"/>
        <v>121.91758024691359</v>
      </c>
      <c r="H18" s="61">
        <f>VLOOKUP(A18,Promo!A:T,20,FALSE)</f>
        <v>45</v>
      </c>
      <c r="I18" s="28">
        <f t="shared" si="1"/>
        <v>2.7777777777777776E-2</v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</f>
        <v>833</v>
      </c>
      <c r="K18" s="89">
        <f t="shared" si="2"/>
        <v>0.51419753086419751</v>
      </c>
      <c r="L18" s="73">
        <f>IFERROR(VLOOKUP(A18,Data!A:E,3,FALSE),0)</f>
        <v>6245.5</v>
      </c>
    </row>
    <row r="19" spans="1:12" s="70" customFormat="1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</row>
    <row r="20" spans="1:12" s="70" customFormat="1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</row>
    <row r="21" spans="1:12" s="70" customFormat="1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</row>
    <row r="22" spans="1:12" s="70" customFormat="1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</row>
    <row r="23" spans="1:12" s="70" customForma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</row>
    <row r="24" spans="1:12" s="70" customFormat="1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</row>
    <row r="25" spans="1:12" s="70" customFormat="1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</row>
    <row r="26" spans="1:12" s="70" customFormat="1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</row>
    <row r="27" spans="1:12" s="70" customFormat="1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</row>
  </sheetData>
  <conditionalFormatting sqref="C6:L18">
    <cfRule type="cellIs" dxfId="672" priority="1" operator="equal">
      <formula>0</formula>
    </cfRule>
  </conditionalFormatting>
  <pageMargins left="0.70866141732283472" right="0.70866141732283472" top="0.74803149606299213" bottom="0.74803149606299213" header="0.31496062992125978" footer="0.31496062992125978"/>
  <pageSetup paperSize="9" scale="80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40"/>
  <sheetViews>
    <sheetView zoomScale="70" zoomScaleNormal="70" workbookViewId="0">
      <selection activeCell="F12" sqref="F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1" bestFit="1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31">
        <f>(((D4-D18)-C4)/C4)</f>
        <v>0.15751784154834711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2"/>
      <c r="B3" s="101" t="s">
        <v>34</v>
      </c>
      <c r="C3" s="15" t="s">
        <v>30</v>
      </c>
      <c r="D3" s="11" t="s">
        <v>5</v>
      </c>
      <c r="E3" s="13" t="s">
        <v>4</v>
      </c>
      <c r="F3" s="35" t="s">
        <v>6</v>
      </c>
      <c r="G3" s="11" t="s">
        <v>7</v>
      </c>
      <c r="H3" s="15" t="s">
        <v>32</v>
      </c>
      <c r="I3" s="15" t="s">
        <v>29</v>
      </c>
      <c r="J3" s="15" t="s">
        <v>9</v>
      </c>
      <c r="K3" s="15" t="s">
        <v>11</v>
      </c>
      <c r="L3" s="41" t="s">
        <v>12</v>
      </c>
      <c r="M3" s="23"/>
    </row>
    <row r="4" spans="1:13" ht="16.2" customHeight="1" thickBot="1" x14ac:dyDescent="0.35">
      <c r="A4" s="398" t="s">
        <v>13</v>
      </c>
      <c r="B4" s="99">
        <f>SUM(B6:B18)</f>
        <v>2628416.2499999995</v>
      </c>
      <c r="C4" s="99">
        <f>SUM(C6:C18)-C14</f>
        <v>1742428.65</v>
      </c>
      <c r="D4" s="97">
        <f>SUM(D6:D18)</f>
        <v>2168315.7000000002</v>
      </c>
      <c r="E4" s="90">
        <f t="shared" ref="E4:E18" si="0">IFERROR((SUM(D4-C4)/C4),0)</f>
        <v>0.24442151476331631</v>
      </c>
      <c r="F4" s="66">
        <f>SUM(F6:F18)</f>
        <v>16349</v>
      </c>
      <c r="G4" s="85">
        <f>AVERAGE(G5:G18)</f>
        <v>122.45156012198581</v>
      </c>
      <c r="H4" s="88">
        <f>SUM(H6:H18)</f>
        <v>671</v>
      </c>
      <c r="I4" s="28">
        <f t="shared" ref="I4:I18" si="1">IFERROR(H4/F4,0)</f>
        <v>4.1042265581992782E-2</v>
      </c>
      <c r="J4" s="46">
        <f>SUM(J6:J18)</f>
        <v>15584</v>
      </c>
      <c r="K4" s="89">
        <f t="shared" ref="K4:K18" si="2">IFERROR(J4/SUM(F4),0)</f>
        <v>0.95320814728729586</v>
      </c>
      <c r="L4" s="66">
        <f>SUM(L6:L18)</f>
        <v>137442.18</v>
      </c>
      <c r="M4" s="24"/>
    </row>
    <row r="5" spans="1:13" ht="15.6" hidden="1" customHeight="1" x14ac:dyDescent="0.3">
      <c r="A5" s="38" t="s">
        <v>25</v>
      </c>
      <c r="B5" s="38"/>
      <c r="C5" s="67"/>
      <c r="D5" s="67"/>
      <c r="E5" s="86">
        <f t="shared" si="0"/>
        <v>0</v>
      </c>
      <c r="F5" s="68"/>
      <c r="G5" s="84"/>
      <c r="H5" s="68"/>
      <c r="I5" s="28">
        <f t="shared" si="1"/>
        <v>0</v>
      </c>
      <c r="J5" s="46">
        <f>H5+'Nov 19 - Nov 25'!I5+'Nov 26 - Dec 2'!I5+'Dec 3 - Dec 9'!I5+'Dec 10 - Dec 16'!I5+'Dec 17 - Dec 23'!I5+'Dec 24 - Dec 30'!I5</f>
        <v>0</v>
      </c>
      <c r="K5" s="89">
        <f t="shared" si="2"/>
        <v>0</v>
      </c>
      <c r="L5" s="73"/>
      <c r="M5" s="25"/>
    </row>
    <row r="6" spans="1:13" ht="15.6" customHeight="1" x14ac:dyDescent="0.3">
      <c r="A6" s="39" t="s">
        <v>15</v>
      </c>
      <c r="B6" s="112">
        <f>'6 May - 12 May'!D6</f>
        <v>277850.46999999997</v>
      </c>
      <c r="C6" s="73">
        <v>185743.3</v>
      </c>
      <c r="D6" s="73">
        <v>217085.03</v>
      </c>
      <c r="E6" s="86">
        <f t="shared" si="0"/>
        <v>0.16873679965845342</v>
      </c>
      <c r="F6" s="74">
        <v>1669</v>
      </c>
      <c r="G6" s="63">
        <f t="shared" ref="G6:G18" si="3">IFERROR(D6/F6,0)</f>
        <v>130.06892150988617</v>
      </c>
      <c r="H6" s="61">
        <v>53</v>
      </c>
      <c r="I6" s="28">
        <f t="shared" si="1"/>
        <v>3.1755542240862793E-2</v>
      </c>
      <c r="J6" s="46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</f>
        <v>1345</v>
      </c>
      <c r="K6" s="89">
        <f t="shared" si="2"/>
        <v>0.80587177950868782</v>
      </c>
      <c r="L6" s="73">
        <v>17653.400000000001</v>
      </c>
      <c r="M6" s="26"/>
    </row>
    <row r="7" spans="1:13" ht="15.6" customHeight="1" x14ac:dyDescent="0.3">
      <c r="A7" s="39" t="s">
        <v>16</v>
      </c>
      <c r="B7" s="112">
        <f>'6 May - 12 May'!D7</f>
        <v>255721.48</v>
      </c>
      <c r="C7" s="73">
        <v>170395.84</v>
      </c>
      <c r="D7" s="73">
        <v>208131.03</v>
      </c>
      <c r="E7" s="86">
        <f t="shared" si="0"/>
        <v>0.22145605197873378</v>
      </c>
      <c r="F7" s="74">
        <v>1634</v>
      </c>
      <c r="G7" s="63">
        <f t="shared" si="3"/>
        <v>127.37517135862913</v>
      </c>
      <c r="H7" s="61">
        <v>79</v>
      </c>
      <c r="I7" s="28">
        <f t="shared" si="1"/>
        <v>4.8347613219094247E-2</v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</f>
        <v>1650</v>
      </c>
      <c r="K7" s="89">
        <f t="shared" si="2"/>
        <v>1.0097919216646267</v>
      </c>
      <c r="L7" s="73">
        <v>10416.5</v>
      </c>
      <c r="M7" s="26"/>
    </row>
    <row r="8" spans="1:13" ht="15.6" customHeight="1" x14ac:dyDescent="0.3">
      <c r="A8" s="39" t="s">
        <v>17</v>
      </c>
      <c r="B8" s="112">
        <f>'6 May - 12 May'!D8</f>
        <v>149467.35999999999</v>
      </c>
      <c r="C8" s="73">
        <v>79754.94</v>
      </c>
      <c r="D8" s="73">
        <v>98960.8</v>
      </c>
      <c r="E8" s="86">
        <f t="shared" si="0"/>
        <v>0.24081091403240978</v>
      </c>
      <c r="F8" s="74">
        <v>747</v>
      </c>
      <c r="G8" s="63">
        <f t="shared" si="3"/>
        <v>132.47764390896921</v>
      </c>
      <c r="H8" s="61">
        <v>12</v>
      </c>
      <c r="I8" s="28">
        <f t="shared" si="1"/>
        <v>1.6064257028112448E-2</v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</f>
        <v>518</v>
      </c>
      <c r="K8" s="89">
        <f t="shared" si="2"/>
        <v>0.69344042838018738</v>
      </c>
      <c r="L8" s="73">
        <v>5697</v>
      </c>
      <c r="M8" s="26"/>
    </row>
    <row r="9" spans="1:13" ht="15.6" customHeight="1" x14ac:dyDescent="0.3">
      <c r="A9" s="39" t="s">
        <v>18</v>
      </c>
      <c r="B9" s="112">
        <f>'6 May - 12 May'!D9</f>
        <v>314671.8</v>
      </c>
      <c r="C9" s="73">
        <v>259836.52</v>
      </c>
      <c r="D9" s="73">
        <v>271779.21999999997</v>
      </c>
      <c r="E9" s="86">
        <f t="shared" si="0"/>
        <v>4.5962361256993371E-2</v>
      </c>
      <c r="F9" s="74">
        <v>2048</v>
      </c>
      <c r="G9" s="63">
        <f t="shared" si="3"/>
        <v>132.70469726562499</v>
      </c>
      <c r="H9" s="61">
        <v>61</v>
      </c>
      <c r="I9" s="28">
        <f t="shared" si="1"/>
        <v>2.978515625E-2</v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</f>
        <v>1399</v>
      </c>
      <c r="K9" s="89">
        <f t="shared" si="2"/>
        <v>0.68310546875</v>
      </c>
      <c r="L9" s="73">
        <v>14410.5</v>
      </c>
      <c r="M9" s="26"/>
    </row>
    <row r="10" spans="1:13" ht="15.6" customHeight="1" x14ac:dyDescent="0.3">
      <c r="A10" s="39" t="s">
        <v>20</v>
      </c>
      <c r="B10" s="112">
        <f>'6 May - 12 May'!D10</f>
        <v>146819.43</v>
      </c>
      <c r="C10" s="73">
        <v>129346.78</v>
      </c>
      <c r="D10" s="73">
        <v>130430.39999999999</v>
      </c>
      <c r="E10" s="86">
        <f t="shared" si="0"/>
        <v>8.3776341397906878E-3</v>
      </c>
      <c r="F10" s="74">
        <v>874</v>
      </c>
      <c r="G10" s="63">
        <f t="shared" si="3"/>
        <v>149.23386727688788</v>
      </c>
      <c r="H10" s="61">
        <v>40</v>
      </c>
      <c r="I10" s="28">
        <f t="shared" si="1"/>
        <v>4.5766590389016017E-2</v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</f>
        <v>870</v>
      </c>
      <c r="K10" s="89">
        <f t="shared" si="2"/>
        <v>0.99542334096109841</v>
      </c>
      <c r="L10" s="73">
        <v>12653.5</v>
      </c>
      <c r="M10" s="26"/>
    </row>
    <row r="11" spans="1:13" ht="15.6" customHeight="1" x14ac:dyDescent="0.3">
      <c r="A11" s="39" t="s">
        <v>21</v>
      </c>
      <c r="B11" s="112">
        <f>'6 May - 12 May'!D11</f>
        <v>382519.05</v>
      </c>
      <c r="C11" s="73">
        <v>287710.11</v>
      </c>
      <c r="D11" s="73">
        <v>321781.94</v>
      </c>
      <c r="E11" s="86">
        <f t="shared" si="0"/>
        <v>0.11842416660297414</v>
      </c>
      <c r="F11" s="74">
        <v>2193</v>
      </c>
      <c r="G11" s="63">
        <f t="shared" si="3"/>
        <v>146.73139078887368</v>
      </c>
      <c r="H11" s="61">
        <v>95</v>
      </c>
      <c r="I11" s="28">
        <f t="shared" si="1"/>
        <v>4.3319653442772457E-2</v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</f>
        <v>2426</v>
      </c>
      <c r="K11" s="89">
        <f t="shared" si="2"/>
        <v>1.1062471500227997</v>
      </c>
      <c r="L11" s="73">
        <v>23521.53</v>
      </c>
      <c r="M11" s="26"/>
    </row>
    <row r="12" spans="1:13" ht="15.6" customHeight="1" x14ac:dyDescent="0.3">
      <c r="A12" s="40" t="s">
        <v>22</v>
      </c>
      <c r="B12" s="112">
        <f>'6 May - 12 May'!D12</f>
        <v>144817.99</v>
      </c>
      <c r="C12" s="73">
        <v>103691.4</v>
      </c>
      <c r="D12" s="73">
        <v>126268.32</v>
      </c>
      <c r="E12" s="86">
        <f t="shared" si="0"/>
        <v>0.2177318466140877</v>
      </c>
      <c r="F12" s="74">
        <v>1240</v>
      </c>
      <c r="G12" s="63">
        <f t="shared" si="3"/>
        <v>101.82929032258065</v>
      </c>
      <c r="H12" s="61">
        <v>62</v>
      </c>
      <c r="I12" s="28">
        <f t="shared" si="1"/>
        <v>0.05</v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</f>
        <v>939</v>
      </c>
      <c r="K12" s="89">
        <f t="shared" si="2"/>
        <v>0.75725806451612898</v>
      </c>
      <c r="L12" s="73">
        <v>12477.5</v>
      </c>
      <c r="M12" s="26"/>
    </row>
    <row r="13" spans="1:13" ht="15.6" customHeight="1" x14ac:dyDescent="0.3">
      <c r="A13" s="40" t="s">
        <v>23</v>
      </c>
      <c r="B13" s="112">
        <f>'6 May - 12 May'!D13</f>
        <v>233865.68</v>
      </c>
      <c r="C13" s="73">
        <v>169358.35</v>
      </c>
      <c r="D13" s="73">
        <v>195027.05</v>
      </c>
      <c r="E13" s="86">
        <f t="shared" si="0"/>
        <v>0.15156441946913146</v>
      </c>
      <c r="F13" s="74">
        <v>1403</v>
      </c>
      <c r="G13" s="63">
        <f t="shared" si="3"/>
        <v>139.00716322166784</v>
      </c>
      <c r="H13" s="61">
        <v>66</v>
      </c>
      <c r="I13" s="28">
        <f t="shared" si="1"/>
        <v>4.7042052744119746E-2</v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</f>
        <v>1653</v>
      </c>
      <c r="K13" s="89">
        <f t="shared" si="2"/>
        <v>1.1781895937277262</v>
      </c>
      <c r="L13" s="73">
        <v>11100.7</v>
      </c>
      <c r="M13" s="26"/>
    </row>
    <row r="14" spans="1:13" ht="15.6" customHeight="1" x14ac:dyDescent="0.3">
      <c r="A14" s="40" t="s">
        <v>24</v>
      </c>
      <c r="B14" s="112">
        <f>'6 May - 12 May'!D14</f>
        <v>0</v>
      </c>
      <c r="C14" s="73">
        <v>41410.68</v>
      </c>
      <c r="D14" s="73">
        <f>IFERROR(VLOOKUP(A14,Data!A:E,4,FALSE),0)</f>
        <v>0</v>
      </c>
      <c r="E14" s="86">
        <f t="shared" si="0"/>
        <v>-1</v>
      </c>
      <c r="F14" s="74">
        <f>IFERROR(VLOOKUP(A14,Data!A:E,5,FALSE),0)</f>
        <v>0</v>
      </c>
      <c r="G14" s="63">
        <f t="shared" si="3"/>
        <v>0</v>
      </c>
      <c r="H14" s="61">
        <f>VLOOKUP(A14,Promo!A:T,20,FALSE)</f>
        <v>0</v>
      </c>
      <c r="I14" s="28">
        <f t="shared" si="1"/>
        <v>0</v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</f>
        <v>0</v>
      </c>
      <c r="K14" s="89">
        <f t="shared" si="2"/>
        <v>0</v>
      </c>
      <c r="L14" s="73">
        <f>IFERROR(VLOOKUP(A14,Data!A:E,3,FALSE),0)</f>
        <v>0</v>
      </c>
      <c r="M14" s="26"/>
    </row>
    <row r="15" spans="1:13" ht="15.6" customHeight="1" x14ac:dyDescent="0.3">
      <c r="A15" s="40" t="s">
        <v>26</v>
      </c>
      <c r="B15" s="112">
        <f>'6 May - 12 May'!D15</f>
        <v>163941.60999999999</v>
      </c>
      <c r="C15" s="73">
        <v>94936.65</v>
      </c>
      <c r="D15" s="73">
        <v>127940.31</v>
      </c>
      <c r="E15" s="86">
        <f t="shared" si="0"/>
        <v>0.34763876753603595</v>
      </c>
      <c r="F15" s="74">
        <v>1190</v>
      </c>
      <c r="G15" s="63">
        <f t="shared" si="3"/>
        <v>107.51286554621849</v>
      </c>
      <c r="H15" s="61">
        <v>57</v>
      </c>
      <c r="I15" s="28">
        <f t="shared" si="1"/>
        <v>4.789915966386555E-2</v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</f>
        <v>1225</v>
      </c>
      <c r="K15" s="89">
        <f t="shared" si="2"/>
        <v>1.0294117647058822</v>
      </c>
      <c r="L15" s="73">
        <v>3574</v>
      </c>
      <c r="M15" s="9"/>
    </row>
    <row r="16" spans="1:13" ht="15.6" customHeight="1" x14ac:dyDescent="0.3">
      <c r="A16" s="40" t="s">
        <v>27</v>
      </c>
      <c r="B16" s="112">
        <f>'6 May - 12 May'!D16</f>
        <v>156915.53</v>
      </c>
      <c r="C16" s="73">
        <v>105933.05</v>
      </c>
      <c r="D16" s="73">
        <v>125341.75</v>
      </c>
      <c r="E16" s="86">
        <f t="shared" si="0"/>
        <v>0.18321666373242343</v>
      </c>
      <c r="F16" s="74">
        <v>844</v>
      </c>
      <c r="G16" s="63">
        <f t="shared" si="3"/>
        <v>148.50918246445497</v>
      </c>
      <c r="H16" s="61">
        <v>18</v>
      </c>
      <c r="I16" s="28">
        <f t="shared" si="1"/>
        <v>2.132701421800948E-2</v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</f>
        <v>652</v>
      </c>
      <c r="K16" s="89">
        <f t="shared" si="2"/>
        <v>0.77251184834123221</v>
      </c>
      <c r="L16" s="73">
        <v>11252.7</v>
      </c>
      <c r="M16" s="9"/>
    </row>
    <row r="17" spans="1:13" ht="15.6" customHeight="1" x14ac:dyDescent="0.3">
      <c r="A17" s="40" t="s">
        <v>28</v>
      </c>
      <c r="B17" s="112">
        <f>'6 May - 12 May'!D17</f>
        <v>204319.37</v>
      </c>
      <c r="C17" s="73">
        <v>155721.71</v>
      </c>
      <c r="D17" s="73">
        <v>194146.4</v>
      </c>
      <c r="E17" s="86">
        <f t="shared" si="0"/>
        <v>0.24675229934220477</v>
      </c>
      <c r="F17" s="74">
        <v>1230</v>
      </c>
      <c r="G17" s="63">
        <f t="shared" si="3"/>
        <v>157.84260162601626</v>
      </c>
      <c r="H17" s="61">
        <v>75</v>
      </c>
      <c r="I17" s="28">
        <f t="shared" si="1"/>
        <v>6.097560975609756E-2</v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</f>
        <v>2021</v>
      </c>
      <c r="K17" s="89">
        <f t="shared" si="2"/>
        <v>1.6430894308943089</v>
      </c>
      <c r="L17" s="73">
        <v>11482.35</v>
      </c>
      <c r="M17" s="9"/>
    </row>
    <row r="18" spans="1:13" ht="15.6" customHeight="1" x14ac:dyDescent="0.3">
      <c r="A18" s="40" t="s">
        <v>33</v>
      </c>
      <c r="B18" s="112">
        <f>'6 May - 12 May'!D18</f>
        <v>197506.48</v>
      </c>
      <c r="C18" s="73">
        <f>IFERROR(VLOOKUP(A18,'May 7 - May 13'!A:F,6,FALSE),0)</f>
        <v>0</v>
      </c>
      <c r="D18" s="73">
        <v>151423.45000000001</v>
      </c>
      <c r="E18" s="86">
        <f t="shared" si="0"/>
        <v>0</v>
      </c>
      <c r="F18" s="74">
        <v>1277</v>
      </c>
      <c r="G18" s="63">
        <f t="shared" si="3"/>
        <v>118.57748629600627</v>
      </c>
      <c r="H18" s="61">
        <v>53</v>
      </c>
      <c r="I18" s="28">
        <f t="shared" si="1"/>
        <v>4.1503523884103367E-2</v>
      </c>
      <c r="J18" s="46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</f>
        <v>886</v>
      </c>
      <c r="K18" s="89">
        <f t="shared" si="2"/>
        <v>0.69381362568519966</v>
      </c>
      <c r="L18" s="73">
        <v>3202.5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7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40"/>
  <sheetViews>
    <sheetView topLeftCell="A3" zoomScale="78" workbookViewId="0">
      <selection activeCell="A4" sqref="A4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  <col min="16" max="16" width="12.33203125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5.4110331978577418E-2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2168315.7000000002</v>
      </c>
      <c r="C4" s="135">
        <f>SUM(C6:C18)-C14</f>
        <v>2001624.9399999997</v>
      </c>
      <c r="D4" s="142">
        <f>SUM(D6:D18)</f>
        <v>2257539.2199999997</v>
      </c>
      <c r="E4" s="152">
        <f t="shared" ref="E4:E18" si="0">IFERROR((SUM(D4-C4)/C4),0)</f>
        <v>0.1278532630593622</v>
      </c>
      <c r="F4" s="147">
        <f>SUM(F6:F18)</f>
        <v>16264</v>
      </c>
      <c r="G4" s="136">
        <f>AVERAGE(G5:G18)</f>
        <v>127.57257514495281</v>
      </c>
      <c r="H4" s="137">
        <f>SUM(H6:H18)</f>
        <v>726</v>
      </c>
      <c r="I4" s="138">
        <f t="shared" ref="I4:I18" si="1">IFERROR(H4/F4,0)</f>
        <v>4.4638465322183962E-2</v>
      </c>
      <c r="J4" s="139">
        <f>SUM(J6:J18)</f>
        <v>16310</v>
      </c>
      <c r="K4" s="140">
        <f t="shared" ref="K4:K18" si="2">IFERROR(J4/SUM(F4),0)</f>
        <v>1.0028283325135268</v>
      </c>
      <c r="L4" s="141">
        <f>SUM(L6:L18)</f>
        <v>134978.54999999999</v>
      </c>
      <c r="M4" s="24"/>
    </row>
    <row r="5" spans="1:13" ht="15.6" hidden="1" customHeight="1" x14ac:dyDescent="0.3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217085.03</v>
      </c>
      <c r="C6" s="123">
        <v>221825.67</v>
      </c>
      <c r="D6" s="144">
        <v>221316.49</v>
      </c>
      <c r="E6" s="154">
        <f t="shared" si="0"/>
        <v>-2.2954061177861973E-3</v>
      </c>
      <c r="F6" s="149">
        <v>1716</v>
      </c>
      <c r="G6" s="124">
        <f t="shared" ref="G6:G18" si="3">IFERROR(D6/F6,0)</f>
        <v>128.97231351981353</v>
      </c>
      <c r="H6" s="125">
        <v>59</v>
      </c>
      <c r="I6" s="126">
        <f t="shared" si="1"/>
        <v>3.4382284382284384E-2</v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</f>
        <v>1404</v>
      </c>
      <c r="K6" s="128">
        <f t="shared" si="2"/>
        <v>0.81818181818181823</v>
      </c>
      <c r="L6" s="129">
        <v>15424.95</v>
      </c>
      <c r="M6" s="26"/>
    </row>
    <row r="7" spans="1:13" ht="15.6" customHeight="1" x14ac:dyDescent="0.3">
      <c r="A7" s="406" t="s">
        <v>16</v>
      </c>
      <c r="B7" s="158">
        <v>208131.03</v>
      </c>
      <c r="C7" s="73">
        <v>186639.79</v>
      </c>
      <c r="D7" s="145">
        <v>230507.03</v>
      </c>
      <c r="E7" s="155">
        <f t="shared" si="0"/>
        <v>0.23503691254689041</v>
      </c>
      <c r="F7" s="150">
        <v>1732</v>
      </c>
      <c r="G7" s="63">
        <f t="shared" si="3"/>
        <v>133.08719976905311</v>
      </c>
      <c r="H7" s="61">
        <v>76</v>
      </c>
      <c r="I7" s="28">
        <f t="shared" si="1"/>
        <v>4.3879907621247112E-2</v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</f>
        <v>1726</v>
      </c>
      <c r="K7" s="89">
        <f t="shared" si="2"/>
        <v>0.99653579676674364</v>
      </c>
      <c r="L7" s="130">
        <v>15958</v>
      </c>
      <c r="M7" s="26"/>
    </row>
    <row r="8" spans="1:13" ht="15.6" customHeight="1" x14ac:dyDescent="0.3">
      <c r="A8" s="406" t="s">
        <v>17</v>
      </c>
      <c r="B8" s="158">
        <v>98960.8</v>
      </c>
      <c r="C8" s="73">
        <v>88432.89</v>
      </c>
      <c r="D8" s="145">
        <v>105221.78</v>
      </c>
      <c r="E8" s="155">
        <f t="shared" si="0"/>
        <v>0.18984893516428106</v>
      </c>
      <c r="F8" s="150">
        <v>753</v>
      </c>
      <c r="G8" s="63">
        <f t="shared" si="3"/>
        <v>139.73675962815406</v>
      </c>
      <c r="H8" s="61">
        <v>36</v>
      </c>
      <c r="I8" s="28">
        <f t="shared" si="1"/>
        <v>4.7808764940239043E-2</v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</f>
        <v>554</v>
      </c>
      <c r="K8" s="89">
        <f t="shared" si="2"/>
        <v>0.7357237715803453</v>
      </c>
      <c r="L8" s="130">
        <v>3866.7</v>
      </c>
      <c r="M8" s="26"/>
    </row>
    <row r="9" spans="1:13" ht="15.6" customHeight="1" x14ac:dyDescent="0.3">
      <c r="A9" s="406" t="s">
        <v>18</v>
      </c>
      <c r="B9" s="158">
        <v>271779.21999999997</v>
      </c>
      <c r="C9" s="73">
        <v>299724.59000000003</v>
      </c>
      <c r="D9" s="145">
        <v>287415.07</v>
      </c>
      <c r="E9" s="155">
        <f t="shared" si="0"/>
        <v>-4.1069436444971089E-2</v>
      </c>
      <c r="F9" s="150">
        <v>2043</v>
      </c>
      <c r="G9" s="63">
        <f t="shared" si="3"/>
        <v>140.68285364659815</v>
      </c>
      <c r="H9" s="61">
        <v>35</v>
      </c>
      <c r="I9" s="28">
        <f t="shared" si="1"/>
        <v>1.7131669114047968E-2</v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</f>
        <v>1434</v>
      </c>
      <c r="K9" s="89">
        <f t="shared" si="2"/>
        <v>0.70190895741556536</v>
      </c>
      <c r="L9" s="130">
        <v>12099.8</v>
      </c>
      <c r="M9" s="26"/>
    </row>
    <row r="10" spans="1:13" ht="15.6" customHeight="1" x14ac:dyDescent="0.3">
      <c r="A10" s="406" t="s">
        <v>20</v>
      </c>
      <c r="B10" s="158">
        <v>130430.39999999999</v>
      </c>
      <c r="C10" s="73">
        <v>168223.03</v>
      </c>
      <c r="D10" s="145">
        <v>144417.04</v>
      </c>
      <c r="E10" s="155">
        <f t="shared" si="0"/>
        <v>-0.14151445256930631</v>
      </c>
      <c r="F10" s="150">
        <v>998</v>
      </c>
      <c r="G10" s="63">
        <f t="shared" si="3"/>
        <v>144.70645290581163</v>
      </c>
      <c r="H10" s="61">
        <v>41</v>
      </c>
      <c r="I10" s="28">
        <f t="shared" si="1"/>
        <v>4.1082164328657314E-2</v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</f>
        <v>911</v>
      </c>
      <c r="K10" s="89">
        <f t="shared" si="2"/>
        <v>0.91282565130260518</v>
      </c>
      <c r="L10" s="130">
        <v>8493.5499999999993</v>
      </c>
      <c r="M10" s="26"/>
    </row>
    <row r="11" spans="1:13" ht="15.6" customHeight="1" x14ac:dyDescent="0.3">
      <c r="A11" s="406" t="s">
        <v>21</v>
      </c>
      <c r="B11" s="158">
        <v>321781.94</v>
      </c>
      <c r="C11" s="73">
        <v>305095.51</v>
      </c>
      <c r="D11" s="145">
        <v>330106.03000000003</v>
      </c>
      <c r="E11" s="155">
        <f t="shared" si="0"/>
        <v>8.1976034324464556E-2</v>
      </c>
      <c r="F11" s="150">
        <v>2156</v>
      </c>
      <c r="G11" s="63">
        <f t="shared" si="3"/>
        <v>153.11040352504639</v>
      </c>
      <c r="H11" s="61">
        <v>101</v>
      </c>
      <c r="I11" s="28">
        <f t="shared" si="1"/>
        <v>4.6846011131725415E-2</v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</f>
        <v>2527</v>
      </c>
      <c r="K11" s="89">
        <f t="shared" si="2"/>
        <v>1.1720779220779221</v>
      </c>
      <c r="L11" s="130">
        <v>24152.7</v>
      </c>
      <c r="M11" s="26"/>
    </row>
    <row r="12" spans="1:13" ht="15.6" customHeight="1" x14ac:dyDescent="0.3">
      <c r="A12" s="160" t="s">
        <v>22</v>
      </c>
      <c r="B12" s="158">
        <v>126268.32</v>
      </c>
      <c r="C12" s="73">
        <v>111686.16</v>
      </c>
      <c r="D12" s="145">
        <v>129133.4</v>
      </c>
      <c r="E12" s="155">
        <f t="shared" si="0"/>
        <v>0.15621666999742842</v>
      </c>
      <c r="F12" s="150">
        <v>1073</v>
      </c>
      <c r="G12" s="63">
        <f t="shared" si="3"/>
        <v>120.3479962721342</v>
      </c>
      <c r="H12" s="61">
        <v>46</v>
      </c>
      <c r="I12" s="28">
        <f t="shared" si="1"/>
        <v>4.2870456663560111E-2</v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</f>
        <v>985</v>
      </c>
      <c r="K12" s="89">
        <f t="shared" si="2"/>
        <v>0.91798695246971107</v>
      </c>
      <c r="L12" s="130">
        <v>14556.5</v>
      </c>
      <c r="M12" s="26"/>
    </row>
    <row r="13" spans="1:13" ht="15.6" customHeight="1" x14ac:dyDescent="0.3">
      <c r="A13" s="160" t="s">
        <v>23</v>
      </c>
      <c r="B13" s="158">
        <v>195027.05</v>
      </c>
      <c r="C13" s="73">
        <v>200143.4</v>
      </c>
      <c r="D13" s="145">
        <v>222565.67</v>
      </c>
      <c r="E13" s="155">
        <f t="shared" si="0"/>
        <v>0.11203102375596707</v>
      </c>
      <c r="F13" s="150">
        <v>1560</v>
      </c>
      <c r="G13" s="63">
        <f t="shared" si="3"/>
        <v>142.6703012820513</v>
      </c>
      <c r="H13" s="61">
        <v>81</v>
      </c>
      <c r="I13" s="28">
        <f t="shared" si="1"/>
        <v>5.1923076923076926E-2</v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</f>
        <v>1734</v>
      </c>
      <c r="K13" s="89">
        <f t="shared" si="2"/>
        <v>1.1115384615384616</v>
      </c>
      <c r="L13" s="130">
        <v>9347.5</v>
      </c>
      <c r="M13" s="26"/>
    </row>
    <row r="14" spans="1:13" ht="15.6" customHeight="1" x14ac:dyDescent="0.3">
      <c r="A14" s="160" t="s">
        <v>24</v>
      </c>
      <c r="B14" s="158">
        <v>0</v>
      </c>
      <c r="C14" s="73">
        <v>53164.57</v>
      </c>
      <c r="D14" s="145">
        <f>IFERROR(VLOOKUP(A14,Data!A:E,4,FALSE),0)</f>
        <v>0</v>
      </c>
      <c r="E14" s="155">
        <f t="shared" si="0"/>
        <v>-1</v>
      </c>
      <c r="F14" s="150">
        <f>IFERROR(VLOOKUP(A14,Data!A:E,5,FALSE),0)</f>
        <v>0</v>
      </c>
      <c r="G14" s="63">
        <f t="shared" si="3"/>
        <v>0</v>
      </c>
      <c r="H14" s="61">
        <f>VLOOKUP(A14,Promo!A:T,20,FALSE)</f>
        <v>0</v>
      </c>
      <c r="I14" s="28">
        <f t="shared" si="1"/>
        <v>0</v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</f>
        <v>0</v>
      </c>
      <c r="K14" s="89">
        <f t="shared" si="2"/>
        <v>0</v>
      </c>
      <c r="L14" s="130">
        <f>IFERROR(VLOOKUP(A14,Data!A:E,3,FALSE),0)</f>
        <v>0</v>
      </c>
      <c r="M14" s="26"/>
    </row>
    <row r="15" spans="1:13" ht="15.6" customHeight="1" x14ac:dyDescent="0.3">
      <c r="A15" s="160" t="s">
        <v>26</v>
      </c>
      <c r="B15" s="158">
        <v>127940.31</v>
      </c>
      <c r="C15" s="73">
        <v>109316.15</v>
      </c>
      <c r="D15" s="145">
        <v>119331.58</v>
      </c>
      <c r="E15" s="155">
        <f t="shared" si="0"/>
        <v>9.161894194041785E-2</v>
      </c>
      <c r="F15" s="150">
        <v>1028</v>
      </c>
      <c r="G15" s="63">
        <f t="shared" si="3"/>
        <v>116.08130350194553</v>
      </c>
      <c r="H15" s="61">
        <v>75</v>
      </c>
      <c r="I15" s="28">
        <f t="shared" si="1"/>
        <v>7.2957198443579771E-2</v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</f>
        <v>1300</v>
      </c>
      <c r="K15" s="89">
        <f t="shared" si="2"/>
        <v>1.2645914396887159</v>
      </c>
      <c r="L15" s="130">
        <v>5434.7</v>
      </c>
      <c r="M15" s="9"/>
    </row>
    <row r="16" spans="1:13" ht="15.6" customHeight="1" x14ac:dyDescent="0.3">
      <c r="A16" s="160" t="s">
        <v>27</v>
      </c>
      <c r="B16" s="158">
        <v>125341.75</v>
      </c>
      <c r="C16" s="73">
        <v>125748.07</v>
      </c>
      <c r="D16" s="145">
        <v>120194.62</v>
      </c>
      <c r="E16" s="155">
        <f t="shared" si="0"/>
        <v>-4.4163302068970213E-2</v>
      </c>
      <c r="F16" s="150">
        <v>779</v>
      </c>
      <c r="G16" s="63">
        <f t="shared" si="3"/>
        <v>154.29347881899872</v>
      </c>
      <c r="H16" s="61">
        <v>23</v>
      </c>
      <c r="I16" s="28">
        <f t="shared" si="1"/>
        <v>2.9525032092426188E-2</v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</f>
        <v>675</v>
      </c>
      <c r="K16" s="89">
        <f t="shared" si="2"/>
        <v>0.86649550706033374</v>
      </c>
      <c r="L16" s="130">
        <v>8918.5</v>
      </c>
      <c r="M16" s="9"/>
    </row>
    <row r="17" spans="1:13" ht="15.6" customHeight="1" x14ac:dyDescent="0.3">
      <c r="A17" s="160" t="s">
        <v>28</v>
      </c>
      <c r="B17" s="158">
        <v>194146.4</v>
      </c>
      <c r="C17" s="73">
        <v>184789.68</v>
      </c>
      <c r="D17" s="145">
        <v>199724.82</v>
      </c>
      <c r="E17" s="155">
        <f t="shared" si="0"/>
        <v>8.0822370599916704E-2</v>
      </c>
      <c r="F17" s="150">
        <v>1318</v>
      </c>
      <c r="G17" s="63">
        <f t="shared" si="3"/>
        <v>151.53628224582701</v>
      </c>
      <c r="H17" s="61">
        <v>95</v>
      </c>
      <c r="I17" s="28">
        <f t="shared" si="1"/>
        <v>7.2078907435508349E-2</v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</f>
        <v>2116</v>
      </c>
      <c r="K17" s="89">
        <f t="shared" si="2"/>
        <v>1.6054628224582701</v>
      </c>
      <c r="L17" s="130">
        <v>14051.75</v>
      </c>
      <c r="M17" s="9"/>
    </row>
    <row r="18" spans="1:13" ht="16.2" customHeight="1" thickBot="1" x14ac:dyDescent="0.35">
      <c r="A18" s="161" t="s">
        <v>33</v>
      </c>
      <c r="B18" s="159">
        <v>151423.45000000001</v>
      </c>
      <c r="C18" s="131">
        <f>IFERROR(VLOOKUP(A18,'May 7 - May 13'!A:F,6,FALSE),0)</f>
        <v>0</v>
      </c>
      <c r="D18" s="146">
        <v>147605.69</v>
      </c>
      <c r="E18" s="156">
        <f t="shared" si="0"/>
        <v>0</v>
      </c>
      <c r="F18" s="151">
        <v>1108</v>
      </c>
      <c r="G18" s="132">
        <f t="shared" si="3"/>
        <v>133.21813176895307</v>
      </c>
      <c r="H18" s="133">
        <v>58</v>
      </c>
      <c r="I18" s="114">
        <f t="shared" si="1"/>
        <v>5.2346570397111915E-2</v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</f>
        <v>944</v>
      </c>
      <c r="K18" s="116">
        <f t="shared" si="2"/>
        <v>0.85198555956678701</v>
      </c>
      <c r="L18" s="134">
        <v>2673.9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70" priority="1" operator="equal">
      <formula>0</formula>
    </cfRule>
  </conditionalFormatting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40"/>
  <sheetViews>
    <sheetView zoomScale="78" workbookViewId="0">
      <selection activeCell="Q15" sqref="Q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0.1649045360684841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2257539.2199999997</v>
      </c>
      <c r="C4" s="135">
        <f>SUM(C6:C18)-C14</f>
        <v>1974882</v>
      </c>
      <c r="D4" s="142">
        <f>SUM(D6:D18)</f>
        <v>2474544</v>
      </c>
      <c r="E4" s="152">
        <f t="shared" ref="E4:E18" si="0">IFERROR((SUM(D4-C4)/C4),0)</f>
        <v>0.25300853418077635</v>
      </c>
      <c r="F4" s="147">
        <f>SUM(F6:F18)</f>
        <v>17222</v>
      </c>
      <c r="G4" s="136">
        <f>AVERAGE(G5:G18)</f>
        <v>132.21568178090854</v>
      </c>
      <c r="H4" s="137">
        <f>SUM(H6:H18)</f>
        <v>877</v>
      </c>
      <c r="I4" s="138">
        <f t="shared" ref="I4:I18" si="1">IFERROR(H4/F4,0)</f>
        <v>5.0923237719196379E-2</v>
      </c>
      <c r="J4" s="139">
        <f>SUM(J6:J18)</f>
        <v>17187</v>
      </c>
      <c r="K4" s="140">
        <f t="shared" ref="K4:K18" si="2">IFERROR(J4/SUM(F4),0)</f>
        <v>0.99796771571246079</v>
      </c>
      <c r="L4" s="141">
        <f>SUM(L6:L18)</f>
        <v>122546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221316.49</v>
      </c>
      <c r="C6" s="123">
        <v>216962</v>
      </c>
      <c r="D6" s="144">
        <v>228906</v>
      </c>
      <c r="E6" s="162">
        <f t="shared" si="0"/>
        <v>5.5051114941787042E-2</v>
      </c>
      <c r="F6" s="165">
        <v>1639</v>
      </c>
      <c r="G6" s="124">
        <f t="shared" ref="G6:G18" si="3">IFERROR(D6/F6,0)</f>
        <v>139.66198901769371</v>
      </c>
      <c r="H6" s="125">
        <v>65</v>
      </c>
      <c r="I6" s="126">
        <f t="shared" si="1"/>
        <v>3.9658328248932277E-2</v>
      </c>
      <c r="J6" s="127">
        <f>H6+'Jan 7 - Jan 13'!I6+'Jan 14 - Jan 20'!I6+'Jan 21 - Jan 27'!I6+'28 Jan - 3 Feb'!I6+'4 Feb - 10 Feb'!I6+'11 Feb - 17 Feb'!G6+'18 Feb - 24 Feb'!G6+'25 Feb - 3 Mar'!H6+'4 Mar- 10 Mar'!H6+'11 Mar- 17 Mar'!H6+'18 Mar- 24 Mar'!H6+'25 Mar- 31 Mar'!H6+'1 Apr- 7 Apr'!H6+'8 Apr- 14 Apr'!H6+'15 Apr- 21 Apr'!H6+'22 Apr- 28 Apr'!H6+'29 Apr- 5 May'!H6+'6 May - 12 May'!H6+'13 May - 19 May'!H6+'20 May - 26 May'!H6</f>
        <v>1469</v>
      </c>
      <c r="K6" s="128">
        <f t="shared" si="2"/>
        <v>0.89627821842586941</v>
      </c>
      <c r="L6" s="129">
        <v>10956</v>
      </c>
      <c r="M6" s="26"/>
    </row>
    <row r="7" spans="1:13" ht="15.6" customHeight="1" x14ac:dyDescent="0.3">
      <c r="A7" s="406" t="s">
        <v>16</v>
      </c>
      <c r="B7" s="158">
        <v>230507.03</v>
      </c>
      <c r="C7" s="73">
        <v>176855</v>
      </c>
      <c r="D7" s="145">
        <v>291098</v>
      </c>
      <c r="E7" s="163">
        <f t="shared" si="0"/>
        <v>0.64596986231658704</v>
      </c>
      <c r="F7" s="166">
        <v>1967</v>
      </c>
      <c r="G7" s="63">
        <f t="shared" si="3"/>
        <v>147.99084900864261</v>
      </c>
      <c r="H7" s="61">
        <v>108</v>
      </c>
      <c r="I7" s="28">
        <f t="shared" si="1"/>
        <v>5.4905948144382308E-2</v>
      </c>
      <c r="J7" s="46">
        <f>H7+'Jan 7 - Jan 13'!I7+'Jan 14 - Jan 20'!I7+'Jan 21 - Jan 27'!I7+'28 Jan - 3 Feb'!I7+'4 Feb - 10 Feb'!I7+'11 Feb - 17 Feb'!G7+'18 Feb - 24 Feb'!G7+'25 Feb - 3 Mar'!H7+'4 Mar- 10 Mar'!H7+'11 Mar- 17 Mar'!H7+'18 Mar- 24 Mar'!H7+'25 Mar- 31 Mar'!H7+'1 Apr- 7 Apr'!H7+'8 Apr- 14 Apr'!H7+'15 Apr- 21 Apr'!H7+'22 Apr- 28 Apr'!H7+'29 Apr- 5 May'!H7+'6 May - 12 May'!H7+'13 May - 19 May'!H7+'20 May - 26 May'!H7</f>
        <v>1834</v>
      </c>
      <c r="K7" s="89">
        <f t="shared" si="2"/>
        <v>0.93238434163701067</v>
      </c>
      <c r="L7" s="130">
        <v>17512</v>
      </c>
      <c r="M7" s="26"/>
    </row>
    <row r="8" spans="1:13" ht="15.6" customHeight="1" x14ac:dyDescent="0.3">
      <c r="A8" s="406" t="s">
        <v>17</v>
      </c>
      <c r="B8" s="158">
        <v>105221.78</v>
      </c>
      <c r="C8" s="73">
        <v>103723</v>
      </c>
      <c r="D8" s="145">
        <v>129833</v>
      </c>
      <c r="E8" s="163">
        <f t="shared" si="0"/>
        <v>0.25172816058154895</v>
      </c>
      <c r="F8" s="166">
        <v>859</v>
      </c>
      <c r="G8" s="63">
        <f t="shared" si="3"/>
        <v>151.14435389988358</v>
      </c>
      <c r="H8" s="61">
        <v>29</v>
      </c>
      <c r="I8" s="28">
        <f t="shared" si="1"/>
        <v>3.3760186263096625E-2</v>
      </c>
      <c r="J8" s="46">
        <f>H8+'Jan 7 - Jan 13'!I8+'Jan 14 - Jan 20'!I8+'Jan 21 - Jan 27'!I8+'28 Jan - 3 Feb'!I8+'4 Feb - 10 Feb'!I8+'11 Feb - 17 Feb'!G8+'18 Feb - 24 Feb'!G8+'25 Feb - 3 Mar'!H8+'4 Mar- 10 Mar'!H8+'11 Mar- 17 Mar'!H8+'18 Mar- 24 Mar'!H8+'25 Mar- 31 Mar'!H8+'1 Apr- 7 Apr'!H8+'8 Apr- 14 Apr'!H8+'15 Apr- 21 Apr'!H8+'22 Apr- 28 Apr'!H8+'29 Apr- 5 May'!H8+'6 May - 12 May'!H8+'13 May - 19 May'!H8+'20 May - 26 May'!H8</f>
        <v>583</v>
      </c>
      <c r="K8" s="89">
        <f t="shared" si="2"/>
        <v>0.67869615832363217</v>
      </c>
      <c r="L8" s="130">
        <v>3681</v>
      </c>
      <c r="M8" s="26"/>
    </row>
    <row r="9" spans="1:13" ht="15.6" customHeight="1" x14ac:dyDescent="0.3">
      <c r="A9" s="406" t="s">
        <v>18</v>
      </c>
      <c r="B9" s="158">
        <v>287415.07</v>
      </c>
      <c r="C9" s="73">
        <v>325253</v>
      </c>
      <c r="D9" s="145">
        <v>300962</v>
      </c>
      <c r="E9" s="163">
        <f t="shared" si="0"/>
        <v>-7.4683400306838066E-2</v>
      </c>
      <c r="F9" s="166">
        <v>2123</v>
      </c>
      <c r="G9" s="63">
        <f t="shared" si="3"/>
        <v>141.76260009420631</v>
      </c>
      <c r="H9" s="61">
        <v>56</v>
      </c>
      <c r="I9" s="28">
        <f t="shared" si="1"/>
        <v>2.6377767310409798E-2</v>
      </c>
      <c r="J9" s="46">
        <f>H9+'Jan 7 - Jan 13'!I9+'Jan 14 - Jan 20'!I9+'Jan 21 - Jan 27'!I9+'28 Jan - 3 Feb'!I9+'4 Feb - 10 Feb'!I9+'11 Feb - 17 Feb'!G9+'18 Feb - 24 Feb'!G9+'25 Feb - 3 Mar'!H9+'4 Mar- 10 Mar'!H9+'11 Mar- 17 Mar'!H9+'18 Mar- 24 Mar'!H9+'25 Mar- 31 Mar'!H9+'1 Apr- 7 Apr'!H9+'8 Apr- 14 Apr'!H9+'15 Apr- 21 Apr'!H9+'22 Apr- 28 Apr'!H9+'29 Apr- 5 May'!H9+'6 May - 12 May'!H9+'13 May - 19 May'!H9+'20 May - 26 May'!H9</f>
        <v>1490</v>
      </c>
      <c r="K9" s="89">
        <f t="shared" si="2"/>
        <v>0.70183702308054641</v>
      </c>
      <c r="L9" s="130">
        <v>10723</v>
      </c>
      <c r="M9" s="26"/>
    </row>
    <row r="10" spans="1:13" ht="15.6" customHeight="1" x14ac:dyDescent="0.3">
      <c r="A10" s="406" t="s">
        <v>20</v>
      </c>
      <c r="B10" s="158">
        <v>144417.04</v>
      </c>
      <c r="C10" s="73">
        <v>129201</v>
      </c>
      <c r="D10" s="145">
        <v>163214</v>
      </c>
      <c r="E10" s="163">
        <f t="shared" si="0"/>
        <v>0.26325647634306237</v>
      </c>
      <c r="F10" s="166">
        <v>1049</v>
      </c>
      <c r="G10" s="63">
        <f t="shared" si="3"/>
        <v>155.59008579599617</v>
      </c>
      <c r="H10" s="61">
        <v>40</v>
      </c>
      <c r="I10" s="28">
        <f t="shared" si="1"/>
        <v>3.8131553860819831E-2</v>
      </c>
      <c r="J10" s="46">
        <f>H10+'Jan 7 - Jan 13'!I10+'Jan 14 - Jan 20'!I10+'Jan 21 - Jan 27'!I10+'28 Jan - 3 Feb'!I10+'4 Feb - 10 Feb'!I10+'11 Feb - 17 Feb'!G10+'18 Feb - 24 Feb'!G10+'25 Feb - 3 Mar'!H10+'4 Mar- 10 Mar'!H10+'11 Mar- 17 Mar'!H10+'18 Mar- 24 Mar'!H10+'25 Mar- 31 Mar'!H10+'1 Apr- 7 Apr'!H10+'8 Apr- 14 Apr'!H10+'15 Apr- 21 Apr'!H10+'22 Apr- 28 Apr'!H10+'29 Apr- 5 May'!H10+'6 May - 12 May'!H10+'13 May - 19 May'!H10+'20 May - 26 May'!H10</f>
        <v>951</v>
      </c>
      <c r="K10" s="89">
        <f t="shared" si="2"/>
        <v>0.90657769304099145</v>
      </c>
      <c r="L10" s="130">
        <v>7889</v>
      </c>
      <c r="M10" s="26"/>
    </row>
    <row r="11" spans="1:13" ht="15.6" customHeight="1" x14ac:dyDescent="0.3">
      <c r="A11" s="406" t="s">
        <v>21</v>
      </c>
      <c r="B11" s="158">
        <v>330106.03000000003</v>
      </c>
      <c r="C11" s="73">
        <v>315569</v>
      </c>
      <c r="D11" s="145">
        <v>346283</v>
      </c>
      <c r="E11" s="163">
        <f t="shared" si="0"/>
        <v>9.7328951829869226E-2</v>
      </c>
      <c r="F11" s="166">
        <v>2227</v>
      </c>
      <c r="G11" s="63">
        <f t="shared" si="3"/>
        <v>155.49303996407724</v>
      </c>
      <c r="H11" s="61">
        <v>155</v>
      </c>
      <c r="I11" s="28">
        <f t="shared" si="1"/>
        <v>6.960035922766053E-2</v>
      </c>
      <c r="J11" s="46">
        <f>H11+'Jan 7 - Jan 13'!I11+'Jan 14 - Jan 20'!I11+'Jan 21 - Jan 27'!I11+'28 Jan - 3 Feb'!I11+'4 Feb - 10 Feb'!I11+'11 Feb - 17 Feb'!G11+'18 Feb - 24 Feb'!G11+'25 Feb - 3 Mar'!H11+'4 Mar- 10 Mar'!H11+'11 Mar- 17 Mar'!H11+'18 Mar- 24 Mar'!H11+'25 Mar- 31 Mar'!H11+'1 Apr- 7 Apr'!H11+'8 Apr- 14 Apr'!H11+'15 Apr- 21 Apr'!H11+'22 Apr- 28 Apr'!H11+'29 Apr- 5 May'!H11+'6 May - 12 May'!H11+'13 May - 19 May'!H11+'20 May - 26 May'!H11</f>
        <v>2682</v>
      </c>
      <c r="K11" s="89">
        <f t="shared" si="2"/>
        <v>1.2043107319263584</v>
      </c>
      <c r="L11" s="130">
        <v>16385</v>
      </c>
      <c r="M11" s="26"/>
    </row>
    <row r="12" spans="1:13" ht="15.6" customHeight="1" x14ac:dyDescent="0.3">
      <c r="A12" s="160" t="s">
        <v>22</v>
      </c>
      <c r="B12" s="158">
        <v>129133.4</v>
      </c>
      <c r="C12" s="73">
        <v>111799</v>
      </c>
      <c r="D12" s="145">
        <v>146968</v>
      </c>
      <c r="E12" s="163">
        <f t="shared" si="0"/>
        <v>0.31457347561248311</v>
      </c>
      <c r="F12" s="166">
        <v>1193</v>
      </c>
      <c r="G12" s="63">
        <f t="shared" si="3"/>
        <v>123.19195305951384</v>
      </c>
      <c r="H12" s="61">
        <v>83</v>
      </c>
      <c r="I12" s="28">
        <f t="shared" si="1"/>
        <v>6.9572506286672262E-2</v>
      </c>
      <c r="J12" s="46">
        <f>H12+'Jan 7 - Jan 13'!I12+'Jan 14 - Jan 20'!I12+'Jan 21 - Jan 27'!I12+'28 Jan - 3 Feb'!I12+'4 Feb - 10 Feb'!I12+'11 Feb - 17 Feb'!G12+'18 Feb - 24 Feb'!G12+'25 Feb - 3 Mar'!H12+'4 Mar- 10 Mar'!H12+'11 Mar- 17 Mar'!H12+'18 Mar- 24 Mar'!H12+'25 Mar- 31 Mar'!H12+'1 Apr- 7 Apr'!H12+'8 Apr- 14 Apr'!H12+'15 Apr- 21 Apr'!H12+'22 Apr- 28 Apr'!H12+'29 Apr- 5 May'!H12+'6 May - 12 May'!H12+'13 May - 19 May'!H12+'20 May - 26 May'!H12</f>
        <v>1068</v>
      </c>
      <c r="K12" s="89">
        <f t="shared" si="2"/>
        <v>0.89522212908633692</v>
      </c>
      <c r="L12" s="130">
        <v>15255</v>
      </c>
      <c r="M12" s="26"/>
    </row>
    <row r="13" spans="1:13" ht="15.6" customHeight="1" x14ac:dyDescent="0.3">
      <c r="A13" s="160" t="s">
        <v>23</v>
      </c>
      <c r="B13" s="158">
        <v>222565.67</v>
      </c>
      <c r="C13" s="73">
        <v>196039</v>
      </c>
      <c r="D13" s="145">
        <v>236376</v>
      </c>
      <c r="E13" s="163">
        <f t="shared" si="0"/>
        <v>0.20576007835175653</v>
      </c>
      <c r="F13" s="166">
        <v>1557</v>
      </c>
      <c r="G13" s="63">
        <f t="shared" si="3"/>
        <v>151.81502890173411</v>
      </c>
      <c r="H13" s="61">
        <v>67</v>
      </c>
      <c r="I13" s="28">
        <f t="shared" si="1"/>
        <v>4.3031470777135518E-2</v>
      </c>
      <c r="J13" s="46">
        <f>H13+'Jan 7 - Jan 13'!I13+'Jan 14 - Jan 20'!I13+'Jan 21 - Jan 27'!I13+'28 Jan - 3 Feb'!I13+'4 Feb - 10 Feb'!I13+'11 Feb - 17 Feb'!G13+'18 Feb - 24 Feb'!G13+'25 Feb - 3 Mar'!H13+'4 Mar- 10 Mar'!H13+'11 Mar- 17 Mar'!H13+'18 Mar- 24 Mar'!H13+'25 Mar- 31 Mar'!H13+'1 Apr- 7 Apr'!H13+'8 Apr- 14 Apr'!H13+'15 Apr- 21 Apr'!H13+'22 Apr- 28 Apr'!H13+'29 Apr- 5 May'!H13+'6 May - 12 May'!H13+'13 May - 19 May'!H13+'20 May - 26 May'!H13</f>
        <v>1801</v>
      </c>
      <c r="K13" s="89">
        <f t="shared" si="2"/>
        <v>1.1567116249197174</v>
      </c>
      <c r="L13" s="130">
        <v>12461</v>
      </c>
      <c r="M13" s="26"/>
    </row>
    <row r="14" spans="1:13" ht="15.6" customHeight="1" x14ac:dyDescent="0.3">
      <c r="A14" s="160" t="s">
        <v>24</v>
      </c>
      <c r="B14" s="158">
        <v>0</v>
      </c>
      <c r="C14" s="73">
        <v>41440</v>
      </c>
      <c r="D14" s="145">
        <v>0</v>
      </c>
      <c r="E14" s="163">
        <f t="shared" si="0"/>
        <v>-1</v>
      </c>
      <c r="F14" s="166">
        <f>IFERROR(VLOOKUP(A14,Data!A:E,5,FALSE),0)</f>
        <v>0</v>
      </c>
      <c r="G14" s="63">
        <f t="shared" si="3"/>
        <v>0</v>
      </c>
      <c r="H14" s="61">
        <f>VLOOKUP(A14,Promo!A:T,20,FALSE)</f>
        <v>0</v>
      </c>
      <c r="I14" s="28">
        <f t="shared" si="1"/>
        <v>0</v>
      </c>
      <c r="J14" s="46">
        <f>H14+'Jan 7 - Jan 13'!I14+'Jan 14 - Jan 20'!I14+'Jan 21 - Jan 27'!I14+'28 Jan - 3 Feb'!I14+'4 Feb - 10 Feb'!I14+'11 Feb - 17 Feb'!G14+'18 Feb - 24 Feb'!G14+'25 Feb - 3 Mar'!H14+'4 Mar- 10 Mar'!H14+'11 Mar- 17 Mar'!H14+'18 Mar- 24 Mar'!H14+'25 Mar- 31 Mar'!H14+'1 Apr- 7 Apr'!H14+'8 Apr- 14 Apr'!H14+'15 Apr- 21 Apr'!H14+'22 Apr- 28 Apr'!H14+'29 Apr- 5 May'!H14+'6 May - 12 May'!H14+'13 May - 19 May'!H14+'20 May - 26 May'!H14</f>
        <v>0</v>
      </c>
      <c r="K14" s="89">
        <f t="shared" si="2"/>
        <v>0</v>
      </c>
      <c r="L14" s="130">
        <f>IFERROR(VLOOKUP(A14,Data!A:E,3,FALSE),0)</f>
        <v>0</v>
      </c>
      <c r="M14" s="26"/>
    </row>
    <row r="15" spans="1:13" ht="15.6" customHeight="1" x14ac:dyDescent="0.3">
      <c r="A15" s="160" t="s">
        <v>26</v>
      </c>
      <c r="B15" s="158">
        <v>119331.58</v>
      </c>
      <c r="C15" s="73">
        <v>107350</v>
      </c>
      <c r="D15" s="145">
        <v>132890</v>
      </c>
      <c r="E15" s="163">
        <f t="shared" si="0"/>
        <v>0.23791336748952027</v>
      </c>
      <c r="F15" s="166">
        <v>1157</v>
      </c>
      <c r="G15" s="63">
        <f t="shared" si="3"/>
        <v>114.85738980121003</v>
      </c>
      <c r="H15" s="61">
        <v>60</v>
      </c>
      <c r="I15" s="28">
        <f t="shared" si="1"/>
        <v>5.1858254105445117E-2</v>
      </c>
      <c r="J15" s="46">
        <f>H15+'Jan 7 - Jan 13'!I15+'Jan 14 - Jan 20'!I15+'Jan 21 - Jan 27'!I15+'28 Jan - 3 Feb'!I15+'4 Feb - 10 Feb'!I15+'11 Feb - 17 Feb'!G15+'18 Feb - 24 Feb'!G15+'25 Feb - 3 Mar'!H15+'4 Mar- 10 Mar'!H15+'11 Mar- 17 Mar'!H15+'18 Mar- 24 Mar'!H15+'25 Mar- 31 Mar'!H15+'1 Apr- 7 Apr'!H15+'8 Apr- 14 Apr'!H15+'15 Apr- 21 Apr'!H15+'22 Apr- 28 Apr'!H15+'29 Apr- 5 May'!H15+'6 May - 12 May'!H15+'13 May - 19 May'!H15+'20 May - 26 May'!H15</f>
        <v>1360</v>
      </c>
      <c r="K15" s="89">
        <f t="shared" si="2"/>
        <v>1.1754537597234227</v>
      </c>
      <c r="L15" s="130">
        <v>4004</v>
      </c>
      <c r="M15" s="9"/>
    </row>
    <row r="16" spans="1:13" ht="15.6" customHeight="1" x14ac:dyDescent="0.3">
      <c r="A16" s="160" t="s">
        <v>27</v>
      </c>
      <c r="B16" s="158">
        <v>120194.62</v>
      </c>
      <c r="C16" s="73">
        <v>126441</v>
      </c>
      <c r="D16" s="145">
        <v>132344</v>
      </c>
      <c r="E16" s="163">
        <f t="shared" si="0"/>
        <v>4.6685806028107971E-2</v>
      </c>
      <c r="F16" s="166">
        <v>847</v>
      </c>
      <c r="G16" s="63">
        <f t="shared" si="3"/>
        <v>156.25029515938607</v>
      </c>
      <c r="H16" s="61">
        <v>33</v>
      </c>
      <c r="I16" s="28">
        <f t="shared" si="1"/>
        <v>3.896103896103896E-2</v>
      </c>
      <c r="J16" s="46">
        <f>H16+'Jan 7 - Jan 13'!I16+'Jan 14 - Jan 20'!I16+'Jan 21 - Jan 27'!I16+'28 Jan - 3 Feb'!I16+'4 Feb - 10 Feb'!I16+'11 Feb - 17 Feb'!G16+'18 Feb - 24 Feb'!G16+'25 Feb - 3 Mar'!H16+'4 Mar- 10 Mar'!H16+'11 Mar- 17 Mar'!H16+'18 Mar- 24 Mar'!H16+'25 Mar- 31 Mar'!H16+'1 Apr- 7 Apr'!H16+'8 Apr- 14 Apr'!H16+'15 Apr- 21 Apr'!H16+'22 Apr- 28 Apr'!H16+'29 Apr- 5 May'!H16+'6 May - 12 May'!H16+'13 May - 19 May'!H16+'20 May - 26 May'!H16</f>
        <v>708</v>
      </c>
      <c r="K16" s="89">
        <f t="shared" si="2"/>
        <v>0.83589138134592678</v>
      </c>
      <c r="L16" s="130">
        <v>8748</v>
      </c>
      <c r="M16" s="9"/>
    </row>
    <row r="17" spans="1:13" ht="15.6" customHeight="1" x14ac:dyDescent="0.3">
      <c r="A17" s="160" t="s">
        <v>28</v>
      </c>
      <c r="B17" s="158">
        <v>199724.82</v>
      </c>
      <c r="C17" s="73">
        <v>165690</v>
      </c>
      <c r="D17" s="145">
        <v>191675</v>
      </c>
      <c r="E17" s="163">
        <f t="shared" si="0"/>
        <v>0.15682901804574809</v>
      </c>
      <c r="F17" s="166">
        <v>1287</v>
      </c>
      <c r="G17" s="63">
        <f t="shared" si="3"/>
        <v>148.93162393162393</v>
      </c>
      <c r="H17" s="61">
        <v>110</v>
      </c>
      <c r="I17" s="28">
        <f t="shared" si="1"/>
        <v>8.5470085470085472E-2</v>
      </c>
      <c r="J17" s="46">
        <f>H17+'Jan 7 - Jan 13'!I17+'Jan 14 - Jan 20'!I17+'Jan 21 - Jan 27'!I17+'28 Jan - 3 Feb'!I17+'4 Feb - 10 Feb'!I17+'11 Feb - 17 Feb'!G17+'18 Feb - 24 Feb'!G17+'25 Feb - 3 Mar'!H17+'4 Mar- 10 Mar'!H17+'11 Mar- 17 Mar'!H17+'18 Mar- 24 Mar'!H17+'25 Mar- 31 Mar'!H17+'1 Apr- 7 Apr'!H17+'8 Apr- 14 Apr'!H17+'15 Apr- 21 Apr'!H17+'22 Apr- 28 Apr'!H17+'29 Apr- 5 May'!H17+'6 May - 12 May'!H17+'13 May - 19 May'!H17+'20 May - 26 May'!H17</f>
        <v>2226</v>
      </c>
      <c r="K17" s="89">
        <f t="shared" si="2"/>
        <v>1.7296037296037297</v>
      </c>
      <c r="L17" s="130">
        <v>11218</v>
      </c>
      <c r="M17" s="9"/>
    </row>
    <row r="18" spans="1:13" ht="16.2" customHeight="1" thickBot="1" x14ac:dyDescent="0.35">
      <c r="A18" s="161" t="s">
        <v>33</v>
      </c>
      <c r="B18" s="159">
        <v>147605.69</v>
      </c>
      <c r="C18" s="131"/>
      <c r="D18" s="146">
        <v>173995</v>
      </c>
      <c r="E18" s="164">
        <f t="shared" si="0"/>
        <v>0</v>
      </c>
      <c r="F18" s="167">
        <v>1317</v>
      </c>
      <c r="G18" s="132">
        <f t="shared" si="3"/>
        <v>132.11465451784358</v>
      </c>
      <c r="H18" s="133">
        <v>71</v>
      </c>
      <c r="I18" s="114">
        <f t="shared" si="1"/>
        <v>5.3910402429764616E-2</v>
      </c>
      <c r="J18" s="115">
        <f>H18+'28 Jan - 3 Feb'!I18+'4 Feb - 10 Feb'!I18+'11 Feb - 17 Feb'!G18+'18 Feb - 24 Feb'!G18+'25 Feb - 3 Mar'!H18+'4 Mar- 10 Mar'!H18+'11 Mar- 17 Mar'!H18+'18 Mar- 24 Mar'!H18+'25 Mar- 31 Mar'!H18+'1 Apr- 7 Apr'!H18+'8 Apr- 14 Apr'!H18+'15 Apr- 21 Apr'!H18+'22 Apr- 28 Apr'!H18+'29 Apr- 5 May'!H18+'6 May - 12 May'!H18+'13 May - 19 May'!H18+'20 May - 26 May'!H18</f>
        <v>1015</v>
      </c>
      <c r="K18" s="116">
        <f t="shared" si="2"/>
        <v>0.77069096431283224</v>
      </c>
      <c r="L18" s="134">
        <v>3714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9" priority="1" operator="equal">
      <formula>0</formula>
    </cfRule>
  </conditionalFormatting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40"/>
  <sheetViews>
    <sheetView zoomScale="78" workbookViewId="0">
      <selection activeCell="H11" sqref="H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0.16175490623680391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2474544</v>
      </c>
      <c r="C4" s="135">
        <f>SUM(C6:C18)-C14</f>
        <v>1855514.2900000003</v>
      </c>
      <c r="D4" s="142">
        <f>SUM(D6:D18)</f>
        <v>2308412.86</v>
      </c>
      <c r="E4" s="152">
        <f t="shared" ref="E4:E18" si="0">IFERROR((SUM(D4-C4)/C4),0)</f>
        <v>0.24408250178445112</v>
      </c>
      <c r="F4" s="147">
        <f>SUM(F6:F18)</f>
        <v>16773</v>
      </c>
      <c r="G4" s="136">
        <f>AVERAGE(G5:G18)</f>
        <v>126.06622198617382</v>
      </c>
      <c r="H4" s="137">
        <f>SUM(H6:H18)</f>
        <v>196</v>
      </c>
      <c r="I4" s="138">
        <f t="shared" ref="I4:I18" si="1">IFERROR(H4/F4,0)</f>
        <v>1.1685446849102724E-2</v>
      </c>
      <c r="J4" s="139">
        <f>SUM(J6:J18)</f>
        <v>196</v>
      </c>
      <c r="K4" s="140">
        <f t="shared" ref="K4:K18" si="2">IFERROR(J4/SUM(F4),0)</f>
        <v>1.1685446849102724E-2</v>
      </c>
      <c r="L4" s="141">
        <f>SUM(L6:L18)</f>
        <v>125352.15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228906</v>
      </c>
      <c r="C6" s="123">
        <v>196627.05</v>
      </c>
      <c r="D6" s="144">
        <v>245311.38</v>
      </c>
      <c r="E6" s="162">
        <f t="shared" si="0"/>
        <v>0.24759731684933492</v>
      </c>
      <c r="F6" s="165">
        <v>1775</v>
      </c>
      <c r="G6" s="124">
        <f t="shared" ref="G6:G18" si="3">IFERROR(D6/F6,0)</f>
        <v>138.20359436619719</v>
      </c>
      <c r="H6" s="125">
        <v>19</v>
      </c>
      <c r="I6" s="168">
        <f t="shared" si="1"/>
        <v>1.0704225352112675E-2</v>
      </c>
      <c r="J6" s="174">
        <f t="shared" ref="J6:J18" si="4">H6</f>
        <v>19</v>
      </c>
      <c r="K6" s="171">
        <f t="shared" si="2"/>
        <v>1.0704225352112675E-2</v>
      </c>
      <c r="L6" s="129">
        <v>15256</v>
      </c>
      <c r="M6" s="26"/>
    </row>
    <row r="7" spans="1:13" ht="15.6" customHeight="1" x14ac:dyDescent="0.3">
      <c r="A7" s="406" t="s">
        <v>16</v>
      </c>
      <c r="B7" s="158">
        <v>291098</v>
      </c>
      <c r="C7" s="73">
        <v>173968.25</v>
      </c>
      <c r="D7" s="145">
        <v>262809.21000000002</v>
      </c>
      <c r="E7" s="163">
        <f t="shared" si="0"/>
        <v>0.51067341310842651</v>
      </c>
      <c r="F7" s="166">
        <v>1827</v>
      </c>
      <c r="G7" s="63">
        <f t="shared" si="3"/>
        <v>143.84740558292285</v>
      </c>
      <c r="H7" s="61">
        <v>36</v>
      </c>
      <c r="I7" s="169">
        <f t="shared" si="1"/>
        <v>1.9704433497536946E-2</v>
      </c>
      <c r="J7" s="175">
        <f t="shared" si="4"/>
        <v>36</v>
      </c>
      <c r="K7" s="172">
        <f t="shared" si="2"/>
        <v>1.9704433497536946E-2</v>
      </c>
      <c r="L7" s="130">
        <v>13264</v>
      </c>
      <c r="M7" s="26"/>
    </row>
    <row r="8" spans="1:13" ht="15.6" customHeight="1" x14ac:dyDescent="0.3">
      <c r="A8" s="406" t="s">
        <v>17</v>
      </c>
      <c r="B8" s="158">
        <v>129833</v>
      </c>
      <c r="C8" s="73">
        <v>107361.01</v>
      </c>
      <c r="D8" s="145">
        <v>109264.66</v>
      </c>
      <c r="E8" s="163">
        <f t="shared" si="0"/>
        <v>1.7731297423524695E-2</v>
      </c>
      <c r="F8" s="166">
        <v>866</v>
      </c>
      <c r="G8" s="63">
        <f t="shared" si="3"/>
        <v>126.17166281755196</v>
      </c>
      <c r="H8" s="61">
        <v>5</v>
      </c>
      <c r="I8" s="169">
        <f t="shared" si="1"/>
        <v>5.7736720554272519E-3</v>
      </c>
      <c r="J8" s="175">
        <f t="shared" si="4"/>
        <v>5</v>
      </c>
      <c r="K8" s="172">
        <f t="shared" si="2"/>
        <v>5.7736720554272519E-3</v>
      </c>
      <c r="L8" s="130">
        <v>5767.9</v>
      </c>
      <c r="M8" s="26"/>
    </row>
    <row r="9" spans="1:13" ht="15.6" customHeight="1" x14ac:dyDescent="0.3">
      <c r="A9" s="406" t="s">
        <v>18</v>
      </c>
      <c r="B9" s="158">
        <v>300962</v>
      </c>
      <c r="C9" s="73">
        <v>285115.40999999997</v>
      </c>
      <c r="D9" s="145">
        <v>308917.94</v>
      </c>
      <c r="E9" s="163">
        <f t="shared" si="0"/>
        <v>8.3483842560456586E-2</v>
      </c>
      <c r="F9" s="166">
        <v>2176</v>
      </c>
      <c r="G9" s="63">
        <f t="shared" si="3"/>
        <v>141.96596507352942</v>
      </c>
      <c r="H9" s="61">
        <v>20</v>
      </c>
      <c r="I9" s="169">
        <f t="shared" si="1"/>
        <v>9.1911764705882356E-3</v>
      </c>
      <c r="J9" s="175">
        <f t="shared" si="4"/>
        <v>20</v>
      </c>
      <c r="K9" s="172">
        <f t="shared" si="2"/>
        <v>9.1911764705882356E-3</v>
      </c>
      <c r="L9" s="130">
        <v>13316</v>
      </c>
      <c r="M9" s="26"/>
    </row>
    <row r="10" spans="1:13" ht="15.6" customHeight="1" x14ac:dyDescent="0.3">
      <c r="A10" s="406" t="s">
        <v>20</v>
      </c>
      <c r="B10" s="158">
        <v>163214</v>
      </c>
      <c r="C10" s="73">
        <v>114333.9</v>
      </c>
      <c r="D10" s="145">
        <v>137777</v>
      </c>
      <c r="E10" s="163">
        <f t="shared" si="0"/>
        <v>0.2050406747255189</v>
      </c>
      <c r="F10" s="166">
        <v>915</v>
      </c>
      <c r="G10" s="63">
        <f t="shared" si="3"/>
        <v>150.57595628415299</v>
      </c>
      <c r="H10" s="61">
        <v>18</v>
      </c>
      <c r="I10" s="169">
        <f t="shared" si="1"/>
        <v>1.9672131147540985E-2</v>
      </c>
      <c r="J10" s="175">
        <f t="shared" si="4"/>
        <v>18</v>
      </c>
      <c r="K10" s="172">
        <f t="shared" si="2"/>
        <v>1.9672131147540985E-2</v>
      </c>
      <c r="L10" s="130">
        <v>8605</v>
      </c>
      <c r="M10" s="26"/>
    </row>
    <row r="11" spans="1:13" ht="15.6" customHeight="1" x14ac:dyDescent="0.3">
      <c r="A11" s="406" t="s">
        <v>21</v>
      </c>
      <c r="B11" s="158">
        <v>346283</v>
      </c>
      <c r="C11" s="73">
        <v>284486.68</v>
      </c>
      <c r="D11" s="145">
        <v>317888.62</v>
      </c>
      <c r="E11" s="163">
        <f t="shared" si="0"/>
        <v>0.11741126157470713</v>
      </c>
      <c r="F11" s="166">
        <v>2145</v>
      </c>
      <c r="G11" s="63">
        <f t="shared" si="3"/>
        <v>148.19982284382283</v>
      </c>
      <c r="H11" s="61">
        <v>20</v>
      </c>
      <c r="I11" s="169">
        <f t="shared" si="1"/>
        <v>9.324009324009324E-3</v>
      </c>
      <c r="J11" s="175">
        <f t="shared" si="4"/>
        <v>20</v>
      </c>
      <c r="K11" s="172">
        <f t="shared" si="2"/>
        <v>9.324009324009324E-3</v>
      </c>
      <c r="L11" s="130">
        <v>16722</v>
      </c>
      <c r="M11" s="26"/>
    </row>
    <row r="12" spans="1:13" ht="15.6" customHeight="1" x14ac:dyDescent="0.3">
      <c r="A12" s="160" t="s">
        <v>22</v>
      </c>
      <c r="B12" s="158">
        <v>146968</v>
      </c>
      <c r="C12" s="73">
        <v>109155.43</v>
      </c>
      <c r="D12" s="145">
        <v>132072.19</v>
      </c>
      <c r="E12" s="163">
        <f t="shared" si="0"/>
        <v>0.20994612911148819</v>
      </c>
      <c r="F12" s="166">
        <v>1230</v>
      </c>
      <c r="G12" s="63">
        <f t="shared" si="3"/>
        <v>107.37576422764228</v>
      </c>
      <c r="H12" s="61">
        <v>9</v>
      </c>
      <c r="I12" s="169">
        <f t="shared" si="1"/>
        <v>7.3170731707317077E-3</v>
      </c>
      <c r="J12" s="175">
        <f t="shared" si="4"/>
        <v>9</v>
      </c>
      <c r="K12" s="172">
        <f t="shared" si="2"/>
        <v>7.3170731707317077E-3</v>
      </c>
      <c r="L12" s="130">
        <v>14964</v>
      </c>
      <c r="M12" s="26"/>
    </row>
    <row r="13" spans="1:13" ht="15.6" customHeight="1" x14ac:dyDescent="0.3">
      <c r="A13" s="160" t="s">
        <v>23</v>
      </c>
      <c r="B13" s="158">
        <v>236376</v>
      </c>
      <c r="C13" s="73">
        <v>183499.55</v>
      </c>
      <c r="D13" s="145">
        <v>205934.81</v>
      </c>
      <c r="E13" s="163">
        <f t="shared" si="0"/>
        <v>0.12226329710345345</v>
      </c>
      <c r="F13" s="166">
        <v>1540</v>
      </c>
      <c r="G13" s="63">
        <f t="shared" si="3"/>
        <v>133.7239025974026</v>
      </c>
      <c r="H13" s="61">
        <v>17</v>
      </c>
      <c r="I13" s="169">
        <f t="shared" si="1"/>
        <v>1.1038961038961039E-2</v>
      </c>
      <c r="J13" s="175">
        <f t="shared" si="4"/>
        <v>17</v>
      </c>
      <c r="K13" s="172">
        <f t="shared" si="2"/>
        <v>1.1038961038961039E-2</v>
      </c>
      <c r="L13" s="130">
        <v>9639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59038.27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>
        <v>0</v>
      </c>
      <c r="I14" s="169">
        <f t="shared" si="1"/>
        <v>0</v>
      </c>
      <c r="J14" s="175">
        <f t="shared" si="4"/>
        <v>0</v>
      </c>
      <c r="K14" s="172">
        <f t="shared" si="2"/>
        <v>0</v>
      </c>
      <c r="L14" s="130">
        <v>0</v>
      </c>
      <c r="M14" s="26"/>
    </row>
    <row r="15" spans="1:13" ht="15.6" customHeight="1" x14ac:dyDescent="0.3">
      <c r="A15" s="160" t="s">
        <v>26</v>
      </c>
      <c r="B15" s="158">
        <v>132890</v>
      </c>
      <c r="C15" s="73">
        <v>99714.09</v>
      </c>
      <c r="D15" s="145">
        <v>129751.08</v>
      </c>
      <c r="E15" s="163">
        <f t="shared" si="0"/>
        <v>0.3012311499809105</v>
      </c>
      <c r="F15" s="166">
        <v>1108</v>
      </c>
      <c r="G15" s="63">
        <f t="shared" si="3"/>
        <v>117.10386281588448</v>
      </c>
      <c r="H15" s="61">
        <v>9</v>
      </c>
      <c r="I15" s="169">
        <f t="shared" si="1"/>
        <v>8.1227436823104685E-3</v>
      </c>
      <c r="J15" s="175">
        <f t="shared" si="4"/>
        <v>9</v>
      </c>
      <c r="K15" s="172">
        <f t="shared" si="2"/>
        <v>8.1227436823104685E-3</v>
      </c>
      <c r="L15" s="130">
        <v>4551</v>
      </c>
      <c r="M15" s="9"/>
    </row>
    <row r="16" spans="1:13" ht="15.6" customHeight="1" x14ac:dyDescent="0.3">
      <c r="A16" s="160" t="s">
        <v>27</v>
      </c>
      <c r="B16" s="158">
        <v>132344</v>
      </c>
      <c r="C16" s="73">
        <v>117142.32</v>
      </c>
      <c r="D16" s="145">
        <v>113756.77</v>
      </c>
      <c r="E16" s="163">
        <f t="shared" si="0"/>
        <v>-2.8901169107799836E-2</v>
      </c>
      <c r="F16" s="166">
        <v>774</v>
      </c>
      <c r="G16" s="63">
        <f t="shared" si="3"/>
        <v>146.97257105943152</v>
      </c>
      <c r="H16" s="61">
        <v>13</v>
      </c>
      <c r="I16" s="169">
        <f t="shared" si="1"/>
        <v>1.6795865633074936E-2</v>
      </c>
      <c r="J16" s="175">
        <f t="shared" si="4"/>
        <v>13</v>
      </c>
      <c r="K16" s="172">
        <f t="shared" si="2"/>
        <v>1.6795865633074936E-2</v>
      </c>
      <c r="L16" s="130">
        <v>8450</v>
      </c>
      <c r="M16" s="9"/>
    </row>
    <row r="17" spans="1:13" ht="15.6" customHeight="1" x14ac:dyDescent="0.3">
      <c r="A17" s="160" t="s">
        <v>28</v>
      </c>
      <c r="B17" s="158">
        <v>191675</v>
      </c>
      <c r="C17" s="73">
        <v>184110.6</v>
      </c>
      <c r="D17" s="145">
        <v>192169.17</v>
      </c>
      <c r="E17" s="163">
        <f t="shared" si="0"/>
        <v>4.3770266350769631E-2</v>
      </c>
      <c r="F17" s="166">
        <v>1243</v>
      </c>
      <c r="G17" s="63">
        <f t="shared" si="3"/>
        <v>154.60110217216413</v>
      </c>
      <c r="H17" s="61">
        <v>12</v>
      </c>
      <c r="I17" s="169">
        <f t="shared" si="1"/>
        <v>9.6540627514078835E-3</v>
      </c>
      <c r="J17" s="175">
        <f t="shared" si="4"/>
        <v>12</v>
      </c>
      <c r="K17" s="172">
        <f t="shared" si="2"/>
        <v>9.6540627514078835E-3</v>
      </c>
      <c r="L17" s="130">
        <v>10103</v>
      </c>
      <c r="M17" s="9"/>
    </row>
    <row r="18" spans="1:13" ht="16.2" customHeight="1" thickBot="1" x14ac:dyDescent="0.35">
      <c r="A18" s="161" t="s">
        <v>33</v>
      </c>
      <c r="B18" s="159">
        <v>173995</v>
      </c>
      <c r="C18" s="131"/>
      <c r="D18" s="146">
        <v>152760.03</v>
      </c>
      <c r="E18" s="164">
        <f t="shared" si="0"/>
        <v>0</v>
      </c>
      <c r="F18" s="167">
        <v>1174</v>
      </c>
      <c r="G18" s="132">
        <f t="shared" si="3"/>
        <v>130.11927597955707</v>
      </c>
      <c r="H18" s="133">
        <v>18</v>
      </c>
      <c r="I18" s="170">
        <f t="shared" si="1"/>
        <v>1.5332197614991482E-2</v>
      </c>
      <c r="J18" s="176">
        <f t="shared" si="4"/>
        <v>18</v>
      </c>
      <c r="K18" s="173">
        <f t="shared" si="2"/>
        <v>1.5332197614991482E-2</v>
      </c>
      <c r="L18" s="134">
        <v>4714.25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8" priority="1" operator="equal">
      <formula>0</formula>
    </cfRule>
  </conditionalFormatting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40"/>
  <sheetViews>
    <sheetView zoomScale="78" workbookViewId="0">
      <selection activeCell="H7" sqref="H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9.3150171893187042E-2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2308412.86</v>
      </c>
      <c r="C4" s="135">
        <f>SUM(C6:C18)-C14</f>
        <v>1963483.8699999999</v>
      </c>
      <c r="D4" s="142">
        <f>SUM(D6:D18)</f>
        <v>2315451.15</v>
      </c>
      <c r="E4" s="152">
        <f t="shared" ref="E4:E18" si="0">IFERROR((SUM(D4-C4)/C4),0)</f>
        <v>0.17925651714164581</v>
      </c>
      <c r="F4" s="147">
        <f>SUM(F6:F18)</f>
        <v>16782</v>
      </c>
      <c r="G4" s="136">
        <f>AVERAGE(G5:G18)</f>
        <v>128.29042797662925</v>
      </c>
      <c r="H4" s="137">
        <f>SUM(H6:H18)</f>
        <v>282</v>
      </c>
      <c r="I4" s="138">
        <f t="shared" ref="I4:I18" si="1">IFERROR(H4/F4,0)</f>
        <v>1.6803718269574545E-2</v>
      </c>
      <c r="J4" s="139">
        <f>SUM(J6:J18)</f>
        <v>478</v>
      </c>
      <c r="K4" s="140">
        <f t="shared" ref="K4:K18" si="2">IFERROR(J4/SUM(F4),0)</f>
        <v>2.8482898343463233E-2</v>
      </c>
      <c r="L4" s="141">
        <f>SUM(L6:L18)</f>
        <v>128206.53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245311.38</v>
      </c>
      <c r="C6" s="123">
        <v>219292.94</v>
      </c>
      <c r="D6" s="144">
        <v>236155.67</v>
      </c>
      <c r="E6" s="162">
        <f t="shared" si="0"/>
        <v>7.68959091888686E-2</v>
      </c>
      <c r="F6" s="165">
        <v>1765</v>
      </c>
      <c r="G6" s="124">
        <f t="shared" ref="G6:G18" si="3">IFERROR(D6/F6,0)</f>
        <v>133.79924645892353</v>
      </c>
      <c r="H6" s="125">
        <v>26</v>
      </c>
      <c r="I6" s="168">
        <f t="shared" si="1"/>
        <v>1.4730878186968839E-2</v>
      </c>
      <c r="J6" s="174">
        <f>SUM(H6+'3 June - 9 June'!J6)</f>
        <v>45</v>
      </c>
      <c r="K6" s="171">
        <f t="shared" si="2"/>
        <v>2.5495750708215296E-2</v>
      </c>
      <c r="L6" s="129">
        <v>9968.65</v>
      </c>
      <c r="M6" s="26"/>
    </row>
    <row r="7" spans="1:13" ht="15.6" customHeight="1" x14ac:dyDescent="0.3">
      <c r="A7" s="406" t="s">
        <v>16</v>
      </c>
      <c r="B7" s="158">
        <v>262809.21000000002</v>
      </c>
      <c r="C7" s="73">
        <v>218436.81</v>
      </c>
      <c r="D7" s="145">
        <v>218653.28</v>
      </c>
      <c r="E7" s="163">
        <f t="shared" si="0"/>
        <v>9.9099597728057455E-4</v>
      </c>
      <c r="F7" s="166">
        <v>1539</v>
      </c>
      <c r="G7" s="63">
        <f t="shared" si="3"/>
        <v>142.07490578297595</v>
      </c>
      <c r="H7" s="61">
        <v>8</v>
      </c>
      <c r="I7" s="169">
        <f t="shared" si="1"/>
        <v>5.1981806367771277E-3</v>
      </c>
      <c r="J7" s="175">
        <f>SUM(H7+'3 June - 9 June'!J7)</f>
        <v>44</v>
      </c>
      <c r="K7" s="172">
        <f t="shared" si="2"/>
        <v>2.8589993502274202E-2</v>
      </c>
      <c r="L7" s="130">
        <v>11504</v>
      </c>
      <c r="M7" s="26"/>
    </row>
    <row r="8" spans="1:13" ht="15.6" customHeight="1" x14ac:dyDescent="0.3">
      <c r="A8" s="406" t="s">
        <v>17</v>
      </c>
      <c r="B8" s="158">
        <v>109264.66</v>
      </c>
      <c r="C8" s="73">
        <v>102311.05</v>
      </c>
      <c r="D8" s="145">
        <v>110836.84</v>
      </c>
      <c r="E8" s="163">
        <f t="shared" si="0"/>
        <v>8.3332054553247117E-2</v>
      </c>
      <c r="F8" s="166">
        <v>730</v>
      </c>
      <c r="G8" s="63">
        <f t="shared" si="3"/>
        <v>151.83128767123287</v>
      </c>
      <c r="H8" s="61">
        <v>3</v>
      </c>
      <c r="I8" s="169">
        <f t="shared" si="1"/>
        <v>4.10958904109589E-3</v>
      </c>
      <c r="J8" s="175">
        <f>SUM(H8+'3 June - 9 June'!J8)</f>
        <v>8</v>
      </c>
      <c r="K8" s="172">
        <f t="shared" si="2"/>
        <v>1.0958904109589041E-2</v>
      </c>
      <c r="L8" s="130">
        <v>2971.51</v>
      </c>
      <c r="M8" s="26"/>
    </row>
    <row r="9" spans="1:13" ht="15.6" customHeight="1" x14ac:dyDescent="0.3">
      <c r="A9" s="406" t="s">
        <v>18</v>
      </c>
      <c r="B9" s="158">
        <v>308917.94</v>
      </c>
      <c r="C9" s="73">
        <v>263398.5</v>
      </c>
      <c r="D9" s="145">
        <v>274238.71999999997</v>
      </c>
      <c r="E9" s="163">
        <f t="shared" si="0"/>
        <v>4.1155207793514281E-2</v>
      </c>
      <c r="F9" s="166">
        <v>2173</v>
      </c>
      <c r="G9" s="63">
        <f t="shared" si="3"/>
        <v>126.2028163828808</v>
      </c>
      <c r="H9" s="61">
        <v>29</v>
      </c>
      <c r="I9" s="169">
        <f t="shared" si="1"/>
        <v>1.3345605154164749E-2</v>
      </c>
      <c r="J9" s="175">
        <f>SUM(H9+'3 June - 9 June'!J9)</f>
        <v>49</v>
      </c>
      <c r="K9" s="172">
        <f t="shared" si="2"/>
        <v>2.2549470777726646E-2</v>
      </c>
      <c r="L9" s="130">
        <v>8879.9500000000007</v>
      </c>
      <c r="M9" s="26"/>
    </row>
    <row r="10" spans="1:13" ht="15.6" customHeight="1" x14ac:dyDescent="0.3">
      <c r="A10" s="406" t="s">
        <v>20</v>
      </c>
      <c r="B10" s="158">
        <v>137777</v>
      </c>
      <c r="C10" s="73">
        <v>139559.57</v>
      </c>
      <c r="D10" s="145">
        <v>143400.20000000001</v>
      </c>
      <c r="E10" s="163">
        <f t="shared" si="0"/>
        <v>2.7519646270048014E-2</v>
      </c>
      <c r="F10" s="166">
        <v>994</v>
      </c>
      <c r="G10" s="63">
        <f t="shared" si="3"/>
        <v>144.26579476861167</v>
      </c>
      <c r="H10" s="61">
        <v>17</v>
      </c>
      <c r="I10" s="169">
        <f t="shared" si="1"/>
        <v>1.7102615694164991E-2</v>
      </c>
      <c r="J10" s="175">
        <f>SUM(H10+'3 June - 9 June'!J10)</f>
        <v>35</v>
      </c>
      <c r="K10" s="172">
        <f t="shared" si="2"/>
        <v>3.5211267605633804E-2</v>
      </c>
      <c r="L10" s="130">
        <v>10330.57</v>
      </c>
      <c r="M10" s="26"/>
    </row>
    <row r="11" spans="1:13" ht="15.6" customHeight="1" x14ac:dyDescent="0.3">
      <c r="A11" s="406" t="s">
        <v>21</v>
      </c>
      <c r="B11" s="158">
        <v>317888.62</v>
      </c>
      <c r="C11" s="73">
        <v>292034.61</v>
      </c>
      <c r="D11" s="145">
        <v>345738.87</v>
      </c>
      <c r="E11" s="163">
        <f t="shared" si="0"/>
        <v>0.18389690180900137</v>
      </c>
      <c r="F11" s="166">
        <v>2192</v>
      </c>
      <c r="G11" s="63">
        <f t="shared" si="3"/>
        <v>157.72758667883213</v>
      </c>
      <c r="H11" s="61">
        <v>47</v>
      </c>
      <c r="I11" s="169">
        <f t="shared" si="1"/>
        <v>2.144160583941606E-2</v>
      </c>
      <c r="J11" s="175">
        <f>SUM(H11+'3 June - 9 June'!J11)</f>
        <v>67</v>
      </c>
      <c r="K11" s="172">
        <f t="shared" si="2"/>
        <v>3.0565693430656935E-2</v>
      </c>
      <c r="L11" s="130">
        <v>17161.05</v>
      </c>
      <c r="M11" s="26"/>
    </row>
    <row r="12" spans="1:13" ht="15.6" customHeight="1" x14ac:dyDescent="0.3">
      <c r="A12" s="160" t="s">
        <v>22</v>
      </c>
      <c r="B12" s="158">
        <v>132072.19</v>
      </c>
      <c r="C12" s="73">
        <v>106785.85</v>
      </c>
      <c r="D12" s="145">
        <v>139419.04999999999</v>
      </c>
      <c r="E12" s="163">
        <f t="shared" si="0"/>
        <v>0.30559479556514257</v>
      </c>
      <c r="F12" s="166">
        <v>1114</v>
      </c>
      <c r="G12" s="63">
        <f t="shared" si="3"/>
        <v>125.15175044883303</v>
      </c>
      <c r="H12" s="61">
        <v>15</v>
      </c>
      <c r="I12" s="169">
        <f t="shared" si="1"/>
        <v>1.3464991023339317E-2</v>
      </c>
      <c r="J12" s="175">
        <f>SUM(H12+'3 June - 9 June'!J12)</f>
        <v>24</v>
      </c>
      <c r="K12" s="172">
        <f t="shared" si="2"/>
        <v>2.1543985637342909E-2</v>
      </c>
      <c r="L12" s="130">
        <v>11573</v>
      </c>
      <c r="M12" s="26"/>
    </row>
    <row r="13" spans="1:13" ht="15.6" customHeight="1" x14ac:dyDescent="0.3">
      <c r="A13" s="160" t="s">
        <v>23</v>
      </c>
      <c r="B13" s="158">
        <v>205934.81</v>
      </c>
      <c r="C13" s="73">
        <v>190973.41</v>
      </c>
      <c r="D13" s="145">
        <v>208358.17</v>
      </c>
      <c r="E13" s="163">
        <f t="shared" si="0"/>
        <v>9.1032358902739433E-2</v>
      </c>
      <c r="F13" s="166">
        <v>1512</v>
      </c>
      <c r="G13" s="63">
        <f t="shared" si="3"/>
        <v>137.80302248677251</v>
      </c>
      <c r="H13" s="61">
        <v>44</v>
      </c>
      <c r="I13" s="169">
        <f t="shared" si="1"/>
        <v>2.9100529100529099E-2</v>
      </c>
      <c r="J13" s="175">
        <f>SUM(H13+'3 June - 9 June'!J13)</f>
        <v>61</v>
      </c>
      <c r="K13" s="172">
        <f t="shared" si="2"/>
        <v>4.0343915343915342E-2</v>
      </c>
      <c r="L13" s="130">
        <v>14052.1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44107.9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>
        <v>0</v>
      </c>
      <c r="I14" s="169">
        <f t="shared" si="1"/>
        <v>0</v>
      </c>
      <c r="J14" s="175">
        <f>SUM(H14+'3 June - 9 June'!J14)</f>
        <v>0</v>
      </c>
      <c r="K14" s="172">
        <f t="shared" si="2"/>
        <v>0</v>
      </c>
      <c r="L14" s="130">
        <v>0</v>
      </c>
      <c r="M14" s="26"/>
    </row>
    <row r="15" spans="1:13" ht="15.6" customHeight="1" x14ac:dyDescent="0.3">
      <c r="A15" s="160" t="s">
        <v>26</v>
      </c>
      <c r="B15" s="158">
        <v>129751.08</v>
      </c>
      <c r="C15" s="73">
        <v>125931.14</v>
      </c>
      <c r="D15" s="145">
        <v>170108.44</v>
      </c>
      <c r="E15" s="163">
        <f t="shared" si="0"/>
        <v>0.35080520989486796</v>
      </c>
      <c r="F15" s="166">
        <v>1501</v>
      </c>
      <c r="G15" s="63">
        <f t="shared" si="3"/>
        <v>113.33007328447702</v>
      </c>
      <c r="H15" s="61">
        <v>26</v>
      </c>
      <c r="I15" s="169">
        <f t="shared" si="1"/>
        <v>1.7321785476349102E-2</v>
      </c>
      <c r="J15" s="175">
        <f>SUM(H15+'3 June - 9 June'!J15)</f>
        <v>35</v>
      </c>
      <c r="K15" s="172">
        <f t="shared" si="2"/>
        <v>2.3317788141239172E-2</v>
      </c>
      <c r="L15" s="130">
        <v>7780.39</v>
      </c>
      <c r="M15" s="9"/>
    </row>
    <row r="16" spans="1:13" ht="15.6" customHeight="1" x14ac:dyDescent="0.3">
      <c r="A16" s="160" t="s">
        <v>27</v>
      </c>
      <c r="B16" s="158">
        <v>113756.77</v>
      </c>
      <c r="C16" s="73">
        <v>114456.03</v>
      </c>
      <c r="D16" s="145">
        <v>115659.7</v>
      </c>
      <c r="E16" s="163">
        <f t="shared" si="0"/>
        <v>1.0516440243471648E-2</v>
      </c>
      <c r="F16" s="166">
        <v>753</v>
      </c>
      <c r="G16" s="63">
        <f t="shared" si="3"/>
        <v>153.59853917662682</v>
      </c>
      <c r="H16" s="61">
        <v>11</v>
      </c>
      <c r="I16" s="169">
        <f t="shared" si="1"/>
        <v>1.4608233731739707E-2</v>
      </c>
      <c r="J16" s="175">
        <f>SUM(H16+'3 June - 9 June'!J16)</f>
        <v>24</v>
      </c>
      <c r="K16" s="172">
        <f t="shared" si="2"/>
        <v>3.1872509960159362E-2</v>
      </c>
      <c r="L16" s="130">
        <v>15086.8</v>
      </c>
      <c r="M16" s="9"/>
    </row>
    <row r="17" spans="1:13" ht="15.6" customHeight="1" x14ac:dyDescent="0.3">
      <c r="A17" s="160" t="s">
        <v>28</v>
      </c>
      <c r="B17" s="158">
        <v>192169.17</v>
      </c>
      <c r="C17" s="73">
        <v>190303.96</v>
      </c>
      <c r="D17" s="145">
        <v>183813.79</v>
      </c>
      <c r="E17" s="163">
        <f t="shared" si="0"/>
        <v>-3.410422988570487E-2</v>
      </c>
      <c r="F17" s="166">
        <v>1213</v>
      </c>
      <c r="G17" s="63">
        <f t="shared" si="3"/>
        <v>151.53651277823579</v>
      </c>
      <c r="H17" s="61">
        <v>18</v>
      </c>
      <c r="I17" s="169">
        <f t="shared" si="1"/>
        <v>1.483924154987634E-2</v>
      </c>
      <c r="J17" s="175">
        <f>SUM(H17+'3 June - 9 June'!J17)</f>
        <v>30</v>
      </c>
      <c r="K17" s="172">
        <f t="shared" si="2"/>
        <v>2.47320692497939E-2</v>
      </c>
      <c r="L17" s="130">
        <v>13041.01</v>
      </c>
      <c r="M17" s="9"/>
    </row>
    <row r="18" spans="1:13" ht="16.2" customHeight="1" thickBot="1" x14ac:dyDescent="0.35">
      <c r="A18" s="161" t="s">
        <v>33</v>
      </c>
      <c r="B18" s="159">
        <v>152760.03</v>
      </c>
      <c r="C18" s="131"/>
      <c r="D18" s="146">
        <v>169068.42</v>
      </c>
      <c r="E18" s="164">
        <f t="shared" si="0"/>
        <v>0</v>
      </c>
      <c r="F18" s="167">
        <v>1296</v>
      </c>
      <c r="G18" s="132">
        <f t="shared" si="3"/>
        <v>130.45402777777778</v>
      </c>
      <c r="H18" s="133">
        <v>38</v>
      </c>
      <c r="I18" s="170">
        <f t="shared" si="1"/>
        <v>2.9320987654320986E-2</v>
      </c>
      <c r="J18" s="176">
        <f>SUM(H18+'3 June - 9 June'!J18)</f>
        <v>56</v>
      </c>
      <c r="K18" s="173">
        <f t="shared" si="2"/>
        <v>4.3209876543209874E-2</v>
      </c>
      <c r="L18" s="134">
        <v>5857.5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7" priority="1" operator="equal">
      <formula>0</formula>
    </cfRule>
  </conditionalFormatting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40"/>
  <sheetViews>
    <sheetView zoomScale="78" workbookViewId="0">
      <selection activeCell="H16" sqref="H1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0.14721764063609122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2315451.15</v>
      </c>
      <c r="C4" s="135">
        <f>SUM(C6:C18)-C14</f>
        <v>1967725.87</v>
      </c>
      <c r="D4" s="142">
        <f>SUM(D6:D18)</f>
        <v>2403111.9500000002</v>
      </c>
      <c r="E4" s="152">
        <f t="shared" ref="E4:E18" si="0">IFERROR((SUM(D4-C4)/C4),0)</f>
        <v>0.22126358485087155</v>
      </c>
      <c r="F4" s="147">
        <f>SUM(F6:F18)</f>
        <v>17143</v>
      </c>
      <c r="G4" s="136">
        <f>AVERAGE(G5:G18)</f>
        <v>129.7703790243653</v>
      </c>
      <c r="H4" s="137">
        <f>SUM(H6:H18)</f>
        <v>139</v>
      </c>
      <c r="I4" s="138">
        <f t="shared" ref="I4:I18" si="1">IFERROR(H4/F4,0)</f>
        <v>8.1082657644519635E-3</v>
      </c>
      <c r="J4" s="139">
        <f>SUM(J6:J18)</f>
        <v>617</v>
      </c>
      <c r="K4" s="140">
        <f t="shared" ref="K4:K18" si="2">IFERROR(J4/SUM(F4),0)</f>
        <v>3.599136673861051E-2</v>
      </c>
      <c r="L4" s="141">
        <f>SUM(L6:L18)</f>
        <v>131329.64000000001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236155.67</v>
      </c>
      <c r="C6" s="123">
        <v>221748.26</v>
      </c>
      <c r="D6" s="144">
        <v>250573.07</v>
      </c>
      <c r="E6" s="162">
        <f t="shared" si="0"/>
        <v>0.12998888920255788</v>
      </c>
      <c r="F6" s="165">
        <v>1957</v>
      </c>
      <c r="G6" s="124">
        <f t="shared" ref="G6:G18" si="3">IFERROR(D6/F6,0)</f>
        <v>128.03938170669392</v>
      </c>
      <c r="H6" s="125">
        <v>18</v>
      </c>
      <c r="I6" s="168">
        <f t="shared" si="1"/>
        <v>9.1977516607051613E-3</v>
      </c>
      <c r="J6" s="174">
        <f>SUM(H6+'3 June - 9 June'!J6+'10 June - 16 June'!H6)</f>
        <v>63</v>
      </c>
      <c r="K6" s="171">
        <f t="shared" si="2"/>
        <v>3.2192130812468064E-2</v>
      </c>
      <c r="L6" s="129">
        <v>18248.400000000001</v>
      </c>
      <c r="M6" s="26"/>
    </row>
    <row r="7" spans="1:13" ht="15.6" customHeight="1" x14ac:dyDescent="0.3">
      <c r="A7" s="406" t="s">
        <v>16</v>
      </c>
      <c r="B7" s="158">
        <v>218653.28</v>
      </c>
      <c r="C7" s="73">
        <v>261691.89</v>
      </c>
      <c r="D7" s="145">
        <v>248168.49</v>
      </c>
      <c r="E7" s="163">
        <f t="shared" si="0"/>
        <v>-5.1676802059093321E-2</v>
      </c>
      <c r="F7" s="166">
        <v>1655</v>
      </c>
      <c r="G7" s="63">
        <f t="shared" si="3"/>
        <v>149.95074924471299</v>
      </c>
      <c r="H7" s="61">
        <v>11</v>
      </c>
      <c r="I7" s="169">
        <f t="shared" si="1"/>
        <v>6.6465256797583082E-3</v>
      </c>
      <c r="J7" s="175">
        <f>SUM(H7+'3 June - 9 June'!J7+'10 June - 16 June'!H7)</f>
        <v>55</v>
      </c>
      <c r="K7" s="172">
        <f t="shared" si="2"/>
        <v>3.3232628398791542E-2</v>
      </c>
      <c r="L7" s="130">
        <v>11673.7</v>
      </c>
      <c r="M7" s="26"/>
    </row>
    <row r="8" spans="1:13" ht="15.6" customHeight="1" x14ac:dyDescent="0.3">
      <c r="A8" s="406" t="s">
        <v>17</v>
      </c>
      <c r="B8" s="158">
        <v>110836.84</v>
      </c>
      <c r="C8" s="73">
        <v>98566.64</v>
      </c>
      <c r="D8" s="145">
        <v>99413.99</v>
      </c>
      <c r="E8" s="163">
        <f t="shared" si="0"/>
        <v>8.5967219740878432E-3</v>
      </c>
      <c r="F8" s="166">
        <v>694</v>
      </c>
      <c r="G8" s="63">
        <f t="shared" si="3"/>
        <v>143.24782420749281</v>
      </c>
      <c r="H8" s="61">
        <v>0</v>
      </c>
      <c r="I8" s="169">
        <f t="shared" si="1"/>
        <v>0</v>
      </c>
      <c r="J8" s="175">
        <f>SUM(H8+'3 June - 9 June'!J8+'10 June - 16 June'!H8)</f>
        <v>8</v>
      </c>
      <c r="K8" s="172">
        <f t="shared" si="2"/>
        <v>1.1527377521613832E-2</v>
      </c>
      <c r="L8" s="130">
        <v>4090</v>
      </c>
      <c r="M8" s="26"/>
    </row>
    <row r="9" spans="1:13" ht="15.6" customHeight="1" x14ac:dyDescent="0.3">
      <c r="A9" s="406" t="s">
        <v>18</v>
      </c>
      <c r="B9" s="158">
        <v>274238.71999999997</v>
      </c>
      <c r="C9" s="73">
        <v>256409.55</v>
      </c>
      <c r="D9" s="145">
        <v>303531.06</v>
      </c>
      <c r="E9" s="163">
        <f t="shared" si="0"/>
        <v>0.1837743952984591</v>
      </c>
      <c r="F9" s="166">
        <v>2155</v>
      </c>
      <c r="G9" s="63">
        <f t="shared" si="3"/>
        <v>140.84967981438515</v>
      </c>
      <c r="H9" s="61">
        <v>15</v>
      </c>
      <c r="I9" s="169">
        <f t="shared" si="1"/>
        <v>6.9605568445475635E-3</v>
      </c>
      <c r="J9" s="175">
        <f>SUM(H9+'3 June - 9 June'!J9+'10 June - 16 June'!H9)</f>
        <v>64</v>
      </c>
      <c r="K9" s="172">
        <f t="shared" si="2"/>
        <v>2.9698375870069606E-2</v>
      </c>
      <c r="L9" s="130">
        <v>11616.6</v>
      </c>
      <c r="M9" s="26"/>
    </row>
    <row r="10" spans="1:13" ht="15.6" customHeight="1" x14ac:dyDescent="0.3">
      <c r="A10" s="406" t="s">
        <v>20</v>
      </c>
      <c r="B10" s="158">
        <v>143400.20000000001</v>
      </c>
      <c r="C10" s="73">
        <v>133443.57</v>
      </c>
      <c r="D10" s="145">
        <v>148386.35999999999</v>
      </c>
      <c r="E10" s="163">
        <f t="shared" si="0"/>
        <v>0.11197834410455279</v>
      </c>
      <c r="F10" s="166">
        <v>968</v>
      </c>
      <c r="G10" s="63">
        <f t="shared" si="3"/>
        <v>153.29169421487603</v>
      </c>
      <c r="H10" s="61">
        <v>16</v>
      </c>
      <c r="I10" s="169">
        <f t="shared" si="1"/>
        <v>1.6528925619834711E-2</v>
      </c>
      <c r="J10" s="175">
        <f>SUM(H10+'3 June - 9 June'!J10+'10 June - 16 June'!H10)</f>
        <v>51</v>
      </c>
      <c r="K10" s="172">
        <f t="shared" si="2"/>
        <v>5.2685950413223138E-2</v>
      </c>
      <c r="L10" s="130">
        <v>8369</v>
      </c>
      <c r="M10" s="26"/>
    </row>
    <row r="11" spans="1:13" ht="15.6" customHeight="1" x14ac:dyDescent="0.3">
      <c r="A11" s="406" t="s">
        <v>21</v>
      </c>
      <c r="B11" s="158">
        <v>345738.87</v>
      </c>
      <c r="C11" s="73">
        <v>332604.81</v>
      </c>
      <c r="D11" s="145">
        <v>350406.82</v>
      </c>
      <c r="E11" s="163">
        <f t="shared" si="0"/>
        <v>5.3523008281209192E-2</v>
      </c>
      <c r="F11" s="166">
        <v>2102</v>
      </c>
      <c r="G11" s="63">
        <f t="shared" si="3"/>
        <v>166.70162702188392</v>
      </c>
      <c r="H11" s="61">
        <v>10</v>
      </c>
      <c r="I11" s="169">
        <f t="shared" si="1"/>
        <v>4.7573739295908657E-3</v>
      </c>
      <c r="J11" s="175">
        <f>SUM(H11+'3 June - 9 June'!J11+'10 June - 16 June'!H11)</f>
        <v>77</v>
      </c>
      <c r="K11" s="172">
        <f t="shared" si="2"/>
        <v>3.6631779257849668E-2</v>
      </c>
      <c r="L11" s="130">
        <v>18066.3</v>
      </c>
      <c r="M11" s="26"/>
    </row>
    <row r="12" spans="1:13" ht="15.6" customHeight="1" x14ac:dyDescent="0.3">
      <c r="A12" s="160" t="s">
        <v>22</v>
      </c>
      <c r="B12" s="158">
        <v>139419.04999999999</v>
      </c>
      <c r="C12" s="73">
        <v>95039.87</v>
      </c>
      <c r="D12" s="145">
        <v>137174.82</v>
      </c>
      <c r="E12" s="163">
        <f t="shared" si="0"/>
        <v>0.44333972679045136</v>
      </c>
      <c r="F12" s="166">
        <v>1070</v>
      </c>
      <c r="G12" s="63">
        <f t="shared" si="3"/>
        <v>128.20076635514019</v>
      </c>
      <c r="H12" s="61">
        <v>6</v>
      </c>
      <c r="I12" s="169">
        <f t="shared" si="1"/>
        <v>5.6074766355140183E-3</v>
      </c>
      <c r="J12" s="175">
        <f>SUM(H12+'3 June - 9 June'!J12+'10 June - 16 June'!H12)</f>
        <v>30</v>
      </c>
      <c r="K12" s="172">
        <f t="shared" si="2"/>
        <v>2.8037383177570093E-2</v>
      </c>
      <c r="L12" s="130">
        <v>11834.6</v>
      </c>
      <c r="M12" s="26"/>
    </row>
    <row r="13" spans="1:13" ht="15.6" customHeight="1" x14ac:dyDescent="0.3">
      <c r="A13" s="160" t="s">
        <v>23</v>
      </c>
      <c r="B13" s="158">
        <v>208358.17</v>
      </c>
      <c r="C13" s="73">
        <v>172619.4</v>
      </c>
      <c r="D13" s="145">
        <v>203275.18</v>
      </c>
      <c r="E13" s="163">
        <f t="shared" si="0"/>
        <v>0.17759174229547781</v>
      </c>
      <c r="F13" s="166">
        <v>1444</v>
      </c>
      <c r="G13" s="63">
        <f t="shared" si="3"/>
        <v>140.77228531855954</v>
      </c>
      <c r="H13" s="61">
        <v>8</v>
      </c>
      <c r="I13" s="169">
        <f t="shared" si="1"/>
        <v>5.5401662049861496E-3</v>
      </c>
      <c r="J13" s="175">
        <f>SUM(H13+'3 June - 9 June'!J13+'10 June - 16 June'!H13)</f>
        <v>69</v>
      </c>
      <c r="K13" s="172">
        <f t="shared" si="2"/>
        <v>4.7783933518005542E-2</v>
      </c>
      <c r="L13" s="130">
        <v>8295.7999999999993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36064.43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>
        <v>0</v>
      </c>
      <c r="I14" s="169">
        <f t="shared" si="1"/>
        <v>0</v>
      </c>
      <c r="J14" s="175">
        <f>SUM(H14+'3 June - 9 June'!J14+'10 June - 16 June'!H14)</f>
        <v>0</v>
      </c>
      <c r="K14" s="172">
        <f t="shared" si="2"/>
        <v>0</v>
      </c>
      <c r="L14" s="130">
        <v>0</v>
      </c>
      <c r="M14" s="26"/>
    </row>
    <row r="15" spans="1:13" ht="15.6" customHeight="1" x14ac:dyDescent="0.3">
      <c r="A15" s="160" t="s">
        <v>26</v>
      </c>
      <c r="B15" s="158">
        <v>170108.44</v>
      </c>
      <c r="C15" s="73">
        <v>121208.28</v>
      </c>
      <c r="D15" s="145">
        <v>204166.38</v>
      </c>
      <c r="E15" s="163">
        <f t="shared" si="0"/>
        <v>0.6844260144603983</v>
      </c>
      <c r="F15" s="166">
        <v>1865</v>
      </c>
      <c r="G15" s="63">
        <f t="shared" si="3"/>
        <v>109.47258981233244</v>
      </c>
      <c r="H15" s="61">
        <v>15</v>
      </c>
      <c r="I15" s="169">
        <f t="shared" si="1"/>
        <v>8.0428954423592495E-3</v>
      </c>
      <c r="J15" s="175">
        <f>SUM(H15+'3 June - 9 June'!J15+'10 June - 16 June'!H15)</f>
        <v>50</v>
      </c>
      <c r="K15" s="172">
        <f t="shared" si="2"/>
        <v>2.6809651474530832E-2</v>
      </c>
      <c r="L15" s="130">
        <v>9501.0400000000009</v>
      </c>
      <c r="M15" s="9"/>
    </row>
    <row r="16" spans="1:13" ht="15.6" customHeight="1" x14ac:dyDescent="0.3">
      <c r="A16" s="160" t="s">
        <v>27</v>
      </c>
      <c r="B16" s="158">
        <v>115659.7</v>
      </c>
      <c r="C16" s="73">
        <v>107966.63</v>
      </c>
      <c r="D16" s="145">
        <v>119243.42</v>
      </c>
      <c r="E16" s="163">
        <f t="shared" si="0"/>
        <v>0.10444699440929103</v>
      </c>
      <c r="F16" s="166">
        <v>796</v>
      </c>
      <c r="G16" s="63">
        <f t="shared" si="3"/>
        <v>149.80329145728643</v>
      </c>
      <c r="H16" s="61">
        <v>9</v>
      </c>
      <c r="I16" s="169">
        <f t="shared" si="1"/>
        <v>1.1306532663316583E-2</v>
      </c>
      <c r="J16" s="175">
        <f>SUM(H16+'3 June - 9 June'!J16+'10 June - 16 June'!H16)</f>
        <v>33</v>
      </c>
      <c r="K16" s="172">
        <f t="shared" si="2"/>
        <v>4.1457286432160803E-2</v>
      </c>
      <c r="L16" s="130">
        <v>11309.9</v>
      </c>
      <c r="M16" s="9"/>
    </row>
    <row r="17" spans="1:13" ht="15.6" customHeight="1" x14ac:dyDescent="0.3">
      <c r="A17" s="160" t="s">
        <v>28</v>
      </c>
      <c r="B17" s="158">
        <v>183813.79</v>
      </c>
      <c r="C17" s="73">
        <v>166426.97</v>
      </c>
      <c r="D17" s="145">
        <v>193070.24</v>
      </c>
      <c r="E17" s="163">
        <f t="shared" si="0"/>
        <v>0.16008985803202444</v>
      </c>
      <c r="F17" s="166">
        <v>1316</v>
      </c>
      <c r="G17" s="63">
        <f t="shared" si="3"/>
        <v>146.70990881458965</v>
      </c>
      <c r="H17" s="61">
        <v>5</v>
      </c>
      <c r="I17" s="169">
        <f t="shared" si="1"/>
        <v>3.7993920972644378E-3</v>
      </c>
      <c r="J17" s="175">
        <f>SUM(H17+'3 June - 9 June'!J17+'10 June - 16 June'!H17)</f>
        <v>35</v>
      </c>
      <c r="K17" s="172">
        <f t="shared" si="2"/>
        <v>2.6595744680851064E-2</v>
      </c>
      <c r="L17" s="130">
        <v>13278.3</v>
      </c>
      <c r="M17" s="9"/>
    </row>
    <row r="18" spans="1:13" ht="16.2" customHeight="1" thickBot="1" x14ac:dyDescent="0.35">
      <c r="A18" s="161" t="s">
        <v>33</v>
      </c>
      <c r="B18" s="159">
        <v>169068.42</v>
      </c>
      <c r="C18" s="131"/>
      <c r="D18" s="146">
        <v>145702.12</v>
      </c>
      <c r="E18" s="164">
        <f t="shared" si="0"/>
        <v>0</v>
      </c>
      <c r="F18" s="167">
        <v>1121</v>
      </c>
      <c r="G18" s="132">
        <f t="shared" si="3"/>
        <v>129.97512934879572</v>
      </c>
      <c r="H18" s="133">
        <v>26</v>
      </c>
      <c r="I18" s="170">
        <f t="shared" si="1"/>
        <v>2.31935771632471E-2</v>
      </c>
      <c r="J18" s="176">
        <f>SUM(H18+'3 June - 9 June'!J18+'10 June - 16 June'!H18)</f>
        <v>82</v>
      </c>
      <c r="K18" s="173">
        <f t="shared" si="2"/>
        <v>7.3148974130240851E-2</v>
      </c>
      <c r="L18" s="134">
        <v>5046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6" priority="1" operator="equal">
      <formula>0</formula>
    </cfRule>
  </conditionalFormatting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40"/>
  <sheetViews>
    <sheetView zoomScale="78" workbookViewId="0">
      <selection activeCell="N23" sqref="N2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0.10517790311204293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2403111.9500000002</v>
      </c>
      <c r="C4" s="135">
        <f>SUM(C6:C18)-C14</f>
        <v>2221854.0499999998</v>
      </c>
      <c r="D4" s="142">
        <f>SUM(D6:D18)</f>
        <v>2630071.9900000002</v>
      </c>
      <c r="E4" s="152">
        <f t="shared" ref="E4:E18" si="0">IFERROR((SUM(D4-C4)/C4),0)</f>
        <v>0.18372851268065984</v>
      </c>
      <c r="F4" s="147">
        <f>SUM(F6:F18)</f>
        <v>18897</v>
      </c>
      <c r="G4" s="136">
        <f>AVERAGE(G5:G18)</f>
        <v>129.28822871212373</v>
      </c>
      <c r="H4" s="137">
        <f>SUM(H6:H18)</f>
        <v>346</v>
      </c>
      <c r="I4" s="138">
        <f t="shared" ref="I4:I18" si="1">IFERROR(H4/F4,0)</f>
        <v>1.8309784621897654E-2</v>
      </c>
      <c r="J4" s="139">
        <f>SUM(J6:J18)</f>
        <v>963</v>
      </c>
      <c r="K4" s="140">
        <f t="shared" ref="K4:K18" si="2">IFERROR(J4/SUM(F4),0)</f>
        <v>5.096046991585966E-2</v>
      </c>
      <c r="L4" s="141">
        <f>SUM(L6:L18)</f>
        <v>130022.75000000001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250573.07</v>
      </c>
      <c r="C6" s="123">
        <v>282104.45</v>
      </c>
      <c r="D6" s="144">
        <v>271223.01</v>
      </c>
      <c r="E6" s="162">
        <f t="shared" si="0"/>
        <v>-3.8572379840162048E-2</v>
      </c>
      <c r="F6" s="165">
        <v>2174</v>
      </c>
      <c r="G6" s="124">
        <f t="shared" ref="G6:G18" si="3">IFERROR(D6/F6,0)</f>
        <v>124.75759429622815</v>
      </c>
      <c r="H6" s="125">
        <v>41</v>
      </c>
      <c r="I6" s="168">
        <f t="shared" si="1"/>
        <v>1.8859245630174794E-2</v>
      </c>
      <c r="J6" s="174">
        <f>SUM(H6+'3 June - 9 June'!H6+'10 June - 16 June'!H6+'17 June - 23 June'!H6)</f>
        <v>104</v>
      </c>
      <c r="K6" s="171">
        <f t="shared" si="2"/>
        <v>4.7838086476540941E-2</v>
      </c>
      <c r="L6" s="129">
        <v>11424.4</v>
      </c>
      <c r="M6" s="26"/>
    </row>
    <row r="7" spans="1:13" ht="15.6" customHeight="1" x14ac:dyDescent="0.3">
      <c r="A7" s="406" t="s">
        <v>16</v>
      </c>
      <c r="B7" s="158">
        <v>248168.49</v>
      </c>
      <c r="C7" s="73">
        <v>246232.93</v>
      </c>
      <c r="D7" s="145">
        <v>268311.86</v>
      </c>
      <c r="E7" s="163">
        <f t="shared" si="0"/>
        <v>8.9666845129122222E-2</v>
      </c>
      <c r="F7" s="166">
        <v>1990</v>
      </c>
      <c r="G7" s="63">
        <f t="shared" si="3"/>
        <v>134.83008040201005</v>
      </c>
      <c r="H7" s="61">
        <v>9</v>
      </c>
      <c r="I7" s="169">
        <f t="shared" si="1"/>
        <v>4.522613065326633E-3</v>
      </c>
      <c r="J7" s="175">
        <f>SUM(H7+'3 June - 9 June'!H7+'10 June - 16 June'!H7+'17 June - 23 June'!H7)</f>
        <v>64</v>
      </c>
      <c r="K7" s="172">
        <f t="shared" si="2"/>
        <v>3.2160804020100506E-2</v>
      </c>
      <c r="L7" s="130">
        <v>17656.3</v>
      </c>
      <c r="M7" s="26"/>
    </row>
    <row r="8" spans="1:13" ht="15.6" customHeight="1" x14ac:dyDescent="0.3">
      <c r="A8" s="406" t="s">
        <v>17</v>
      </c>
      <c r="B8" s="158">
        <v>99413.99</v>
      </c>
      <c r="C8" s="73">
        <v>111333.96</v>
      </c>
      <c r="D8" s="145">
        <v>110389.7</v>
      </c>
      <c r="E8" s="163">
        <f t="shared" si="0"/>
        <v>-8.4813295062890898E-3</v>
      </c>
      <c r="F8" s="166">
        <v>793</v>
      </c>
      <c r="G8" s="63">
        <f t="shared" si="3"/>
        <v>139.20517023959647</v>
      </c>
      <c r="H8" s="61">
        <v>7</v>
      </c>
      <c r="I8" s="169">
        <f t="shared" si="1"/>
        <v>8.8272383354350576E-3</v>
      </c>
      <c r="J8" s="175">
        <f>SUM(H8+'3 June - 9 June'!H8+'10 June - 16 June'!H8+'17 June - 23 June'!H8)</f>
        <v>15</v>
      </c>
      <c r="K8" s="172">
        <f t="shared" si="2"/>
        <v>1.8915510718789406E-2</v>
      </c>
      <c r="L8" s="130">
        <v>5626.9</v>
      </c>
      <c r="M8" s="26"/>
    </row>
    <row r="9" spans="1:13" ht="15.6" customHeight="1" x14ac:dyDescent="0.3">
      <c r="A9" s="406" t="s">
        <v>18</v>
      </c>
      <c r="B9" s="158">
        <v>303531.06</v>
      </c>
      <c r="C9" s="73">
        <v>358487.91</v>
      </c>
      <c r="D9" s="145">
        <v>345874.43</v>
      </c>
      <c r="E9" s="163">
        <f t="shared" si="0"/>
        <v>-3.5185231211841937E-2</v>
      </c>
      <c r="F9" s="166">
        <v>2480</v>
      </c>
      <c r="G9" s="63">
        <f t="shared" si="3"/>
        <v>139.46549596774193</v>
      </c>
      <c r="H9" s="61">
        <v>84</v>
      </c>
      <c r="I9" s="169">
        <f t="shared" si="1"/>
        <v>3.3870967741935487E-2</v>
      </c>
      <c r="J9" s="175">
        <f>SUM(H9+'3 June - 9 June'!H9+'10 June - 16 June'!H9+'17 June - 23 June'!H9)</f>
        <v>148</v>
      </c>
      <c r="K9" s="172">
        <f t="shared" si="2"/>
        <v>5.9677419354838709E-2</v>
      </c>
      <c r="L9" s="130">
        <v>10611.7</v>
      </c>
      <c r="M9" s="26"/>
    </row>
    <row r="10" spans="1:13" ht="15.6" customHeight="1" x14ac:dyDescent="0.3">
      <c r="A10" s="406" t="s">
        <v>20</v>
      </c>
      <c r="B10" s="158">
        <v>148386.35999999999</v>
      </c>
      <c r="C10" s="73">
        <v>130369.13</v>
      </c>
      <c r="D10" s="145">
        <v>153229.93</v>
      </c>
      <c r="E10" s="163">
        <f t="shared" si="0"/>
        <v>0.17535439563031516</v>
      </c>
      <c r="F10" s="166">
        <v>981</v>
      </c>
      <c r="G10" s="63">
        <f t="shared" si="3"/>
        <v>156.19768603465852</v>
      </c>
      <c r="H10" s="61">
        <v>20</v>
      </c>
      <c r="I10" s="169">
        <f t="shared" si="1"/>
        <v>2.0387359836901122E-2</v>
      </c>
      <c r="J10" s="175">
        <f>SUM(H10+'3 June - 9 June'!H10+'10 June - 16 June'!H10+'17 June - 23 June'!H10)</f>
        <v>71</v>
      </c>
      <c r="K10" s="172">
        <f t="shared" si="2"/>
        <v>7.2375127420998983E-2</v>
      </c>
      <c r="L10" s="130">
        <v>7543.65</v>
      </c>
      <c r="M10" s="26"/>
    </row>
    <row r="11" spans="1:13" ht="15.6" customHeight="1" x14ac:dyDescent="0.3">
      <c r="A11" s="406" t="s">
        <v>21</v>
      </c>
      <c r="B11" s="158">
        <v>350406.82</v>
      </c>
      <c r="C11" s="73">
        <v>323957.95</v>
      </c>
      <c r="D11" s="145">
        <v>385707.8</v>
      </c>
      <c r="E11" s="163">
        <f t="shared" si="0"/>
        <v>0.19061069499915029</v>
      </c>
      <c r="F11" s="166">
        <v>2352</v>
      </c>
      <c r="G11" s="63">
        <f t="shared" si="3"/>
        <v>163.99141156462585</v>
      </c>
      <c r="H11" s="61">
        <v>28</v>
      </c>
      <c r="I11" s="169">
        <f t="shared" si="1"/>
        <v>1.1904761904761904E-2</v>
      </c>
      <c r="J11" s="175">
        <f>SUM(H11+'3 June - 9 June'!H11+'10 June - 16 June'!H11+'17 June - 23 June'!H11)</f>
        <v>105</v>
      </c>
      <c r="K11" s="172">
        <f t="shared" si="2"/>
        <v>4.4642857142857144E-2</v>
      </c>
      <c r="L11" s="130">
        <v>21393.75</v>
      </c>
      <c r="M11" s="26"/>
    </row>
    <row r="12" spans="1:13" ht="15.6" customHeight="1" x14ac:dyDescent="0.3">
      <c r="A12" s="160" t="s">
        <v>22</v>
      </c>
      <c r="B12" s="158">
        <v>137174.82</v>
      </c>
      <c r="C12" s="73">
        <v>105734.37</v>
      </c>
      <c r="D12" s="145">
        <v>124310.04</v>
      </c>
      <c r="E12" s="163">
        <f t="shared" si="0"/>
        <v>0.17568242001158185</v>
      </c>
      <c r="F12" s="166">
        <v>1001</v>
      </c>
      <c r="G12" s="63">
        <f t="shared" si="3"/>
        <v>124.18585414585414</v>
      </c>
      <c r="H12" s="61">
        <v>10</v>
      </c>
      <c r="I12" s="169">
        <f t="shared" si="1"/>
        <v>9.99000999000999E-3</v>
      </c>
      <c r="J12" s="175">
        <f>SUM(H12+'3 June - 9 June'!H12+'10 June - 16 June'!H12+'17 June - 23 June'!H12)</f>
        <v>40</v>
      </c>
      <c r="K12" s="172">
        <f t="shared" si="2"/>
        <v>3.996003996003996E-2</v>
      </c>
      <c r="L12" s="130">
        <v>10098.700000000001</v>
      </c>
      <c r="M12" s="26"/>
    </row>
    <row r="13" spans="1:13" ht="15.6" customHeight="1" x14ac:dyDescent="0.3">
      <c r="A13" s="160" t="s">
        <v>23</v>
      </c>
      <c r="B13" s="158">
        <v>203275.18</v>
      </c>
      <c r="C13" s="73">
        <v>198019.77</v>
      </c>
      <c r="D13" s="145">
        <v>223653.62</v>
      </c>
      <c r="E13" s="163">
        <f t="shared" si="0"/>
        <v>0.12945096340633064</v>
      </c>
      <c r="F13" s="166">
        <v>1609</v>
      </c>
      <c r="G13" s="63">
        <f t="shared" si="3"/>
        <v>139.0016283405842</v>
      </c>
      <c r="H13" s="61">
        <v>39</v>
      </c>
      <c r="I13" s="169">
        <f t="shared" si="1"/>
        <v>2.4238657551274082E-2</v>
      </c>
      <c r="J13" s="175">
        <f>SUM(H13+'3 June - 9 June'!H13+'10 June - 16 June'!H13+'17 June - 23 June'!H13)</f>
        <v>108</v>
      </c>
      <c r="K13" s="172">
        <f t="shared" si="2"/>
        <v>6.7122436295835919E-2</v>
      </c>
      <c r="L13" s="130">
        <v>11246.5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39556.959999999999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/>
      <c r="I14" s="169">
        <f t="shared" si="1"/>
        <v>0</v>
      </c>
      <c r="J14" s="175">
        <f>SUM(H14+'3 June - 9 June'!H14+'10 June - 16 June'!H14+'17 June - 23 June'!H14)</f>
        <v>0</v>
      </c>
      <c r="K14" s="172">
        <f t="shared" si="2"/>
        <v>0</v>
      </c>
      <c r="L14" s="130">
        <v>0</v>
      </c>
      <c r="M14" s="26"/>
    </row>
    <row r="15" spans="1:13" ht="15.6" customHeight="1" x14ac:dyDescent="0.3">
      <c r="A15" s="160" t="s">
        <v>26</v>
      </c>
      <c r="B15" s="158">
        <v>204166.38</v>
      </c>
      <c r="C15" s="73">
        <v>179618.33</v>
      </c>
      <c r="D15" s="145">
        <v>233344.84</v>
      </c>
      <c r="E15" s="163">
        <f t="shared" si="0"/>
        <v>0.29911485091749829</v>
      </c>
      <c r="F15" s="166">
        <v>2016</v>
      </c>
      <c r="G15" s="63">
        <f t="shared" si="3"/>
        <v>115.74644841269841</v>
      </c>
      <c r="H15" s="61">
        <v>17</v>
      </c>
      <c r="I15" s="169">
        <f t="shared" si="1"/>
        <v>8.4325396825396821E-3</v>
      </c>
      <c r="J15" s="175">
        <f>SUM(H15+'3 June - 9 June'!H15+'10 June - 16 June'!H15+'17 June - 23 June'!H15)</f>
        <v>67</v>
      </c>
      <c r="K15" s="172">
        <f t="shared" si="2"/>
        <v>3.3234126984126984E-2</v>
      </c>
      <c r="L15" s="130">
        <v>11896.75</v>
      </c>
      <c r="M15" s="9"/>
    </row>
    <row r="16" spans="1:13" ht="15.6" customHeight="1" x14ac:dyDescent="0.3">
      <c r="A16" s="160" t="s">
        <v>27</v>
      </c>
      <c r="B16" s="158">
        <v>119243.42</v>
      </c>
      <c r="C16" s="73">
        <v>120360.07</v>
      </c>
      <c r="D16" s="145">
        <v>126934.85</v>
      </c>
      <c r="E16" s="163">
        <f t="shared" si="0"/>
        <v>5.4625923697119806E-2</v>
      </c>
      <c r="F16" s="166">
        <v>815</v>
      </c>
      <c r="G16" s="63">
        <f t="shared" si="3"/>
        <v>155.74828220858896</v>
      </c>
      <c r="H16" s="61">
        <v>13</v>
      </c>
      <c r="I16" s="169">
        <f t="shared" si="1"/>
        <v>1.5950920245398775E-2</v>
      </c>
      <c r="J16" s="175">
        <f>SUM(H16+'3 June - 9 June'!H16+'10 June - 16 June'!H16+'17 June - 23 June'!H16)</f>
        <v>46</v>
      </c>
      <c r="K16" s="172">
        <f t="shared" si="2"/>
        <v>5.6441717791411043E-2</v>
      </c>
      <c r="L16" s="130">
        <v>7273.35</v>
      </c>
      <c r="M16" s="9"/>
    </row>
    <row r="17" spans="1:13" ht="15.6" customHeight="1" x14ac:dyDescent="0.3">
      <c r="A17" s="160" t="s">
        <v>28</v>
      </c>
      <c r="B17" s="158">
        <v>193070.24</v>
      </c>
      <c r="C17" s="73">
        <v>165635.18</v>
      </c>
      <c r="D17" s="145">
        <v>212563.92</v>
      </c>
      <c r="E17" s="163">
        <f t="shared" si="0"/>
        <v>0.28332592146185381</v>
      </c>
      <c r="F17" s="166">
        <v>1386</v>
      </c>
      <c r="G17" s="63">
        <f t="shared" si="3"/>
        <v>153.36502164502164</v>
      </c>
      <c r="H17" s="61">
        <v>21</v>
      </c>
      <c r="I17" s="169">
        <f t="shared" si="1"/>
        <v>1.5151515151515152E-2</v>
      </c>
      <c r="J17" s="175">
        <f>SUM(H17+'3 June - 9 June'!H17+'10 June - 16 June'!H17+'17 June - 23 June'!H17)</f>
        <v>56</v>
      </c>
      <c r="K17" s="172">
        <f t="shared" si="2"/>
        <v>4.0404040404040407E-2</v>
      </c>
      <c r="L17" s="130">
        <v>10014.15</v>
      </c>
      <c r="M17" s="9"/>
    </row>
    <row r="18" spans="1:13" ht="16.2" customHeight="1" thickBot="1" x14ac:dyDescent="0.35">
      <c r="A18" s="161" t="s">
        <v>33</v>
      </c>
      <c r="B18" s="159">
        <v>145702.12</v>
      </c>
      <c r="C18" s="131"/>
      <c r="D18" s="146">
        <v>174527.99</v>
      </c>
      <c r="E18" s="164">
        <f t="shared" si="0"/>
        <v>0</v>
      </c>
      <c r="F18" s="167">
        <v>1300</v>
      </c>
      <c r="G18" s="132">
        <f t="shared" si="3"/>
        <v>134.25229999999999</v>
      </c>
      <c r="H18" s="133">
        <v>57</v>
      </c>
      <c r="I18" s="170">
        <f t="shared" si="1"/>
        <v>4.3846153846153847E-2</v>
      </c>
      <c r="J18" s="176">
        <f>SUM(H18+'3 June - 9 June'!H18+'10 June - 16 June'!H18+'17 June - 23 June'!H18)</f>
        <v>139</v>
      </c>
      <c r="K18" s="173">
        <f t="shared" si="2"/>
        <v>0.10692307692307693</v>
      </c>
      <c r="L18" s="134">
        <v>5236.6000000000004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5" priority="1" operator="equal">
      <formula>0</formula>
    </cfRule>
  </conditionalFormatting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40"/>
  <sheetViews>
    <sheetView zoomScale="78" workbookViewId="0">
      <selection activeCell="A14" sqref="A14:XFD14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0.18688802952364009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2630071.9900000002</v>
      </c>
      <c r="C4" s="135">
        <f>SUM(C6:C18)-C14</f>
        <v>2003864.03</v>
      </c>
      <c r="D4" s="142">
        <f>SUM(D6:D18)</f>
        <v>2550039.5600000005</v>
      </c>
      <c r="E4" s="152">
        <f t="shared" ref="E4:E18" si="0">IFERROR((SUM(D4-C4)/C4),0)</f>
        <v>0.27256117272587627</v>
      </c>
      <c r="F4" s="147">
        <f>SUM(F6:F18)</f>
        <v>18138</v>
      </c>
      <c r="G4" s="136">
        <f>AVERAGE(G5:G18)</f>
        <v>129.59296388299441</v>
      </c>
      <c r="H4" s="137">
        <f>SUM(H6:H18)</f>
        <v>320</v>
      </c>
      <c r="I4" s="138">
        <f t="shared" ref="I4:I18" si="1">IFERROR(H4/F4,0)</f>
        <v>1.7642518469511523E-2</v>
      </c>
      <c r="J4" s="139">
        <f>SUM(J6:J18)</f>
        <v>1283</v>
      </c>
      <c r="K4" s="140">
        <f t="shared" ref="K4:K18" si="2">IFERROR(J4/SUM(F4),0)</f>
        <v>7.0735472488697756E-2</v>
      </c>
      <c r="L4" s="141">
        <f>SUM(L6:L18)</f>
        <v>126699.78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271223.01</v>
      </c>
      <c r="C6" s="123">
        <v>245546.09</v>
      </c>
      <c r="D6" s="144">
        <v>289905.34999999998</v>
      </c>
      <c r="E6" s="162">
        <f t="shared" si="0"/>
        <v>0.18065553395698536</v>
      </c>
      <c r="F6" s="165">
        <v>2174</v>
      </c>
      <c r="G6" s="124">
        <f t="shared" ref="G6:G18" si="3">IFERROR(D6/F6,0)</f>
        <v>133.3511269549218</v>
      </c>
      <c r="H6" s="125">
        <v>39</v>
      </c>
      <c r="I6" s="168">
        <f t="shared" si="1"/>
        <v>1.7939282428702852E-2</v>
      </c>
      <c r="J6" s="174">
        <f>SUM(H6+'3 June - 9 June'!H6+'10 June - 16 June'!H6+'17 June - 23 June'!H6+'24 June - 30 June'!H6)</f>
        <v>143</v>
      </c>
      <c r="K6" s="171">
        <f t="shared" si="2"/>
        <v>6.5777368905243785E-2</v>
      </c>
      <c r="L6" s="129">
        <v>9928.1</v>
      </c>
      <c r="M6" s="26"/>
    </row>
    <row r="7" spans="1:13" ht="15.6" customHeight="1" x14ac:dyDescent="0.3">
      <c r="A7" s="406" t="s">
        <v>16</v>
      </c>
      <c r="B7" s="158">
        <v>268311.86</v>
      </c>
      <c r="C7" s="73">
        <v>209650.3</v>
      </c>
      <c r="D7" s="145">
        <v>262280.90999999997</v>
      </c>
      <c r="E7" s="163">
        <f t="shared" si="0"/>
        <v>0.25103999374195979</v>
      </c>
      <c r="F7" s="166">
        <v>1875</v>
      </c>
      <c r="G7" s="63">
        <f t="shared" si="3"/>
        <v>139.883152</v>
      </c>
      <c r="H7" s="61">
        <v>9</v>
      </c>
      <c r="I7" s="169">
        <f t="shared" si="1"/>
        <v>4.7999999999999996E-3</v>
      </c>
      <c r="J7" s="175">
        <f>SUM(H7+'3 June - 9 June'!H7+'10 June - 16 June'!H7+'17 June - 23 June'!H7+'24 June - 30 June'!H7)</f>
        <v>73</v>
      </c>
      <c r="K7" s="172">
        <f t="shared" si="2"/>
        <v>3.8933333333333334E-2</v>
      </c>
      <c r="L7" s="130">
        <v>15030.8</v>
      </c>
      <c r="M7" s="26"/>
    </row>
    <row r="8" spans="1:13" ht="15.6" customHeight="1" x14ac:dyDescent="0.3">
      <c r="A8" s="406" t="s">
        <v>17</v>
      </c>
      <c r="B8" s="158">
        <v>110389.7</v>
      </c>
      <c r="C8" s="73">
        <v>101240.13</v>
      </c>
      <c r="D8" s="145">
        <v>99818.07</v>
      </c>
      <c r="E8" s="163">
        <f t="shared" si="0"/>
        <v>-1.4046406301532777E-2</v>
      </c>
      <c r="F8" s="166">
        <v>723</v>
      </c>
      <c r="G8" s="63">
        <f t="shared" si="3"/>
        <v>138.06095435684648</v>
      </c>
      <c r="H8" s="61">
        <v>3</v>
      </c>
      <c r="I8" s="169">
        <f t="shared" si="1"/>
        <v>4.1493775933609959E-3</v>
      </c>
      <c r="J8" s="175">
        <f>SUM(H8+'3 June - 9 June'!H8+'10 June - 16 June'!H8+'17 June - 23 June'!H8+'24 June - 30 June'!H8)</f>
        <v>18</v>
      </c>
      <c r="K8" s="172">
        <f t="shared" si="2"/>
        <v>2.4896265560165973E-2</v>
      </c>
      <c r="L8" s="130">
        <v>4408.7</v>
      </c>
      <c r="M8" s="26"/>
    </row>
    <row r="9" spans="1:13" ht="15.6" customHeight="1" x14ac:dyDescent="0.3">
      <c r="A9" s="406" t="s">
        <v>18</v>
      </c>
      <c r="B9" s="158">
        <v>345874.43</v>
      </c>
      <c r="C9" s="73">
        <v>285855.02</v>
      </c>
      <c r="D9" s="145">
        <v>285273.64</v>
      </c>
      <c r="E9" s="163">
        <f t="shared" si="0"/>
        <v>-2.0338281972448993E-3</v>
      </c>
      <c r="F9" s="166">
        <v>2051</v>
      </c>
      <c r="G9" s="63">
        <f t="shared" si="3"/>
        <v>139.09002437835204</v>
      </c>
      <c r="H9" s="61">
        <v>33</v>
      </c>
      <c r="I9" s="169">
        <f t="shared" si="1"/>
        <v>1.6089712335446125E-2</v>
      </c>
      <c r="J9" s="175">
        <f>SUM(H9+'3 June - 9 June'!H9+'10 June - 16 June'!H9+'17 June - 23 June'!H9+'24 June - 30 June'!H9)</f>
        <v>181</v>
      </c>
      <c r="K9" s="172">
        <f t="shared" si="2"/>
        <v>8.8249634324719647E-2</v>
      </c>
      <c r="L9" s="130">
        <v>9989.1299999999992</v>
      </c>
      <c r="M9" s="26"/>
    </row>
    <row r="10" spans="1:13" ht="15.6" customHeight="1" x14ac:dyDescent="0.3">
      <c r="A10" s="406" t="s">
        <v>20</v>
      </c>
      <c r="B10" s="158">
        <v>153229.93</v>
      </c>
      <c r="C10" s="73">
        <v>133920</v>
      </c>
      <c r="D10" s="145">
        <v>151033.79</v>
      </c>
      <c r="E10" s="163">
        <f t="shared" si="0"/>
        <v>0.12779114396654725</v>
      </c>
      <c r="F10" s="166">
        <v>960</v>
      </c>
      <c r="G10" s="63">
        <f t="shared" si="3"/>
        <v>157.32686458333333</v>
      </c>
      <c r="H10" s="61">
        <v>23</v>
      </c>
      <c r="I10" s="169">
        <f t="shared" si="1"/>
        <v>2.3958333333333335E-2</v>
      </c>
      <c r="J10" s="175">
        <f>SUM(H10+'3 June - 9 June'!H10+'10 June - 16 June'!H10+'17 June - 23 June'!H10+'24 June - 30 June'!H10)</f>
        <v>94</v>
      </c>
      <c r="K10" s="172">
        <f t="shared" si="2"/>
        <v>9.7916666666666666E-2</v>
      </c>
      <c r="L10" s="130">
        <v>9995.2999999999993</v>
      </c>
      <c r="M10" s="26"/>
    </row>
    <row r="11" spans="1:13" ht="15.6" customHeight="1" x14ac:dyDescent="0.3">
      <c r="A11" s="406" t="s">
        <v>21</v>
      </c>
      <c r="B11" s="158">
        <v>385707.8</v>
      </c>
      <c r="C11" s="73">
        <v>294749.59999999998</v>
      </c>
      <c r="D11" s="145">
        <v>388755.04</v>
      </c>
      <c r="E11" s="163">
        <f t="shared" si="0"/>
        <v>0.31893322331904778</v>
      </c>
      <c r="F11" s="166">
        <v>2125</v>
      </c>
      <c r="G11" s="63">
        <f t="shared" si="3"/>
        <v>182.94354823529412</v>
      </c>
      <c r="H11" s="61">
        <v>28</v>
      </c>
      <c r="I11" s="169">
        <f t="shared" si="1"/>
        <v>1.3176470588235295E-2</v>
      </c>
      <c r="J11" s="175">
        <f>SUM(H11+'3 June - 9 June'!H11+'10 June - 16 June'!H11+'17 June - 23 June'!H11+'24 June - 30 June'!H11)</f>
        <v>133</v>
      </c>
      <c r="K11" s="172">
        <f t="shared" si="2"/>
        <v>6.2588235294117653E-2</v>
      </c>
      <c r="L11" s="130">
        <v>16724.3</v>
      </c>
      <c r="M11" s="26"/>
    </row>
    <row r="12" spans="1:13" ht="15.6" customHeight="1" x14ac:dyDescent="0.3">
      <c r="A12" s="160" t="s">
        <v>22</v>
      </c>
      <c r="B12" s="158">
        <v>124310.04</v>
      </c>
      <c r="C12" s="73">
        <v>96327.57</v>
      </c>
      <c r="D12" s="145">
        <v>130753.32</v>
      </c>
      <c r="E12" s="163">
        <f t="shared" si="0"/>
        <v>0.35738210773924844</v>
      </c>
      <c r="F12" s="166">
        <v>1110</v>
      </c>
      <c r="G12" s="63">
        <f t="shared" si="3"/>
        <v>117.79578378378379</v>
      </c>
      <c r="H12" s="61">
        <v>7</v>
      </c>
      <c r="I12" s="169">
        <f t="shared" si="1"/>
        <v>6.3063063063063061E-3</v>
      </c>
      <c r="J12" s="175">
        <f>SUM(H12+'3 June - 9 June'!H12+'10 June - 16 June'!H12+'17 June - 23 June'!H12+'24 June - 30 June'!H12)</f>
        <v>47</v>
      </c>
      <c r="K12" s="172">
        <f t="shared" si="2"/>
        <v>4.234234234234234E-2</v>
      </c>
      <c r="L12" s="130">
        <v>14961.45</v>
      </c>
      <c r="M12" s="26"/>
    </row>
    <row r="13" spans="1:13" ht="15.6" customHeight="1" x14ac:dyDescent="0.3">
      <c r="A13" s="160" t="s">
        <v>23</v>
      </c>
      <c r="B13" s="158">
        <v>223653.62</v>
      </c>
      <c r="C13" s="73">
        <v>183017.69</v>
      </c>
      <c r="D13" s="145">
        <v>216356.41</v>
      </c>
      <c r="E13" s="163">
        <f t="shared" si="0"/>
        <v>0.18216118889928073</v>
      </c>
      <c r="F13" s="166">
        <v>1562</v>
      </c>
      <c r="G13" s="63">
        <f t="shared" si="3"/>
        <v>138.51242637644046</v>
      </c>
      <c r="H13" s="61">
        <v>61</v>
      </c>
      <c r="I13" s="169">
        <f t="shared" si="1"/>
        <v>3.9052496798975669E-2</v>
      </c>
      <c r="J13" s="175">
        <f>SUM(H13+'3 June - 9 June'!H13+'10 June - 16 June'!H13+'17 June - 23 June'!H13+'24 June - 30 June'!H13)</f>
        <v>169</v>
      </c>
      <c r="K13" s="172">
        <f t="shared" si="2"/>
        <v>0.10819462227912932</v>
      </c>
      <c r="L13" s="130">
        <v>9063.65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72970.91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>
        <v>0</v>
      </c>
      <c r="I14" s="169">
        <f t="shared" si="1"/>
        <v>0</v>
      </c>
      <c r="J14" s="175">
        <f>SUM(H14+'3 June - 9 June'!H14+'10 June - 16 June'!H14+'17 June - 23 June'!H14+'24 June - 30 June'!H14)</f>
        <v>0</v>
      </c>
      <c r="K14" s="172">
        <f t="shared" si="2"/>
        <v>0</v>
      </c>
      <c r="L14" s="130">
        <v>0</v>
      </c>
      <c r="M14" s="26"/>
    </row>
    <row r="15" spans="1:13" ht="15.6" customHeight="1" x14ac:dyDescent="0.3">
      <c r="A15" s="160" t="s">
        <v>26</v>
      </c>
      <c r="B15" s="158">
        <v>233344.84</v>
      </c>
      <c r="C15" s="73">
        <v>195318.92</v>
      </c>
      <c r="D15" s="145">
        <v>216202.84</v>
      </c>
      <c r="E15" s="163">
        <f t="shared" si="0"/>
        <v>0.10692215582596905</v>
      </c>
      <c r="F15" s="166">
        <v>1811</v>
      </c>
      <c r="G15" s="63">
        <f t="shared" si="3"/>
        <v>119.3831253451132</v>
      </c>
      <c r="H15" s="61">
        <v>15</v>
      </c>
      <c r="I15" s="169">
        <f t="shared" si="1"/>
        <v>8.2827167310877969E-3</v>
      </c>
      <c r="J15" s="175">
        <f>SUM(H15+'3 June - 9 June'!H15+'10 June - 16 June'!H15+'17 June - 23 June'!H15+'24 June - 30 June'!H15)</f>
        <v>82</v>
      </c>
      <c r="K15" s="172">
        <f t="shared" si="2"/>
        <v>4.5278851463279958E-2</v>
      </c>
      <c r="L15" s="130">
        <v>8878.7999999999993</v>
      </c>
      <c r="M15" s="9"/>
    </row>
    <row r="16" spans="1:13" ht="15.6" customHeight="1" x14ac:dyDescent="0.3">
      <c r="A16" s="160" t="s">
        <v>27</v>
      </c>
      <c r="B16" s="158">
        <v>126934.85</v>
      </c>
      <c r="C16" s="73">
        <v>95020.94</v>
      </c>
      <c r="D16" s="145">
        <v>133866.99</v>
      </c>
      <c r="E16" s="163">
        <f t="shared" si="0"/>
        <v>0.40881567789163092</v>
      </c>
      <c r="F16" s="166">
        <v>836</v>
      </c>
      <c r="G16" s="63">
        <f t="shared" si="3"/>
        <v>160.1279784688995</v>
      </c>
      <c r="H16" s="61">
        <v>14</v>
      </c>
      <c r="I16" s="169">
        <f t="shared" si="1"/>
        <v>1.6746411483253589E-2</v>
      </c>
      <c r="J16" s="175">
        <f>SUM(H16+'3 June - 9 June'!H16+'10 June - 16 June'!H16+'17 June - 23 June'!H16+'24 June - 30 June'!H16)</f>
        <v>60</v>
      </c>
      <c r="K16" s="172">
        <f t="shared" si="2"/>
        <v>7.1770334928229665E-2</v>
      </c>
      <c r="L16" s="130">
        <v>11066.5</v>
      </c>
      <c r="M16" s="9"/>
    </row>
    <row r="17" spans="1:13" ht="15.6" customHeight="1" x14ac:dyDescent="0.3">
      <c r="A17" s="160" t="s">
        <v>28</v>
      </c>
      <c r="B17" s="158">
        <v>212563.92</v>
      </c>
      <c r="C17" s="73">
        <v>163217.76999999999</v>
      </c>
      <c r="D17" s="145">
        <v>204115.87</v>
      </c>
      <c r="E17" s="163">
        <f t="shared" si="0"/>
        <v>0.2505738192599985</v>
      </c>
      <c r="F17" s="166">
        <v>1584</v>
      </c>
      <c r="G17" s="63">
        <f t="shared" si="3"/>
        <v>128.86102904040405</v>
      </c>
      <c r="H17" s="61">
        <v>20</v>
      </c>
      <c r="I17" s="169">
        <f t="shared" si="1"/>
        <v>1.2626262626262626E-2</v>
      </c>
      <c r="J17" s="175">
        <f>SUM(H17+'3 June - 9 June'!H17+'10 June - 16 June'!H17+'17 June - 23 June'!H17+'24 June - 30 June'!H17)</f>
        <v>76</v>
      </c>
      <c r="K17" s="172">
        <f t="shared" si="2"/>
        <v>4.7979797979797977E-2</v>
      </c>
      <c r="L17" s="130">
        <v>12344.1</v>
      </c>
      <c r="M17" s="9"/>
    </row>
    <row r="18" spans="1:13" ht="16.2" customHeight="1" thickBot="1" x14ac:dyDescent="0.35">
      <c r="A18" s="161" t="s">
        <v>33</v>
      </c>
      <c r="B18" s="159">
        <v>174527.99</v>
      </c>
      <c r="C18" s="131"/>
      <c r="D18" s="146">
        <v>171677.33</v>
      </c>
      <c r="E18" s="164">
        <f t="shared" si="0"/>
        <v>0</v>
      </c>
      <c r="F18" s="167">
        <v>1327</v>
      </c>
      <c r="G18" s="132">
        <f t="shared" si="3"/>
        <v>129.3725169555388</v>
      </c>
      <c r="H18" s="133">
        <v>68</v>
      </c>
      <c r="I18" s="170">
        <f t="shared" si="1"/>
        <v>5.124340617935192E-2</v>
      </c>
      <c r="J18" s="176">
        <f>SUM(H18+'3 June - 9 June'!H18+'10 June - 16 June'!H18+'17 June - 23 June'!H18+'24 June - 30 June'!H18)</f>
        <v>207</v>
      </c>
      <c r="K18" s="173">
        <f t="shared" si="2"/>
        <v>0.15599095704596835</v>
      </c>
      <c r="L18" s="134">
        <v>4308.95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4" priority="1" operator="equal">
      <formula>0</formula>
    </cfRule>
  </conditionalFormatting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40"/>
  <sheetViews>
    <sheetView zoomScale="78" workbookViewId="0">
      <selection activeCell="O8" sqref="O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6640625" bestFit="1" customWidth="1"/>
  </cols>
  <sheetData>
    <row r="1" spans="1:13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81"/>
      <c r="M1" s="9"/>
    </row>
    <row r="2" spans="1:13" ht="15" customHeight="1" thickBot="1" x14ac:dyDescent="0.35">
      <c r="A2" s="1"/>
      <c r="B2" s="1"/>
      <c r="C2" s="1"/>
      <c r="D2" s="1"/>
      <c r="E2" s="400">
        <f>(((D4-D18)-C4)/C4)</f>
        <v>-4.3247817580911322E-3</v>
      </c>
      <c r="F2" s="34"/>
      <c r="G2" s="1"/>
      <c r="H2" s="1"/>
      <c r="I2" s="1"/>
      <c r="J2" s="1"/>
      <c r="K2" s="1"/>
      <c r="L2" s="81"/>
      <c r="M2" s="17"/>
    </row>
    <row r="3" spans="1:13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402" t="s">
        <v>12</v>
      </c>
      <c r="M3" s="23"/>
    </row>
    <row r="4" spans="1:13" ht="16.2" customHeight="1" thickBot="1" x14ac:dyDescent="0.35">
      <c r="A4" s="398" t="s">
        <v>13</v>
      </c>
      <c r="B4" s="135">
        <f>SUM(B6:B18)</f>
        <v>2550039.5600000005</v>
      </c>
      <c r="C4" s="135">
        <f>SUM(C6:C18)-C14</f>
        <v>2051231.8299999996</v>
      </c>
      <c r="D4" s="142">
        <f>SUM(D6:D18)</f>
        <v>2202093.5499999998</v>
      </c>
      <c r="E4" s="152">
        <f t="shared" ref="E4:E18" si="0">IFERROR((SUM(D4-C4)/C4),0)</f>
        <v>7.3546889139293553E-2</v>
      </c>
      <c r="F4" s="147">
        <f>SUM(F6:F18)</f>
        <v>15953</v>
      </c>
      <c r="G4" s="136">
        <f>AVERAGE(G5:G18)</f>
        <v>126.96817040322927</v>
      </c>
      <c r="H4" s="137">
        <f>SUM(H6:H18)</f>
        <v>297</v>
      </c>
      <c r="I4" s="138">
        <f t="shared" ref="I4:I18" si="1">IFERROR(H4/F4,0)</f>
        <v>1.8617187989719803E-2</v>
      </c>
      <c r="J4" s="139">
        <f>SUM(J6:J18)</f>
        <v>1580</v>
      </c>
      <c r="K4" s="140">
        <f t="shared" ref="K4:K18" si="2">IFERROR(J4/SUM(F4),0)</f>
        <v>9.9040932739923523E-2</v>
      </c>
      <c r="L4" s="141">
        <f>SUM(L6:L18)</f>
        <v>132095.59</v>
      </c>
      <c r="M4" s="24"/>
    </row>
    <row r="5" spans="1:13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71"/>
      <c r="M5" s="25"/>
    </row>
    <row r="6" spans="1:13" ht="15.6" customHeight="1" x14ac:dyDescent="0.3">
      <c r="A6" s="405" t="s">
        <v>15</v>
      </c>
      <c r="B6" s="157">
        <v>289905.34999999998</v>
      </c>
      <c r="C6" s="123">
        <v>256768.79</v>
      </c>
      <c r="D6" s="144">
        <v>226514.71</v>
      </c>
      <c r="E6" s="162">
        <f t="shared" si="0"/>
        <v>-0.11782615792207463</v>
      </c>
      <c r="F6" s="165">
        <v>1703</v>
      </c>
      <c r="G6" s="124">
        <f t="shared" ref="G6:G18" si="3">IFERROR(D6/F6,0)</f>
        <v>133.00922489724016</v>
      </c>
      <c r="H6" s="125">
        <v>30</v>
      </c>
      <c r="I6" s="168">
        <f t="shared" si="1"/>
        <v>1.7615971814445096E-2</v>
      </c>
      <c r="J6" s="174">
        <f>SUM(H6+'3 June - 9 June'!H6+'10 June - 16 June'!H6+'17 June - 23 June'!H6+'24 June - 30 June'!H6+'1 July - 7 July'!H6)</f>
        <v>173</v>
      </c>
      <c r="K6" s="171">
        <f t="shared" si="2"/>
        <v>0.10158543746330007</v>
      </c>
      <c r="L6" s="129">
        <v>11902.95</v>
      </c>
      <c r="M6" s="26"/>
    </row>
    <row r="7" spans="1:13" ht="15.6" customHeight="1" x14ac:dyDescent="0.3">
      <c r="A7" s="406" t="s">
        <v>16</v>
      </c>
      <c r="B7" s="158">
        <v>262280.90999999997</v>
      </c>
      <c r="C7" s="73">
        <v>210702.68</v>
      </c>
      <c r="D7" s="145">
        <v>204794.67</v>
      </c>
      <c r="E7" s="163">
        <f t="shared" si="0"/>
        <v>-2.8039557921142627E-2</v>
      </c>
      <c r="F7" s="166">
        <v>1435</v>
      </c>
      <c r="G7" s="63">
        <f t="shared" si="3"/>
        <v>142.71405574912893</v>
      </c>
      <c r="H7" s="61">
        <v>14</v>
      </c>
      <c r="I7" s="169">
        <f t="shared" si="1"/>
        <v>9.7560975609756097E-3</v>
      </c>
      <c r="J7" s="175">
        <f>SUM(H7+'3 June - 9 June'!H7+'10 June - 16 June'!H7+'17 June - 23 June'!H7+'24 June - 30 June'!H7+'1 July - 7 July'!H7)</f>
        <v>87</v>
      </c>
      <c r="K7" s="172">
        <f t="shared" si="2"/>
        <v>6.0627177700348429E-2</v>
      </c>
      <c r="L7" s="130">
        <v>12825.5</v>
      </c>
      <c r="M7" s="26"/>
    </row>
    <row r="8" spans="1:13" ht="15.6" customHeight="1" x14ac:dyDescent="0.3">
      <c r="A8" s="406" t="s">
        <v>17</v>
      </c>
      <c r="B8" s="158">
        <v>99818.07</v>
      </c>
      <c r="C8" s="73">
        <v>89728.09</v>
      </c>
      <c r="D8" s="145">
        <v>95007.83</v>
      </c>
      <c r="E8" s="163">
        <f t="shared" si="0"/>
        <v>5.8841551179792249E-2</v>
      </c>
      <c r="F8" s="166">
        <v>673</v>
      </c>
      <c r="G8" s="63">
        <f t="shared" si="3"/>
        <v>141.17062407132244</v>
      </c>
      <c r="H8" s="61">
        <v>6</v>
      </c>
      <c r="I8" s="169">
        <f t="shared" si="1"/>
        <v>8.9153046062407128E-3</v>
      </c>
      <c r="J8" s="175">
        <f>SUM(H8+'3 June - 9 June'!H8+'10 June - 16 June'!H8+'17 June - 23 June'!H8+'24 June - 30 June'!H8+'1 July - 7 July'!H8)</f>
        <v>24</v>
      </c>
      <c r="K8" s="172">
        <f t="shared" si="2"/>
        <v>3.5661218424962851E-2</v>
      </c>
      <c r="L8" s="130">
        <v>4324.5</v>
      </c>
      <c r="M8" s="26"/>
    </row>
    <row r="9" spans="1:13" ht="15.6" customHeight="1" x14ac:dyDescent="0.3">
      <c r="A9" s="406" t="s">
        <v>18</v>
      </c>
      <c r="B9" s="158">
        <v>285273.64</v>
      </c>
      <c r="C9" s="73">
        <v>301963.78000000003</v>
      </c>
      <c r="D9" s="145">
        <v>279254.78000000003</v>
      </c>
      <c r="E9" s="163">
        <f t="shared" si="0"/>
        <v>-7.52043837840419E-2</v>
      </c>
      <c r="F9" s="166">
        <v>2007</v>
      </c>
      <c r="G9" s="63">
        <f t="shared" si="3"/>
        <v>139.14039860488293</v>
      </c>
      <c r="H9" s="61">
        <v>13</v>
      </c>
      <c r="I9" s="169">
        <f t="shared" si="1"/>
        <v>6.4773293472845045E-3</v>
      </c>
      <c r="J9" s="175">
        <f>SUM(H9+'3 June - 9 June'!H9+'10 June - 16 June'!H9+'17 June - 23 June'!H9+'24 June - 30 June'!H9+'1 July - 7 July'!H9)</f>
        <v>194</v>
      </c>
      <c r="K9" s="172">
        <f t="shared" si="2"/>
        <v>9.6661684105630294E-2</v>
      </c>
      <c r="L9" s="130">
        <v>12636.9</v>
      </c>
      <c r="M9" s="26"/>
    </row>
    <row r="10" spans="1:13" ht="15.6" customHeight="1" x14ac:dyDescent="0.3">
      <c r="A10" s="406" t="s">
        <v>20</v>
      </c>
      <c r="B10" s="158">
        <v>151033.79</v>
      </c>
      <c r="C10" s="73">
        <v>146724.76</v>
      </c>
      <c r="D10" s="145">
        <v>131503.14000000001</v>
      </c>
      <c r="E10" s="163">
        <f t="shared" si="0"/>
        <v>-0.10374268119436689</v>
      </c>
      <c r="F10" s="166">
        <v>860</v>
      </c>
      <c r="G10" s="63">
        <f t="shared" si="3"/>
        <v>152.91062790697677</v>
      </c>
      <c r="H10" s="61">
        <v>19</v>
      </c>
      <c r="I10" s="169">
        <f t="shared" si="1"/>
        <v>2.2093023255813953E-2</v>
      </c>
      <c r="J10" s="175">
        <f>SUM(H10+'3 June - 9 June'!H10+'10 June - 16 June'!H10+'17 June - 23 June'!H10+'24 June - 30 June'!H10+'1 July - 7 July'!H10)</f>
        <v>113</v>
      </c>
      <c r="K10" s="172">
        <f t="shared" si="2"/>
        <v>0.1313953488372093</v>
      </c>
      <c r="L10" s="130">
        <v>9157.59</v>
      </c>
      <c r="M10" s="26"/>
    </row>
    <row r="11" spans="1:13" ht="15.6" customHeight="1" x14ac:dyDescent="0.3">
      <c r="A11" s="406" t="s">
        <v>21</v>
      </c>
      <c r="B11" s="158">
        <v>388755.04</v>
      </c>
      <c r="C11" s="73">
        <v>280855.2</v>
      </c>
      <c r="D11" s="145">
        <v>326039.56</v>
      </c>
      <c r="E11" s="163">
        <f t="shared" si="0"/>
        <v>0.16088133671728344</v>
      </c>
      <c r="F11" s="166">
        <v>2015</v>
      </c>
      <c r="G11" s="63">
        <f t="shared" si="3"/>
        <v>161.80623325062035</v>
      </c>
      <c r="H11" s="61">
        <v>30</v>
      </c>
      <c r="I11" s="169">
        <f t="shared" si="1"/>
        <v>1.488833746898263E-2</v>
      </c>
      <c r="J11" s="175">
        <f>SUM(H11+'3 June - 9 June'!H11+'10 June - 16 June'!H11+'17 June - 23 June'!H11+'24 June - 30 June'!H11+'1 July - 7 July'!H11)</f>
        <v>163</v>
      </c>
      <c r="K11" s="172">
        <f t="shared" si="2"/>
        <v>8.0893300248138955E-2</v>
      </c>
      <c r="L11" s="130">
        <v>21148.799999999999</v>
      </c>
      <c r="M11" s="26"/>
    </row>
    <row r="12" spans="1:13" ht="15.6" customHeight="1" x14ac:dyDescent="0.3">
      <c r="A12" s="160" t="s">
        <v>22</v>
      </c>
      <c r="B12" s="158">
        <v>130753.32</v>
      </c>
      <c r="C12" s="73">
        <v>100133.45</v>
      </c>
      <c r="D12" s="145">
        <v>125918.89</v>
      </c>
      <c r="E12" s="163">
        <f t="shared" si="0"/>
        <v>0.25751075190158734</v>
      </c>
      <c r="F12" s="166">
        <v>1087</v>
      </c>
      <c r="G12" s="63">
        <f t="shared" si="3"/>
        <v>115.84074517019319</v>
      </c>
      <c r="H12" s="61">
        <v>16</v>
      </c>
      <c r="I12" s="169">
        <f t="shared" si="1"/>
        <v>1.4719411223551058E-2</v>
      </c>
      <c r="J12" s="175">
        <f>SUM(H12+'3 June - 9 June'!H12+'10 June - 16 June'!H12+'17 June - 23 June'!H12+'24 June - 30 June'!H12+'1 July - 7 July'!H12)</f>
        <v>63</v>
      </c>
      <c r="K12" s="172">
        <f t="shared" si="2"/>
        <v>5.7957681692732292E-2</v>
      </c>
      <c r="L12" s="130">
        <v>11731.9</v>
      </c>
      <c r="M12" s="26"/>
    </row>
    <row r="13" spans="1:13" ht="15.6" customHeight="1" x14ac:dyDescent="0.3">
      <c r="A13" s="160" t="s">
        <v>23</v>
      </c>
      <c r="B13" s="158">
        <v>216356.41</v>
      </c>
      <c r="C13" s="73">
        <v>216088.13</v>
      </c>
      <c r="D13" s="145">
        <v>197895.08</v>
      </c>
      <c r="E13" s="163">
        <f t="shared" si="0"/>
        <v>-8.419273191914807E-2</v>
      </c>
      <c r="F13" s="166">
        <v>1475</v>
      </c>
      <c r="G13" s="63">
        <f t="shared" si="3"/>
        <v>134.1661559322034</v>
      </c>
      <c r="H13" s="61">
        <v>31</v>
      </c>
      <c r="I13" s="169">
        <f t="shared" si="1"/>
        <v>2.1016949152542375E-2</v>
      </c>
      <c r="J13" s="175">
        <f>SUM(H13+'3 June - 9 June'!H13+'10 June - 16 June'!H13+'17 June - 23 June'!H13+'24 June - 30 June'!H13+'1 July - 7 July'!H13)</f>
        <v>200</v>
      </c>
      <c r="K13" s="172">
        <f t="shared" si="2"/>
        <v>0.13559322033898305</v>
      </c>
      <c r="L13" s="130">
        <v>13287.6</v>
      </c>
      <c r="M13" s="26"/>
    </row>
    <row r="14" spans="1:13" ht="15.6" hidden="1" customHeight="1" x14ac:dyDescent="0.3">
      <c r="A14" s="160" t="s">
        <v>24</v>
      </c>
      <c r="B14" s="158">
        <v>0</v>
      </c>
      <c r="C14" s="73">
        <v>60504.06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175">
        <f>SUM(H14+'3 June - 9 June'!H14+'10 June - 16 June'!H14+'17 June - 23 June'!H14+'24 June - 30 June'!H14+'1 July - 7 July'!H14)</f>
        <v>0</v>
      </c>
      <c r="K14" s="172">
        <f t="shared" si="2"/>
        <v>0</v>
      </c>
      <c r="L14" s="130"/>
      <c r="M14" s="26"/>
    </row>
    <row r="15" spans="1:13" ht="15.6" customHeight="1" x14ac:dyDescent="0.3">
      <c r="A15" s="160" t="s">
        <v>26</v>
      </c>
      <c r="B15" s="158">
        <v>216202.84</v>
      </c>
      <c r="C15" s="73">
        <v>177017.51</v>
      </c>
      <c r="D15" s="145">
        <v>157538.72</v>
      </c>
      <c r="E15" s="163">
        <f t="shared" si="0"/>
        <v>-0.11003877526014239</v>
      </c>
      <c r="F15" s="166">
        <v>1413</v>
      </c>
      <c r="G15" s="63">
        <f t="shared" si="3"/>
        <v>111.49237084217977</v>
      </c>
      <c r="H15" s="61">
        <v>51</v>
      </c>
      <c r="I15" s="169">
        <f t="shared" si="1"/>
        <v>3.6093418259023353E-2</v>
      </c>
      <c r="J15" s="175">
        <f>SUM(H15+'3 June - 9 June'!H15+'10 June - 16 June'!H15+'17 June - 23 June'!H15+'24 June - 30 June'!H15+'1 July - 7 July'!H15)</f>
        <v>133</v>
      </c>
      <c r="K15" s="172">
        <f t="shared" si="2"/>
        <v>9.4125973106864824E-2</v>
      </c>
      <c r="L15" s="130">
        <v>9473.75</v>
      </c>
      <c r="M15" s="9"/>
    </row>
    <row r="16" spans="1:13" ht="15.6" customHeight="1" x14ac:dyDescent="0.3">
      <c r="A16" s="160" t="s">
        <v>27</v>
      </c>
      <c r="B16" s="158">
        <v>133866.99</v>
      </c>
      <c r="C16" s="73">
        <v>111524.18</v>
      </c>
      <c r="D16" s="145">
        <v>107345.47</v>
      </c>
      <c r="E16" s="163">
        <f t="shared" si="0"/>
        <v>-3.7469094146220058E-2</v>
      </c>
      <c r="F16" s="166">
        <v>760</v>
      </c>
      <c r="G16" s="63">
        <f t="shared" si="3"/>
        <v>141.24403947368421</v>
      </c>
      <c r="H16" s="61">
        <v>12</v>
      </c>
      <c r="I16" s="169">
        <f t="shared" si="1"/>
        <v>1.5789473684210527E-2</v>
      </c>
      <c r="J16" s="175">
        <f>SUM(H16+'3 June - 9 June'!H16+'10 June - 16 June'!H16+'17 June - 23 June'!H16+'24 June - 30 June'!H16+'1 July - 7 July'!H16)</f>
        <v>72</v>
      </c>
      <c r="K16" s="172">
        <f t="shared" si="2"/>
        <v>9.4736842105263161E-2</v>
      </c>
      <c r="L16" s="130">
        <v>9650.2999999999993</v>
      </c>
      <c r="M16" s="9"/>
    </row>
    <row r="17" spans="1:13" ht="15.6" customHeight="1" x14ac:dyDescent="0.3">
      <c r="A17" s="160" t="s">
        <v>28</v>
      </c>
      <c r="B17" s="158">
        <v>204115.87</v>
      </c>
      <c r="C17" s="73">
        <v>159725.26</v>
      </c>
      <c r="D17" s="145">
        <v>190547.85</v>
      </c>
      <c r="E17" s="163">
        <f t="shared" si="0"/>
        <v>0.19297254548216103</v>
      </c>
      <c r="F17" s="166">
        <v>1286</v>
      </c>
      <c r="G17" s="63">
        <f t="shared" si="3"/>
        <v>148.17095645412132</v>
      </c>
      <c r="H17" s="61">
        <v>25</v>
      </c>
      <c r="I17" s="169">
        <f t="shared" si="1"/>
        <v>1.9440124416796267E-2</v>
      </c>
      <c r="J17" s="175">
        <f>SUM(H17+'3 June - 9 June'!H17+'10 June - 16 June'!H17+'17 June - 23 June'!H17+'24 June - 30 June'!H17+'1 July - 7 July'!H17)</f>
        <v>101</v>
      </c>
      <c r="K17" s="172">
        <f t="shared" si="2"/>
        <v>7.8538102643856925E-2</v>
      </c>
      <c r="L17" s="130">
        <v>12184.75</v>
      </c>
      <c r="M17" s="9"/>
    </row>
    <row r="18" spans="1:13" ht="16.2" customHeight="1" thickBot="1" x14ac:dyDescent="0.35">
      <c r="A18" s="161" t="s">
        <v>33</v>
      </c>
      <c r="B18" s="159">
        <v>171677.33</v>
      </c>
      <c r="C18" s="131"/>
      <c r="D18" s="146">
        <v>159732.85</v>
      </c>
      <c r="E18" s="164">
        <f t="shared" si="0"/>
        <v>0</v>
      </c>
      <c r="F18" s="167">
        <v>1239</v>
      </c>
      <c r="G18" s="132">
        <f t="shared" si="3"/>
        <v>128.92078288942696</v>
      </c>
      <c r="H18" s="133">
        <v>50</v>
      </c>
      <c r="I18" s="170">
        <f t="shared" si="1"/>
        <v>4.0355125100887811E-2</v>
      </c>
      <c r="J18" s="176">
        <f>SUM(H18+'3 June - 9 June'!H18+'10 June - 16 June'!H18+'17 June - 23 June'!H18+'24 June - 30 June'!H18+'1 July - 7 July'!H18)</f>
        <v>257</v>
      </c>
      <c r="K18" s="173">
        <f t="shared" si="2"/>
        <v>0.20742534301856336</v>
      </c>
      <c r="L18" s="134">
        <v>3771.05</v>
      </c>
      <c r="M18" s="9"/>
    </row>
    <row r="19" spans="1:13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9"/>
    </row>
    <row r="20" spans="1:13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9"/>
    </row>
    <row r="21" spans="1:13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9"/>
    </row>
    <row r="22" spans="1:13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27"/>
      <c r="M22" s="9"/>
    </row>
    <row r="23" spans="1:13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9"/>
    </row>
    <row r="24" spans="1:13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9"/>
    </row>
    <row r="25" spans="1:13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9"/>
    </row>
    <row r="26" spans="1:13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9"/>
    </row>
    <row r="27" spans="1:13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9"/>
    </row>
    <row r="28" spans="1:1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9"/>
    </row>
    <row r="29" spans="1:1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9"/>
    </row>
    <row r="30" spans="1:1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9"/>
    </row>
    <row r="31" spans="1:1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9"/>
    </row>
    <row r="32" spans="1:1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9"/>
    </row>
    <row r="33" spans="1:1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9"/>
    </row>
    <row r="34" spans="1:1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9"/>
    </row>
    <row r="35" spans="1:1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9"/>
    </row>
    <row r="36" spans="1:1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9"/>
    </row>
    <row r="37" spans="1:1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9"/>
    </row>
    <row r="38" spans="1:13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9"/>
    </row>
    <row r="39" spans="1:13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9"/>
    </row>
    <row r="40" spans="1:13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9"/>
    </row>
  </sheetData>
  <conditionalFormatting sqref="C6:L18">
    <cfRule type="cellIs" dxfId="663" priority="1" operator="equal">
      <formula>0</formula>
    </cfRule>
  </conditionalFormatting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O40"/>
  <sheetViews>
    <sheetView zoomScale="78" workbookViewId="0">
      <selection activeCell="L15" sqref="L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1.33203125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4.279740505194346E-2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23"/>
    </row>
    <row r="4" spans="1:15" ht="16.2" customHeight="1" thickBot="1" x14ac:dyDescent="0.35">
      <c r="A4" s="398" t="s">
        <v>13</v>
      </c>
      <c r="B4" s="135">
        <f>SUM(B6:B18)</f>
        <v>2202093.5499999998</v>
      </c>
      <c r="C4" s="135">
        <f>SUM(C6:C18)-C14</f>
        <v>1984522.1900000002</v>
      </c>
      <c r="D4" s="142">
        <f>SUM(D6:D18)</f>
        <v>2205630.4300000002</v>
      </c>
      <c r="E4" s="152">
        <f t="shared" ref="E4:E18" si="0">IFERROR((SUM(D4-C4)/C4),0)</f>
        <v>0.11141636063036411</v>
      </c>
      <c r="F4" s="147">
        <f>SUM(F6:F18)</f>
        <v>16279</v>
      </c>
      <c r="G4" s="136">
        <f>AVERAGE(G5:G18)</f>
        <v>125.74769163693658</v>
      </c>
      <c r="H4" s="137">
        <f>SUM(H6:H18)</f>
        <v>366</v>
      </c>
      <c r="I4" s="138">
        <f t="shared" ref="I4:I18" si="1">IFERROR(H4/F4,0)</f>
        <v>2.2482953498372135E-2</v>
      </c>
      <c r="J4" s="139">
        <f>SUM(J6:J18)</f>
        <v>1946</v>
      </c>
      <c r="K4" s="140">
        <f t="shared" ref="K4:K18" si="2">IFERROR(J4/SUM(F4),0)</f>
        <v>0.11954051231648136</v>
      </c>
      <c r="L4" s="178">
        <f>SUM(L6:L18)</f>
        <v>360413.09</v>
      </c>
      <c r="M4" s="140">
        <f>SUM(L4/D4)</f>
        <v>0.16340592925171057</v>
      </c>
      <c r="N4" s="141">
        <f>SUM(N6:N18)</f>
        <v>120015.75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79"/>
      <c r="M5" s="122"/>
      <c r="N5" s="71"/>
      <c r="O5" s="25"/>
    </row>
    <row r="6" spans="1:15" ht="15.6" customHeight="1" x14ac:dyDescent="0.3">
      <c r="A6" s="405" t="s">
        <v>15</v>
      </c>
      <c r="B6" s="157">
        <v>226514.71</v>
      </c>
      <c r="C6" s="123">
        <v>217395.42</v>
      </c>
      <c r="D6" s="144">
        <v>246778</v>
      </c>
      <c r="E6" s="162">
        <f t="shared" si="0"/>
        <v>0.13515730920182212</v>
      </c>
      <c r="F6" s="165">
        <v>1909</v>
      </c>
      <c r="G6" s="124">
        <f t="shared" ref="G6:G18" si="3">IFERROR(D6/F6,0)</f>
        <v>129.27082242011525</v>
      </c>
      <c r="H6" s="125">
        <v>38</v>
      </c>
      <c r="I6" s="168">
        <f t="shared" si="1"/>
        <v>1.9905709795704558E-2</v>
      </c>
      <c r="J6" s="174">
        <f>SUM(H6+'3 June - 9 June'!H6+'10 June - 16 June'!H6+'17 June - 23 June'!H6+'24 June - 30 June'!H6+'1 July - 7 July'!H6+'8 July - 14 July'!H6)</f>
        <v>211</v>
      </c>
      <c r="K6" s="171">
        <f t="shared" si="2"/>
        <v>0.1105290728129911</v>
      </c>
      <c r="L6" s="180">
        <v>34428.699999999997</v>
      </c>
      <c r="M6" s="184">
        <f t="shared" ref="M6:M18" si="4">SUM(L6/D6)</f>
        <v>0.13951284150126833</v>
      </c>
      <c r="N6" s="129">
        <v>15217</v>
      </c>
      <c r="O6" s="26"/>
    </row>
    <row r="7" spans="1:15" ht="15.6" customHeight="1" x14ac:dyDescent="0.3">
      <c r="A7" s="406" t="s">
        <v>16</v>
      </c>
      <c r="B7" s="158">
        <v>204794.67</v>
      </c>
      <c r="C7" s="73">
        <v>205685.39</v>
      </c>
      <c r="D7" s="145">
        <v>191381.89</v>
      </c>
      <c r="E7" s="163">
        <f t="shared" si="0"/>
        <v>-6.9540670827422393E-2</v>
      </c>
      <c r="F7" s="166">
        <v>1589</v>
      </c>
      <c r="G7" s="63">
        <f t="shared" si="3"/>
        <v>120.44171806167402</v>
      </c>
      <c r="H7" s="61">
        <v>29</v>
      </c>
      <c r="I7" s="169">
        <f t="shared" si="1"/>
        <v>1.8250471994965389E-2</v>
      </c>
      <c r="J7" s="175">
        <f>SUM(H7+'3 June - 9 June'!H7+'10 June - 16 June'!H7+'17 June - 23 June'!H7+'24 June - 30 June'!H7+'1 July - 7 July'!H7+'8 July - 14 July'!H7)</f>
        <v>116</v>
      </c>
      <c r="K7" s="172">
        <f t="shared" si="2"/>
        <v>7.3001887979861554E-2</v>
      </c>
      <c r="L7" s="181">
        <v>32370.43</v>
      </c>
      <c r="M7" s="183">
        <f t="shared" si="4"/>
        <v>0.16914050749524942</v>
      </c>
      <c r="N7" s="130">
        <v>12628.4</v>
      </c>
      <c r="O7" s="26"/>
    </row>
    <row r="8" spans="1:15" ht="15.6" customHeight="1" x14ac:dyDescent="0.3">
      <c r="A8" s="406" t="s">
        <v>17</v>
      </c>
      <c r="B8" s="158">
        <v>95007.83</v>
      </c>
      <c r="C8" s="73">
        <v>86864.53</v>
      </c>
      <c r="D8" s="145">
        <v>97633.12</v>
      </c>
      <c r="E8" s="163">
        <f t="shared" si="0"/>
        <v>0.12396993341240661</v>
      </c>
      <c r="F8" s="166">
        <v>692</v>
      </c>
      <c r="G8" s="63">
        <f t="shared" si="3"/>
        <v>141.08832369942195</v>
      </c>
      <c r="H8" s="61">
        <v>9</v>
      </c>
      <c r="I8" s="169">
        <f t="shared" si="1"/>
        <v>1.300578034682081E-2</v>
      </c>
      <c r="J8" s="175">
        <f>SUM(H8+'3 June - 9 June'!H8+'10 June - 16 June'!H8+'17 June - 23 June'!H8+'24 June - 30 June'!H8+'1 July - 7 July'!H8+'8 July - 14 July'!H8)</f>
        <v>33</v>
      </c>
      <c r="K8" s="172">
        <f t="shared" si="2"/>
        <v>4.7687861271676298E-2</v>
      </c>
      <c r="L8" s="181">
        <v>37288.620000000003</v>
      </c>
      <c r="M8" s="183">
        <f t="shared" si="4"/>
        <v>0.38192592841445611</v>
      </c>
      <c r="N8" s="130">
        <v>3662.5</v>
      </c>
      <c r="O8" s="26"/>
    </row>
    <row r="9" spans="1:15" ht="15.6" customHeight="1" x14ac:dyDescent="0.3">
      <c r="A9" s="406" t="s">
        <v>18</v>
      </c>
      <c r="B9" s="158">
        <v>279254.78000000003</v>
      </c>
      <c r="C9" s="73">
        <v>313752.77</v>
      </c>
      <c r="D9" s="145">
        <v>304596.21000000002</v>
      </c>
      <c r="E9" s="163">
        <f t="shared" si="0"/>
        <v>-2.9183997323752701E-2</v>
      </c>
      <c r="F9" s="166">
        <v>2244</v>
      </c>
      <c r="G9" s="63">
        <f t="shared" si="3"/>
        <v>135.73806149732621</v>
      </c>
      <c r="H9" s="61">
        <v>31</v>
      </c>
      <c r="I9" s="169">
        <f t="shared" si="1"/>
        <v>1.3814616755793227E-2</v>
      </c>
      <c r="J9" s="175">
        <f>SUM(H9+'3 June - 9 June'!H9+'10 June - 16 June'!H9+'17 June - 23 June'!H9+'24 June - 30 June'!H9+'1 July - 7 July'!H9+'8 July - 14 July'!H9)</f>
        <v>225</v>
      </c>
      <c r="K9" s="172">
        <f t="shared" si="2"/>
        <v>0.10026737967914438</v>
      </c>
      <c r="L9" s="181">
        <v>24076.66</v>
      </c>
      <c r="M9" s="183">
        <f t="shared" si="4"/>
        <v>7.9044516016794825E-2</v>
      </c>
      <c r="N9" s="130">
        <v>11068</v>
      </c>
      <c r="O9" s="26"/>
    </row>
    <row r="10" spans="1:15" ht="15.6" customHeight="1" x14ac:dyDescent="0.3">
      <c r="A10" s="406" t="s">
        <v>20</v>
      </c>
      <c r="B10" s="158">
        <v>131503.14000000001</v>
      </c>
      <c r="C10" s="73">
        <v>137485.14000000001</v>
      </c>
      <c r="D10" s="145">
        <v>142718.31</v>
      </c>
      <c r="E10" s="163">
        <f t="shared" si="0"/>
        <v>3.8063531811510565E-2</v>
      </c>
      <c r="F10" s="166">
        <v>956</v>
      </c>
      <c r="G10" s="63">
        <f t="shared" si="3"/>
        <v>149.28693514644351</v>
      </c>
      <c r="H10" s="61">
        <v>33</v>
      </c>
      <c r="I10" s="169">
        <f t="shared" si="1"/>
        <v>3.4518828451882845E-2</v>
      </c>
      <c r="J10" s="175">
        <f>SUM(H10+'3 June - 9 June'!H10+'10 June - 16 June'!H10+'17 June - 23 June'!H10+'24 June - 30 June'!H10+'1 July - 7 July'!H10+'8 July - 14 July'!H10)</f>
        <v>146</v>
      </c>
      <c r="K10" s="172">
        <f t="shared" si="2"/>
        <v>0.15271966527196654</v>
      </c>
      <c r="L10" s="181">
        <v>41346.080000000002</v>
      </c>
      <c r="M10" s="183">
        <f t="shared" si="4"/>
        <v>0.28970410313855316</v>
      </c>
      <c r="N10" s="130">
        <v>9662.35</v>
      </c>
      <c r="O10" s="26"/>
    </row>
    <row r="11" spans="1:15" ht="15.6" customHeight="1" x14ac:dyDescent="0.3">
      <c r="A11" s="406" t="s">
        <v>21</v>
      </c>
      <c r="B11" s="158">
        <v>326039.56</v>
      </c>
      <c r="C11" s="73">
        <v>334025.02</v>
      </c>
      <c r="D11" s="145">
        <v>312926.61</v>
      </c>
      <c r="E11" s="163">
        <f t="shared" si="0"/>
        <v>-6.3164160576953288E-2</v>
      </c>
      <c r="F11" s="166">
        <v>2130</v>
      </c>
      <c r="G11" s="63">
        <f t="shared" si="3"/>
        <v>146.9139014084507</v>
      </c>
      <c r="H11" s="61">
        <v>34</v>
      </c>
      <c r="I11" s="169">
        <f t="shared" si="1"/>
        <v>1.5962441314553991E-2</v>
      </c>
      <c r="J11" s="175">
        <f>SUM(H11+'3 June - 9 June'!H11+'10 June - 16 June'!H11+'17 June - 23 June'!H11+'24 June - 30 June'!H11+'1 July - 7 July'!H11+'8 July - 14 July'!H11)</f>
        <v>197</v>
      </c>
      <c r="K11" s="172">
        <f t="shared" si="2"/>
        <v>9.2488262910798119E-2</v>
      </c>
      <c r="L11" s="181">
        <v>43280</v>
      </c>
      <c r="M11" s="183">
        <f t="shared" si="4"/>
        <v>0.13830718966341662</v>
      </c>
      <c r="N11" s="130">
        <v>20574</v>
      </c>
      <c r="O11" s="26"/>
    </row>
    <row r="12" spans="1:15" ht="15.6" customHeight="1" x14ac:dyDescent="0.3">
      <c r="A12" s="160" t="s">
        <v>22</v>
      </c>
      <c r="B12" s="158">
        <v>125918.89</v>
      </c>
      <c r="C12" s="73">
        <v>109291.87</v>
      </c>
      <c r="D12" s="145">
        <v>130704.49</v>
      </c>
      <c r="E12" s="163">
        <f t="shared" si="0"/>
        <v>0.19592143496126482</v>
      </c>
      <c r="F12" s="166">
        <v>1061</v>
      </c>
      <c r="G12" s="63">
        <f t="shared" si="3"/>
        <v>123.18990574929312</v>
      </c>
      <c r="H12" s="61">
        <v>23</v>
      </c>
      <c r="I12" s="169">
        <f t="shared" si="1"/>
        <v>2.1677662582469368E-2</v>
      </c>
      <c r="J12" s="175">
        <f>SUM(H12+'3 June - 9 June'!H12+'10 June - 16 June'!H12+'17 June - 23 June'!H12+'24 June - 30 June'!H12+'1 July - 7 July'!H12+'8 July - 14 July'!H12)</f>
        <v>86</v>
      </c>
      <c r="K12" s="172">
        <f t="shared" si="2"/>
        <v>8.1055607917059375E-2</v>
      </c>
      <c r="L12" s="181">
        <v>22276.04</v>
      </c>
      <c r="M12" s="183">
        <f t="shared" si="4"/>
        <v>0.17043056439759643</v>
      </c>
      <c r="N12" s="130">
        <v>11629.05</v>
      </c>
      <c r="O12" s="26"/>
    </row>
    <row r="13" spans="1:15" ht="15.6" customHeight="1" x14ac:dyDescent="0.3">
      <c r="A13" s="160" t="s">
        <v>23</v>
      </c>
      <c r="B13" s="158">
        <v>197895.08</v>
      </c>
      <c r="C13" s="73">
        <v>187408.16</v>
      </c>
      <c r="D13" s="145">
        <v>187064.58</v>
      </c>
      <c r="E13" s="163">
        <f t="shared" si="0"/>
        <v>-1.8333246535263794E-3</v>
      </c>
      <c r="F13" s="166">
        <v>1404</v>
      </c>
      <c r="G13" s="63">
        <f t="shared" si="3"/>
        <v>133.23688034188032</v>
      </c>
      <c r="H13" s="61">
        <v>43</v>
      </c>
      <c r="I13" s="169">
        <f t="shared" si="1"/>
        <v>3.0626780626780627E-2</v>
      </c>
      <c r="J13" s="175">
        <f>SUM(H13+'3 June - 9 June'!H13+'10 June - 16 June'!H13+'17 June - 23 June'!H13+'24 June - 30 June'!H13+'1 July - 7 July'!H13+'8 July - 14 July'!H13)</f>
        <v>243</v>
      </c>
      <c r="K13" s="172">
        <f t="shared" si="2"/>
        <v>0.17307692307692307</v>
      </c>
      <c r="L13" s="181">
        <v>38065.33</v>
      </c>
      <c r="M13" s="183">
        <f t="shared" si="4"/>
        <v>0.203487640471542</v>
      </c>
      <c r="N13" s="130">
        <v>8351</v>
      </c>
      <c r="O13" s="26"/>
    </row>
    <row r="14" spans="1:15" ht="15.6" hidden="1" customHeight="1" x14ac:dyDescent="0.3">
      <c r="A14" s="160" t="s">
        <v>24</v>
      </c>
      <c r="B14" s="158"/>
      <c r="C14" s="73">
        <v>68417.16</v>
      </c>
      <c r="D14" s="145">
        <v>0</v>
      </c>
      <c r="E14" s="163">
        <f t="shared" si="0"/>
        <v>-1</v>
      </c>
      <c r="F14" s="166">
        <v>0</v>
      </c>
      <c r="G14" s="63">
        <f t="shared" si="3"/>
        <v>0</v>
      </c>
      <c r="H14" s="61"/>
      <c r="I14" s="169">
        <f t="shared" si="1"/>
        <v>0</v>
      </c>
      <c r="J14" s="175">
        <f>SUM(H14+'3 June - 9 June'!H14+'10 June - 16 June'!H14+'17 June - 23 June'!H14+'24 June - 30 June'!H14+'1 July - 7 July'!H14+'8 July - 14 July'!H14)</f>
        <v>0</v>
      </c>
      <c r="K14" s="172">
        <f t="shared" si="2"/>
        <v>0</v>
      </c>
      <c r="L14" s="181">
        <v>0</v>
      </c>
      <c r="M14" s="183" t="e">
        <f t="shared" si="4"/>
        <v>#DIV/0!</v>
      </c>
      <c r="N14" s="130">
        <v>0</v>
      </c>
      <c r="O14" s="26"/>
    </row>
    <row r="15" spans="1:15" ht="15.6" customHeight="1" x14ac:dyDescent="0.3">
      <c r="A15" s="160" t="s">
        <v>26</v>
      </c>
      <c r="B15" s="158">
        <v>157538.72</v>
      </c>
      <c r="C15" s="73">
        <v>131760.91</v>
      </c>
      <c r="D15" s="145">
        <v>151349.99</v>
      </c>
      <c r="E15" s="163">
        <f t="shared" si="0"/>
        <v>0.14867140793122927</v>
      </c>
      <c r="F15" s="166">
        <v>1180</v>
      </c>
      <c r="G15" s="63">
        <f t="shared" si="3"/>
        <v>128.26270338983051</v>
      </c>
      <c r="H15" s="61">
        <v>31</v>
      </c>
      <c r="I15" s="169">
        <f t="shared" si="1"/>
        <v>2.6271186440677965E-2</v>
      </c>
      <c r="J15" s="175">
        <f>SUM(H15+'3 June - 9 June'!H15+'10 June - 16 June'!H15+'17 June - 23 June'!H15+'24 June - 30 June'!H15+'1 July - 7 July'!H15+'8 July - 14 July'!H15)</f>
        <v>164</v>
      </c>
      <c r="K15" s="172">
        <f t="shared" si="2"/>
        <v>0.13898305084745763</v>
      </c>
      <c r="L15" s="181">
        <v>7998.7</v>
      </c>
      <c r="M15" s="183">
        <f t="shared" si="4"/>
        <v>5.2849028929569143E-2</v>
      </c>
      <c r="N15" s="130">
        <v>5193.05</v>
      </c>
      <c r="O15" s="9"/>
    </row>
    <row r="16" spans="1:15" ht="15.6" customHeight="1" x14ac:dyDescent="0.3">
      <c r="A16" s="160" t="s">
        <v>27</v>
      </c>
      <c r="B16" s="158">
        <v>107345.47</v>
      </c>
      <c r="C16" s="73">
        <v>100114.61</v>
      </c>
      <c r="D16" s="145">
        <v>115444.65</v>
      </c>
      <c r="E16" s="163">
        <f t="shared" si="0"/>
        <v>0.15312490354804353</v>
      </c>
      <c r="F16" s="166">
        <v>750</v>
      </c>
      <c r="G16" s="63">
        <f t="shared" si="3"/>
        <v>153.92619999999999</v>
      </c>
      <c r="H16" s="61">
        <v>24</v>
      </c>
      <c r="I16" s="169">
        <f t="shared" si="1"/>
        <v>3.2000000000000001E-2</v>
      </c>
      <c r="J16" s="175">
        <f>SUM(H16+'3 June - 9 June'!H16+'10 June - 16 June'!H16+'17 June - 23 June'!H16+'24 June - 30 June'!H16+'1 July - 7 July'!H16+'8 July - 14 July'!H16)</f>
        <v>96</v>
      </c>
      <c r="K16" s="172">
        <f t="shared" si="2"/>
        <v>0.128</v>
      </c>
      <c r="L16" s="181">
        <v>24246.080000000002</v>
      </c>
      <c r="M16" s="183">
        <f t="shared" si="4"/>
        <v>0.21002341814887049</v>
      </c>
      <c r="N16" s="130">
        <v>7956</v>
      </c>
      <c r="O16" s="9"/>
    </row>
    <row r="17" spans="1:15" ht="15.6" customHeight="1" x14ac:dyDescent="0.3">
      <c r="A17" s="160" t="s">
        <v>28</v>
      </c>
      <c r="B17" s="158">
        <v>190547.85</v>
      </c>
      <c r="C17" s="73">
        <v>160738.37</v>
      </c>
      <c r="D17" s="145">
        <v>188856.74</v>
      </c>
      <c r="E17" s="163">
        <f t="shared" si="0"/>
        <v>0.17493253166621012</v>
      </c>
      <c r="F17" s="166">
        <v>1310</v>
      </c>
      <c r="G17" s="63">
        <f t="shared" si="3"/>
        <v>144.16545038167939</v>
      </c>
      <c r="H17" s="61">
        <v>25</v>
      </c>
      <c r="I17" s="169">
        <f t="shared" si="1"/>
        <v>1.9083969465648856E-2</v>
      </c>
      <c r="J17" s="175">
        <f>SUM(H17+'3 June - 9 June'!H17+'10 June - 16 June'!H17+'17 June - 23 June'!H17+'24 June - 30 June'!H17+'1 July - 7 July'!H17+'8 July - 14 July'!H17)</f>
        <v>126</v>
      </c>
      <c r="K17" s="172">
        <f t="shared" si="2"/>
        <v>9.6183206106870228E-2</v>
      </c>
      <c r="L17" s="181">
        <v>36633</v>
      </c>
      <c r="M17" s="183">
        <f t="shared" si="4"/>
        <v>0.19397242587158925</v>
      </c>
      <c r="N17" s="130">
        <v>10367.4</v>
      </c>
      <c r="O17" s="9"/>
    </row>
    <row r="18" spans="1:15" ht="16.2" customHeight="1" thickBot="1" x14ac:dyDescent="0.35">
      <c r="A18" s="161" t="s">
        <v>33</v>
      </c>
      <c r="B18" s="159">
        <v>159732.85</v>
      </c>
      <c r="C18" s="131"/>
      <c r="D18" s="146">
        <v>136175.84</v>
      </c>
      <c r="E18" s="164">
        <f t="shared" si="0"/>
        <v>0</v>
      </c>
      <c r="F18" s="167">
        <v>1054</v>
      </c>
      <c r="G18" s="132">
        <f t="shared" si="3"/>
        <v>129.19908918406071</v>
      </c>
      <c r="H18" s="133">
        <v>46</v>
      </c>
      <c r="I18" s="170">
        <f t="shared" si="1"/>
        <v>4.3643263757115747E-2</v>
      </c>
      <c r="J18" s="176">
        <f>SUM(H18+'3 June - 9 June'!H18+'10 June - 16 June'!H18+'17 June - 23 June'!H18+'24 June - 30 June'!H18+'1 July - 7 July'!H18+'8 July - 14 July'!H18)</f>
        <v>303</v>
      </c>
      <c r="K18" s="173">
        <f t="shared" si="2"/>
        <v>0.28747628083491461</v>
      </c>
      <c r="L18" s="182">
        <v>18403.45</v>
      </c>
      <c r="M18" s="185">
        <f t="shared" si="4"/>
        <v>0.1351447510806616</v>
      </c>
      <c r="N18" s="134">
        <v>3707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N18">
    <cfRule type="cellIs" dxfId="66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O40"/>
  <sheetViews>
    <sheetView zoomScale="78" workbookViewId="0">
      <selection activeCell="J6" sqref="J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7.3677943258482315E-2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2205630.4300000002</v>
      </c>
      <c r="C4" s="135">
        <f>SUM(C6:C18)-C14</f>
        <v>2144122.42</v>
      </c>
      <c r="D4" s="142">
        <f>SUM(D6:D18)</f>
        <v>2464608.5699999998</v>
      </c>
      <c r="E4" s="152">
        <f t="shared" ref="E4:E18" si="0">IFERROR((SUM(D4-C4)/C4),0)</f>
        <v>0.14947194572966591</v>
      </c>
      <c r="F4" s="147">
        <f>SUM(F6:F18)</f>
        <v>17370</v>
      </c>
      <c r="G4" s="136">
        <f>AVERAGE(G5:G18)</f>
        <v>130.82768380345337</v>
      </c>
      <c r="H4" s="137">
        <f>SUM(H6:H18)</f>
        <v>299</v>
      </c>
      <c r="I4" s="138">
        <f t="shared" ref="I4:I18" si="1">IFERROR(H4/F4,0)</f>
        <v>1.7213586643638458E-2</v>
      </c>
      <c r="J4" s="139">
        <f>SUM(J6:J18)</f>
        <v>2245</v>
      </c>
      <c r="K4" s="140">
        <f t="shared" ref="K4:K18" si="2">IFERROR(J4/SUM(F4),0)</f>
        <v>0.12924582613701785</v>
      </c>
      <c r="L4" s="186">
        <f>SUM(L6:L18)</f>
        <v>370797.78</v>
      </c>
      <c r="M4" s="140">
        <f>SUM(L4/D4)</f>
        <v>0.15044895344172241</v>
      </c>
      <c r="N4" s="141">
        <f>SUM(N6:N18)</f>
        <v>123325.39000000001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57">
        <v>246778</v>
      </c>
      <c r="C6" s="123">
        <v>250543.24</v>
      </c>
      <c r="D6" s="190">
        <v>271945.84000000003</v>
      </c>
      <c r="E6" s="162">
        <f t="shared" si="0"/>
        <v>8.5424775380090218E-2</v>
      </c>
      <c r="F6" s="165">
        <v>1977</v>
      </c>
      <c r="G6" s="124">
        <f t="shared" ref="G6:G18" si="3">IFERROR(D6/F6,0)</f>
        <v>137.55480020232676</v>
      </c>
      <c r="H6" s="125">
        <v>50</v>
      </c>
      <c r="I6" s="168">
        <f t="shared" si="1"/>
        <v>2.5290844714213456E-2</v>
      </c>
      <c r="J6" s="127">
        <f>SUM(H6+'3 June - 9 June'!H6+'10 June - 16 June'!H6+'17 June - 23 June'!H6+'24 June - 30 June'!H6+'1 July - 7 July'!H6+'8 July - 14 July'!H6+'15 July - 21 July'!H6)</f>
        <v>261</v>
      </c>
      <c r="K6" s="171">
        <f t="shared" si="2"/>
        <v>0.13201820940819423</v>
      </c>
      <c r="L6" s="191">
        <v>43855.8</v>
      </c>
      <c r="M6" s="128">
        <f t="shared" ref="M6:M18" si="4">SUM(L6/D6)</f>
        <v>0.16126666986338162</v>
      </c>
      <c r="N6" s="129">
        <v>13486.35</v>
      </c>
      <c r="O6" s="26"/>
    </row>
    <row r="7" spans="1:15" ht="15.6" customHeight="1" x14ac:dyDescent="0.3">
      <c r="A7" s="406" t="s">
        <v>16</v>
      </c>
      <c r="B7" s="158">
        <v>191381.89</v>
      </c>
      <c r="C7" s="73">
        <v>181186.84</v>
      </c>
      <c r="D7" s="145">
        <v>260258.72</v>
      </c>
      <c r="E7" s="163">
        <f t="shared" si="0"/>
        <v>0.43641072386934948</v>
      </c>
      <c r="F7" s="166">
        <v>1673</v>
      </c>
      <c r="G7" s="63">
        <f t="shared" si="3"/>
        <v>155.56408846383741</v>
      </c>
      <c r="H7" s="61">
        <v>9</v>
      </c>
      <c r="I7" s="169">
        <f t="shared" si="1"/>
        <v>5.3795576808129113E-3</v>
      </c>
      <c r="J7" s="46">
        <f>SUM(H7+'3 June - 9 June'!H7+'10 June - 16 June'!H7+'17 June - 23 June'!H7+'24 June - 30 June'!H7+'1 July - 7 July'!H7+'8 July - 14 July'!H7+'15 July - 21 July'!H7)</f>
        <v>125</v>
      </c>
      <c r="K7" s="172">
        <f t="shared" si="2"/>
        <v>7.4716078900179325E-2</v>
      </c>
      <c r="L7" s="188">
        <v>36273.980000000003</v>
      </c>
      <c r="M7" s="89">
        <f t="shared" si="4"/>
        <v>0.13937661723687875</v>
      </c>
      <c r="N7" s="130">
        <v>10600.7</v>
      </c>
      <c r="O7" s="26"/>
    </row>
    <row r="8" spans="1:15" ht="15.6" customHeight="1" x14ac:dyDescent="0.3">
      <c r="A8" s="406" t="s">
        <v>17</v>
      </c>
      <c r="B8" s="158">
        <v>97633.12</v>
      </c>
      <c r="C8" s="73">
        <v>123620.4</v>
      </c>
      <c r="D8" s="145">
        <v>125957.48</v>
      </c>
      <c r="E8" s="163">
        <f t="shared" si="0"/>
        <v>1.8905293948248039E-2</v>
      </c>
      <c r="F8" s="166">
        <v>826</v>
      </c>
      <c r="G8" s="63">
        <f t="shared" si="3"/>
        <v>152.49089588377723</v>
      </c>
      <c r="H8" s="61">
        <v>5</v>
      </c>
      <c r="I8" s="169">
        <f t="shared" si="1"/>
        <v>6.0532687651331718E-3</v>
      </c>
      <c r="J8" s="46">
        <f>SUM(H8+'3 June - 9 June'!H8+'10 June - 16 June'!H8+'17 June - 23 June'!H8+'24 June - 30 June'!H8+'1 July - 7 July'!H8+'8 July - 14 July'!H8+'15 July - 21 July'!H8)</f>
        <v>38</v>
      </c>
      <c r="K8" s="172">
        <f t="shared" si="2"/>
        <v>4.6004842615012108E-2</v>
      </c>
      <c r="L8" s="188">
        <v>41637.07</v>
      </c>
      <c r="M8" s="89">
        <f t="shared" si="4"/>
        <v>0.3305644889053036</v>
      </c>
      <c r="N8" s="130">
        <v>4635.67</v>
      </c>
      <c r="O8" s="26"/>
    </row>
    <row r="9" spans="1:15" ht="15.6" customHeight="1" x14ac:dyDescent="0.3">
      <c r="A9" s="406" t="s">
        <v>18</v>
      </c>
      <c r="B9" s="158">
        <v>304596.21000000002</v>
      </c>
      <c r="C9" s="73">
        <v>337196.93</v>
      </c>
      <c r="D9" s="145">
        <v>342049.35</v>
      </c>
      <c r="E9" s="163">
        <f t="shared" si="0"/>
        <v>1.4390463163469442E-2</v>
      </c>
      <c r="F9" s="166">
        <v>2309</v>
      </c>
      <c r="G9" s="63">
        <f t="shared" si="3"/>
        <v>148.13744045041142</v>
      </c>
      <c r="H9" s="61">
        <v>37</v>
      </c>
      <c r="I9" s="169">
        <f t="shared" si="1"/>
        <v>1.6024252923343439E-2</v>
      </c>
      <c r="J9" s="46">
        <f>SUM(H9+'3 June - 9 June'!H9+'10 June - 16 June'!H9+'17 June - 23 June'!H9+'24 June - 30 June'!H9+'1 July - 7 July'!H9+'8 July - 14 July'!H9+'15 July - 21 July'!H9)</f>
        <v>262</v>
      </c>
      <c r="K9" s="172">
        <f t="shared" si="2"/>
        <v>0.11346903421394543</v>
      </c>
      <c r="L9" s="188">
        <v>30569.4</v>
      </c>
      <c r="M9" s="89">
        <f t="shared" si="4"/>
        <v>8.9371314402439311E-2</v>
      </c>
      <c r="N9" s="130">
        <v>14848.63</v>
      </c>
      <c r="O9" s="26"/>
    </row>
    <row r="10" spans="1:15" ht="15.6" customHeight="1" x14ac:dyDescent="0.3">
      <c r="A10" s="406" t="s">
        <v>20</v>
      </c>
      <c r="B10" s="158">
        <v>142718.31</v>
      </c>
      <c r="C10" s="73">
        <v>159174.91</v>
      </c>
      <c r="D10" s="145">
        <v>164093.67000000001</v>
      </c>
      <c r="E10" s="163">
        <f t="shared" si="0"/>
        <v>3.0901603776625406E-2</v>
      </c>
      <c r="F10" s="166">
        <v>1047</v>
      </c>
      <c r="G10" s="63">
        <f t="shared" si="3"/>
        <v>156.72747851002867</v>
      </c>
      <c r="H10" s="61">
        <v>15</v>
      </c>
      <c r="I10" s="169">
        <f t="shared" si="1"/>
        <v>1.4326647564469915E-2</v>
      </c>
      <c r="J10" s="46">
        <f>SUM(H10+'3 June - 9 June'!H10+'10 June - 16 June'!H10+'17 June - 23 June'!H10+'24 June - 30 June'!H10+'1 July - 7 July'!H10+'8 July - 14 July'!H10+'15 July - 21 July'!H10)</f>
        <v>161</v>
      </c>
      <c r="K10" s="172">
        <f t="shared" si="2"/>
        <v>0.15377268385864373</v>
      </c>
      <c r="L10" s="188">
        <v>10071.9</v>
      </c>
      <c r="M10" s="89">
        <f t="shared" si="4"/>
        <v>6.1378967269121343E-2</v>
      </c>
      <c r="N10" s="130">
        <v>9092.9500000000007</v>
      </c>
      <c r="O10" s="26"/>
    </row>
    <row r="11" spans="1:15" ht="15.6" customHeight="1" x14ac:dyDescent="0.3">
      <c r="A11" s="406" t="s">
        <v>21</v>
      </c>
      <c r="B11" s="158">
        <v>312926.61</v>
      </c>
      <c r="C11" s="73">
        <v>358331.75</v>
      </c>
      <c r="D11" s="145">
        <v>353967.18</v>
      </c>
      <c r="E11" s="163">
        <f t="shared" si="0"/>
        <v>-1.2180249168542857E-2</v>
      </c>
      <c r="F11" s="166">
        <v>2450</v>
      </c>
      <c r="G11" s="63">
        <f t="shared" si="3"/>
        <v>144.47639999999998</v>
      </c>
      <c r="H11" s="61">
        <v>25</v>
      </c>
      <c r="I11" s="169">
        <f t="shared" si="1"/>
        <v>1.020408163265306E-2</v>
      </c>
      <c r="J11" s="46">
        <f>SUM(H11+'3 June - 9 June'!H11+'10 June - 16 June'!H11+'17 June - 23 June'!H11+'24 June - 30 June'!H11+'1 July - 7 July'!H11+'8 July - 14 July'!H11+'15 July - 21 July'!H11)</f>
        <v>222</v>
      </c>
      <c r="K11" s="172">
        <f t="shared" si="2"/>
        <v>9.0612244897959188E-2</v>
      </c>
      <c r="L11" s="188">
        <v>51399.44</v>
      </c>
      <c r="M11" s="89">
        <f t="shared" si="4"/>
        <v>0.14520962084676892</v>
      </c>
      <c r="N11" s="130">
        <v>19742.8</v>
      </c>
      <c r="O11" s="26"/>
    </row>
    <row r="12" spans="1:15" ht="15.6" customHeight="1" x14ac:dyDescent="0.3">
      <c r="A12" s="160" t="s">
        <v>22</v>
      </c>
      <c r="B12" s="158">
        <v>130704.49</v>
      </c>
      <c r="C12" s="73">
        <v>115750.62</v>
      </c>
      <c r="D12" s="145">
        <v>130324.87</v>
      </c>
      <c r="E12" s="163">
        <f t="shared" si="0"/>
        <v>0.12591077265936026</v>
      </c>
      <c r="F12" s="166">
        <v>1017</v>
      </c>
      <c r="G12" s="63">
        <f t="shared" si="3"/>
        <v>128.14638151425763</v>
      </c>
      <c r="H12" s="61">
        <v>11</v>
      </c>
      <c r="I12" s="169">
        <f t="shared" si="1"/>
        <v>1.0816125860373648E-2</v>
      </c>
      <c r="J12" s="46">
        <f>SUM(H12+'3 June - 9 June'!H12+'10 June - 16 June'!H12+'17 June - 23 June'!H12+'24 June - 30 June'!H12+'1 July - 7 July'!H12+'8 July - 14 July'!H12+'15 July - 21 July'!H12)</f>
        <v>97</v>
      </c>
      <c r="K12" s="172">
        <f t="shared" si="2"/>
        <v>9.5378564405113081E-2</v>
      </c>
      <c r="L12" s="188">
        <v>20853.5</v>
      </c>
      <c r="M12" s="89">
        <f t="shared" si="4"/>
        <v>0.16001166929995786</v>
      </c>
      <c r="N12" s="130">
        <v>12418.15</v>
      </c>
      <c r="O12" s="26"/>
    </row>
    <row r="13" spans="1:15" ht="15.6" customHeight="1" x14ac:dyDescent="0.3">
      <c r="A13" s="160" t="s">
        <v>23</v>
      </c>
      <c r="B13" s="158">
        <v>187064.58</v>
      </c>
      <c r="C13" s="73">
        <v>194552.15</v>
      </c>
      <c r="D13" s="145">
        <v>212060.52</v>
      </c>
      <c r="E13" s="163">
        <f t="shared" si="0"/>
        <v>8.9993197196741315E-2</v>
      </c>
      <c r="F13" s="166">
        <v>1553</v>
      </c>
      <c r="G13" s="63">
        <f t="shared" si="3"/>
        <v>136.54895041854473</v>
      </c>
      <c r="H13" s="61">
        <v>51</v>
      </c>
      <c r="I13" s="169">
        <f t="shared" si="1"/>
        <v>3.2839665164198326E-2</v>
      </c>
      <c r="J13" s="46">
        <f>SUM(H13+'3 June - 9 June'!H13+'10 June - 16 June'!H13+'17 June - 23 June'!H13+'24 June - 30 June'!H13+'1 July - 7 July'!H13+'8 July - 14 July'!H13+'15 July - 21 July'!H13)</f>
        <v>294</v>
      </c>
      <c r="K13" s="172">
        <f t="shared" si="2"/>
        <v>0.18931101094655506</v>
      </c>
      <c r="L13" s="188">
        <v>37808.76</v>
      </c>
      <c r="M13" s="89">
        <f t="shared" si="4"/>
        <v>0.17829231013863403</v>
      </c>
      <c r="N13" s="130">
        <v>11599.4</v>
      </c>
      <c r="O13" s="26"/>
    </row>
    <row r="14" spans="1:15" ht="15.6" hidden="1" customHeight="1" x14ac:dyDescent="0.3">
      <c r="A14" s="160" t="s">
        <v>24</v>
      </c>
      <c r="B14" s="158">
        <v>0</v>
      </c>
      <c r="C14" s="73">
        <v>66720.100000000006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58">
        <v>151349.99</v>
      </c>
      <c r="C15" s="73">
        <v>125329.08</v>
      </c>
      <c r="D15" s="145">
        <v>129536.18</v>
      </c>
      <c r="E15" s="163">
        <f t="shared" si="0"/>
        <v>3.3568426417875177E-2</v>
      </c>
      <c r="F15" s="166">
        <v>1275</v>
      </c>
      <c r="G15" s="63">
        <f t="shared" si="3"/>
        <v>101.59700392156863</v>
      </c>
      <c r="H15" s="61">
        <v>37</v>
      </c>
      <c r="I15" s="169">
        <f t="shared" si="1"/>
        <v>2.9019607843137254E-2</v>
      </c>
      <c r="J15" s="46">
        <f>SUM(H15+'3 June - 9 June'!H15+'10 June - 16 June'!H15+'17 June - 23 June'!H15+'24 June - 30 June'!H15+'1 July - 7 July'!H15+'8 July - 14 July'!H15+'15 July - 21 July'!H15)</f>
        <v>201</v>
      </c>
      <c r="K15" s="172">
        <f t="shared" si="2"/>
        <v>0.15764705882352942</v>
      </c>
      <c r="L15" s="188">
        <v>8924.7800000000007</v>
      </c>
      <c r="M15" s="89">
        <f t="shared" si="4"/>
        <v>6.8897971207735179E-2</v>
      </c>
      <c r="N15" s="130">
        <v>6136.71</v>
      </c>
      <c r="O15" s="9"/>
    </row>
    <row r="16" spans="1:15" ht="15.6" customHeight="1" x14ac:dyDescent="0.3">
      <c r="A16" s="160" t="s">
        <v>27</v>
      </c>
      <c r="B16" s="158">
        <v>115444.65</v>
      </c>
      <c r="C16" s="73">
        <v>112551.33</v>
      </c>
      <c r="D16" s="145">
        <v>113373.11</v>
      </c>
      <c r="E16" s="163">
        <f t="shared" si="0"/>
        <v>7.3013797349173824E-3</v>
      </c>
      <c r="F16" s="166">
        <v>763</v>
      </c>
      <c r="G16" s="63">
        <f t="shared" si="3"/>
        <v>148.58861074705112</v>
      </c>
      <c r="H16" s="61">
        <v>16</v>
      </c>
      <c r="I16" s="169">
        <f t="shared" si="1"/>
        <v>2.0969855832241154E-2</v>
      </c>
      <c r="J16" s="46">
        <f>SUM(H16+'3 June - 9 June'!H16+'10 June - 16 June'!H16+'17 June - 23 June'!H16+'24 June - 30 June'!H16+'1 July - 7 July'!H16+'8 July - 14 July'!H16+'15 July - 21 July'!H16)</f>
        <v>112</v>
      </c>
      <c r="K16" s="172">
        <f t="shared" si="2"/>
        <v>0.14678899082568808</v>
      </c>
      <c r="L16" s="188">
        <v>23429.09</v>
      </c>
      <c r="M16" s="89">
        <f t="shared" si="4"/>
        <v>0.20665473497198764</v>
      </c>
      <c r="N16" s="130">
        <v>6022.1</v>
      </c>
      <c r="O16" s="9"/>
    </row>
    <row r="17" spans="1:15" ht="15.6" customHeight="1" x14ac:dyDescent="0.3">
      <c r="A17" s="160" t="s">
        <v>28</v>
      </c>
      <c r="B17" s="158">
        <v>188856.74</v>
      </c>
      <c r="C17" s="73">
        <v>185885.17</v>
      </c>
      <c r="D17" s="145">
        <v>198530.03</v>
      </c>
      <c r="E17" s="163">
        <f t="shared" si="0"/>
        <v>6.8025114644702345E-2</v>
      </c>
      <c r="F17" s="166">
        <v>1251</v>
      </c>
      <c r="G17" s="63">
        <f t="shared" si="3"/>
        <v>158.69706634692247</v>
      </c>
      <c r="H17" s="61">
        <v>15</v>
      </c>
      <c r="I17" s="169">
        <f t="shared" si="1"/>
        <v>1.1990407673860911E-2</v>
      </c>
      <c r="J17" s="46">
        <f>SUM(H17+'3 June - 9 June'!H17+'10 June - 16 June'!H17+'17 June - 23 June'!H17+'24 June - 30 June'!H17+'1 July - 7 July'!H17+'8 July - 14 July'!H17+'15 July - 21 July'!H17)</f>
        <v>141</v>
      </c>
      <c r="K17" s="172">
        <f t="shared" si="2"/>
        <v>0.11270983213429256</v>
      </c>
      <c r="L17" s="188">
        <v>40693.43</v>
      </c>
      <c r="M17" s="89">
        <f t="shared" si="4"/>
        <v>0.20497367577086448</v>
      </c>
      <c r="N17" s="130">
        <v>11485.93</v>
      </c>
      <c r="O17" s="9"/>
    </row>
    <row r="18" spans="1:15" ht="16.2" customHeight="1" thickBot="1" x14ac:dyDescent="0.35">
      <c r="A18" s="161" t="s">
        <v>33</v>
      </c>
      <c r="B18" s="159">
        <v>136175.84</v>
      </c>
      <c r="C18" s="131"/>
      <c r="D18" s="146">
        <v>162511.62</v>
      </c>
      <c r="E18" s="164">
        <f t="shared" si="0"/>
        <v>0</v>
      </c>
      <c r="F18" s="167">
        <v>1229</v>
      </c>
      <c r="G18" s="132">
        <f t="shared" si="3"/>
        <v>132.23077298616761</v>
      </c>
      <c r="H18" s="133">
        <v>28</v>
      </c>
      <c r="I18" s="170">
        <f t="shared" si="1"/>
        <v>2.2782750203417412E-2</v>
      </c>
      <c r="J18" s="192">
        <f>SUM(H18+'3 June - 9 June'!H18+'10 June - 16 June'!H18+'17 June - 23 June'!H18+'24 June - 30 June'!H18+'1 July - 7 July'!H18+'8 July - 14 July'!H18+'15 July - 21 July'!H18)</f>
        <v>331</v>
      </c>
      <c r="K18" s="173">
        <f t="shared" si="2"/>
        <v>0.26932465419039869</v>
      </c>
      <c r="L18" s="189">
        <v>25280.63</v>
      </c>
      <c r="M18" s="116">
        <f t="shared" si="4"/>
        <v>0.15556198381383438</v>
      </c>
      <c r="N18" s="134">
        <v>3256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 F6:K6 M6:N6 E6:E17 C7:D17 F7:N17 C18:N18">
    <cfRule type="cellIs" dxfId="66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O40"/>
  <sheetViews>
    <sheetView zoomScale="78" workbookViewId="0">
      <selection activeCell="C7" sqref="C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7.9728511127420965E-2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2464608.5699999998</v>
      </c>
      <c r="C4" s="135">
        <f>SUM(C6:C18)-C14</f>
        <v>2138537.7400000002</v>
      </c>
      <c r="D4" s="142">
        <f>SUM(D6:D18)</f>
        <v>2471643.2599999998</v>
      </c>
      <c r="E4" s="152">
        <f t="shared" ref="E4:E18" si="0">IFERROR((SUM(D4-C4)/C4),0)</f>
        <v>0.15576321790795214</v>
      </c>
      <c r="F4" s="147">
        <f>SUM(F6:F18)</f>
        <v>17679</v>
      </c>
      <c r="G4" s="136">
        <f>AVERAGE(G5:G18)</f>
        <v>128.70068810183741</v>
      </c>
      <c r="H4" s="137">
        <f>SUM(H6:H18)</f>
        <v>339</v>
      </c>
      <c r="I4" s="138">
        <f t="shared" ref="I4:I18" si="1">IFERROR(H4/F4,0)</f>
        <v>1.9175292720176481E-2</v>
      </c>
      <c r="J4" s="139">
        <f>SUM(J6:J18)</f>
        <v>2584</v>
      </c>
      <c r="K4" s="140">
        <f t="shared" ref="K4:K18" si="2">IFERROR(J4/SUM(F4),0)</f>
        <v>0.1461621132416992</v>
      </c>
      <c r="L4" s="186">
        <f>SUM(L6:L18)</f>
        <v>383406.3</v>
      </c>
      <c r="M4" s="140">
        <f>SUM(L4/D4)</f>
        <v>0.15512202193774519</v>
      </c>
      <c r="N4" s="141">
        <f>SUM(N6:N18)</f>
        <v>129753.18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93">
        <v>271945.84000000003</v>
      </c>
      <c r="C6" s="123">
        <v>233832.48</v>
      </c>
      <c r="D6" s="190">
        <v>261957.32</v>
      </c>
      <c r="E6" s="162">
        <f t="shared" si="0"/>
        <v>0.12027773045044896</v>
      </c>
      <c r="F6" s="165">
        <v>1945</v>
      </c>
      <c r="G6" s="124">
        <f t="shared" ref="G6:G18" si="3">IFERROR(D6/F6,0)</f>
        <v>134.68242673521851</v>
      </c>
      <c r="H6" s="125">
        <v>14</v>
      </c>
      <c r="I6" s="168">
        <f t="shared" si="1"/>
        <v>7.1979434447300775E-3</v>
      </c>
      <c r="J6" s="46">
        <f>SUM(H6+'3 June - 9 June'!H6+'10 June - 16 June'!H6+'17 June - 23 June'!H6+'24 June - 30 June'!H6+'1 July - 7 July'!H6+'8 July - 14 July'!H6+'15 July - 21 July'!H6+'22 July - 28 July'!H6)</f>
        <v>275</v>
      </c>
      <c r="K6" s="171">
        <f t="shared" si="2"/>
        <v>0.14138817480719795</v>
      </c>
      <c r="L6" s="191">
        <v>36628.61</v>
      </c>
      <c r="M6" s="128">
        <f t="shared" ref="M6:M18" si="4">SUM(L6/D6)</f>
        <v>0.13982663282705748</v>
      </c>
      <c r="N6" s="129">
        <v>11634.1</v>
      </c>
      <c r="O6" s="26"/>
    </row>
    <row r="7" spans="1:15" ht="15.6" customHeight="1" x14ac:dyDescent="0.3">
      <c r="A7" s="406" t="s">
        <v>16</v>
      </c>
      <c r="B7" s="194">
        <v>260258.72</v>
      </c>
      <c r="C7" s="73">
        <v>172949.61</v>
      </c>
      <c r="D7" s="145">
        <v>212110.67</v>
      </c>
      <c r="E7" s="163">
        <f t="shared" si="0"/>
        <v>0.22643046145059262</v>
      </c>
      <c r="F7" s="166">
        <v>1515</v>
      </c>
      <c r="G7" s="63">
        <f t="shared" si="3"/>
        <v>140.00704290429044</v>
      </c>
      <c r="H7" s="61">
        <v>6</v>
      </c>
      <c r="I7" s="169">
        <f t="shared" si="1"/>
        <v>3.9603960396039604E-3</v>
      </c>
      <c r="J7" s="46">
        <f>SUM(H7+'3 June - 9 June'!H7+'10 June - 16 June'!H7+'17 June - 23 June'!H7+'24 June - 30 June'!H7+'1 July - 7 July'!H7+'8 July - 14 July'!H7+'15 July - 21 July'!H7+'22 July - 28 July'!H7)</f>
        <v>131</v>
      </c>
      <c r="K7" s="172">
        <f t="shared" si="2"/>
        <v>8.6468646864686471E-2</v>
      </c>
      <c r="L7" s="188">
        <v>33885.26</v>
      </c>
      <c r="M7" s="89">
        <f t="shared" si="4"/>
        <v>0.15975273662564923</v>
      </c>
      <c r="N7" s="130">
        <v>21002</v>
      </c>
      <c r="O7" s="26"/>
    </row>
    <row r="8" spans="1:15" ht="15.6" customHeight="1" x14ac:dyDescent="0.3">
      <c r="A8" s="406" t="s">
        <v>17</v>
      </c>
      <c r="B8" s="194">
        <v>125957.48</v>
      </c>
      <c r="C8" s="73">
        <v>111199.51</v>
      </c>
      <c r="D8" s="145">
        <v>132507.6</v>
      </c>
      <c r="E8" s="163">
        <f t="shared" si="0"/>
        <v>0.19162035875877523</v>
      </c>
      <c r="F8" s="166">
        <v>889</v>
      </c>
      <c r="G8" s="63">
        <f t="shared" si="3"/>
        <v>149.05241844769404</v>
      </c>
      <c r="H8" s="61">
        <v>6</v>
      </c>
      <c r="I8" s="169">
        <f t="shared" si="1"/>
        <v>6.7491563554555678E-3</v>
      </c>
      <c r="J8" s="46">
        <f>SUM(H8+'3 June - 9 June'!H8+'10 June - 16 June'!H8+'17 June - 23 June'!H8+'24 June - 30 June'!H8+'1 July - 7 July'!H8+'8 July - 14 July'!H8+'15 July - 21 July'!H8+'22 July - 28 July'!H8)</f>
        <v>44</v>
      </c>
      <c r="K8" s="172">
        <f t="shared" si="2"/>
        <v>4.9493813273340834E-2</v>
      </c>
      <c r="L8" s="188">
        <v>45809.33</v>
      </c>
      <c r="M8" s="89">
        <f t="shared" si="4"/>
        <v>0.3457109629938207</v>
      </c>
      <c r="N8" s="130">
        <v>2846.5</v>
      </c>
      <c r="O8" s="26"/>
    </row>
    <row r="9" spans="1:15" ht="15.6" customHeight="1" x14ac:dyDescent="0.3">
      <c r="A9" s="406" t="s">
        <v>18</v>
      </c>
      <c r="B9" s="194">
        <v>342049.35</v>
      </c>
      <c r="C9" s="73">
        <v>385919.95</v>
      </c>
      <c r="D9" s="145">
        <v>347205.66</v>
      </c>
      <c r="E9" s="163">
        <f t="shared" si="0"/>
        <v>-0.10031689214304686</v>
      </c>
      <c r="F9" s="166">
        <v>2421</v>
      </c>
      <c r="G9" s="63">
        <f t="shared" si="3"/>
        <v>143.4141511771995</v>
      </c>
      <c r="H9" s="61">
        <v>47</v>
      </c>
      <c r="I9" s="169">
        <f t="shared" si="1"/>
        <v>1.9413465510119784E-2</v>
      </c>
      <c r="J9" s="46">
        <f>SUM(H9+'3 June - 9 June'!H9+'10 June - 16 June'!H9+'17 June - 23 June'!H9+'24 June - 30 June'!H9+'1 July - 7 July'!H9+'8 July - 14 July'!H9+'15 July - 21 July'!H9+'22 July - 28 July'!H9)</f>
        <v>309</v>
      </c>
      <c r="K9" s="172">
        <f t="shared" si="2"/>
        <v>0.12763320941759604</v>
      </c>
      <c r="L9" s="188">
        <v>25077.78</v>
      </c>
      <c r="M9" s="89">
        <f t="shared" si="4"/>
        <v>7.2227451591658956E-2</v>
      </c>
      <c r="N9" s="130">
        <v>12870.1</v>
      </c>
      <c r="O9" s="26"/>
    </row>
    <row r="10" spans="1:15" ht="15.6" customHeight="1" x14ac:dyDescent="0.3">
      <c r="A10" s="406" t="s">
        <v>20</v>
      </c>
      <c r="B10" s="194">
        <v>164093.67000000001</v>
      </c>
      <c r="C10" s="73">
        <v>172402.92</v>
      </c>
      <c r="D10" s="145">
        <v>139006.44</v>
      </c>
      <c r="E10" s="163">
        <f t="shared" si="0"/>
        <v>-0.19371180024097046</v>
      </c>
      <c r="F10" s="166">
        <v>1001</v>
      </c>
      <c r="G10" s="63">
        <f t="shared" si="3"/>
        <v>138.86757242757244</v>
      </c>
      <c r="H10" s="61">
        <v>15</v>
      </c>
      <c r="I10" s="169">
        <f t="shared" si="1"/>
        <v>1.4985014985014986E-2</v>
      </c>
      <c r="J10" s="46">
        <f>SUM(H10+'3 June - 9 June'!H10+'10 June - 16 June'!H10+'17 June - 23 June'!H10+'24 June - 30 June'!H10+'1 July - 7 July'!H10+'8 July - 14 July'!H10+'15 July - 21 July'!H10+'22 July - 28 July'!H10)</f>
        <v>176</v>
      </c>
      <c r="K10" s="172">
        <f t="shared" si="2"/>
        <v>0.17582417582417584</v>
      </c>
      <c r="L10" s="188">
        <v>36829.39</v>
      </c>
      <c r="M10" s="89">
        <f t="shared" si="4"/>
        <v>0.26494736502855548</v>
      </c>
      <c r="N10" s="130">
        <v>7249.7</v>
      </c>
      <c r="O10" s="26"/>
    </row>
    <row r="11" spans="1:15" ht="15.6" customHeight="1" x14ac:dyDescent="0.3">
      <c r="A11" s="406" t="s">
        <v>21</v>
      </c>
      <c r="B11" s="194">
        <v>353967.18</v>
      </c>
      <c r="C11" s="73">
        <v>302155.05</v>
      </c>
      <c r="D11" s="145">
        <v>363089.93</v>
      </c>
      <c r="E11" s="163">
        <f t="shared" si="0"/>
        <v>0.20166758755149056</v>
      </c>
      <c r="F11" s="166">
        <v>2397</v>
      </c>
      <c r="G11" s="63">
        <f t="shared" si="3"/>
        <v>151.47681685440133</v>
      </c>
      <c r="H11" s="61">
        <v>40</v>
      </c>
      <c r="I11" s="169">
        <f t="shared" si="1"/>
        <v>1.6687526074259492E-2</v>
      </c>
      <c r="J11" s="46">
        <f>SUM(H11+'3 June - 9 June'!H11+'10 June - 16 June'!H11+'17 June - 23 June'!H11+'24 June - 30 June'!H11+'1 July - 7 July'!H11+'8 July - 14 July'!H11+'15 July - 21 July'!H11+'22 July - 28 July'!H11)</f>
        <v>262</v>
      </c>
      <c r="K11" s="172">
        <f t="shared" si="2"/>
        <v>0.10930329578639966</v>
      </c>
      <c r="L11" s="188">
        <v>48850.87</v>
      </c>
      <c r="M11" s="89">
        <f t="shared" si="4"/>
        <v>0.13454206785630216</v>
      </c>
      <c r="N11" s="130">
        <v>19121.8</v>
      </c>
      <c r="O11" s="26"/>
    </row>
    <row r="12" spans="1:15" ht="15.6" customHeight="1" x14ac:dyDescent="0.3">
      <c r="A12" s="160" t="s">
        <v>22</v>
      </c>
      <c r="B12" s="194">
        <v>130324.87</v>
      </c>
      <c r="C12" s="73">
        <v>115565.63</v>
      </c>
      <c r="D12" s="145">
        <v>157461.4</v>
      </c>
      <c r="E12" s="163">
        <f t="shared" si="0"/>
        <v>0.36252794191491006</v>
      </c>
      <c r="F12" s="166">
        <v>1400</v>
      </c>
      <c r="G12" s="63">
        <f t="shared" si="3"/>
        <v>112.47242857142857</v>
      </c>
      <c r="H12" s="61">
        <v>42</v>
      </c>
      <c r="I12" s="169">
        <f t="shared" si="1"/>
        <v>0.03</v>
      </c>
      <c r="J12" s="46">
        <f>SUM(H12+'3 June - 9 June'!H12+'10 June - 16 June'!H12+'17 June - 23 June'!H12+'24 June - 30 June'!H12+'1 July - 7 July'!H12+'8 July - 14 July'!H12+'15 July - 21 July'!H12+'22 July - 28 July'!H12)</f>
        <v>139</v>
      </c>
      <c r="K12" s="172">
        <f t="shared" si="2"/>
        <v>9.9285714285714283E-2</v>
      </c>
      <c r="L12" s="188">
        <v>21128.37</v>
      </c>
      <c r="M12" s="89">
        <f t="shared" si="4"/>
        <v>0.13418126601186067</v>
      </c>
      <c r="N12" s="130">
        <v>17195.75</v>
      </c>
      <c r="O12" s="26"/>
    </row>
    <row r="13" spans="1:15" ht="15.6" customHeight="1" x14ac:dyDescent="0.3">
      <c r="A13" s="160" t="s">
        <v>23</v>
      </c>
      <c r="B13" s="194">
        <v>212060.52</v>
      </c>
      <c r="C13" s="73">
        <v>205902.87</v>
      </c>
      <c r="D13" s="145">
        <v>216093.02</v>
      </c>
      <c r="E13" s="163">
        <f t="shared" si="0"/>
        <v>4.9490082386904048E-2</v>
      </c>
      <c r="F13" s="166">
        <v>1513</v>
      </c>
      <c r="G13" s="63">
        <f t="shared" si="3"/>
        <v>142.82420356906806</v>
      </c>
      <c r="H13" s="61">
        <v>44</v>
      </c>
      <c r="I13" s="169">
        <f t="shared" si="1"/>
        <v>2.9081295439524125E-2</v>
      </c>
      <c r="J13" s="46">
        <f>SUM(H13+'3 June - 9 June'!H13+'10 June - 16 June'!H13+'17 June - 23 June'!H13+'24 June - 30 June'!H13+'1 July - 7 July'!H13+'8 July - 14 July'!H13+'15 July - 21 July'!H13+'22 July - 28 July'!H13)</f>
        <v>338</v>
      </c>
      <c r="K13" s="172">
        <f t="shared" si="2"/>
        <v>0.22339722405816259</v>
      </c>
      <c r="L13" s="188">
        <v>37495.99</v>
      </c>
      <c r="M13" s="89">
        <f t="shared" si="4"/>
        <v>0.17351782116793962</v>
      </c>
      <c r="N13" s="130">
        <v>9302.27</v>
      </c>
      <c r="O13" s="26"/>
    </row>
    <row r="14" spans="1:15" ht="15.6" hidden="1" customHeight="1" x14ac:dyDescent="0.3">
      <c r="A14" s="160" t="s">
        <v>24</v>
      </c>
      <c r="B14" s="194"/>
      <c r="C14" s="73">
        <v>63695.61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94">
        <v>129536.18</v>
      </c>
      <c r="C15" s="73">
        <v>125489.25</v>
      </c>
      <c r="D15" s="145">
        <v>138311.25</v>
      </c>
      <c r="E15" s="163">
        <f t="shared" si="0"/>
        <v>0.10217608281187432</v>
      </c>
      <c r="F15" s="166">
        <v>1142</v>
      </c>
      <c r="G15" s="63">
        <f t="shared" si="3"/>
        <v>121.11317863397548</v>
      </c>
      <c r="H15" s="61">
        <v>30</v>
      </c>
      <c r="I15" s="169">
        <f t="shared" si="1"/>
        <v>2.6269702276707531E-2</v>
      </c>
      <c r="J15" s="46">
        <f>SUM(H15+'3 June - 9 June'!H15+'10 June - 16 June'!H15+'17 June - 23 June'!H15+'24 June - 30 June'!H15+'1 July - 7 July'!H15+'8 July - 14 July'!H15+'15 July - 21 July'!H15+'22 July - 28 July'!H15)</f>
        <v>231</v>
      </c>
      <c r="K15" s="172">
        <f t="shared" si="2"/>
        <v>0.202276707530648</v>
      </c>
      <c r="L15" s="188">
        <v>9080</v>
      </c>
      <c r="M15" s="89">
        <f t="shared" si="4"/>
        <v>6.5649034333794251E-2</v>
      </c>
      <c r="N15" s="130">
        <v>4852.1000000000004</v>
      </c>
      <c r="O15" s="9"/>
    </row>
    <row r="16" spans="1:15" ht="15.6" customHeight="1" x14ac:dyDescent="0.3">
      <c r="A16" s="160" t="s">
        <v>27</v>
      </c>
      <c r="B16" s="194">
        <v>113373.11</v>
      </c>
      <c r="C16" s="73">
        <v>115125.41</v>
      </c>
      <c r="D16" s="145">
        <v>126564.93</v>
      </c>
      <c r="E16" s="163">
        <f t="shared" si="0"/>
        <v>9.9365726471679794E-2</v>
      </c>
      <c r="F16" s="166">
        <v>826</v>
      </c>
      <c r="G16" s="63">
        <f t="shared" si="3"/>
        <v>153.22630750605327</v>
      </c>
      <c r="H16" s="61">
        <v>20</v>
      </c>
      <c r="I16" s="169">
        <f t="shared" si="1"/>
        <v>2.4213075060532687E-2</v>
      </c>
      <c r="J16" s="46">
        <f>SUM(H16+'3 June - 9 June'!H16+'10 June - 16 June'!H16+'17 June - 23 June'!H16+'24 June - 30 June'!H16+'1 July - 7 July'!H16+'8 July - 14 July'!H16+'15 July - 21 July'!H16+'22 July - 28 July'!H16)</f>
        <v>132</v>
      </c>
      <c r="K16" s="172">
        <f t="shared" si="2"/>
        <v>0.15980629539951574</v>
      </c>
      <c r="L16" s="188">
        <v>24742</v>
      </c>
      <c r="M16" s="89">
        <f t="shared" si="4"/>
        <v>0.19548859229804025</v>
      </c>
      <c r="N16" s="130">
        <v>8426.9</v>
      </c>
      <c r="O16" s="9"/>
    </row>
    <row r="17" spans="1:15" ht="15.6" customHeight="1" x14ac:dyDescent="0.3">
      <c r="A17" s="160" t="s">
        <v>28</v>
      </c>
      <c r="B17" s="194">
        <v>198530.03</v>
      </c>
      <c r="C17" s="73">
        <v>197995.06</v>
      </c>
      <c r="D17" s="145">
        <v>214731.95</v>
      </c>
      <c r="E17" s="163">
        <f t="shared" si="0"/>
        <v>8.4531856501874406E-2</v>
      </c>
      <c r="F17" s="166">
        <v>1357</v>
      </c>
      <c r="G17" s="63">
        <f t="shared" si="3"/>
        <v>158.24019896831246</v>
      </c>
      <c r="H17" s="61">
        <v>22</v>
      </c>
      <c r="I17" s="169">
        <f t="shared" si="1"/>
        <v>1.6212232866617538E-2</v>
      </c>
      <c r="J17" s="46">
        <f>SUM(H17+'3 June - 9 June'!H17+'10 June - 16 June'!H17+'17 June - 23 June'!H17+'24 June - 30 June'!H17+'1 July - 7 July'!H17+'8 July - 14 July'!H17+'15 July - 21 July'!H17+'22 July - 28 July'!H17)</f>
        <v>163</v>
      </c>
      <c r="K17" s="172">
        <f t="shared" si="2"/>
        <v>0.12011790714812086</v>
      </c>
      <c r="L17" s="188">
        <v>39112.300000000003</v>
      </c>
      <c r="M17" s="89">
        <f t="shared" si="4"/>
        <v>0.18214476234207347</v>
      </c>
      <c r="N17" s="130">
        <v>11199.21</v>
      </c>
      <c r="O17" s="9"/>
    </row>
    <row r="18" spans="1:15" ht="16.2" customHeight="1" thickBot="1" x14ac:dyDescent="0.35">
      <c r="A18" s="161" t="s">
        <v>33</v>
      </c>
      <c r="B18" s="195">
        <v>162511.62</v>
      </c>
      <c r="C18" s="131"/>
      <c r="D18" s="146">
        <v>162603.09</v>
      </c>
      <c r="E18" s="164">
        <f t="shared" si="0"/>
        <v>0</v>
      </c>
      <c r="F18" s="167">
        <v>1273</v>
      </c>
      <c r="G18" s="132">
        <f t="shared" si="3"/>
        <v>127.73219952867242</v>
      </c>
      <c r="H18" s="133">
        <v>53</v>
      </c>
      <c r="I18" s="170">
        <f t="shared" si="1"/>
        <v>4.1633935585231735E-2</v>
      </c>
      <c r="J18" s="115">
        <f>SUM(H18+'3 June - 9 June'!H18+'10 June - 16 June'!H18+'17 June - 23 June'!H18+'24 June - 30 June'!H18+'1 July - 7 July'!H18+'8 July - 14 July'!H18+'15 July - 21 July'!H18+'22 July - 28 July'!H18)</f>
        <v>384</v>
      </c>
      <c r="K18" s="173">
        <f t="shared" si="2"/>
        <v>0.30164964650432052</v>
      </c>
      <c r="L18" s="189">
        <v>24766.400000000001</v>
      </c>
      <c r="M18" s="116">
        <f t="shared" si="4"/>
        <v>0.15231198865901013</v>
      </c>
      <c r="N18" s="134">
        <v>4052.75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B7:B18">
    <cfRule type="cellIs" dxfId="660" priority="1" operator="equal">
      <formula>0</formula>
    </cfRule>
  </conditionalFormatting>
  <conditionalFormatting sqref="C6 F6:K6 M6:N6 E6:E17 C7:D17 F7:I17 J7:N18 C18:I18">
    <cfRule type="cellIs" dxfId="659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O40"/>
  <sheetViews>
    <sheetView zoomScale="78" workbookViewId="0">
      <pane xSplit="1" topLeftCell="B1" activePane="topRight" state="frozen"/>
      <selection pane="topRight" activeCell="B7" sqref="B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4.2899776304751544E-2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2471643.2599999998</v>
      </c>
      <c r="C4" s="135">
        <f>SUM(C6:C18)-C14</f>
        <v>2090504.8399999999</v>
      </c>
      <c r="D4" s="142">
        <f>SUM(D6:D18)</f>
        <v>2323594.0300000003</v>
      </c>
      <c r="E4" s="152">
        <f t="shared" ref="E4:E18" si="0">IFERROR((SUM(D4-C4)/C4),0)</f>
        <v>0.11149899562059871</v>
      </c>
      <c r="F4" s="147">
        <f>SUM(F6:F18)</f>
        <v>16749</v>
      </c>
      <c r="G4" s="136">
        <f>AVERAGE(G5:G18)</f>
        <v>128.23842237254277</v>
      </c>
      <c r="H4" s="137">
        <f>SUM(H6:H18)</f>
        <v>274</v>
      </c>
      <c r="I4" s="138">
        <f t="shared" ref="I4:I18" si="1">IFERROR(H4/F4,0)</f>
        <v>1.6359185623022271E-2</v>
      </c>
      <c r="J4" s="139">
        <f>SUM(J6:J18)</f>
        <v>2858</v>
      </c>
      <c r="K4" s="140">
        <f t="shared" ref="K4:K18" si="2">IFERROR(J4/SUM(F4),0)</f>
        <v>0.17063705295838558</v>
      </c>
      <c r="L4" s="186">
        <f>SUM(L6:L18)</f>
        <v>331246.57</v>
      </c>
      <c r="M4" s="140">
        <f>SUM(L4/D4)</f>
        <v>0.14255785034875476</v>
      </c>
      <c r="N4" s="141">
        <f>SUM(N6:N18)</f>
        <v>115279.14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93">
        <v>261957.32</v>
      </c>
      <c r="C6" s="123">
        <v>282687.59999999998</v>
      </c>
      <c r="D6" s="190">
        <v>267972.63</v>
      </c>
      <c r="E6" s="162">
        <f t="shared" si="0"/>
        <v>-5.2053821957524747E-2</v>
      </c>
      <c r="F6" s="165">
        <v>2124</v>
      </c>
      <c r="G6" s="124">
        <f t="shared" ref="G6:G18" si="3">IFERROR(D6/F6,0)</f>
        <v>126.16413841807911</v>
      </c>
      <c r="H6" s="125">
        <v>23</v>
      </c>
      <c r="I6" s="168">
        <f t="shared" si="1"/>
        <v>1.0828625235404897E-2</v>
      </c>
      <c r="J6" s="46">
        <f>SUM(H6+'3 June - 9 June'!H6+'10 June - 16 June'!H6+'17 June - 23 June'!H6+'24 June - 30 June'!H6+'1 July - 7 July'!H6+'8 July - 14 July'!H6+'15 July - 21 July'!H6+'22 July - 28 July'!H6+'29 July - 4 August'!H6)</f>
        <v>298</v>
      </c>
      <c r="K6" s="171">
        <f t="shared" si="2"/>
        <v>0.14030131826741996</v>
      </c>
      <c r="L6" s="191">
        <v>31373.7</v>
      </c>
      <c r="M6" s="128">
        <f t="shared" ref="M6:M18" si="4">SUM(L6/D6)</f>
        <v>0.11707800158546043</v>
      </c>
      <c r="N6" s="129">
        <v>13615.15</v>
      </c>
      <c r="O6" s="26"/>
    </row>
    <row r="7" spans="1:15" ht="15.6" customHeight="1" x14ac:dyDescent="0.3">
      <c r="A7" s="406" t="s">
        <v>16</v>
      </c>
      <c r="B7" s="194">
        <v>212110.67</v>
      </c>
      <c r="C7" s="73">
        <v>163472.63</v>
      </c>
      <c r="D7" s="145">
        <v>215626.05</v>
      </c>
      <c r="E7" s="163">
        <f t="shared" si="0"/>
        <v>0.3190345686614327</v>
      </c>
      <c r="F7" s="166">
        <v>1449</v>
      </c>
      <c r="G7" s="63">
        <f t="shared" si="3"/>
        <v>148.81024844720497</v>
      </c>
      <c r="H7" s="61">
        <v>12</v>
      </c>
      <c r="I7" s="169">
        <f t="shared" si="1"/>
        <v>8.2815734989648039E-3</v>
      </c>
      <c r="J7" s="46">
        <f>SUM(H7+'3 June - 9 June'!H7+'10 June - 16 June'!H7+'17 June - 23 June'!H7+'24 June - 30 June'!H7+'1 July - 7 July'!H7+'8 July - 14 July'!H7+'15 July - 21 July'!H7+'22 July - 28 July'!H7+'29 July - 4 August'!H7)</f>
        <v>143</v>
      </c>
      <c r="K7" s="172">
        <f t="shared" si="2"/>
        <v>9.8688750862663904E-2</v>
      </c>
      <c r="L7" s="188">
        <v>28718.560000000001</v>
      </c>
      <c r="M7" s="89">
        <f t="shared" si="4"/>
        <v>0.13318687607550203</v>
      </c>
      <c r="N7" s="130">
        <v>13029.85</v>
      </c>
      <c r="O7" s="26"/>
    </row>
    <row r="8" spans="1:15" ht="15.6" customHeight="1" x14ac:dyDescent="0.3">
      <c r="A8" s="406" t="s">
        <v>17</v>
      </c>
      <c r="B8" s="194">
        <v>132507.6</v>
      </c>
      <c r="C8" s="73">
        <v>129516.34</v>
      </c>
      <c r="D8" s="145">
        <v>103484.13</v>
      </c>
      <c r="E8" s="163">
        <f t="shared" si="0"/>
        <v>-0.20099556550161926</v>
      </c>
      <c r="F8" s="166">
        <v>706</v>
      </c>
      <c r="G8" s="63">
        <f t="shared" si="3"/>
        <v>146.5780878186969</v>
      </c>
      <c r="H8" s="61">
        <v>10</v>
      </c>
      <c r="I8" s="169">
        <f t="shared" si="1"/>
        <v>1.4164305949008499E-2</v>
      </c>
      <c r="J8" s="46">
        <f>SUM(H8+'3 June - 9 June'!H8+'10 June - 16 June'!H8+'17 June - 23 June'!H8+'24 June - 30 June'!H8+'1 July - 7 July'!H8+'8 July - 14 July'!H8+'15 July - 21 July'!H8+'22 July - 28 July'!H8+'29 July - 4 August'!H8)</f>
        <v>54</v>
      </c>
      <c r="K8" s="172">
        <f t="shared" si="2"/>
        <v>7.6487252124645896E-2</v>
      </c>
      <c r="L8" s="188">
        <v>34803.1</v>
      </c>
      <c r="M8" s="89">
        <f t="shared" si="4"/>
        <v>0.33631340380404218</v>
      </c>
      <c r="N8" s="130">
        <v>2885.5</v>
      </c>
      <c r="O8" s="26"/>
    </row>
    <row r="9" spans="1:15" ht="15.6" customHeight="1" x14ac:dyDescent="0.3">
      <c r="A9" s="406" t="s">
        <v>18</v>
      </c>
      <c r="B9" s="194">
        <v>347205.66</v>
      </c>
      <c r="C9" s="73">
        <v>274334.31</v>
      </c>
      <c r="D9" s="145">
        <v>317143.52</v>
      </c>
      <c r="E9" s="163">
        <f t="shared" si="0"/>
        <v>0.15604759754622025</v>
      </c>
      <c r="F9" s="166">
        <v>2266</v>
      </c>
      <c r="G9" s="63">
        <f t="shared" si="3"/>
        <v>139.95742277140337</v>
      </c>
      <c r="H9" s="61">
        <v>27</v>
      </c>
      <c r="I9" s="169">
        <f t="shared" si="1"/>
        <v>1.1915269196822596E-2</v>
      </c>
      <c r="J9" s="46">
        <f>SUM(H9+'3 June - 9 June'!H9+'10 June - 16 June'!H9+'17 June - 23 June'!H9+'24 June - 30 June'!H9+'1 July - 7 July'!H9+'8 July - 14 July'!H9+'15 July - 21 July'!H9+'22 July - 28 July'!H9+'29 July - 4 August'!H9)</f>
        <v>336</v>
      </c>
      <c r="K9" s="172">
        <f t="shared" si="2"/>
        <v>0.14827890556045895</v>
      </c>
      <c r="L9" s="188">
        <v>21568.9</v>
      </c>
      <c r="M9" s="89">
        <f t="shared" si="4"/>
        <v>6.8009902898220967E-2</v>
      </c>
      <c r="N9" s="130">
        <v>14008.65</v>
      </c>
      <c r="O9" s="26"/>
    </row>
    <row r="10" spans="1:15" ht="15.6" customHeight="1" x14ac:dyDescent="0.3">
      <c r="A10" s="406" t="s">
        <v>20</v>
      </c>
      <c r="B10" s="194">
        <v>139006.44</v>
      </c>
      <c r="C10" s="73">
        <v>144176.82999999999</v>
      </c>
      <c r="D10" s="145">
        <v>126339</v>
      </c>
      <c r="E10" s="163">
        <f t="shared" si="0"/>
        <v>-0.12372189068104764</v>
      </c>
      <c r="F10" s="166">
        <v>862</v>
      </c>
      <c r="G10" s="63">
        <f t="shared" si="3"/>
        <v>146.56496519721577</v>
      </c>
      <c r="H10" s="61">
        <v>12</v>
      </c>
      <c r="I10" s="169">
        <f t="shared" si="1"/>
        <v>1.3921113689095127E-2</v>
      </c>
      <c r="J10" s="46">
        <f>SUM(H10+'3 June - 9 June'!H10+'10 June - 16 June'!H10+'17 June - 23 June'!H10+'24 June - 30 June'!H10+'1 July - 7 July'!H10+'8 July - 14 July'!H10+'15 July - 21 July'!H10+'22 July - 28 July'!H10+'29 July - 4 August'!H10)</f>
        <v>188</v>
      </c>
      <c r="K10" s="172">
        <f t="shared" si="2"/>
        <v>0.21809744779582366</v>
      </c>
      <c r="L10" s="188">
        <v>35251.9</v>
      </c>
      <c r="M10" s="89">
        <f t="shared" si="4"/>
        <v>0.27902627058944585</v>
      </c>
      <c r="N10" s="130">
        <v>6427.5</v>
      </c>
      <c r="O10" s="26"/>
    </row>
    <row r="11" spans="1:15" ht="15.6" customHeight="1" x14ac:dyDescent="0.3">
      <c r="A11" s="406" t="s">
        <v>21</v>
      </c>
      <c r="B11" s="194">
        <v>363089.93</v>
      </c>
      <c r="C11" s="73">
        <v>318202.90000000002</v>
      </c>
      <c r="D11" s="145">
        <v>313954.43</v>
      </c>
      <c r="E11" s="163">
        <f t="shared" si="0"/>
        <v>-1.3351449656807119E-2</v>
      </c>
      <c r="F11" s="166">
        <v>2006</v>
      </c>
      <c r="G11" s="63">
        <f t="shared" si="3"/>
        <v>156.50769192422732</v>
      </c>
      <c r="H11" s="61">
        <v>34</v>
      </c>
      <c r="I11" s="169">
        <f t="shared" si="1"/>
        <v>1.6949152542372881E-2</v>
      </c>
      <c r="J11" s="46">
        <f>SUM(H11+'3 June - 9 June'!H11+'10 June - 16 June'!H11+'17 June - 23 June'!H11+'24 June - 30 June'!H11+'1 July - 7 July'!H11+'8 July - 14 July'!H11+'15 July - 21 July'!H11+'22 July - 28 July'!H11+'29 July - 4 August'!H11)</f>
        <v>296</v>
      </c>
      <c r="K11" s="172">
        <f t="shared" si="2"/>
        <v>0.14755732801595214</v>
      </c>
      <c r="L11" s="188">
        <v>42719.49</v>
      </c>
      <c r="M11" s="89">
        <f t="shared" si="4"/>
        <v>0.13606907856022291</v>
      </c>
      <c r="N11" s="130">
        <v>15083.8</v>
      </c>
      <c r="O11" s="26"/>
    </row>
    <row r="12" spans="1:15" ht="15.6" customHeight="1" x14ac:dyDescent="0.3">
      <c r="A12" s="160" t="s">
        <v>22</v>
      </c>
      <c r="B12" s="194">
        <v>157461.4</v>
      </c>
      <c r="C12" s="73">
        <v>118179.37</v>
      </c>
      <c r="D12" s="145">
        <v>120679.88</v>
      </c>
      <c r="E12" s="163">
        <f t="shared" si="0"/>
        <v>2.1158599846995373E-2</v>
      </c>
      <c r="F12" s="166">
        <v>1010</v>
      </c>
      <c r="G12" s="63">
        <f t="shared" si="3"/>
        <v>119.48502970297031</v>
      </c>
      <c r="H12" s="61">
        <v>24</v>
      </c>
      <c r="I12" s="169">
        <f t="shared" si="1"/>
        <v>2.3762376237623763E-2</v>
      </c>
      <c r="J12" s="46">
        <f>SUM(H12+'3 June - 9 June'!H12+'10 June - 16 June'!H12+'17 June - 23 June'!H12+'24 June - 30 June'!H12+'1 July - 7 July'!H12+'8 July - 14 July'!H12+'15 July - 21 July'!H12+'22 July - 28 July'!H12+'29 July - 4 August'!H12)</f>
        <v>163</v>
      </c>
      <c r="K12" s="172">
        <f t="shared" si="2"/>
        <v>0.16138613861386139</v>
      </c>
      <c r="L12" s="188">
        <v>19871.95</v>
      </c>
      <c r="M12" s="89">
        <f t="shared" si="4"/>
        <v>0.16466663705664938</v>
      </c>
      <c r="N12" s="130">
        <v>9678.85</v>
      </c>
      <c r="O12" s="26"/>
    </row>
    <row r="13" spans="1:15" ht="15.6" customHeight="1" x14ac:dyDescent="0.3">
      <c r="A13" s="160" t="s">
        <v>23</v>
      </c>
      <c r="B13" s="194">
        <v>216093.02</v>
      </c>
      <c r="C13" s="73">
        <v>206172.99</v>
      </c>
      <c r="D13" s="145">
        <v>210396.93</v>
      </c>
      <c r="E13" s="163">
        <f t="shared" si="0"/>
        <v>2.048735869814956E-2</v>
      </c>
      <c r="F13" s="166">
        <v>1506</v>
      </c>
      <c r="G13" s="63">
        <f t="shared" si="3"/>
        <v>139.70579681274899</v>
      </c>
      <c r="H13" s="61">
        <v>38</v>
      </c>
      <c r="I13" s="169">
        <f t="shared" si="1"/>
        <v>2.5232403718459494E-2</v>
      </c>
      <c r="J13" s="46">
        <f>SUM(H13+'3 June - 9 June'!H13+'10 June - 16 June'!H13+'17 June - 23 June'!H13+'24 June - 30 June'!H13+'1 July - 7 July'!H13+'8 July - 14 July'!H13+'15 July - 21 July'!H13+'22 July - 28 July'!H13+'29 July - 4 August'!H13)</f>
        <v>376</v>
      </c>
      <c r="K13" s="172">
        <f t="shared" si="2"/>
        <v>0.24966799468791501</v>
      </c>
      <c r="L13" s="188">
        <v>34177.449999999997</v>
      </c>
      <c r="M13" s="89">
        <f t="shared" si="4"/>
        <v>0.1624427219541654</v>
      </c>
      <c r="N13" s="130">
        <v>9336.5</v>
      </c>
      <c r="O13" s="26"/>
    </row>
    <row r="14" spans="1:15" ht="15.6" hidden="1" customHeight="1" x14ac:dyDescent="0.3">
      <c r="A14" s="160" t="s">
        <v>24</v>
      </c>
      <c r="B14" s="194"/>
      <c r="C14" s="73">
        <v>90313.04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94">
        <v>138311.25</v>
      </c>
      <c r="C15" s="73">
        <v>180202.37</v>
      </c>
      <c r="D15" s="145">
        <v>182706.98</v>
      </c>
      <c r="E15" s="163">
        <f t="shared" si="0"/>
        <v>1.3898873805044934E-2</v>
      </c>
      <c r="F15" s="166">
        <v>1523</v>
      </c>
      <c r="G15" s="63">
        <f t="shared" si="3"/>
        <v>119.96518713066317</v>
      </c>
      <c r="H15" s="61">
        <v>18</v>
      </c>
      <c r="I15" s="169">
        <f t="shared" si="1"/>
        <v>1.1818778726198293E-2</v>
      </c>
      <c r="J15" s="46">
        <f>SUM(H15+'3 June - 9 June'!H15+'10 June - 16 June'!H15+'17 June - 23 June'!H15+'24 June - 30 June'!H15+'1 July - 7 July'!H15+'8 July - 14 July'!H15+'15 July - 21 July'!H15+'22 July - 28 July'!H15+'29 July - 4 August'!H15)</f>
        <v>249</v>
      </c>
      <c r="K15" s="172">
        <f t="shared" si="2"/>
        <v>0.16349310571240971</v>
      </c>
      <c r="L15" s="188">
        <v>10460.870000000001</v>
      </c>
      <c r="M15" s="89">
        <f t="shared" si="4"/>
        <v>5.7254900715889456E-2</v>
      </c>
      <c r="N15" s="130">
        <v>7045</v>
      </c>
      <c r="O15" s="9"/>
    </row>
    <row r="16" spans="1:15" ht="15.6" customHeight="1" x14ac:dyDescent="0.3">
      <c r="A16" s="160" t="s">
        <v>27</v>
      </c>
      <c r="B16" s="194">
        <v>126564.93</v>
      </c>
      <c r="C16" s="73">
        <v>107160.67</v>
      </c>
      <c r="D16" s="145">
        <v>123420.75</v>
      </c>
      <c r="E16" s="163">
        <f t="shared" si="0"/>
        <v>0.15173552013065988</v>
      </c>
      <c r="F16" s="166">
        <v>842</v>
      </c>
      <c r="G16" s="63">
        <f t="shared" si="3"/>
        <v>146.58046318289786</v>
      </c>
      <c r="H16" s="61">
        <v>21</v>
      </c>
      <c r="I16" s="169">
        <f t="shared" si="1"/>
        <v>2.4940617577197149E-2</v>
      </c>
      <c r="J16" s="46">
        <f>SUM(H16+'3 June - 9 June'!H16+'10 June - 16 June'!H16+'17 June - 23 June'!H16+'24 June - 30 June'!H16+'1 July - 7 July'!H16+'8 July - 14 July'!H16+'15 July - 21 July'!H16+'22 July - 28 July'!H16+'29 July - 4 August'!H16)</f>
        <v>153</v>
      </c>
      <c r="K16" s="172">
        <f t="shared" si="2"/>
        <v>0.18171021377672208</v>
      </c>
      <c r="L16" s="188">
        <v>21857.13</v>
      </c>
      <c r="M16" s="89">
        <f t="shared" si="4"/>
        <v>0.17709445129769508</v>
      </c>
      <c r="N16" s="130">
        <v>7435.7</v>
      </c>
      <c r="O16" s="9"/>
    </row>
    <row r="17" spans="1:15" ht="15.6" customHeight="1" x14ac:dyDescent="0.3">
      <c r="A17" s="160" t="s">
        <v>28</v>
      </c>
      <c r="B17" s="194">
        <v>214731.95</v>
      </c>
      <c r="C17" s="73">
        <v>166398.82999999999</v>
      </c>
      <c r="D17" s="145">
        <v>198462.73</v>
      </c>
      <c r="E17" s="163">
        <f t="shared" si="0"/>
        <v>0.1926930616038588</v>
      </c>
      <c r="F17" s="166">
        <v>1305</v>
      </c>
      <c r="G17" s="63">
        <f t="shared" si="3"/>
        <v>152.07872030651342</v>
      </c>
      <c r="H17" s="61">
        <v>22</v>
      </c>
      <c r="I17" s="169">
        <f t="shared" si="1"/>
        <v>1.6858237547892719E-2</v>
      </c>
      <c r="J17" s="46">
        <f>SUM(H17+'3 June - 9 June'!H17+'10 June - 16 June'!H17+'17 June - 23 June'!H17+'24 June - 30 June'!H17+'1 July - 7 July'!H17+'8 July - 14 July'!H17+'15 July - 21 July'!H17+'22 July - 28 July'!H17+'29 July - 4 August'!H17)</f>
        <v>185</v>
      </c>
      <c r="K17" s="172">
        <f t="shared" si="2"/>
        <v>0.1417624521072797</v>
      </c>
      <c r="L17" s="188">
        <v>32016.87</v>
      </c>
      <c r="M17" s="89">
        <f t="shared" si="4"/>
        <v>0.16132434538212789</v>
      </c>
      <c r="N17" s="130">
        <v>13085.14</v>
      </c>
      <c r="O17" s="9"/>
    </row>
    <row r="18" spans="1:15" ht="16.2" customHeight="1" thickBot="1" x14ac:dyDescent="0.35">
      <c r="A18" s="161" t="s">
        <v>33</v>
      </c>
      <c r="B18" s="195">
        <v>162603.09</v>
      </c>
      <c r="C18" s="131"/>
      <c r="D18" s="146">
        <v>143407</v>
      </c>
      <c r="E18" s="164">
        <f t="shared" si="0"/>
        <v>0</v>
      </c>
      <c r="F18" s="167">
        <v>1150</v>
      </c>
      <c r="G18" s="132">
        <f t="shared" si="3"/>
        <v>124.70173913043479</v>
      </c>
      <c r="H18" s="133">
        <v>33</v>
      </c>
      <c r="I18" s="170">
        <f t="shared" si="1"/>
        <v>2.8695652173913042E-2</v>
      </c>
      <c r="J18" s="115">
        <f>SUM(H18+'3 June - 9 June'!H18+'10 June - 16 June'!H18+'17 June - 23 June'!H18+'24 June - 30 June'!H18+'1 July - 7 July'!H18+'8 July - 14 July'!H18+'15 July - 21 July'!H18+'22 July - 28 July'!H18+'29 July - 4 August'!H18)</f>
        <v>417</v>
      </c>
      <c r="K18" s="173">
        <f t="shared" si="2"/>
        <v>0.36260869565217391</v>
      </c>
      <c r="L18" s="189">
        <v>18426.650000000001</v>
      </c>
      <c r="M18" s="116">
        <f t="shared" si="4"/>
        <v>0.12849198435222828</v>
      </c>
      <c r="N18" s="134">
        <v>3647.5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B7:B18">
    <cfRule type="cellIs" dxfId="658" priority="1" operator="equal">
      <formula>0</formula>
    </cfRule>
  </conditionalFormatting>
  <conditionalFormatting sqref="C6 F6:K6 M6:N6 E6:E17 C7:D17 F7:I17 J7:N18 C18:I18">
    <cfRule type="cellIs" dxfId="657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O40"/>
  <sheetViews>
    <sheetView zoomScale="78" workbookViewId="0">
      <pane xSplit="1" topLeftCell="B1" activePane="topRight" state="frozen"/>
      <selection pane="topRight" activeCell="B11" sqref="B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0.1893672309926939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2323594.0300000003</v>
      </c>
      <c r="C4" s="135">
        <f>SUM(C6:C18)-C14</f>
        <v>1824255.7499999998</v>
      </c>
      <c r="D4" s="142">
        <f>SUM(D6:D18)</f>
        <v>2317579.2999999998</v>
      </c>
      <c r="E4" s="152">
        <f t="shared" ref="E4:E18" si="0">IFERROR((SUM(D4-C4)/C4),0)</f>
        <v>0.2704245553289335</v>
      </c>
      <c r="F4" s="147">
        <f>SUM(F6:F18)</f>
        <v>16686</v>
      </c>
      <c r="G4" s="136">
        <f>AVERAGE(G5:G18)</f>
        <v>127.21607875435367</v>
      </c>
      <c r="H4" s="137">
        <f>SUM(H6:H18)</f>
        <v>292</v>
      </c>
      <c r="I4" s="138">
        <f t="shared" ref="I4:I18" si="1">IFERROR(H4/F4,0)</f>
        <v>1.7499700347596788E-2</v>
      </c>
      <c r="J4" s="139">
        <f>SUM(J6:J18)</f>
        <v>3150</v>
      </c>
      <c r="K4" s="140">
        <f t="shared" ref="K4:K18" si="2">IFERROR(J4/SUM(F4),0)</f>
        <v>0.18878101402373246</v>
      </c>
      <c r="L4" s="186">
        <f>SUM(L6:L18)</f>
        <v>350723.99</v>
      </c>
      <c r="M4" s="140">
        <f>SUM(L4/D4)</f>
        <v>0.15133203424797589</v>
      </c>
      <c r="N4" s="141">
        <f>SUM(N6:N18)</f>
        <v>129140.56999999999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96">
        <v>267972.63</v>
      </c>
      <c r="C6" s="123">
        <v>207282.75</v>
      </c>
      <c r="D6" s="197">
        <v>222616.58</v>
      </c>
      <c r="E6" s="162">
        <f t="shared" si="0"/>
        <v>7.3975427284711279E-2</v>
      </c>
      <c r="F6" s="165">
        <v>1652</v>
      </c>
      <c r="G6" s="124">
        <f t="shared" ref="G6:G18" si="3">IFERROR(D6/F6,0)</f>
        <v>134.75579903147698</v>
      </c>
      <c r="H6" s="125">
        <v>20</v>
      </c>
      <c r="I6" s="168">
        <f t="shared" si="1"/>
        <v>1.2106537530266344E-2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August'!H6)</f>
        <v>318</v>
      </c>
      <c r="K6" s="171">
        <f t="shared" si="2"/>
        <v>0.19249394673123488</v>
      </c>
      <c r="L6" s="191">
        <v>34848.21</v>
      </c>
      <c r="M6" s="128">
        <f t="shared" ref="M6:M18" si="4">SUM(L6/D6)</f>
        <v>0.15653914906068542</v>
      </c>
      <c r="N6" s="129">
        <v>9739.9</v>
      </c>
      <c r="O6" s="26"/>
    </row>
    <row r="7" spans="1:15" ht="15.6" customHeight="1" x14ac:dyDescent="0.3">
      <c r="A7" s="406" t="s">
        <v>16</v>
      </c>
      <c r="B7" s="194">
        <v>215626.05</v>
      </c>
      <c r="C7" s="73">
        <v>143954.67000000001</v>
      </c>
      <c r="D7" s="145">
        <v>197449.78</v>
      </c>
      <c r="E7" s="163">
        <f t="shared" si="0"/>
        <v>0.37161079942734737</v>
      </c>
      <c r="F7" s="166">
        <v>1512</v>
      </c>
      <c r="G7" s="63">
        <f t="shared" si="3"/>
        <v>130.58847883597883</v>
      </c>
      <c r="H7" s="61">
        <v>11</v>
      </c>
      <c r="I7" s="169">
        <f t="shared" si="1"/>
        <v>7.2751322751322747E-3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August'!H7)</f>
        <v>154</v>
      </c>
      <c r="K7" s="172">
        <f t="shared" si="2"/>
        <v>0.10185185185185185</v>
      </c>
      <c r="L7" s="188">
        <v>27204.28</v>
      </c>
      <c r="M7" s="89">
        <f t="shared" si="4"/>
        <v>0.13777822391091041</v>
      </c>
      <c r="N7" s="130">
        <v>13417.95</v>
      </c>
      <c r="O7" s="26"/>
    </row>
    <row r="8" spans="1:15" ht="15.6" customHeight="1" x14ac:dyDescent="0.3">
      <c r="A8" s="406" t="s">
        <v>17</v>
      </c>
      <c r="B8" s="194">
        <v>103484.13</v>
      </c>
      <c r="C8" s="73">
        <v>89612.08</v>
      </c>
      <c r="D8" s="145">
        <v>78509.75</v>
      </c>
      <c r="E8" s="163">
        <f t="shared" si="0"/>
        <v>-0.12389322957351287</v>
      </c>
      <c r="F8" s="166">
        <v>609</v>
      </c>
      <c r="G8" s="63">
        <f t="shared" si="3"/>
        <v>128.91584564860426</v>
      </c>
      <c r="H8" s="61">
        <v>8</v>
      </c>
      <c r="I8" s="169">
        <f t="shared" si="1"/>
        <v>1.3136288998357963E-2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August'!H8)</f>
        <v>62</v>
      </c>
      <c r="K8" s="172">
        <f t="shared" si="2"/>
        <v>0.10180623973727422</v>
      </c>
      <c r="L8" s="188">
        <v>23228.82</v>
      </c>
      <c r="M8" s="89">
        <f t="shared" si="4"/>
        <v>0.29587178662522806</v>
      </c>
      <c r="N8" s="130">
        <v>5113.5</v>
      </c>
      <c r="O8" s="26"/>
    </row>
    <row r="9" spans="1:15" ht="15.6" customHeight="1" x14ac:dyDescent="0.3">
      <c r="A9" s="406" t="s">
        <v>18</v>
      </c>
      <c r="B9" s="194">
        <v>317143.52</v>
      </c>
      <c r="C9" s="73">
        <v>258233.9</v>
      </c>
      <c r="D9" s="145">
        <v>311549.81</v>
      </c>
      <c r="E9" s="163">
        <f t="shared" si="0"/>
        <v>0.20646363626154429</v>
      </c>
      <c r="F9" s="166">
        <v>2239</v>
      </c>
      <c r="G9" s="63">
        <f t="shared" si="3"/>
        <v>139.14685573916927</v>
      </c>
      <c r="H9" s="61">
        <v>25</v>
      </c>
      <c r="I9" s="169">
        <f t="shared" si="1"/>
        <v>1.1165698972755694E-2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August'!H9)</f>
        <v>361</v>
      </c>
      <c r="K9" s="172">
        <f t="shared" si="2"/>
        <v>0.16123269316659222</v>
      </c>
      <c r="L9" s="188">
        <v>26551.97</v>
      </c>
      <c r="M9" s="89">
        <f t="shared" si="4"/>
        <v>8.5225441158189127E-2</v>
      </c>
      <c r="N9" s="130">
        <v>10718.41</v>
      </c>
      <c r="O9" s="26"/>
    </row>
    <row r="10" spans="1:15" ht="15.6" customHeight="1" x14ac:dyDescent="0.3">
      <c r="A10" s="406" t="s">
        <v>20</v>
      </c>
      <c r="B10" s="194">
        <v>126339</v>
      </c>
      <c r="C10" s="73">
        <v>143814.22</v>
      </c>
      <c r="D10" s="145">
        <v>154333.15</v>
      </c>
      <c r="E10" s="163">
        <f t="shared" si="0"/>
        <v>7.3142488969449568E-2</v>
      </c>
      <c r="F10" s="166">
        <v>1013</v>
      </c>
      <c r="G10" s="63">
        <f t="shared" si="3"/>
        <v>152.35256663376109</v>
      </c>
      <c r="H10" s="61">
        <v>20</v>
      </c>
      <c r="I10" s="169">
        <f t="shared" si="1"/>
        <v>1.9743336623889437E-2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August'!H10)</f>
        <v>208</v>
      </c>
      <c r="K10" s="172">
        <f t="shared" si="2"/>
        <v>0.20533070088845015</v>
      </c>
      <c r="L10" s="188">
        <v>46751.199999999997</v>
      </c>
      <c r="M10" s="89">
        <f t="shared" si="4"/>
        <v>0.30292390196143859</v>
      </c>
      <c r="N10" s="130">
        <v>7700.05</v>
      </c>
      <c r="O10" s="26"/>
    </row>
    <row r="11" spans="1:15" ht="15.6" customHeight="1" x14ac:dyDescent="0.3">
      <c r="A11" s="406" t="s">
        <v>21</v>
      </c>
      <c r="B11" s="194">
        <v>313954.43</v>
      </c>
      <c r="C11" s="73">
        <v>296762.82</v>
      </c>
      <c r="D11" s="145">
        <v>351899.09</v>
      </c>
      <c r="E11" s="163">
        <f t="shared" si="0"/>
        <v>0.18579237789963049</v>
      </c>
      <c r="F11" s="166">
        <v>2290</v>
      </c>
      <c r="G11" s="63">
        <f t="shared" si="3"/>
        <v>153.6677248908297</v>
      </c>
      <c r="H11" s="61">
        <v>56</v>
      </c>
      <c r="I11" s="169">
        <f t="shared" si="1"/>
        <v>2.4454148471615721E-2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August'!H11)</f>
        <v>352</v>
      </c>
      <c r="K11" s="172">
        <f t="shared" si="2"/>
        <v>0.15371179039301311</v>
      </c>
      <c r="L11" s="188">
        <v>44052.5</v>
      </c>
      <c r="M11" s="89">
        <f t="shared" si="4"/>
        <v>0.12518503528952007</v>
      </c>
      <c r="N11" s="130">
        <v>23424.1</v>
      </c>
      <c r="O11" s="26"/>
    </row>
    <row r="12" spans="1:15" ht="15.6" customHeight="1" x14ac:dyDescent="0.3">
      <c r="A12" s="160" t="s">
        <v>22</v>
      </c>
      <c r="B12" s="194">
        <v>120679.88</v>
      </c>
      <c r="C12" s="73">
        <v>114345.39</v>
      </c>
      <c r="D12" s="145">
        <v>158515.24</v>
      </c>
      <c r="E12" s="163">
        <f t="shared" si="0"/>
        <v>0.38628448422800421</v>
      </c>
      <c r="F12" s="166">
        <v>1273</v>
      </c>
      <c r="G12" s="63">
        <f t="shared" si="3"/>
        <v>124.52100549882168</v>
      </c>
      <c r="H12" s="61">
        <v>14</v>
      </c>
      <c r="I12" s="169">
        <f t="shared" si="1"/>
        <v>1.0997643362136685E-2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August'!H12)</f>
        <v>177</v>
      </c>
      <c r="K12" s="172">
        <f t="shared" si="2"/>
        <v>0.13904163393558522</v>
      </c>
      <c r="L12" s="188">
        <v>22015.16</v>
      </c>
      <c r="M12" s="89">
        <f t="shared" si="4"/>
        <v>0.13888355466641567</v>
      </c>
      <c r="N12" s="130">
        <v>11424.75</v>
      </c>
      <c r="O12" s="26"/>
    </row>
    <row r="13" spans="1:15" ht="15.6" customHeight="1" x14ac:dyDescent="0.3">
      <c r="A13" s="160" t="s">
        <v>23</v>
      </c>
      <c r="B13" s="194">
        <v>210396.93</v>
      </c>
      <c r="C13" s="73">
        <v>194113.41</v>
      </c>
      <c r="D13" s="145">
        <v>217294.07999999999</v>
      </c>
      <c r="E13" s="163">
        <f t="shared" si="0"/>
        <v>0.11941817930044082</v>
      </c>
      <c r="F13" s="166">
        <v>1557</v>
      </c>
      <c r="G13" s="63">
        <f t="shared" si="3"/>
        <v>139.55946050096338</v>
      </c>
      <c r="H13" s="61">
        <v>43</v>
      </c>
      <c r="I13" s="169">
        <f t="shared" si="1"/>
        <v>2.7617212588310854E-2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August'!H13)</f>
        <v>419</v>
      </c>
      <c r="K13" s="172">
        <f t="shared" si="2"/>
        <v>0.26910725754656389</v>
      </c>
      <c r="L13" s="188">
        <v>37240.129999999997</v>
      </c>
      <c r="M13" s="89">
        <f t="shared" si="4"/>
        <v>0.17138124517704301</v>
      </c>
      <c r="N13" s="130">
        <v>11913.45</v>
      </c>
      <c r="O13" s="26"/>
    </row>
    <row r="14" spans="1:15" ht="15.6" hidden="1" customHeight="1" x14ac:dyDescent="0.3">
      <c r="A14" s="160" t="s">
        <v>24</v>
      </c>
      <c r="B14" s="194"/>
      <c r="C14" s="73">
        <v>80398.27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94">
        <v>182706.98</v>
      </c>
      <c r="C15" s="73">
        <v>118383.8</v>
      </c>
      <c r="D15" s="145">
        <v>149035.45000000001</v>
      </c>
      <c r="E15" s="163">
        <f t="shared" si="0"/>
        <v>0.25891760528045227</v>
      </c>
      <c r="F15" s="166">
        <v>1203</v>
      </c>
      <c r="G15" s="63">
        <f t="shared" si="3"/>
        <v>123.88649210307565</v>
      </c>
      <c r="H15" s="61">
        <v>16</v>
      </c>
      <c r="I15" s="169">
        <f t="shared" si="1"/>
        <v>1.3300083125519535E-2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August'!H15)</f>
        <v>265</v>
      </c>
      <c r="K15" s="172">
        <f t="shared" si="2"/>
        <v>0.2202826267664173</v>
      </c>
      <c r="L15" s="188">
        <v>8884</v>
      </c>
      <c r="M15" s="89">
        <f t="shared" si="4"/>
        <v>5.9609978699698626E-2</v>
      </c>
      <c r="N15" s="130">
        <v>5852.45</v>
      </c>
      <c r="O15" s="9"/>
    </row>
    <row r="16" spans="1:15" ht="15.6" customHeight="1" x14ac:dyDescent="0.3">
      <c r="A16" s="160" t="s">
        <v>27</v>
      </c>
      <c r="B16" s="194">
        <v>123420.75</v>
      </c>
      <c r="C16" s="73">
        <v>93204.23</v>
      </c>
      <c r="D16" s="145">
        <v>119169.43</v>
      </c>
      <c r="E16" s="163">
        <f t="shared" si="0"/>
        <v>0.27858392263956261</v>
      </c>
      <c r="F16" s="166">
        <v>839</v>
      </c>
      <c r="G16" s="63">
        <f t="shared" si="3"/>
        <v>142.0374612634088</v>
      </c>
      <c r="H16" s="61">
        <v>20</v>
      </c>
      <c r="I16" s="169">
        <f t="shared" si="1"/>
        <v>2.3837902264600714E-2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August'!H16)</f>
        <v>173</v>
      </c>
      <c r="K16" s="172">
        <f t="shared" si="2"/>
        <v>0.20619785458879619</v>
      </c>
      <c r="L16" s="188">
        <v>22408.63</v>
      </c>
      <c r="M16" s="89">
        <f t="shared" si="4"/>
        <v>0.18804008712637127</v>
      </c>
      <c r="N16" s="130">
        <v>9010</v>
      </c>
      <c r="O16" s="9"/>
    </row>
    <row r="17" spans="1:15" ht="15.6" customHeight="1" x14ac:dyDescent="0.3">
      <c r="A17" s="160" t="s">
        <v>28</v>
      </c>
      <c r="B17" s="194">
        <v>198462.73</v>
      </c>
      <c r="C17" s="73">
        <v>164548.48000000001</v>
      </c>
      <c r="D17" s="145">
        <v>209337.65</v>
      </c>
      <c r="E17" s="163">
        <f t="shared" si="0"/>
        <v>0.27219437092338977</v>
      </c>
      <c r="F17" s="166">
        <v>1299</v>
      </c>
      <c r="G17" s="63">
        <f t="shared" si="3"/>
        <v>161.15292532717476</v>
      </c>
      <c r="H17" s="61">
        <v>15</v>
      </c>
      <c r="I17" s="169">
        <f t="shared" si="1"/>
        <v>1.1547344110854504E-2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August'!H17)</f>
        <v>200</v>
      </c>
      <c r="K17" s="172">
        <f t="shared" si="2"/>
        <v>0.15396458814472672</v>
      </c>
      <c r="L17" s="188">
        <v>32935.599999999999</v>
      </c>
      <c r="M17" s="89">
        <f t="shared" si="4"/>
        <v>0.1573324244348783</v>
      </c>
      <c r="N17" s="130">
        <v>17330.21</v>
      </c>
      <c r="O17" s="9"/>
    </row>
    <row r="18" spans="1:15" ht="16.2" customHeight="1" thickBot="1" x14ac:dyDescent="0.35">
      <c r="A18" s="161" t="s">
        <v>33</v>
      </c>
      <c r="B18" s="195">
        <v>143407</v>
      </c>
      <c r="C18" s="131"/>
      <c r="D18" s="146">
        <v>147869.29</v>
      </c>
      <c r="E18" s="164">
        <f t="shared" si="0"/>
        <v>0</v>
      </c>
      <c r="F18" s="167">
        <v>1200</v>
      </c>
      <c r="G18" s="132">
        <f t="shared" si="3"/>
        <v>123.22440833333334</v>
      </c>
      <c r="H18" s="133">
        <v>44</v>
      </c>
      <c r="I18" s="170">
        <f t="shared" si="1"/>
        <v>3.6666666666666667E-2</v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August'!H18)</f>
        <v>461</v>
      </c>
      <c r="K18" s="173">
        <f t="shared" si="2"/>
        <v>0.38416666666666666</v>
      </c>
      <c r="L18" s="189">
        <v>24603.49</v>
      </c>
      <c r="M18" s="116">
        <f t="shared" si="4"/>
        <v>0.16638674602414064</v>
      </c>
      <c r="N18" s="134">
        <v>3495.8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B7:B18">
    <cfRule type="cellIs" dxfId="656" priority="6" operator="equal">
      <formula>0</formula>
    </cfRule>
  </conditionalFormatting>
  <conditionalFormatting sqref="C6:C18">
    <cfRule type="cellIs" dxfId="655" priority="5" operator="equal">
      <formula>0</formula>
    </cfRule>
  </conditionalFormatting>
  <conditionalFormatting sqref="D7:D18">
    <cfRule type="cellIs" dxfId="654" priority="4" operator="equal">
      <formula>0</formula>
    </cfRule>
  </conditionalFormatting>
  <conditionalFormatting sqref="E6:K18">
    <cfRule type="cellIs" dxfId="653" priority="3" operator="equal">
      <formula>0</formula>
    </cfRule>
  </conditionalFormatting>
  <conditionalFormatting sqref="L7:L18">
    <cfRule type="cellIs" dxfId="652" priority="2" operator="equal">
      <formula>0</formula>
    </cfRule>
  </conditionalFormatting>
  <conditionalFormatting sqref="M6:N18">
    <cfRule type="cellIs" dxfId="65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O40"/>
  <sheetViews>
    <sheetView zoomScale="78" workbookViewId="0">
      <pane xSplit="1" topLeftCell="B1" activePane="topRight" state="frozen"/>
      <selection pane="topRight" activeCell="D13" sqref="D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0.1445275058688516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2317579.2999999998</v>
      </c>
      <c r="C4" s="135">
        <f>SUM(C6:C18)-C14</f>
        <v>1923280.82</v>
      </c>
      <c r="D4" s="142">
        <f>SUM(D6:D18)</f>
        <v>2360379.1799999997</v>
      </c>
      <c r="E4" s="152">
        <f t="shared" ref="E4:E18" si="0">IFERROR((SUM(D4-C4)/C4),0)</f>
        <v>0.22726705089275503</v>
      </c>
      <c r="F4" s="147">
        <f>SUM(F6:F18)</f>
        <v>16578</v>
      </c>
      <c r="G4" s="136">
        <f>AVERAGE(G5:G18)</f>
        <v>130.52881749236889</v>
      </c>
      <c r="H4" s="137">
        <f>SUM(H6:H18)</f>
        <v>306</v>
      </c>
      <c r="I4" s="138">
        <f t="shared" ref="I4:I18" si="1">IFERROR(H4/F4,0)</f>
        <v>1.8458197611292075E-2</v>
      </c>
      <c r="J4" s="139">
        <f>SUM(J6:J18)</f>
        <v>3456</v>
      </c>
      <c r="K4" s="140">
        <f t="shared" ref="K4:K18" si="2">IFERROR(J4/SUM(F4),0)</f>
        <v>0.20846905537459284</v>
      </c>
      <c r="L4" s="186">
        <f>SUM(L6:L18)</f>
        <v>358855.66</v>
      </c>
      <c r="M4" s="140">
        <f>SUM(L4/D4)</f>
        <v>0.15203305597704858</v>
      </c>
      <c r="N4" s="141">
        <f>SUM(N6:N18)</f>
        <v>118945.59000000001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96">
        <v>222616.58</v>
      </c>
      <c r="C6" s="123">
        <v>209469.86</v>
      </c>
      <c r="D6" s="197">
        <v>231767.72</v>
      </c>
      <c r="E6" s="162">
        <f t="shared" si="0"/>
        <v>0.10644901371490875</v>
      </c>
      <c r="F6" s="165">
        <v>1727</v>
      </c>
      <c r="G6" s="124">
        <f t="shared" ref="G6:G18" si="3">IFERROR(D6/F6,0)</f>
        <v>134.202501447597</v>
      </c>
      <c r="H6" s="125">
        <v>23</v>
      </c>
      <c r="I6" s="168">
        <f t="shared" si="1"/>
        <v>1.3317892298784018E-2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August'!H6)</f>
        <v>341</v>
      </c>
      <c r="K6" s="171">
        <f t="shared" si="2"/>
        <v>0.19745222929936307</v>
      </c>
      <c r="L6" s="191">
        <v>35182.43</v>
      </c>
      <c r="M6" s="128">
        <f t="shared" ref="M6:M18" si="4">SUM(L6/D6)</f>
        <v>0.15180038876854809</v>
      </c>
      <c r="N6" s="129">
        <v>8980.65</v>
      </c>
      <c r="O6" s="26"/>
    </row>
    <row r="7" spans="1:15" ht="15.6" customHeight="1" x14ac:dyDescent="0.3">
      <c r="A7" s="406" t="s">
        <v>16</v>
      </c>
      <c r="B7" s="194">
        <v>197449.78</v>
      </c>
      <c r="C7" s="73">
        <v>181006.65</v>
      </c>
      <c r="D7" s="145">
        <v>221483.49</v>
      </c>
      <c r="E7" s="163">
        <f t="shared" si="0"/>
        <v>0.22362073437633367</v>
      </c>
      <c r="F7" s="166">
        <v>1542</v>
      </c>
      <c r="G7" s="63">
        <f t="shared" si="3"/>
        <v>143.63391050583658</v>
      </c>
      <c r="H7" s="61">
        <v>10</v>
      </c>
      <c r="I7" s="169">
        <f t="shared" si="1"/>
        <v>6.4850843060959796E-3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August'!H7)</f>
        <v>164</v>
      </c>
      <c r="K7" s="172">
        <f t="shared" si="2"/>
        <v>0.10635538261997406</v>
      </c>
      <c r="L7" s="188">
        <v>28271.9</v>
      </c>
      <c r="M7" s="89">
        <f t="shared" si="4"/>
        <v>0.12764788923996095</v>
      </c>
      <c r="N7" s="130">
        <v>21222.799999999999</v>
      </c>
      <c r="O7" s="26"/>
    </row>
    <row r="8" spans="1:15" ht="15.6" customHeight="1" x14ac:dyDescent="0.3">
      <c r="A8" s="406" t="s">
        <v>17</v>
      </c>
      <c r="B8" s="194">
        <v>78509.75</v>
      </c>
      <c r="C8" s="73">
        <v>105933.58</v>
      </c>
      <c r="D8" s="145">
        <v>108339.36</v>
      </c>
      <c r="E8" s="163">
        <f t="shared" si="0"/>
        <v>2.2710268075524294E-2</v>
      </c>
      <c r="F8" s="166">
        <v>727</v>
      </c>
      <c r="G8" s="63">
        <f t="shared" si="3"/>
        <v>149.02250343878956</v>
      </c>
      <c r="H8" s="61">
        <v>12</v>
      </c>
      <c r="I8" s="169">
        <f t="shared" si="1"/>
        <v>1.6506189821182942E-2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August'!H8)</f>
        <v>74</v>
      </c>
      <c r="K8" s="172">
        <f t="shared" si="2"/>
        <v>0.10178817056396149</v>
      </c>
      <c r="L8" s="188">
        <v>38226.39</v>
      </c>
      <c r="M8" s="89">
        <f t="shared" si="4"/>
        <v>0.3528393558906015</v>
      </c>
      <c r="N8" s="130">
        <v>3473.5</v>
      </c>
      <c r="O8" s="26"/>
    </row>
    <row r="9" spans="1:15" ht="15.6" customHeight="1" x14ac:dyDescent="0.3">
      <c r="A9" s="406" t="s">
        <v>18</v>
      </c>
      <c r="B9" s="194">
        <v>311549.81</v>
      </c>
      <c r="C9" s="73">
        <v>275025.62</v>
      </c>
      <c r="D9" s="145">
        <v>318980.90000000002</v>
      </c>
      <c r="E9" s="163">
        <f t="shared" si="0"/>
        <v>0.15982249217363834</v>
      </c>
      <c r="F9" s="166">
        <v>2263</v>
      </c>
      <c r="G9" s="63">
        <f t="shared" si="3"/>
        <v>140.95488289880691</v>
      </c>
      <c r="H9" s="61">
        <v>26</v>
      </c>
      <c r="I9" s="169">
        <f t="shared" si="1"/>
        <v>1.1489173663278833E-2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August'!H9)</f>
        <v>387</v>
      </c>
      <c r="K9" s="172">
        <f t="shared" si="2"/>
        <v>0.17101193106495802</v>
      </c>
      <c r="L9" s="188">
        <v>24390.2</v>
      </c>
      <c r="M9" s="89">
        <f t="shared" si="4"/>
        <v>7.6462885395332442E-2</v>
      </c>
      <c r="N9" s="130">
        <v>11367.02</v>
      </c>
      <c r="O9" s="26"/>
    </row>
    <row r="10" spans="1:15" ht="15.6" customHeight="1" x14ac:dyDescent="0.3">
      <c r="A10" s="406" t="s">
        <v>20</v>
      </c>
      <c r="B10" s="194">
        <v>154333.15</v>
      </c>
      <c r="C10" s="73">
        <v>134373.57</v>
      </c>
      <c r="D10" s="145">
        <v>146426.01999999999</v>
      </c>
      <c r="E10" s="163">
        <f t="shared" si="0"/>
        <v>8.9693605669626711E-2</v>
      </c>
      <c r="F10" s="166">
        <v>1012</v>
      </c>
      <c r="G10" s="63">
        <f t="shared" si="3"/>
        <v>144.68974308300395</v>
      </c>
      <c r="H10" s="61">
        <v>20</v>
      </c>
      <c r="I10" s="169">
        <f t="shared" si="1"/>
        <v>1.9762845849802372E-2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August'!H10)</f>
        <v>228</v>
      </c>
      <c r="K10" s="172">
        <f t="shared" si="2"/>
        <v>0.22529644268774704</v>
      </c>
      <c r="L10" s="188">
        <v>37550.080000000002</v>
      </c>
      <c r="M10" s="89">
        <f t="shared" si="4"/>
        <v>0.25644403911272057</v>
      </c>
      <c r="N10" s="130">
        <v>8631.2999999999993</v>
      </c>
      <c r="O10" s="26"/>
    </row>
    <row r="11" spans="1:15" ht="15.6" customHeight="1" x14ac:dyDescent="0.3">
      <c r="A11" s="406" t="s">
        <v>21</v>
      </c>
      <c r="B11" s="194">
        <v>351899.09</v>
      </c>
      <c r="C11" s="73">
        <v>302044.64</v>
      </c>
      <c r="D11" s="145">
        <v>360091.79</v>
      </c>
      <c r="E11" s="163">
        <f t="shared" si="0"/>
        <v>0.19218069885299061</v>
      </c>
      <c r="F11" s="166">
        <v>2123</v>
      </c>
      <c r="G11" s="63">
        <f t="shared" si="3"/>
        <v>169.61459726801695</v>
      </c>
      <c r="H11" s="61">
        <v>25</v>
      </c>
      <c r="I11" s="169">
        <f t="shared" si="1"/>
        <v>1.1775788977861516E-2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August'!H11)</f>
        <v>377</v>
      </c>
      <c r="K11" s="172">
        <f t="shared" si="2"/>
        <v>0.17757889778615168</v>
      </c>
      <c r="L11" s="188">
        <v>49753.07</v>
      </c>
      <c r="M11" s="89">
        <f t="shared" si="4"/>
        <v>0.13816774328567724</v>
      </c>
      <c r="N11" s="130">
        <v>16573.150000000001</v>
      </c>
      <c r="O11" s="26"/>
    </row>
    <row r="12" spans="1:15" ht="15.6" customHeight="1" x14ac:dyDescent="0.3">
      <c r="A12" s="160" t="s">
        <v>22</v>
      </c>
      <c r="B12" s="194">
        <v>158515.24</v>
      </c>
      <c r="C12" s="73">
        <v>120580.58</v>
      </c>
      <c r="D12" s="145">
        <v>140341.66</v>
      </c>
      <c r="E12" s="163">
        <f t="shared" si="0"/>
        <v>0.16388277448988886</v>
      </c>
      <c r="F12" s="166">
        <v>1109</v>
      </c>
      <c r="G12" s="63">
        <f t="shared" si="3"/>
        <v>126.54793507664563</v>
      </c>
      <c r="H12" s="61">
        <v>22</v>
      </c>
      <c r="I12" s="169">
        <f t="shared" si="1"/>
        <v>1.9837691614066726E-2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August'!H12)</f>
        <v>199</v>
      </c>
      <c r="K12" s="172">
        <f t="shared" si="2"/>
        <v>0.17944093778178538</v>
      </c>
      <c r="L12" s="188">
        <v>21148.97</v>
      </c>
      <c r="M12" s="89">
        <f t="shared" si="4"/>
        <v>0.15069630785327751</v>
      </c>
      <c r="N12" s="130">
        <v>11988.1</v>
      </c>
      <c r="O12" s="26"/>
    </row>
    <row r="13" spans="1:15" ht="15.6" customHeight="1" x14ac:dyDescent="0.3">
      <c r="A13" s="160" t="s">
        <v>23</v>
      </c>
      <c r="B13" s="194">
        <v>217294.07999999999</v>
      </c>
      <c r="C13" s="73">
        <v>208254.48</v>
      </c>
      <c r="D13" s="145">
        <v>198305.39</v>
      </c>
      <c r="E13" s="163">
        <f t="shared" si="0"/>
        <v>-4.7773714159714577E-2</v>
      </c>
      <c r="F13" s="166">
        <v>1424</v>
      </c>
      <c r="G13" s="63">
        <f t="shared" si="3"/>
        <v>139.25940308988766</v>
      </c>
      <c r="H13" s="61">
        <v>45</v>
      </c>
      <c r="I13" s="169">
        <f t="shared" si="1"/>
        <v>3.1601123595505619E-2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August'!H13)</f>
        <v>464</v>
      </c>
      <c r="K13" s="172">
        <f t="shared" si="2"/>
        <v>0.3258426966292135</v>
      </c>
      <c r="L13" s="188">
        <v>37499.17</v>
      </c>
      <c r="M13" s="89">
        <f t="shared" si="4"/>
        <v>0.18909808755072163</v>
      </c>
      <c r="N13" s="130">
        <v>8758.9</v>
      </c>
      <c r="O13" s="26"/>
    </row>
    <row r="14" spans="1:15" ht="15.6" hidden="1" customHeight="1" x14ac:dyDescent="0.3">
      <c r="A14" s="160" t="s">
        <v>24</v>
      </c>
      <c r="B14" s="194"/>
      <c r="C14" s="73">
        <v>51017.29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94">
        <v>149035.45000000001</v>
      </c>
      <c r="C15" s="73">
        <v>113631.98</v>
      </c>
      <c r="D15" s="145">
        <v>144589.57</v>
      </c>
      <c r="E15" s="163">
        <f t="shared" si="0"/>
        <v>0.27243730154134438</v>
      </c>
      <c r="F15" s="166">
        <v>1249</v>
      </c>
      <c r="G15" s="63">
        <f t="shared" si="3"/>
        <v>115.76426741393115</v>
      </c>
      <c r="H15" s="61">
        <v>56</v>
      </c>
      <c r="I15" s="169">
        <f t="shared" si="1"/>
        <v>4.4835868694955962E-2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August'!H15)</f>
        <v>321</v>
      </c>
      <c r="K15" s="172">
        <f t="shared" si="2"/>
        <v>0.25700560448358689</v>
      </c>
      <c r="L15" s="188">
        <v>4570.87</v>
      </c>
      <c r="M15" s="89">
        <f t="shared" si="4"/>
        <v>3.1612722826411338E-2</v>
      </c>
      <c r="N15" s="130">
        <v>4768.55</v>
      </c>
      <c r="O15" s="9"/>
    </row>
    <row r="16" spans="1:15" ht="15.6" customHeight="1" x14ac:dyDescent="0.3">
      <c r="A16" s="160" t="s">
        <v>27</v>
      </c>
      <c r="B16" s="194">
        <v>119169.43</v>
      </c>
      <c r="C16" s="73">
        <v>112972.82</v>
      </c>
      <c r="D16" s="145">
        <v>132180.87</v>
      </c>
      <c r="E16" s="163">
        <f t="shared" si="0"/>
        <v>0.17002363931430575</v>
      </c>
      <c r="F16" s="166">
        <v>886</v>
      </c>
      <c r="G16" s="63">
        <f t="shared" si="3"/>
        <v>149.18834085778781</v>
      </c>
      <c r="H16" s="61">
        <v>18</v>
      </c>
      <c r="I16" s="169">
        <f t="shared" si="1"/>
        <v>2.0316027088036117E-2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August'!H16)</f>
        <v>191</v>
      </c>
      <c r="K16" s="172">
        <f t="shared" si="2"/>
        <v>0.21557562076749437</v>
      </c>
      <c r="L16" s="188">
        <v>27060.1</v>
      </c>
      <c r="M16" s="89">
        <f t="shared" si="4"/>
        <v>0.20472024431371952</v>
      </c>
      <c r="N16" s="130">
        <v>7638</v>
      </c>
      <c r="O16" s="9"/>
    </row>
    <row r="17" spans="1:15" ht="15.6" customHeight="1" x14ac:dyDescent="0.3">
      <c r="A17" s="160" t="s">
        <v>28</v>
      </c>
      <c r="B17" s="194">
        <v>209337.65</v>
      </c>
      <c r="C17" s="73">
        <v>159987.04</v>
      </c>
      <c r="D17" s="145">
        <v>198741.03</v>
      </c>
      <c r="E17" s="163">
        <f t="shared" si="0"/>
        <v>0.24223205829672195</v>
      </c>
      <c r="F17" s="166">
        <v>1281</v>
      </c>
      <c r="G17" s="63">
        <f t="shared" si="3"/>
        <v>155.1452224824356</v>
      </c>
      <c r="H17" s="61">
        <v>14</v>
      </c>
      <c r="I17" s="169">
        <f t="shared" si="1"/>
        <v>1.092896174863388E-2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August'!H17)</f>
        <v>214</v>
      </c>
      <c r="K17" s="172">
        <f t="shared" si="2"/>
        <v>0.16705698672911787</v>
      </c>
      <c r="L17" s="188">
        <v>34220.35</v>
      </c>
      <c r="M17" s="89">
        <f t="shared" si="4"/>
        <v>0.17218563273019163</v>
      </c>
      <c r="N17" s="130">
        <v>10249.120000000001</v>
      </c>
      <c r="O17" s="9"/>
    </row>
    <row r="18" spans="1:15" ht="16.2" customHeight="1" thickBot="1" x14ac:dyDescent="0.35">
      <c r="A18" s="161" t="s">
        <v>33</v>
      </c>
      <c r="B18" s="195">
        <v>147869.29</v>
      </c>
      <c r="C18" s="131"/>
      <c r="D18" s="146">
        <v>159131.38</v>
      </c>
      <c r="E18" s="164">
        <f t="shared" si="0"/>
        <v>0</v>
      </c>
      <c r="F18" s="167">
        <v>1235</v>
      </c>
      <c r="G18" s="132">
        <f t="shared" si="3"/>
        <v>128.8513198380567</v>
      </c>
      <c r="H18" s="133">
        <v>35</v>
      </c>
      <c r="I18" s="170">
        <f t="shared" si="1"/>
        <v>2.8340080971659919E-2</v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August'!H18)</f>
        <v>496</v>
      </c>
      <c r="K18" s="173">
        <f t="shared" si="2"/>
        <v>0.40161943319838056</v>
      </c>
      <c r="L18" s="189">
        <v>20982.13</v>
      </c>
      <c r="M18" s="116">
        <f t="shared" si="4"/>
        <v>0.13185413210141206</v>
      </c>
      <c r="N18" s="134">
        <v>5294.5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B7:B18">
    <cfRule type="cellIs" dxfId="650" priority="6" operator="equal">
      <formula>0</formula>
    </cfRule>
  </conditionalFormatting>
  <conditionalFormatting sqref="C6:C18">
    <cfRule type="cellIs" dxfId="649" priority="5" operator="equal">
      <formula>0</formula>
    </cfRule>
  </conditionalFormatting>
  <conditionalFormatting sqref="D7:D18">
    <cfRule type="cellIs" dxfId="648" priority="4" operator="equal">
      <formula>0</formula>
    </cfRule>
  </conditionalFormatting>
  <conditionalFormatting sqref="E6:K18">
    <cfRule type="cellIs" dxfId="647" priority="3" operator="equal">
      <formula>0</formula>
    </cfRule>
  </conditionalFormatting>
  <conditionalFormatting sqref="L7:L18">
    <cfRule type="cellIs" dxfId="646" priority="2" operator="equal">
      <formula>0</formula>
    </cfRule>
  </conditionalFormatting>
  <conditionalFormatting sqref="M6:N18">
    <cfRule type="cellIs" dxfId="64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O40"/>
  <sheetViews>
    <sheetView zoomScale="78" workbookViewId="0">
      <pane xSplit="1" topLeftCell="B1" activePane="topRight" state="frozen"/>
      <selection pane="topRight" activeCell="J7" sqref="J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8.8490620198883832E-2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2360379.1799999997</v>
      </c>
      <c r="C4" s="135">
        <f>SUM(C6:C18)-C14</f>
        <v>2088700.47</v>
      </c>
      <c r="D4" s="142">
        <f>SUM(D6:D18)</f>
        <v>2445527.08</v>
      </c>
      <c r="E4" s="152">
        <f t="shared" ref="E4:E18" si="0">IFERROR((SUM(D4-C4)/C4),0)</f>
        <v>0.17083665902559983</v>
      </c>
      <c r="F4" s="147">
        <f>SUM(F6:F18)</f>
        <v>17835</v>
      </c>
      <c r="G4" s="136">
        <f>AVERAGE(G5:G18)</f>
        <v>126.41491831385792</v>
      </c>
      <c r="H4" s="137">
        <f>SUM(H6:H18)</f>
        <v>326</v>
      </c>
      <c r="I4" s="138">
        <f t="shared" ref="I4:I18" si="1">IFERROR(H4/F4,0)</f>
        <v>1.8278665545276143E-2</v>
      </c>
      <c r="J4" s="139">
        <f>SUM(J6:J18)</f>
        <v>3782</v>
      </c>
      <c r="K4" s="140">
        <f t="shared" ref="K4:K18" si="2">IFERROR(J4/SUM(F4),0)</f>
        <v>0.21205494813568826</v>
      </c>
      <c r="L4" s="186">
        <f>SUM(L6:L18)</f>
        <v>389747.34999999992</v>
      </c>
      <c r="M4" s="140">
        <f>SUM(L4/D4)</f>
        <v>0.15937151266384664</v>
      </c>
      <c r="N4" s="141">
        <f>SUM(N6:N18)</f>
        <v>139579.22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5" t="s">
        <v>15</v>
      </c>
      <c r="B6" s="196">
        <v>231767.72</v>
      </c>
      <c r="C6" s="123">
        <v>235760.36</v>
      </c>
      <c r="D6" s="197">
        <v>248696.5</v>
      </c>
      <c r="E6" s="162">
        <f t="shared" si="0"/>
        <v>5.4869868709057003E-2</v>
      </c>
      <c r="F6" s="165">
        <v>1919</v>
      </c>
      <c r="G6" s="124">
        <f t="shared" ref="G6:G18" si="3">IFERROR(D6/F6,0)</f>
        <v>129.59692548202187</v>
      </c>
      <c r="H6" s="125">
        <v>31</v>
      </c>
      <c r="I6" s="168">
        <f t="shared" si="1"/>
        <v>1.6154247003647731E-2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August'!H6)</f>
        <v>372</v>
      </c>
      <c r="K6" s="171">
        <f t="shared" si="2"/>
        <v>0.19385096404377281</v>
      </c>
      <c r="L6" s="191">
        <v>36713.629999999997</v>
      </c>
      <c r="M6" s="128">
        <f t="shared" ref="M6:M18" si="4">SUM(L6/D6)</f>
        <v>0.14762423274955619</v>
      </c>
      <c r="N6" s="129">
        <v>14217.1</v>
      </c>
      <c r="O6" s="26"/>
    </row>
    <row r="7" spans="1:15" ht="15.6" customHeight="1" x14ac:dyDescent="0.3">
      <c r="A7" s="406" t="s">
        <v>16</v>
      </c>
      <c r="B7" s="194">
        <v>221483.49</v>
      </c>
      <c r="C7" s="73">
        <v>200562.47</v>
      </c>
      <c r="D7" s="145">
        <v>252827.21</v>
      </c>
      <c r="E7" s="163">
        <f t="shared" si="0"/>
        <v>0.26059082738659922</v>
      </c>
      <c r="F7" s="166">
        <v>1758</v>
      </c>
      <c r="G7" s="63">
        <f t="shared" si="3"/>
        <v>143.81525028441411</v>
      </c>
      <c r="H7" s="61">
        <v>15</v>
      </c>
      <c r="I7" s="169">
        <f t="shared" si="1"/>
        <v>8.5324232081911266E-3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August'!H7)</f>
        <v>179</v>
      </c>
      <c r="K7" s="172">
        <f t="shared" si="2"/>
        <v>0.1018202502844141</v>
      </c>
      <c r="L7" s="188">
        <v>41543.839999999997</v>
      </c>
      <c r="M7" s="89">
        <f t="shared" si="4"/>
        <v>0.16431712393614595</v>
      </c>
      <c r="N7" s="130">
        <v>29181.97</v>
      </c>
      <c r="O7" s="26"/>
    </row>
    <row r="8" spans="1:15" ht="15.6" customHeight="1" x14ac:dyDescent="0.3">
      <c r="A8" s="406" t="s">
        <v>17</v>
      </c>
      <c r="B8" s="194">
        <v>108339.36</v>
      </c>
      <c r="C8" s="73">
        <v>116687.5</v>
      </c>
      <c r="D8" s="145">
        <v>100438.88</v>
      </c>
      <c r="E8" s="163">
        <f t="shared" si="0"/>
        <v>-0.13924901981788962</v>
      </c>
      <c r="F8" s="166">
        <v>741</v>
      </c>
      <c r="G8" s="63">
        <f t="shared" si="3"/>
        <v>135.5450472334683</v>
      </c>
      <c r="H8" s="61">
        <v>5</v>
      </c>
      <c r="I8" s="169">
        <f t="shared" si="1"/>
        <v>6.7476383265856954E-3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August'!H8)</f>
        <v>79</v>
      </c>
      <c r="K8" s="172">
        <f t="shared" si="2"/>
        <v>0.10661268556005399</v>
      </c>
      <c r="L8" s="188">
        <v>30042.959999999999</v>
      </c>
      <c r="M8" s="89">
        <f t="shared" si="4"/>
        <v>0.29911683603003136</v>
      </c>
      <c r="N8" s="130">
        <v>4137</v>
      </c>
      <c r="O8" s="26"/>
    </row>
    <row r="9" spans="1:15" ht="15.6" customHeight="1" x14ac:dyDescent="0.3">
      <c r="A9" s="406" t="s">
        <v>18</v>
      </c>
      <c r="B9" s="194">
        <v>318980.90000000002</v>
      </c>
      <c r="C9" s="73">
        <v>272847.31</v>
      </c>
      <c r="D9" s="145">
        <v>336182.19</v>
      </c>
      <c r="E9" s="163">
        <f t="shared" si="0"/>
        <v>0.23212572628991654</v>
      </c>
      <c r="F9" s="166">
        <v>2570</v>
      </c>
      <c r="G9" s="63">
        <f t="shared" si="3"/>
        <v>130.8101906614786</v>
      </c>
      <c r="H9" s="61">
        <v>26</v>
      </c>
      <c r="I9" s="169">
        <f t="shared" si="1"/>
        <v>1.0116731517509728E-2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August'!H9)</f>
        <v>413</v>
      </c>
      <c r="K9" s="172">
        <f t="shared" si="2"/>
        <v>0.16070038910505838</v>
      </c>
      <c r="L9" s="188">
        <v>26807.21</v>
      </c>
      <c r="M9" s="89">
        <f t="shared" si="4"/>
        <v>7.9740125436151152E-2</v>
      </c>
      <c r="N9" s="130">
        <v>12415.5</v>
      </c>
      <c r="O9" s="26"/>
    </row>
    <row r="10" spans="1:15" ht="15.6" customHeight="1" x14ac:dyDescent="0.3">
      <c r="A10" s="406" t="s">
        <v>20</v>
      </c>
      <c r="B10" s="194">
        <v>146426.01999999999</v>
      </c>
      <c r="C10" s="73">
        <v>142890.54</v>
      </c>
      <c r="D10" s="145">
        <v>152135.32999999999</v>
      </c>
      <c r="E10" s="163">
        <f t="shared" si="0"/>
        <v>6.4698404806924084E-2</v>
      </c>
      <c r="F10" s="166">
        <v>965</v>
      </c>
      <c r="G10" s="63">
        <f t="shared" si="3"/>
        <v>157.65319170984455</v>
      </c>
      <c r="H10" s="61">
        <v>19</v>
      </c>
      <c r="I10" s="169">
        <f t="shared" si="1"/>
        <v>1.9689119170984457E-2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August'!H10)</f>
        <v>247</v>
      </c>
      <c r="K10" s="172">
        <f t="shared" si="2"/>
        <v>0.25595854922279793</v>
      </c>
      <c r="L10" s="188">
        <v>44489.46</v>
      </c>
      <c r="M10" s="89">
        <f t="shared" si="4"/>
        <v>0.29243345382035851</v>
      </c>
      <c r="N10" s="130">
        <v>10134.15</v>
      </c>
      <c r="O10" s="26"/>
    </row>
    <row r="11" spans="1:15" ht="15.6" customHeight="1" x14ac:dyDescent="0.3">
      <c r="A11" s="406" t="s">
        <v>21</v>
      </c>
      <c r="B11" s="194">
        <v>360091.79</v>
      </c>
      <c r="C11" s="73">
        <v>342584.91</v>
      </c>
      <c r="D11" s="145">
        <v>359955.15</v>
      </c>
      <c r="E11" s="163">
        <f t="shared" si="0"/>
        <v>5.0703459180382611E-2</v>
      </c>
      <c r="F11" s="166">
        <v>2246</v>
      </c>
      <c r="G11" s="63">
        <f t="shared" si="3"/>
        <v>160.264982190561</v>
      </c>
      <c r="H11" s="61">
        <v>35</v>
      </c>
      <c r="I11" s="169">
        <f t="shared" si="1"/>
        <v>1.5583259127337488E-2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August'!H11)</f>
        <v>412</v>
      </c>
      <c r="K11" s="172">
        <f t="shared" si="2"/>
        <v>0.18343722172751559</v>
      </c>
      <c r="L11" s="188">
        <v>51271.58</v>
      </c>
      <c r="M11" s="89">
        <f t="shared" si="4"/>
        <v>0.14243880105618714</v>
      </c>
      <c r="N11" s="130">
        <v>19549.5</v>
      </c>
      <c r="O11" s="26"/>
    </row>
    <row r="12" spans="1:15" ht="15.6" customHeight="1" x14ac:dyDescent="0.3">
      <c r="A12" s="160" t="s">
        <v>22</v>
      </c>
      <c r="B12" s="194">
        <v>140341.66</v>
      </c>
      <c r="C12" s="73">
        <v>117324.77</v>
      </c>
      <c r="D12" s="145">
        <v>142994.71</v>
      </c>
      <c r="E12" s="163">
        <f t="shared" si="0"/>
        <v>0.21879386595004607</v>
      </c>
      <c r="F12" s="166">
        <v>1242</v>
      </c>
      <c r="G12" s="63">
        <f t="shared" si="3"/>
        <v>115.13261674718196</v>
      </c>
      <c r="H12" s="61">
        <v>37</v>
      </c>
      <c r="I12" s="169">
        <f t="shared" si="1"/>
        <v>2.9790660225442835E-2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August'!H12)</f>
        <v>236</v>
      </c>
      <c r="K12" s="172">
        <f t="shared" si="2"/>
        <v>0.19001610305958133</v>
      </c>
      <c r="L12" s="188">
        <v>27605.19</v>
      </c>
      <c r="M12" s="89">
        <f t="shared" si="4"/>
        <v>0.19305042822912818</v>
      </c>
      <c r="N12" s="130">
        <v>10950.2</v>
      </c>
      <c r="O12" s="26"/>
    </row>
    <row r="13" spans="1:15" ht="15.6" customHeight="1" x14ac:dyDescent="0.3">
      <c r="A13" s="160" t="s">
        <v>23</v>
      </c>
      <c r="B13" s="194">
        <v>198305.39</v>
      </c>
      <c r="C13" s="73">
        <v>229593.2</v>
      </c>
      <c r="D13" s="145">
        <v>200652.94</v>
      </c>
      <c r="E13" s="163">
        <f t="shared" si="0"/>
        <v>-0.12605016176437284</v>
      </c>
      <c r="F13" s="166">
        <v>1485</v>
      </c>
      <c r="G13" s="63">
        <f t="shared" si="3"/>
        <v>135.11982491582492</v>
      </c>
      <c r="H13" s="61">
        <v>32</v>
      </c>
      <c r="I13" s="169">
        <f t="shared" si="1"/>
        <v>2.154882154882155E-2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August'!H13)</f>
        <v>496</v>
      </c>
      <c r="K13" s="172">
        <f t="shared" si="2"/>
        <v>0.33400673400673403</v>
      </c>
      <c r="L13" s="188">
        <v>34331.24</v>
      </c>
      <c r="M13" s="89">
        <f t="shared" si="4"/>
        <v>0.17109761760779582</v>
      </c>
      <c r="N13" s="130">
        <v>10205</v>
      </c>
      <c r="O13" s="26"/>
    </row>
    <row r="14" spans="1:15" ht="15.6" hidden="1" customHeight="1" x14ac:dyDescent="0.3">
      <c r="A14" s="160" t="s">
        <v>24</v>
      </c>
      <c r="B14" s="194"/>
      <c r="C14" s="73">
        <v>67177.14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60" t="s">
        <v>26</v>
      </c>
      <c r="B15" s="194">
        <v>144589.57</v>
      </c>
      <c r="C15" s="73">
        <v>121573.93</v>
      </c>
      <c r="D15" s="145">
        <v>149768.1</v>
      </c>
      <c r="E15" s="163">
        <f t="shared" si="0"/>
        <v>0.23190967010772798</v>
      </c>
      <c r="F15" s="166">
        <v>1222</v>
      </c>
      <c r="G15" s="63">
        <f t="shared" si="3"/>
        <v>122.55981996726678</v>
      </c>
      <c r="H15" s="61">
        <v>30</v>
      </c>
      <c r="I15" s="169">
        <f t="shared" si="1"/>
        <v>2.4549918166939442E-2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August'!H15)</f>
        <v>351</v>
      </c>
      <c r="K15" s="172">
        <f t="shared" si="2"/>
        <v>0.28723404255319152</v>
      </c>
      <c r="L15" s="188">
        <v>9307.48</v>
      </c>
      <c r="M15" s="89">
        <f t="shared" si="4"/>
        <v>6.2145944296549127E-2</v>
      </c>
      <c r="N15" s="130">
        <v>5057.8999999999996</v>
      </c>
      <c r="O15" s="9"/>
    </row>
    <row r="16" spans="1:15" ht="15.6" customHeight="1" x14ac:dyDescent="0.3">
      <c r="A16" s="160" t="s">
        <v>27</v>
      </c>
      <c r="B16" s="194">
        <v>132180.87</v>
      </c>
      <c r="C16" s="73">
        <v>108880.84</v>
      </c>
      <c r="D16" s="145">
        <v>139344.51999999999</v>
      </c>
      <c r="E16" s="163">
        <f t="shared" si="0"/>
        <v>0.27978917135466619</v>
      </c>
      <c r="F16" s="166">
        <v>927</v>
      </c>
      <c r="G16" s="63">
        <f t="shared" si="3"/>
        <v>150.31771305285866</v>
      </c>
      <c r="H16" s="61">
        <v>26</v>
      </c>
      <c r="I16" s="169">
        <f t="shared" si="1"/>
        <v>2.8047464940668825E-2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August'!H16)</f>
        <v>217</v>
      </c>
      <c r="K16" s="172">
        <f t="shared" si="2"/>
        <v>0.23408845738942827</v>
      </c>
      <c r="L16" s="188">
        <v>24518.49</v>
      </c>
      <c r="M16" s="89">
        <f t="shared" si="4"/>
        <v>0.17595589693803534</v>
      </c>
      <c r="N16" s="130">
        <v>8495.7000000000007</v>
      </c>
      <c r="O16" s="9"/>
    </row>
    <row r="17" spans="1:15" ht="15.6" customHeight="1" x14ac:dyDescent="0.3">
      <c r="A17" s="160" t="s">
        <v>28</v>
      </c>
      <c r="B17" s="194">
        <v>198741.03</v>
      </c>
      <c r="C17" s="73">
        <v>199994.64</v>
      </c>
      <c r="D17" s="145">
        <v>190535.34</v>
      </c>
      <c r="E17" s="163">
        <f t="shared" si="0"/>
        <v>-4.7297767580171235E-2</v>
      </c>
      <c r="F17" s="166">
        <v>1397</v>
      </c>
      <c r="G17" s="63">
        <f t="shared" si="3"/>
        <v>136.38893342877594</v>
      </c>
      <c r="H17" s="61">
        <v>17</v>
      </c>
      <c r="I17" s="169">
        <f t="shared" si="1"/>
        <v>1.2168933428775949E-2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August'!H17)</f>
        <v>231</v>
      </c>
      <c r="K17" s="172">
        <f t="shared" si="2"/>
        <v>0.16535433070866143</v>
      </c>
      <c r="L17" s="188">
        <v>36181.17</v>
      </c>
      <c r="M17" s="89">
        <f t="shared" si="4"/>
        <v>0.1898921743336433</v>
      </c>
      <c r="N17" s="130">
        <v>11327.95</v>
      </c>
      <c r="O17" s="9"/>
    </row>
    <row r="18" spans="1:15" ht="16.2" customHeight="1" thickBot="1" x14ac:dyDescent="0.35">
      <c r="A18" s="161" t="s">
        <v>33</v>
      </c>
      <c r="B18" s="195">
        <v>159131.38</v>
      </c>
      <c r="C18" s="131"/>
      <c r="D18" s="146">
        <v>171996.21</v>
      </c>
      <c r="E18" s="164">
        <f t="shared" si="0"/>
        <v>0</v>
      </c>
      <c r="F18" s="167">
        <v>1363</v>
      </c>
      <c r="G18" s="132">
        <f t="shared" si="3"/>
        <v>126.18944240645634</v>
      </c>
      <c r="H18" s="133">
        <v>53</v>
      </c>
      <c r="I18" s="170">
        <f t="shared" si="1"/>
        <v>3.8884812912692593E-2</v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August'!H18)</f>
        <v>549</v>
      </c>
      <c r="K18" s="173">
        <f t="shared" si="2"/>
        <v>0.40278796771826852</v>
      </c>
      <c r="L18" s="189">
        <v>26935.1</v>
      </c>
      <c r="M18" s="116">
        <f t="shared" si="4"/>
        <v>0.15660286933066722</v>
      </c>
      <c r="N18" s="134">
        <v>3907.25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B7:B18">
    <cfRule type="cellIs" dxfId="644" priority="6" operator="equal">
      <formula>0</formula>
    </cfRule>
  </conditionalFormatting>
  <conditionalFormatting sqref="C6:C18">
    <cfRule type="cellIs" dxfId="643" priority="5" operator="equal">
      <formula>0</formula>
    </cfRule>
  </conditionalFormatting>
  <conditionalFormatting sqref="D7:D18">
    <cfRule type="cellIs" dxfId="642" priority="4" operator="equal">
      <formula>0</formula>
    </cfRule>
  </conditionalFormatting>
  <conditionalFormatting sqref="E6:K18">
    <cfRule type="cellIs" dxfId="641" priority="3" operator="equal">
      <formula>0</formula>
    </cfRule>
  </conditionalFormatting>
  <conditionalFormatting sqref="L7:L18">
    <cfRule type="cellIs" dxfId="640" priority="2" operator="equal">
      <formula>0</formula>
    </cfRule>
  </conditionalFormatting>
  <conditionalFormatting sqref="M6:N18">
    <cfRule type="cellIs" dxfId="63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O40"/>
  <sheetViews>
    <sheetView zoomScale="78" workbookViewId="0">
      <pane xSplit="1" topLeftCell="B1" activePane="topRight" state="frozen"/>
      <selection pane="topRight" activeCell="J6" sqref="J6:J1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0.11075803708477279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2445527.08</v>
      </c>
      <c r="C4" s="135">
        <f>SUM(C6:C18)-C14</f>
        <v>1956108.5199999998</v>
      </c>
      <c r="D4" s="142">
        <f>SUM(D6:D18)</f>
        <v>2334249.4299999997</v>
      </c>
      <c r="E4" s="152">
        <f t="shared" ref="E4:E18" si="0">IFERROR((SUM(D4-C4)/C4),0)</f>
        <v>0.19331284851210603</v>
      </c>
      <c r="F4" s="147">
        <f>SUM(F6:F18)</f>
        <v>16792</v>
      </c>
      <c r="G4" s="136">
        <f>AVERAGE(G5:G18)</f>
        <v>127.79069590926996</v>
      </c>
      <c r="H4" s="137">
        <f>SUM(H6:H18)</f>
        <v>307</v>
      </c>
      <c r="I4" s="138">
        <f t="shared" ref="I4:I18" si="1">IFERROR(H4/F4,0)</f>
        <v>1.8282515483563602E-2</v>
      </c>
      <c r="J4" s="139">
        <f>SUM(J6:J18)</f>
        <v>4089</v>
      </c>
      <c r="K4" s="140">
        <f t="shared" ref="K4:K18" si="2">IFERROR(J4/SUM(F4),0)</f>
        <v>0.24350881372081945</v>
      </c>
      <c r="L4" s="186">
        <f>SUM(L6:L18)</f>
        <v>393952.12</v>
      </c>
      <c r="M4" s="140">
        <f>SUM(L4/D4)</f>
        <v>0.16877036144333557</v>
      </c>
      <c r="N4" s="141">
        <f>SUM(N6:N18)</f>
        <v>139312.76999999999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'26 August - 1 September'!D6</f>
        <v>248696.5</v>
      </c>
      <c r="C6" s="123">
        <v>213519.69</v>
      </c>
      <c r="D6" s="197">
        <v>239676.58</v>
      </c>
      <c r="E6" s="162">
        <f t="shared" si="0"/>
        <v>0.12250340940453774</v>
      </c>
      <c r="F6" s="165">
        <v>1836</v>
      </c>
      <c r="G6" s="124">
        <f t="shared" ref="G6:G18" si="3">IFERROR(D6/F6,0)</f>
        <v>130.54279956427015</v>
      </c>
      <c r="H6" s="125">
        <v>31</v>
      </c>
      <c r="I6" s="168">
        <f t="shared" si="1"/>
        <v>1.6884531590413945E-2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September'!H6)</f>
        <v>403</v>
      </c>
      <c r="K6" s="171">
        <f t="shared" si="2"/>
        <v>0.21949891067538127</v>
      </c>
      <c r="L6" s="191">
        <v>39371.040000000001</v>
      </c>
      <c r="M6" s="128">
        <f t="shared" ref="M6:M18" si="4">SUM(L6/D6)</f>
        <v>0.16426736396188565</v>
      </c>
      <c r="N6" s="129">
        <v>9494.5</v>
      </c>
      <c r="O6" s="26"/>
    </row>
    <row r="7" spans="1:15" ht="15.6" customHeight="1" x14ac:dyDescent="0.3">
      <c r="A7" s="409" t="s">
        <v>16</v>
      </c>
      <c r="B7" s="200">
        <f>'26 August - 1 September'!D7</f>
        <v>252827.21</v>
      </c>
      <c r="C7" s="73">
        <v>186714.6</v>
      </c>
      <c r="D7" s="145">
        <v>216653.28</v>
      </c>
      <c r="E7" s="163">
        <f t="shared" si="0"/>
        <v>0.16034461150868753</v>
      </c>
      <c r="F7" s="166">
        <v>1408</v>
      </c>
      <c r="G7" s="63">
        <f t="shared" si="3"/>
        <v>153.87306818181818</v>
      </c>
      <c r="H7" s="61">
        <v>5</v>
      </c>
      <c r="I7" s="169">
        <f t="shared" si="1"/>
        <v>3.5511363636363635E-3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September'!H7)</f>
        <v>184</v>
      </c>
      <c r="K7" s="172">
        <f t="shared" si="2"/>
        <v>0.13068181818181818</v>
      </c>
      <c r="L7" s="188">
        <v>34814.92</v>
      </c>
      <c r="M7" s="89">
        <f t="shared" si="4"/>
        <v>0.16069417458161722</v>
      </c>
      <c r="N7" s="130">
        <v>30381</v>
      </c>
      <c r="O7" s="26"/>
    </row>
    <row r="8" spans="1:15" ht="15.6" customHeight="1" x14ac:dyDescent="0.3">
      <c r="A8" s="409" t="s">
        <v>17</v>
      </c>
      <c r="B8" s="200">
        <f>'26 August - 1 September'!D8</f>
        <v>100438.88</v>
      </c>
      <c r="C8" s="73">
        <v>89849.67</v>
      </c>
      <c r="D8" s="145">
        <v>120525.49</v>
      </c>
      <c r="E8" s="163">
        <f t="shared" si="0"/>
        <v>0.34141271748688679</v>
      </c>
      <c r="F8" s="166">
        <v>850</v>
      </c>
      <c r="G8" s="63">
        <f t="shared" si="3"/>
        <v>141.79469411764705</v>
      </c>
      <c r="H8" s="61">
        <v>11</v>
      </c>
      <c r="I8" s="169">
        <f t="shared" si="1"/>
        <v>1.2941176470588235E-2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September'!H8)</f>
        <v>90</v>
      </c>
      <c r="K8" s="172">
        <f t="shared" si="2"/>
        <v>0.10588235294117647</v>
      </c>
      <c r="L8" s="188">
        <v>32403.81</v>
      </c>
      <c r="M8" s="89">
        <f t="shared" si="4"/>
        <v>0.26885441411605132</v>
      </c>
      <c r="N8" s="130">
        <v>3289</v>
      </c>
      <c r="O8" s="26"/>
    </row>
    <row r="9" spans="1:15" ht="15.6" customHeight="1" x14ac:dyDescent="0.3">
      <c r="A9" s="409" t="s">
        <v>18</v>
      </c>
      <c r="B9" s="200">
        <f>'26 August - 1 September'!D9</f>
        <v>336182.19</v>
      </c>
      <c r="C9" s="73">
        <v>252212.29</v>
      </c>
      <c r="D9" s="145">
        <v>320270.55</v>
      </c>
      <c r="E9" s="163">
        <f t="shared" si="0"/>
        <v>0.26984513720564518</v>
      </c>
      <c r="F9" s="166">
        <v>2265</v>
      </c>
      <c r="G9" s="63">
        <f t="shared" si="3"/>
        <v>141.3998013245033</v>
      </c>
      <c r="H9" s="61">
        <v>35</v>
      </c>
      <c r="I9" s="169">
        <f t="shared" si="1"/>
        <v>1.5452538631346579E-2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September'!H9)</f>
        <v>448</v>
      </c>
      <c r="K9" s="172">
        <f t="shared" si="2"/>
        <v>0.1977924944812362</v>
      </c>
      <c r="L9" s="188">
        <v>30491.23</v>
      </c>
      <c r="M9" s="89">
        <f t="shared" si="4"/>
        <v>9.5204601234799763E-2</v>
      </c>
      <c r="N9" s="130">
        <v>12253.5</v>
      </c>
      <c r="O9" s="26"/>
    </row>
    <row r="10" spans="1:15" ht="15.6" customHeight="1" x14ac:dyDescent="0.3">
      <c r="A10" s="409" t="s">
        <v>20</v>
      </c>
      <c r="B10" s="200">
        <f>'26 August - 1 September'!D10</f>
        <v>152135.32999999999</v>
      </c>
      <c r="C10" s="73">
        <v>135890.1</v>
      </c>
      <c r="D10" s="145">
        <v>146999.51</v>
      </c>
      <c r="E10" s="163">
        <f t="shared" si="0"/>
        <v>8.1752901793434571E-2</v>
      </c>
      <c r="F10" s="166">
        <v>1005</v>
      </c>
      <c r="G10" s="63">
        <f t="shared" si="3"/>
        <v>146.26816915422887</v>
      </c>
      <c r="H10" s="61">
        <v>27</v>
      </c>
      <c r="I10" s="169">
        <f t="shared" si="1"/>
        <v>2.6865671641791045E-2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September'!H10)</f>
        <v>274</v>
      </c>
      <c r="K10" s="172">
        <f t="shared" si="2"/>
        <v>0.27263681592039801</v>
      </c>
      <c r="L10" s="188">
        <v>40128.050000000003</v>
      </c>
      <c r="M10" s="89">
        <f t="shared" si="4"/>
        <v>0.2729808419089288</v>
      </c>
      <c r="N10" s="130">
        <v>8011.75</v>
      </c>
      <c r="O10" s="26"/>
    </row>
    <row r="11" spans="1:15" ht="15.6" customHeight="1" x14ac:dyDescent="0.3">
      <c r="A11" s="409" t="s">
        <v>21</v>
      </c>
      <c r="B11" s="200">
        <f>'26 August - 1 September'!D11</f>
        <v>359955.15</v>
      </c>
      <c r="C11" s="73">
        <v>310234.06</v>
      </c>
      <c r="D11" s="145">
        <v>328209.32</v>
      </c>
      <c r="E11" s="163">
        <f t="shared" si="0"/>
        <v>5.7940962381757853E-2</v>
      </c>
      <c r="F11" s="166">
        <v>2156</v>
      </c>
      <c r="G11" s="63">
        <f t="shared" si="3"/>
        <v>152.23066790352505</v>
      </c>
      <c r="H11" s="61">
        <v>26</v>
      </c>
      <c r="I11" s="169">
        <f t="shared" si="1"/>
        <v>1.2059369202226345E-2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September'!H11)</f>
        <v>438</v>
      </c>
      <c r="K11" s="172">
        <f t="shared" si="2"/>
        <v>0.20315398886827457</v>
      </c>
      <c r="L11" s="188">
        <v>51209.120000000003</v>
      </c>
      <c r="M11" s="89">
        <f t="shared" si="4"/>
        <v>0.15602579475805259</v>
      </c>
      <c r="N11" s="130">
        <v>18976.900000000001</v>
      </c>
      <c r="O11" s="26"/>
    </row>
    <row r="12" spans="1:15" ht="15.6" customHeight="1" x14ac:dyDescent="0.3">
      <c r="A12" s="198" t="s">
        <v>22</v>
      </c>
      <c r="B12" s="200">
        <f>'26 August - 1 September'!D12</f>
        <v>142994.71</v>
      </c>
      <c r="C12" s="73">
        <v>109276.21</v>
      </c>
      <c r="D12" s="145">
        <v>145518.20000000001</v>
      </c>
      <c r="E12" s="163">
        <f t="shared" si="0"/>
        <v>0.33165489542508841</v>
      </c>
      <c r="F12" s="166">
        <v>1140</v>
      </c>
      <c r="G12" s="63">
        <f t="shared" si="3"/>
        <v>127.64754385964913</v>
      </c>
      <c r="H12" s="61">
        <v>23</v>
      </c>
      <c r="I12" s="169">
        <f t="shared" si="1"/>
        <v>2.0175438596491228E-2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September'!H12)</f>
        <v>259</v>
      </c>
      <c r="K12" s="172">
        <f t="shared" si="2"/>
        <v>0.22719298245614036</v>
      </c>
      <c r="L12" s="188">
        <v>23223.03</v>
      </c>
      <c r="M12" s="89">
        <f t="shared" si="4"/>
        <v>0.15958849133647884</v>
      </c>
      <c r="N12" s="130">
        <v>12570.5</v>
      </c>
      <c r="O12" s="26"/>
    </row>
    <row r="13" spans="1:15" ht="15.6" customHeight="1" x14ac:dyDescent="0.3">
      <c r="A13" s="198" t="s">
        <v>23</v>
      </c>
      <c r="B13" s="200">
        <f>'26 August - 1 September'!D13</f>
        <v>200652.94</v>
      </c>
      <c r="C13" s="73">
        <v>214545.41</v>
      </c>
      <c r="D13" s="145">
        <v>208795.8</v>
      </c>
      <c r="E13" s="202">
        <f t="shared" si="0"/>
        <v>-2.6799035225223485E-2</v>
      </c>
      <c r="F13" s="166">
        <v>1556</v>
      </c>
      <c r="G13" s="63">
        <f t="shared" si="3"/>
        <v>134.18753213367609</v>
      </c>
      <c r="H13" s="61">
        <v>24</v>
      </c>
      <c r="I13" s="169">
        <f t="shared" si="1"/>
        <v>1.5424164524421594E-2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September'!H13)</f>
        <v>520</v>
      </c>
      <c r="K13" s="172">
        <f t="shared" si="2"/>
        <v>0.33419023136246789</v>
      </c>
      <c r="L13" s="188">
        <v>41261.919999999998</v>
      </c>
      <c r="M13" s="89">
        <f t="shared" si="4"/>
        <v>0.19761853447243671</v>
      </c>
      <c r="N13" s="130">
        <v>12073.4</v>
      </c>
      <c r="O13" s="26"/>
    </row>
    <row r="14" spans="1:15" ht="15.6" hidden="1" customHeight="1" x14ac:dyDescent="0.3">
      <c r="A14" s="198" t="s">
        <v>24</v>
      </c>
      <c r="B14" s="200">
        <f>'26 August - 1 September'!D14</f>
        <v>0</v>
      </c>
      <c r="C14" s="73">
        <v>61260.32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'26 August - 1 September'!D15</f>
        <v>149768.1</v>
      </c>
      <c r="C15" s="73">
        <v>130538.82</v>
      </c>
      <c r="D15" s="145">
        <v>154810.43</v>
      </c>
      <c r="E15" s="163">
        <f t="shared" si="0"/>
        <v>0.18593403862544478</v>
      </c>
      <c r="F15" s="166">
        <v>1290</v>
      </c>
      <c r="G15" s="63">
        <f t="shared" si="3"/>
        <v>120.00808527131782</v>
      </c>
      <c r="H15" s="61">
        <v>26</v>
      </c>
      <c r="I15" s="169">
        <f t="shared" si="1"/>
        <v>2.0155038759689922E-2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September'!H15)</f>
        <v>377</v>
      </c>
      <c r="K15" s="172">
        <f t="shared" si="2"/>
        <v>0.29224806201550385</v>
      </c>
      <c r="L15" s="188">
        <v>6961.13</v>
      </c>
      <c r="M15" s="89">
        <f t="shared" si="4"/>
        <v>4.4965510398750269E-2</v>
      </c>
      <c r="N15" s="130">
        <v>6654.1</v>
      </c>
      <c r="O15" s="9"/>
    </row>
    <row r="16" spans="1:15" ht="15.6" customHeight="1" x14ac:dyDescent="0.3">
      <c r="A16" s="198" t="s">
        <v>27</v>
      </c>
      <c r="B16" s="200">
        <f>'26 August - 1 September'!D16</f>
        <v>139344.51999999999</v>
      </c>
      <c r="C16" s="73">
        <v>118549.89</v>
      </c>
      <c r="D16" s="145">
        <v>112130.31</v>
      </c>
      <c r="E16" s="202">
        <f t="shared" si="0"/>
        <v>-5.4150872683222245E-2</v>
      </c>
      <c r="F16" s="166">
        <v>823</v>
      </c>
      <c r="G16" s="63">
        <f t="shared" si="3"/>
        <v>136.24582017010934</v>
      </c>
      <c r="H16" s="61">
        <v>23</v>
      </c>
      <c r="I16" s="169">
        <f t="shared" si="1"/>
        <v>2.7946537059538274E-2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September'!H16)</f>
        <v>240</v>
      </c>
      <c r="K16" s="172">
        <f t="shared" si="2"/>
        <v>0.2916160388821385</v>
      </c>
      <c r="L16" s="188">
        <v>23542.639999999999</v>
      </c>
      <c r="M16" s="89">
        <f t="shared" si="4"/>
        <v>0.20995786063554092</v>
      </c>
      <c r="N16" s="130">
        <v>10805.6</v>
      </c>
      <c r="O16" s="9"/>
    </row>
    <row r="17" spans="1:15" ht="15.6" customHeight="1" x14ac:dyDescent="0.3">
      <c r="A17" s="198" t="s">
        <v>28</v>
      </c>
      <c r="B17" s="200">
        <f>'26 August - 1 September'!D17</f>
        <v>190535.34</v>
      </c>
      <c r="C17" s="73">
        <v>194777.78</v>
      </c>
      <c r="D17" s="145">
        <v>179173.79</v>
      </c>
      <c r="E17" s="202">
        <f t="shared" si="0"/>
        <v>-8.0111756074024418E-2</v>
      </c>
      <c r="F17" s="166">
        <v>1204</v>
      </c>
      <c r="G17" s="63">
        <f t="shared" si="3"/>
        <v>148.81544019933557</v>
      </c>
      <c r="H17" s="61">
        <v>18</v>
      </c>
      <c r="I17" s="169">
        <f t="shared" si="1"/>
        <v>1.4950166112956811E-2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September'!H17)</f>
        <v>249</v>
      </c>
      <c r="K17" s="172">
        <f t="shared" si="2"/>
        <v>0.20681063122923588</v>
      </c>
      <c r="L17" s="188">
        <v>43769.11</v>
      </c>
      <c r="M17" s="89">
        <f t="shared" si="4"/>
        <v>0.24428299473935333</v>
      </c>
      <c r="N17" s="130">
        <v>10547.52</v>
      </c>
      <c r="O17" s="9"/>
    </row>
    <row r="18" spans="1:15" ht="16.2" customHeight="1" thickBot="1" x14ac:dyDescent="0.35">
      <c r="A18" s="199" t="s">
        <v>33</v>
      </c>
      <c r="B18" s="201">
        <f>'26 August - 1 September'!D18</f>
        <v>171996.21</v>
      </c>
      <c r="C18" s="131"/>
      <c r="D18" s="146">
        <v>161486.17000000001</v>
      </c>
      <c r="E18" s="164">
        <f t="shared" si="0"/>
        <v>0</v>
      </c>
      <c r="F18" s="167">
        <v>1259</v>
      </c>
      <c r="G18" s="132">
        <f t="shared" si="3"/>
        <v>128.26542494042891</v>
      </c>
      <c r="H18" s="133">
        <v>58</v>
      </c>
      <c r="I18" s="170">
        <f t="shared" si="1"/>
        <v>4.6068308181096106E-2</v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September'!H18)</f>
        <v>607</v>
      </c>
      <c r="K18" s="173">
        <f t="shared" si="2"/>
        <v>0.48212867355043687</v>
      </c>
      <c r="L18" s="189">
        <v>26776.12</v>
      </c>
      <c r="M18" s="116">
        <f t="shared" si="4"/>
        <v>0.16581060780622883</v>
      </c>
      <c r="N18" s="134">
        <v>4255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38" priority="5" operator="equal">
      <formula>0</formula>
    </cfRule>
  </conditionalFormatting>
  <conditionalFormatting sqref="D7:D18">
    <cfRule type="cellIs" dxfId="637" priority="4" operator="equal">
      <formula>0</formula>
    </cfRule>
  </conditionalFormatting>
  <conditionalFormatting sqref="E6:K18">
    <cfRule type="cellIs" dxfId="636" priority="3" operator="equal">
      <formula>0</formula>
    </cfRule>
  </conditionalFormatting>
  <conditionalFormatting sqref="L7:L18">
    <cfRule type="cellIs" dxfId="635" priority="2" operator="equal">
      <formula>0</formula>
    </cfRule>
  </conditionalFormatting>
  <conditionalFormatting sqref="M6:N18">
    <cfRule type="cellIs" dxfId="63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O40"/>
  <sheetViews>
    <sheetView zoomScale="78" workbookViewId="0">
      <pane xSplit="1" topLeftCell="B1" activePane="topRight" state="frozen"/>
      <selection pane="topRight" activeCell="I12" sqref="I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9.2303790169700653E-2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2334249.4299999997</v>
      </c>
      <c r="C4" s="135">
        <f>SUM(C6:C18)-C14</f>
        <v>1979348.8399999999</v>
      </c>
      <c r="D4" s="142">
        <f>SUM(D6:D18)</f>
        <v>2316375.4400000004</v>
      </c>
      <c r="E4" s="152">
        <f t="shared" ref="E4:E18" si="0">IFERROR((SUM(D4-C4)/C4),0)</f>
        <v>0.17027145149411893</v>
      </c>
      <c r="F4" s="147">
        <f>SUM(F6:F18)</f>
        <v>16778</v>
      </c>
      <c r="G4" s="136">
        <f>AVERAGE(G5:G18)</f>
        <v>127.36937407694521</v>
      </c>
      <c r="H4" s="137">
        <f>SUM(H6:H18)</f>
        <v>274</v>
      </c>
      <c r="I4" s="138">
        <f t="shared" ref="I4:I18" si="1">IFERROR(H4/F4,0)</f>
        <v>1.6330909524377161E-2</v>
      </c>
      <c r="J4" s="139">
        <f>SUM(J6:J18)</f>
        <v>4363</v>
      </c>
      <c r="K4" s="140">
        <f t="shared" ref="K4:K18" si="2">IFERROR(J4/SUM(F4),0)</f>
        <v>0.26004291333889618</v>
      </c>
      <c r="L4" s="186">
        <f>SUM(L6:L18)</f>
        <v>349196.55999999994</v>
      </c>
      <c r="M4" s="140">
        <f>SUM(L4/D4)</f>
        <v>0.15075127890321607</v>
      </c>
      <c r="N4" s="141">
        <f>SUM(N6:N18)</f>
        <v>119740.88000000002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 Sept - 8 Sept'!D6</f>
        <v>239676.58</v>
      </c>
      <c r="C6" s="123">
        <v>217042.11</v>
      </c>
      <c r="D6" s="197">
        <v>239200.57</v>
      </c>
      <c r="E6" s="162">
        <f t="shared" si="0"/>
        <v>0.10209290722431708</v>
      </c>
      <c r="F6" s="165">
        <v>1864</v>
      </c>
      <c r="G6" s="124">
        <f t="shared" ref="G6:G18" si="3">IFERROR(D6/F6,0)</f>
        <v>128.32648605150214</v>
      </c>
      <c r="H6" s="125">
        <v>31</v>
      </c>
      <c r="I6" s="168">
        <f t="shared" si="1"/>
        <v>1.6630901287553648E-2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Sept'!H6)</f>
        <v>434</v>
      </c>
      <c r="K6" s="171">
        <f t="shared" si="2"/>
        <v>0.23283261802575106</v>
      </c>
      <c r="L6" s="191">
        <v>36089.83</v>
      </c>
      <c r="M6" s="128">
        <f t="shared" ref="M6:M18" si="4">SUM(L6/D6)</f>
        <v>0.15087685618809354</v>
      </c>
      <c r="N6" s="129">
        <v>12340.5</v>
      </c>
      <c r="O6" s="26"/>
    </row>
    <row r="7" spans="1:15" ht="15.6" customHeight="1" x14ac:dyDescent="0.3">
      <c r="A7" s="409" t="s">
        <v>16</v>
      </c>
      <c r="B7" s="200">
        <f>'2 Sept - 8 Sept'!D7</f>
        <v>216653.28</v>
      </c>
      <c r="C7" s="73">
        <v>173402.6</v>
      </c>
      <c r="D7" s="145">
        <v>229551.86</v>
      </c>
      <c r="E7" s="163">
        <f t="shared" si="0"/>
        <v>0.32380863954750377</v>
      </c>
      <c r="F7" s="166">
        <v>1513</v>
      </c>
      <c r="G7" s="63">
        <f t="shared" si="3"/>
        <v>151.71966953073363</v>
      </c>
      <c r="H7" s="61">
        <v>8</v>
      </c>
      <c r="I7" s="169">
        <f t="shared" si="1"/>
        <v>5.2875082617316587E-3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Sept'!H7)</f>
        <v>192</v>
      </c>
      <c r="K7" s="172">
        <f t="shared" si="2"/>
        <v>0.12690019828155982</v>
      </c>
      <c r="L7" s="188">
        <v>30667.41</v>
      </c>
      <c r="M7" s="89">
        <f t="shared" si="4"/>
        <v>0.13359687000575818</v>
      </c>
      <c r="N7" s="130">
        <v>14187.4</v>
      </c>
      <c r="O7" s="26"/>
    </row>
    <row r="8" spans="1:15" ht="15.6" customHeight="1" x14ac:dyDescent="0.3">
      <c r="A8" s="409" t="s">
        <v>17</v>
      </c>
      <c r="B8" s="200">
        <f>'2 Sept - 8 Sept'!D8</f>
        <v>120525.49</v>
      </c>
      <c r="C8" s="73">
        <v>82418.490000000005</v>
      </c>
      <c r="D8" s="145">
        <v>100323.41</v>
      </c>
      <c r="E8" s="163">
        <f t="shared" si="0"/>
        <v>0.21724397037606485</v>
      </c>
      <c r="F8" s="166">
        <v>680</v>
      </c>
      <c r="G8" s="63">
        <f t="shared" si="3"/>
        <v>147.53442647058824</v>
      </c>
      <c r="H8" s="61">
        <v>9</v>
      </c>
      <c r="I8" s="169">
        <f t="shared" si="1"/>
        <v>1.3235294117647059E-2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Sept'!H8)</f>
        <v>99</v>
      </c>
      <c r="K8" s="172">
        <f t="shared" si="2"/>
        <v>0.14558823529411766</v>
      </c>
      <c r="L8" s="188">
        <v>33547.82</v>
      </c>
      <c r="M8" s="89">
        <f t="shared" si="4"/>
        <v>0.33439672754345173</v>
      </c>
      <c r="N8" s="130">
        <v>5293.9</v>
      </c>
      <c r="O8" s="26"/>
    </row>
    <row r="9" spans="1:15" ht="15.6" customHeight="1" x14ac:dyDescent="0.3">
      <c r="A9" s="409" t="s">
        <v>18</v>
      </c>
      <c r="B9" s="200">
        <f>'2 Sept - 8 Sept'!D9</f>
        <v>320270.55</v>
      </c>
      <c r="C9" s="73">
        <v>272478.73</v>
      </c>
      <c r="D9" s="145">
        <v>313819.25</v>
      </c>
      <c r="E9" s="163">
        <f t="shared" si="0"/>
        <v>0.151720172800277</v>
      </c>
      <c r="F9" s="166">
        <v>2308</v>
      </c>
      <c r="G9" s="63">
        <f t="shared" si="3"/>
        <v>135.970212305026</v>
      </c>
      <c r="H9" s="61">
        <v>18</v>
      </c>
      <c r="I9" s="169">
        <f t="shared" si="1"/>
        <v>7.7989601386481804E-3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Sept'!H9)</f>
        <v>466</v>
      </c>
      <c r="K9" s="172">
        <f t="shared" si="2"/>
        <v>0.20190641247833621</v>
      </c>
      <c r="L9" s="188">
        <v>24670.71</v>
      </c>
      <c r="M9" s="89">
        <f t="shared" si="4"/>
        <v>7.8614393476499608E-2</v>
      </c>
      <c r="N9" s="130">
        <v>12374.18</v>
      </c>
      <c r="O9" s="26"/>
    </row>
    <row r="10" spans="1:15" ht="15.6" customHeight="1" x14ac:dyDescent="0.3">
      <c r="A10" s="409" t="s">
        <v>20</v>
      </c>
      <c r="B10" s="200">
        <f>'2 Sept - 8 Sept'!D10</f>
        <v>146999.51</v>
      </c>
      <c r="C10" s="73">
        <v>143496.9</v>
      </c>
      <c r="D10" s="145">
        <v>143750.60999999999</v>
      </c>
      <c r="E10" s="163">
        <f t="shared" si="0"/>
        <v>1.7680521321365957E-3</v>
      </c>
      <c r="F10" s="166">
        <v>1002</v>
      </c>
      <c r="G10" s="63">
        <f t="shared" si="3"/>
        <v>143.46368263473053</v>
      </c>
      <c r="H10" s="61">
        <v>14</v>
      </c>
      <c r="I10" s="169">
        <f t="shared" si="1"/>
        <v>1.3972055888223553E-2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Sept'!H10)</f>
        <v>288</v>
      </c>
      <c r="K10" s="172">
        <f t="shared" si="2"/>
        <v>0.28742514970059879</v>
      </c>
      <c r="L10" s="188">
        <v>39819.9</v>
      </c>
      <c r="M10" s="89">
        <f t="shared" si="4"/>
        <v>0.27700682452756203</v>
      </c>
      <c r="N10" s="130">
        <v>7900.6</v>
      </c>
      <c r="O10" s="26"/>
    </row>
    <row r="11" spans="1:15" ht="15.6" customHeight="1" x14ac:dyDescent="0.3">
      <c r="A11" s="409" t="s">
        <v>21</v>
      </c>
      <c r="B11" s="200">
        <f>'2 Sept - 8 Sept'!D11</f>
        <v>328209.32</v>
      </c>
      <c r="C11" s="73">
        <v>317744.93</v>
      </c>
      <c r="D11" s="145">
        <v>326839.88</v>
      </c>
      <c r="E11" s="163">
        <f t="shared" si="0"/>
        <v>2.8623430749941507E-2</v>
      </c>
      <c r="F11" s="166">
        <v>2122</v>
      </c>
      <c r="G11" s="63">
        <f t="shared" si="3"/>
        <v>154.02444863336476</v>
      </c>
      <c r="H11" s="61">
        <v>25</v>
      </c>
      <c r="I11" s="169">
        <f t="shared" si="1"/>
        <v>1.17813383600377E-2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Sept'!H11)</f>
        <v>463</v>
      </c>
      <c r="K11" s="172">
        <f t="shared" si="2"/>
        <v>0.2181903864278982</v>
      </c>
      <c r="L11" s="188">
        <v>42775.28</v>
      </c>
      <c r="M11" s="89">
        <f t="shared" si="4"/>
        <v>0.13087533871325616</v>
      </c>
      <c r="N11" s="130">
        <v>21698.799999999999</v>
      </c>
      <c r="O11" s="26"/>
    </row>
    <row r="12" spans="1:15" ht="15.6" customHeight="1" x14ac:dyDescent="0.3">
      <c r="A12" s="198" t="s">
        <v>22</v>
      </c>
      <c r="B12" s="200">
        <f>'2 Sept - 8 Sept'!D12</f>
        <v>145518.20000000001</v>
      </c>
      <c r="C12" s="73">
        <v>118270.43</v>
      </c>
      <c r="D12" s="145">
        <v>125103.86</v>
      </c>
      <c r="E12" s="163">
        <f t="shared" si="0"/>
        <v>5.7778009262332168E-2</v>
      </c>
      <c r="F12" s="166">
        <v>1022</v>
      </c>
      <c r="G12" s="63">
        <f t="shared" si="3"/>
        <v>122.41082191780822</v>
      </c>
      <c r="H12" s="61">
        <v>20</v>
      </c>
      <c r="I12" s="169">
        <f t="shared" si="1"/>
        <v>1.9569471624266144E-2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Sept'!H12)</f>
        <v>279</v>
      </c>
      <c r="K12" s="172">
        <f t="shared" si="2"/>
        <v>0.27299412915851273</v>
      </c>
      <c r="L12" s="188">
        <v>19957.93</v>
      </c>
      <c r="M12" s="89">
        <f t="shared" si="4"/>
        <v>0.15953088897496848</v>
      </c>
      <c r="N12" s="130">
        <v>10610.35</v>
      </c>
      <c r="O12" s="26"/>
    </row>
    <row r="13" spans="1:15" ht="15.6" customHeight="1" x14ac:dyDescent="0.3">
      <c r="A13" s="198" t="s">
        <v>23</v>
      </c>
      <c r="B13" s="200">
        <f>'2 Sept - 8 Sept'!D13</f>
        <v>208795.8</v>
      </c>
      <c r="C13" s="73">
        <v>189134.68</v>
      </c>
      <c r="D13" s="145">
        <v>193711.92</v>
      </c>
      <c r="E13" s="163">
        <f t="shared" si="0"/>
        <v>2.4200955636480944E-2</v>
      </c>
      <c r="F13" s="166">
        <v>1512</v>
      </c>
      <c r="G13" s="63">
        <f t="shared" si="3"/>
        <v>128.11634920634921</v>
      </c>
      <c r="H13" s="61">
        <v>30</v>
      </c>
      <c r="I13" s="169">
        <f t="shared" si="1"/>
        <v>1.984126984126984E-2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Sept'!H13)</f>
        <v>550</v>
      </c>
      <c r="K13" s="172">
        <f t="shared" si="2"/>
        <v>0.36375661375661378</v>
      </c>
      <c r="L13" s="188">
        <v>31386.9</v>
      </c>
      <c r="M13" s="89">
        <f t="shared" si="4"/>
        <v>0.16202874866967401</v>
      </c>
      <c r="N13" s="130">
        <v>8776.7000000000007</v>
      </c>
      <c r="O13" s="26"/>
    </row>
    <row r="14" spans="1:15" ht="15.6" hidden="1" customHeight="1" x14ac:dyDescent="0.3">
      <c r="A14" s="198" t="s">
        <v>24</v>
      </c>
      <c r="B14" s="200">
        <f>'2 Sept - 8 Sept'!D14</f>
        <v>0</v>
      </c>
      <c r="C14" s="73">
        <v>63439.43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 Sept - 8 Sept'!D15</f>
        <v>154810.43</v>
      </c>
      <c r="C15" s="73">
        <v>142475.23000000001</v>
      </c>
      <c r="D15" s="145">
        <v>146744.19</v>
      </c>
      <c r="E15" s="163">
        <f t="shared" si="0"/>
        <v>2.9962822309534027E-2</v>
      </c>
      <c r="F15" s="166">
        <v>1263</v>
      </c>
      <c r="G15" s="63">
        <f t="shared" si="3"/>
        <v>116.18700712589074</v>
      </c>
      <c r="H15" s="61">
        <v>34</v>
      </c>
      <c r="I15" s="169">
        <f t="shared" si="1"/>
        <v>2.6920031670625493E-2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Sept'!H15)</f>
        <v>411</v>
      </c>
      <c r="K15" s="172">
        <f t="shared" si="2"/>
        <v>0.32541567695961993</v>
      </c>
      <c r="L15" s="188">
        <v>9053.91</v>
      </c>
      <c r="M15" s="89">
        <f t="shared" si="4"/>
        <v>6.1698592632526028E-2</v>
      </c>
      <c r="N15" s="130">
        <v>5460.1</v>
      </c>
      <c r="O15" s="9"/>
    </row>
    <row r="16" spans="1:15" ht="15.6" customHeight="1" x14ac:dyDescent="0.3">
      <c r="A16" s="198" t="s">
        <v>27</v>
      </c>
      <c r="B16" s="200">
        <f>'2 Sept - 8 Sept'!D16</f>
        <v>112130.31</v>
      </c>
      <c r="C16" s="73">
        <v>114165.74</v>
      </c>
      <c r="D16" s="145">
        <v>124313.82</v>
      </c>
      <c r="E16" s="163">
        <f t="shared" si="0"/>
        <v>8.8889013464109295E-2</v>
      </c>
      <c r="F16" s="166">
        <v>832</v>
      </c>
      <c r="G16" s="63">
        <f t="shared" si="3"/>
        <v>149.41564903846154</v>
      </c>
      <c r="H16" s="61">
        <v>18</v>
      </c>
      <c r="I16" s="169">
        <f t="shared" si="1"/>
        <v>2.1634615384615384E-2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Sept'!H16)</f>
        <v>258</v>
      </c>
      <c r="K16" s="172">
        <f t="shared" si="2"/>
        <v>0.31009615384615385</v>
      </c>
      <c r="L16" s="188">
        <v>23866.16</v>
      </c>
      <c r="M16" s="89">
        <f t="shared" si="4"/>
        <v>0.1919831600380392</v>
      </c>
      <c r="N16" s="130">
        <v>9167</v>
      </c>
      <c r="O16" s="9"/>
    </row>
    <row r="17" spans="1:15" ht="15.6" customHeight="1" x14ac:dyDescent="0.3">
      <c r="A17" s="198" t="s">
        <v>28</v>
      </c>
      <c r="B17" s="200">
        <f>'2 Sept - 8 Sept'!D17</f>
        <v>179173.79</v>
      </c>
      <c r="C17" s="73">
        <v>208719</v>
      </c>
      <c r="D17" s="145">
        <v>218690.87</v>
      </c>
      <c r="E17" s="163">
        <f t="shared" si="0"/>
        <v>4.7776532083806438E-2</v>
      </c>
      <c r="F17" s="166">
        <v>1404</v>
      </c>
      <c r="G17" s="63">
        <f t="shared" si="3"/>
        <v>155.76272792022792</v>
      </c>
      <c r="H17" s="61">
        <v>20</v>
      </c>
      <c r="I17" s="169">
        <f t="shared" si="1"/>
        <v>1.4245014245014245E-2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Sept'!H17)</f>
        <v>269</v>
      </c>
      <c r="K17" s="172">
        <f t="shared" si="2"/>
        <v>0.19159544159544159</v>
      </c>
      <c r="L17" s="188">
        <v>37606.71</v>
      </c>
      <c r="M17" s="89">
        <f t="shared" si="4"/>
        <v>0.17196287160959212</v>
      </c>
      <c r="N17" s="130">
        <v>8425.0499999999993</v>
      </c>
      <c r="O17" s="9"/>
    </row>
    <row r="18" spans="1:15" ht="16.2" customHeight="1" thickBot="1" x14ac:dyDescent="0.35">
      <c r="A18" s="199" t="s">
        <v>33</v>
      </c>
      <c r="B18" s="200">
        <f>'2 Sept - 8 Sept'!D18</f>
        <v>161486.17000000001</v>
      </c>
      <c r="C18" s="131"/>
      <c r="D18" s="146">
        <v>154325.20000000001</v>
      </c>
      <c r="E18" s="164">
        <f t="shared" si="0"/>
        <v>0</v>
      </c>
      <c r="F18" s="167">
        <v>1256</v>
      </c>
      <c r="G18" s="132">
        <f t="shared" si="3"/>
        <v>122.87038216560511</v>
      </c>
      <c r="H18" s="133">
        <v>47</v>
      </c>
      <c r="I18" s="170">
        <f t="shared" si="1"/>
        <v>3.7420382165605094E-2</v>
      </c>
      <c r="J18" s="115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Sept'!H18)</f>
        <v>654</v>
      </c>
      <c r="K18" s="173">
        <f t="shared" si="2"/>
        <v>0.52070063694267521</v>
      </c>
      <c r="L18" s="189">
        <v>19754</v>
      </c>
      <c r="M18" s="116">
        <f t="shared" si="4"/>
        <v>0.12800242604577863</v>
      </c>
      <c r="N18" s="134">
        <v>3506.3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33" priority="5" operator="equal">
      <formula>0</formula>
    </cfRule>
  </conditionalFormatting>
  <conditionalFormatting sqref="D7:D18">
    <cfRule type="cellIs" dxfId="632" priority="4" operator="equal">
      <formula>0</formula>
    </cfRule>
  </conditionalFormatting>
  <conditionalFormatting sqref="E6:K18">
    <cfRule type="cellIs" dxfId="631" priority="3" operator="equal">
      <formula>0</formula>
    </cfRule>
  </conditionalFormatting>
  <conditionalFormatting sqref="L7:L18">
    <cfRule type="cellIs" dxfId="630" priority="2" operator="equal">
      <formula>0</formula>
    </cfRule>
  </conditionalFormatting>
  <conditionalFormatting sqref="M6:N18">
    <cfRule type="cellIs" dxfId="62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40"/>
  <sheetViews>
    <sheetView zoomScale="78" workbookViewId="0">
      <pane xSplit="1" topLeftCell="B1" activePane="topRight" state="frozen"/>
      <selection pane="topRight" activeCell="D10" sqref="D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4.0803748389380431E-2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2334249.4299999997</v>
      </c>
      <c r="C4" s="135">
        <f>SUM(C6:C18)-C14</f>
        <v>2080853.1900000002</v>
      </c>
      <c r="D4" s="142">
        <f>SUM(D6:D18)</f>
        <v>2321730.1799999997</v>
      </c>
      <c r="E4" s="152">
        <f t="shared" ref="E4:E18" si="0">IFERROR((SUM(D4-C4)/C4),0)</f>
        <v>0.11575876239495757</v>
      </c>
      <c r="F4" s="147">
        <f>SUM(F6:F18)</f>
        <v>17349</v>
      </c>
      <c r="G4" s="136">
        <f>AVERAGE(G5:G18)</f>
        <v>124.50125476404817</v>
      </c>
      <c r="H4" s="137">
        <f>SUM(H6:H18)</f>
        <v>298</v>
      </c>
      <c r="I4" s="138">
        <f t="shared" ref="I4:I18" si="1">IFERROR(H4/F4,0)</f>
        <v>1.7176782523488386E-2</v>
      </c>
      <c r="J4" s="139">
        <f>SUM(J6:J18)</f>
        <v>4661</v>
      </c>
      <c r="K4" s="140">
        <f t="shared" ref="K4:K18" si="2">IFERROR(J4/SUM(F4),0)</f>
        <v>0.26866101792610525</v>
      </c>
      <c r="L4" s="186">
        <f>SUM(L6:L18)</f>
        <v>371171.27999999997</v>
      </c>
      <c r="M4" s="140">
        <f>SUM(L4/D4)</f>
        <v>0.15986839607692915</v>
      </c>
      <c r="N4" s="141">
        <f>SUM(N6:N18)</f>
        <v>131655.29999999999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'9 Sept - 15 Sept'!B6</f>
        <v>239676.58</v>
      </c>
      <c r="C6" s="123">
        <v>247678.19</v>
      </c>
      <c r="D6" s="197">
        <v>225559.84</v>
      </c>
      <c r="E6" s="162">
        <f t="shared" si="0"/>
        <v>-8.930277631631596E-2</v>
      </c>
      <c r="F6" s="165">
        <v>1874</v>
      </c>
      <c r="G6" s="124">
        <f t="shared" ref="G6:G18" si="3">IFERROR(D6/F6,0)</f>
        <v>120.36277481323373</v>
      </c>
      <c r="H6" s="125">
        <v>26</v>
      </c>
      <c r="I6" s="168">
        <f t="shared" si="1"/>
        <v>1.3874066168623266E-2</v>
      </c>
      <c r="J6" s="46">
        <f>SUM(H6+'3 June - 9 June'!H6+'10 June - 16 June'!H6+'17 June - 23 June'!H6+'24 June - 30 June'!H6+'1 July - 7 July'!H6+'8 July - 14 July'!H6+'15 July - 21 July'!H6+'22 July - 28 July'!H6+'29 July - 4 August'!H6+'5 August - 11 August'!H6+'12 August - 18 August'!H6+'19 August - 25 August'!H6+'26 August - 1 September'!H6+'2 Sept - 8 Sept'!H6+'9 Sept - 15 Sept'!H6)</f>
        <v>460</v>
      </c>
      <c r="K6" s="171">
        <f t="shared" si="2"/>
        <v>0.24546424759871932</v>
      </c>
      <c r="L6" s="191">
        <v>37205.870000000003</v>
      </c>
      <c r="M6" s="128">
        <f t="shared" ref="M6:M18" si="4">SUM(L6/D6)</f>
        <v>0.16494899978648683</v>
      </c>
      <c r="N6" s="129">
        <v>11723</v>
      </c>
      <c r="O6" s="26"/>
    </row>
    <row r="7" spans="1:15" ht="15.6" customHeight="1" x14ac:dyDescent="0.3">
      <c r="A7" s="409" t="s">
        <v>16</v>
      </c>
      <c r="B7" s="200">
        <f>'9 Sept - 15 Sept'!B7</f>
        <v>216653.28</v>
      </c>
      <c r="C7" s="73">
        <v>167848.11</v>
      </c>
      <c r="D7" s="145">
        <v>224151.46</v>
      </c>
      <c r="E7" s="163">
        <f t="shared" si="0"/>
        <v>0.33544226384199388</v>
      </c>
      <c r="F7" s="166">
        <v>1576</v>
      </c>
      <c r="G7" s="63">
        <f t="shared" si="3"/>
        <v>142.22808375634517</v>
      </c>
      <c r="H7" s="61">
        <v>7</v>
      </c>
      <c r="I7" s="169">
        <f t="shared" si="1"/>
        <v>4.4416243654822338E-3</v>
      </c>
      <c r="J7" s="46">
        <f>SUM(H7+'3 June - 9 June'!H7+'10 June - 16 June'!H7+'17 June - 23 June'!H7+'24 June - 30 June'!H7+'1 July - 7 July'!H7+'8 July - 14 July'!H7+'15 July - 21 July'!H7+'22 July - 28 July'!H7+'29 July - 4 August'!H7+'5 August - 11 August'!H7+'12 August - 18 August'!H7+'19 August - 25 August'!H7+'26 August - 1 September'!H7+'2 Sept - 8 Sept'!H7+'9 Sept - 15 Sept'!H7)</f>
        <v>199</v>
      </c>
      <c r="K7" s="172">
        <f t="shared" si="2"/>
        <v>0.12626903553299493</v>
      </c>
      <c r="L7" s="188">
        <v>36132.370000000003</v>
      </c>
      <c r="M7" s="89">
        <f t="shared" si="4"/>
        <v>0.16119622865717673</v>
      </c>
      <c r="N7" s="130">
        <v>14333.05</v>
      </c>
      <c r="O7" s="26"/>
    </row>
    <row r="8" spans="1:15" ht="15.6" customHeight="1" x14ac:dyDescent="0.3">
      <c r="A8" s="409" t="s">
        <v>17</v>
      </c>
      <c r="B8" s="200">
        <f>'9 Sept - 15 Sept'!B8</f>
        <v>120525.49</v>
      </c>
      <c r="C8" s="73">
        <v>109260.78</v>
      </c>
      <c r="D8" s="145">
        <v>96532.63</v>
      </c>
      <c r="E8" s="163">
        <f t="shared" si="0"/>
        <v>-0.11649331077446083</v>
      </c>
      <c r="F8" s="166">
        <v>703</v>
      </c>
      <c r="G8" s="63">
        <f t="shared" si="3"/>
        <v>137.31526315789475</v>
      </c>
      <c r="H8" s="61">
        <v>5</v>
      </c>
      <c r="I8" s="169">
        <f t="shared" si="1"/>
        <v>7.1123755334281651E-3</v>
      </c>
      <c r="J8" s="46">
        <f>SUM(H8+'3 June - 9 June'!H8+'10 June - 16 June'!H8+'17 June - 23 June'!H8+'24 June - 30 June'!H8+'1 July - 7 July'!H8+'8 July - 14 July'!H8+'15 July - 21 July'!H8+'22 July - 28 July'!H8+'29 July - 4 August'!H8+'5 August - 11 August'!H8+'12 August - 18 August'!H8+'19 August - 25 August'!H8+'26 August - 1 September'!H8+'2 Sept - 8 Sept'!H8+'9 Sept - 15 Sept'!H8)</f>
        <v>104</v>
      </c>
      <c r="K8" s="172">
        <f t="shared" si="2"/>
        <v>0.14793741109530584</v>
      </c>
      <c r="L8" s="188">
        <v>32743.439999999999</v>
      </c>
      <c r="M8" s="89">
        <f t="shared" si="4"/>
        <v>0.33919556527155631</v>
      </c>
      <c r="N8" s="130">
        <v>5314</v>
      </c>
      <c r="O8" s="26"/>
    </row>
    <row r="9" spans="1:15" ht="15.6" customHeight="1" x14ac:dyDescent="0.3">
      <c r="A9" s="409" t="s">
        <v>18</v>
      </c>
      <c r="B9" s="200">
        <f>'9 Sept - 15 Sept'!B9</f>
        <v>320270.55</v>
      </c>
      <c r="C9" s="73">
        <v>289688.55</v>
      </c>
      <c r="D9" s="145">
        <v>319714.43</v>
      </c>
      <c r="E9" s="163">
        <f t="shared" si="0"/>
        <v>0.10364883251340105</v>
      </c>
      <c r="F9" s="166">
        <v>2259</v>
      </c>
      <c r="G9" s="63">
        <f t="shared" si="3"/>
        <v>141.52918548030101</v>
      </c>
      <c r="H9" s="61">
        <v>24</v>
      </c>
      <c r="I9" s="169">
        <f t="shared" si="1"/>
        <v>1.0624169986719787E-2</v>
      </c>
      <c r="J9" s="46">
        <f>SUM(H9+'3 June - 9 June'!H9+'10 June - 16 June'!H9+'17 June - 23 June'!H9+'24 June - 30 June'!H9+'1 July - 7 July'!H9+'8 July - 14 July'!H9+'15 July - 21 July'!H9+'22 July - 28 July'!H9+'29 July - 4 August'!H9+'5 August - 11 August'!H9+'12 August - 18 August'!H9+'19 August - 25 August'!H9+'26 August - 1 September'!H9+'2 Sept - 8 Sept'!H9+'9 Sept - 15 Sept'!H9)</f>
        <v>490</v>
      </c>
      <c r="K9" s="172">
        <f t="shared" si="2"/>
        <v>0.21691013722886232</v>
      </c>
      <c r="L9" s="188">
        <v>29064.03</v>
      </c>
      <c r="M9" s="89">
        <f t="shared" si="4"/>
        <v>9.0906219028024482E-2</v>
      </c>
      <c r="N9" s="130">
        <v>13020.6</v>
      </c>
      <c r="O9" s="26"/>
    </row>
    <row r="10" spans="1:15" ht="15.6" customHeight="1" x14ac:dyDescent="0.3">
      <c r="A10" s="409" t="s">
        <v>20</v>
      </c>
      <c r="B10" s="200">
        <f>'9 Sept - 15 Sept'!B10</f>
        <v>146999.51</v>
      </c>
      <c r="C10" s="73">
        <v>122339.05</v>
      </c>
      <c r="D10" s="145">
        <v>139152.81</v>
      </c>
      <c r="E10" s="163">
        <f t="shared" si="0"/>
        <v>0.13743575742986391</v>
      </c>
      <c r="F10" s="166">
        <v>980</v>
      </c>
      <c r="G10" s="63">
        <f t="shared" si="3"/>
        <v>141.99266326530611</v>
      </c>
      <c r="H10" s="61">
        <v>21</v>
      </c>
      <c r="I10" s="169">
        <f t="shared" si="1"/>
        <v>2.1428571428571429E-2</v>
      </c>
      <c r="J10" s="46">
        <f>SUM(H10+'3 June - 9 June'!H10+'10 June - 16 June'!H10+'17 June - 23 June'!H10+'24 June - 30 June'!H10+'1 July - 7 July'!H10+'8 July - 14 July'!H10+'15 July - 21 July'!H10+'22 July - 28 July'!H10+'29 July - 4 August'!H10+'5 August - 11 August'!H10+'12 August - 18 August'!H10+'19 August - 25 August'!H10+'26 August - 1 September'!H10+'2 Sept - 8 Sept'!H10+'9 Sept - 15 Sept'!H10)</f>
        <v>309</v>
      </c>
      <c r="K10" s="172">
        <f t="shared" si="2"/>
        <v>0.3153061224489796</v>
      </c>
      <c r="L10" s="188">
        <v>38889.089999999997</v>
      </c>
      <c r="M10" s="89">
        <f t="shared" si="4"/>
        <v>0.27947038942296598</v>
      </c>
      <c r="N10" s="130">
        <v>7061.5</v>
      </c>
      <c r="O10" s="26"/>
    </row>
    <row r="11" spans="1:15" ht="15.6" customHeight="1" x14ac:dyDescent="0.3">
      <c r="A11" s="409" t="s">
        <v>21</v>
      </c>
      <c r="B11" s="200">
        <f>'9 Sept - 15 Sept'!B11</f>
        <v>328209.32</v>
      </c>
      <c r="C11" s="73">
        <v>304645.56</v>
      </c>
      <c r="D11" s="145">
        <v>285384</v>
      </c>
      <c r="E11" s="163">
        <f t="shared" si="0"/>
        <v>-6.322613072056589E-2</v>
      </c>
      <c r="F11" s="166">
        <v>2021</v>
      </c>
      <c r="G11" s="63">
        <f t="shared" si="3"/>
        <v>141.2093023255814</v>
      </c>
      <c r="H11" s="61">
        <v>25</v>
      </c>
      <c r="I11" s="169">
        <f t="shared" si="1"/>
        <v>1.2370113805047007E-2</v>
      </c>
      <c r="J11" s="46">
        <f>SUM(H11+'3 June - 9 June'!H11+'10 June - 16 June'!H11+'17 June - 23 June'!H11+'24 June - 30 June'!H11+'1 July - 7 July'!H11+'8 July - 14 July'!H11+'15 July - 21 July'!H11+'22 July - 28 July'!H11+'29 July - 4 August'!H11+'5 August - 11 August'!H11+'12 August - 18 August'!H11+'19 August - 25 August'!H11+'26 August - 1 September'!H11+'2 Sept - 8 Sept'!H11+'9 Sept - 15 Sept'!H11)</f>
        <v>488</v>
      </c>
      <c r="K11" s="172">
        <f t="shared" si="2"/>
        <v>0.24146462147451755</v>
      </c>
      <c r="L11" s="188">
        <v>49514.720000000001</v>
      </c>
      <c r="M11" s="89">
        <f t="shared" si="4"/>
        <v>0.17350208841420683</v>
      </c>
      <c r="N11" s="130">
        <v>18643.2</v>
      </c>
      <c r="O11" s="26"/>
    </row>
    <row r="12" spans="1:15" ht="15.6" customHeight="1" x14ac:dyDescent="0.3">
      <c r="A12" s="198" t="s">
        <v>22</v>
      </c>
      <c r="B12" s="200">
        <f>'9 Sept - 15 Sept'!B12</f>
        <v>145518.20000000001</v>
      </c>
      <c r="C12" s="73">
        <v>142460.76</v>
      </c>
      <c r="D12" s="145">
        <v>131916.09</v>
      </c>
      <c r="E12" s="163">
        <f t="shared" si="0"/>
        <v>-7.4018066448613723E-2</v>
      </c>
      <c r="F12" s="166">
        <v>1029</v>
      </c>
      <c r="G12" s="63">
        <f t="shared" si="3"/>
        <v>128.19833819241981</v>
      </c>
      <c r="H12" s="61">
        <v>18</v>
      </c>
      <c r="I12" s="169">
        <f t="shared" si="1"/>
        <v>1.7492711370262391E-2</v>
      </c>
      <c r="J12" s="46">
        <f>SUM(H12+'3 June - 9 June'!H12+'10 June - 16 June'!H12+'17 June - 23 June'!H12+'24 June - 30 June'!H12+'1 July - 7 July'!H12+'8 July - 14 July'!H12+'15 July - 21 July'!H12+'22 July - 28 July'!H12+'29 July - 4 August'!H12+'5 August - 11 August'!H12+'12 August - 18 August'!H12+'19 August - 25 August'!H12+'26 August - 1 September'!H12+'2 Sept - 8 Sept'!H12+'9 Sept - 15 Sept'!H12)</f>
        <v>297</v>
      </c>
      <c r="K12" s="172">
        <f t="shared" si="2"/>
        <v>0.28862973760932947</v>
      </c>
      <c r="L12" s="188">
        <v>16756.830000000002</v>
      </c>
      <c r="M12" s="89">
        <f t="shared" si="4"/>
        <v>0.12702643021029505</v>
      </c>
      <c r="N12" s="130">
        <v>11912.7</v>
      </c>
      <c r="O12" s="26"/>
    </row>
    <row r="13" spans="1:15" ht="15.6" customHeight="1" x14ac:dyDescent="0.3">
      <c r="A13" s="198" t="s">
        <v>23</v>
      </c>
      <c r="B13" s="200">
        <f>'9 Sept - 15 Sept'!B13</f>
        <v>208795.8</v>
      </c>
      <c r="C13" s="73">
        <v>207479.69</v>
      </c>
      <c r="D13" s="145">
        <v>171225.27</v>
      </c>
      <c r="E13" s="163">
        <f t="shared" si="0"/>
        <v>-0.17473719957842626</v>
      </c>
      <c r="F13" s="166">
        <v>1353</v>
      </c>
      <c r="G13" s="63">
        <f t="shared" si="3"/>
        <v>126.55230598669623</v>
      </c>
      <c r="H13" s="61">
        <v>45</v>
      </c>
      <c r="I13" s="169">
        <f t="shared" si="1"/>
        <v>3.325942350332594E-2</v>
      </c>
      <c r="J13" s="46">
        <f>SUM(H13+'3 June - 9 June'!H13+'10 June - 16 June'!H13+'17 June - 23 June'!H13+'24 June - 30 June'!H13+'1 July - 7 July'!H13+'8 July - 14 July'!H13+'15 July - 21 July'!H13+'22 July - 28 July'!H13+'29 July - 4 August'!H13+'5 August - 11 August'!H13+'12 August - 18 August'!H13+'19 August - 25 August'!H13+'26 August - 1 September'!H13+'2 Sept - 8 Sept'!H13+'9 Sept - 15 Sept'!H13)</f>
        <v>595</v>
      </c>
      <c r="K13" s="172">
        <f t="shared" si="2"/>
        <v>0.43976348854397634</v>
      </c>
      <c r="L13" s="188">
        <v>33332.92</v>
      </c>
      <c r="M13" s="89">
        <f t="shared" si="4"/>
        <v>0.19467290079320651</v>
      </c>
      <c r="N13" s="130">
        <v>9824.5</v>
      </c>
      <c r="O13" s="26"/>
    </row>
    <row r="14" spans="1:15" ht="15.6" hidden="1" customHeight="1" x14ac:dyDescent="0.3">
      <c r="A14" s="198" t="s">
        <v>24</v>
      </c>
      <c r="B14" s="200">
        <f>'9 Sept - 15 Sept'!B14</f>
        <v>0</v>
      </c>
      <c r="C14" s="73">
        <v>87154.07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SUM(H14+'3 June - 9 June'!H14+'10 June - 16 June'!H14+'17 June - 23 June'!H14+'24 June - 30 June'!H14+'1 July - 7 July'!H14+'8 July - 14 July'!H14+'15 July - 21 July'!H14+'22 July - 28 July'!H14+'29 July - 4 August'!H14+'5 August - 11 August'!H14+'12 August - 18 August'!H14+'19 August - 25 August'!H14+'26 August - 1 September'!H14+'2 Sept - 8 Sept'!H14+'9 Sept - 15 Sept'!H14)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'9 Sept - 15 Sept'!B15</f>
        <v>154810.43</v>
      </c>
      <c r="C15" s="73">
        <v>170711.07</v>
      </c>
      <c r="D15" s="145">
        <v>243243.69</v>
      </c>
      <c r="E15" s="163">
        <f t="shared" si="0"/>
        <v>0.42488527545401711</v>
      </c>
      <c r="F15" s="166">
        <v>2134</v>
      </c>
      <c r="G15" s="63">
        <f t="shared" si="3"/>
        <v>113.98485941893159</v>
      </c>
      <c r="H15" s="61">
        <v>31</v>
      </c>
      <c r="I15" s="169">
        <f t="shared" si="1"/>
        <v>1.4526710402999063E-2</v>
      </c>
      <c r="J15" s="46">
        <f>SUM(H15+'3 June - 9 June'!H15+'10 June - 16 June'!H15+'17 June - 23 June'!H15+'24 June - 30 June'!H15+'1 July - 7 July'!H15+'8 July - 14 July'!H15+'15 July - 21 July'!H15+'22 July - 28 July'!H15+'29 July - 4 August'!H15+'5 August - 11 August'!H15+'12 August - 18 August'!H15+'19 August - 25 August'!H15+'26 August - 1 September'!H15+'2 Sept - 8 Sept'!H15+'9 Sept - 15 Sept'!H15)</f>
        <v>442</v>
      </c>
      <c r="K15" s="172">
        <f t="shared" si="2"/>
        <v>0.20712277413308341</v>
      </c>
      <c r="L15" s="188">
        <v>13109.3</v>
      </c>
      <c r="M15" s="89">
        <f t="shared" si="4"/>
        <v>5.3893689904145094E-2</v>
      </c>
      <c r="N15" s="130">
        <v>11346.15</v>
      </c>
      <c r="O15" s="9"/>
    </row>
    <row r="16" spans="1:15" ht="15.6" customHeight="1" x14ac:dyDescent="0.3">
      <c r="A16" s="198" t="s">
        <v>27</v>
      </c>
      <c r="B16" s="200">
        <f>'9 Sept - 15 Sept'!B16</f>
        <v>112130.31</v>
      </c>
      <c r="C16" s="73">
        <v>115245.6</v>
      </c>
      <c r="D16" s="145">
        <v>115075.28</v>
      </c>
      <c r="E16" s="163">
        <f t="shared" si="0"/>
        <v>-1.4778872251956429E-3</v>
      </c>
      <c r="F16" s="166">
        <v>801</v>
      </c>
      <c r="G16" s="63">
        <f t="shared" si="3"/>
        <v>143.66451935081147</v>
      </c>
      <c r="H16" s="61">
        <v>13</v>
      </c>
      <c r="I16" s="169">
        <f t="shared" si="1"/>
        <v>1.6229712858926344E-2</v>
      </c>
      <c r="J16" s="46">
        <f>SUM(H16+'3 June - 9 June'!H16+'10 June - 16 June'!H16+'17 June - 23 June'!H16+'24 June - 30 June'!H16+'1 July - 7 July'!H16+'8 July - 14 July'!H16+'15 July - 21 July'!H16+'22 July - 28 July'!H16+'29 July - 4 August'!H16+'5 August - 11 August'!H16+'12 August - 18 August'!H16+'19 August - 25 August'!H16+'26 August - 1 September'!H16+'2 Sept - 8 Sept'!H16+'9 Sept - 15 Sept'!H16)</f>
        <v>271</v>
      </c>
      <c r="K16" s="172">
        <f t="shared" si="2"/>
        <v>0.33832709113607989</v>
      </c>
      <c r="L16" s="188">
        <v>22744.28</v>
      </c>
      <c r="M16" s="89">
        <f t="shared" si="4"/>
        <v>0.19764696640321014</v>
      </c>
      <c r="N16" s="130">
        <v>13343.8</v>
      </c>
      <c r="O16" s="9"/>
    </row>
    <row r="17" spans="1:15" ht="15.6" customHeight="1" x14ac:dyDescent="0.3">
      <c r="A17" s="198" t="s">
        <v>28</v>
      </c>
      <c r="B17" s="200">
        <f>'9 Sept - 15 Sept'!B17</f>
        <v>179173.79</v>
      </c>
      <c r="C17" s="73">
        <v>203495.83</v>
      </c>
      <c r="D17" s="145">
        <v>213804.3</v>
      </c>
      <c r="E17" s="163">
        <f t="shared" si="0"/>
        <v>5.0656910266908182E-2</v>
      </c>
      <c r="F17" s="166">
        <v>1341</v>
      </c>
      <c r="G17" s="63">
        <f t="shared" si="3"/>
        <v>159.43646532438478</v>
      </c>
      <c r="H17" s="61">
        <v>31</v>
      </c>
      <c r="I17" s="169">
        <f t="shared" si="1"/>
        <v>2.3117076808351976E-2</v>
      </c>
      <c r="J17" s="46">
        <f>SUM(H17+'3 June - 9 June'!H17+'10 June - 16 June'!H17+'17 June - 23 June'!H17+'24 June - 30 June'!H17+'1 July - 7 July'!H17+'8 July - 14 July'!H17+'15 July - 21 July'!H17+'22 July - 28 July'!H17+'29 July - 4 August'!H17+'5 August - 11 August'!H17+'12 August - 18 August'!H17+'19 August - 25 August'!H17+'26 August - 1 September'!H17+'2 Sept - 8 Sept'!H17+'9 Sept - 15 Sept'!H17)</f>
        <v>300</v>
      </c>
      <c r="K17" s="172">
        <f t="shared" si="2"/>
        <v>0.22371364653243847</v>
      </c>
      <c r="L17" s="188">
        <v>41923.74</v>
      </c>
      <c r="M17" s="89">
        <f t="shared" si="4"/>
        <v>0.19608464376067272</v>
      </c>
      <c r="N17" s="130">
        <v>12746.3</v>
      </c>
      <c r="O17" s="9"/>
    </row>
    <row r="18" spans="1:15" ht="16.2" customHeight="1" thickBot="1" x14ac:dyDescent="0.35">
      <c r="A18" s="199" t="s">
        <v>33</v>
      </c>
      <c r="B18" s="201">
        <f>'9 Sept - 15 Sept'!B18</f>
        <v>161486.17000000001</v>
      </c>
      <c r="C18" s="131"/>
      <c r="D18" s="146">
        <v>155970.38</v>
      </c>
      <c r="E18" s="164">
        <f t="shared" si="0"/>
        <v>0</v>
      </c>
      <c r="F18" s="167">
        <v>1278</v>
      </c>
      <c r="G18" s="132">
        <f t="shared" si="3"/>
        <v>122.04255086071989</v>
      </c>
      <c r="H18" s="133">
        <v>52</v>
      </c>
      <c r="I18" s="170">
        <f t="shared" si="1"/>
        <v>4.0688575899843503E-2</v>
      </c>
      <c r="J18" s="46">
        <f>SUM(H18+'3 June - 9 June'!H18+'10 June - 16 June'!H18+'17 June - 23 June'!H18+'24 June - 30 June'!H18+'1 July - 7 July'!H18+'8 July - 14 July'!H18+'15 July - 21 July'!H18+'22 July - 28 July'!H18+'29 July - 4 August'!H18+'5 August - 11 August'!H18+'12 August - 18 August'!H18+'19 August - 25 August'!H18+'26 August - 1 September'!H18+'2 Sept - 8 Sept'!H18+'9 Sept - 15 Sept'!H18)</f>
        <v>706</v>
      </c>
      <c r="K18" s="173">
        <f t="shared" si="2"/>
        <v>0.55242566510172142</v>
      </c>
      <c r="L18" s="189">
        <v>19754.689999999999</v>
      </c>
      <c r="M18" s="116">
        <f t="shared" si="4"/>
        <v>0.12665667673567249</v>
      </c>
      <c r="N18" s="134">
        <v>2386.5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28" priority="5" operator="equal">
      <formula>0</formula>
    </cfRule>
  </conditionalFormatting>
  <conditionalFormatting sqref="D7:D18">
    <cfRule type="cellIs" dxfId="627" priority="4" operator="equal">
      <formula>0</formula>
    </cfRule>
  </conditionalFormatting>
  <conditionalFormatting sqref="E6:K18">
    <cfRule type="cellIs" dxfId="626" priority="3" operator="equal">
      <formula>0</formula>
    </cfRule>
  </conditionalFormatting>
  <conditionalFormatting sqref="L7:L18">
    <cfRule type="cellIs" dxfId="625" priority="2" operator="equal">
      <formula>0</formula>
    </cfRule>
  </conditionalFormatting>
  <conditionalFormatting sqref="M6:N18">
    <cfRule type="cellIs" dxfId="62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O40"/>
  <sheetViews>
    <sheetView zoomScale="78" workbookViewId="0">
      <pane xSplit="1" topLeftCell="B1" activePane="topRight" state="frozen"/>
      <selection pane="topRight" activeCell="C12" sqref="C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0.10761080628289911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2321730.1799999997</v>
      </c>
      <c r="C4" s="135">
        <f>SUM(C6:C18)-C14</f>
        <v>2311476.7800000003</v>
      </c>
      <c r="D4" s="142">
        <f>SUM(D6:D18)</f>
        <v>2738945.38</v>
      </c>
      <c r="E4" s="152">
        <f t="shared" ref="E4:E18" si="0">IFERROR((SUM(D4-C4)/C4),0)</f>
        <v>0.18493311449142033</v>
      </c>
      <c r="F4" s="147">
        <f>SUM(F6:F18)</f>
        <v>19930</v>
      </c>
      <c r="G4" s="136">
        <f>AVERAGE(G5:G18)</f>
        <v>128.95746428852394</v>
      </c>
      <c r="H4" s="137">
        <f>SUM(H6:H18)</f>
        <v>1097</v>
      </c>
      <c r="I4" s="138">
        <f t="shared" ref="I4:I18" si="1">IFERROR(H4/F4,0)</f>
        <v>5.5042649272453587E-2</v>
      </c>
      <c r="J4" s="139">
        <f>SUM(J6:J18)</f>
        <v>1926</v>
      </c>
      <c r="K4" s="140">
        <f t="shared" ref="K4:K18" si="2">IFERROR(J4/SUM(F4),0)</f>
        <v>9.6638233818364269E-2</v>
      </c>
      <c r="L4" s="186">
        <f>SUM(L6:L18)</f>
        <v>416038.56</v>
      </c>
      <c r="M4" s="140">
        <f>SUM(L4/D4)</f>
        <v>0.15189735547044753</v>
      </c>
      <c r="N4" s="141">
        <f>SUM(N6:N18)</f>
        <v>130477.81999999999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'16 Sept - 22 Sept'!D6</f>
        <v>225559.84</v>
      </c>
      <c r="C6" s="123">
        <v>284082.02</v>
      </c>
      <c r="D6" s="197">
        <v>313795.07</v>
      </c>
      <c r="E6" s="162">
        <f t="shared" si="0"/>
        <v>0.10459320867966225</v>
      </c>
      <c r="F6" s="165">
        <v>2502</v>
      </c>
      <c r="G6" s="124">
        <f t="shared" ref="G6:G18" si="3">IFERROR(D6/F6,0)</f>
        <v>125.41769384492406</v>
      </c>
      <c r="H6" s="125">
        <v>128</v>
      </c>
      <c r="I6" s="168">
        <f t="shared" si="1"/>
        <v>5.1159072741806554E-2</v>
      </c>
      <c r="J6" s="46">
        <f>SUM(62+H6)</f>
        <v>190</v>
      </c>
      <c r="K6" s="171">
        <f t="shared" si="2"/>
        <v>7.59392486011191E-2</v>
      </c>
      <c r="L6" s="191">
        <v>49225.63</v>
      </c>
      <c r="M6" s="128">
        <f t="shared" ref="M6:M18" si="4">SUM(L6/D6)</f>
        <v>0.15687190369179477</v>
      </c>
      <c r="N6" s="129">
        <v>15778.1</v>
      </c>
      <c r="O6" s="26"/>
    </row>
    <row r="7" spans="1:15" ht="15.6" customHeight="1" x14ac:dyDescent="0.3">
      <c r="A7" s="409" t="s">
        <v>16</v>
      </c>
      <c r="B7" s="200">
        <f>'16 Sept - 22 Sept'!D7</f>
        <v>224151.46</v>
      </c>
      <c r="C7" s="73">
        <v>196824.83</v>
      </c>
      <c r="D7" s="145">
        <v>220920.76</v>
      </c>
      <c r="E7" s="163">
        <f t="shared" si="0"/>
        <v>0.1224232227204262</v>
      </c>
      <c r="F7" s="166">
        <v>1570</v>
      </c>
      <c r="G7" s="63">
        <f t="shared" si="3"/>
        <v>140.71385987261147</v>
      </c>
      <c r="H7" s="61">
        <v>112</v>
      </c>
      <c r="I7" s="169">
        <f t="shared" si="1"/>
        <v>7.1337579617834393E-2</v>
      </c>
      <c r="J7" s="46">
        <f>SUM(65+H7)</f>
        <v>177</v>
      </c>
      <c r="K7" s="172">
        <f t="shared" si="2"/>
        <v>0.11273885350318472</v>
      </c>
      <c r="L7" s="188">
        <v>34942.769999999997</v>
      </c>
      <c r="M7" s="89">
        <f t="shared" si="4"/>
        <v>0.1581687931908255</v>
      </c>
      <c r="N7" s="130">
        <v>14480</v>
      </c>
      <c r="O7" s="26"/>
    </row>
    <row r="8" spans="1:15" ht="15.6" customHeight="1" x14ac:dyDescent="0.3">
      <c r="A8" s="409" t="s">
        <v>17</v>
      </c>
      <c r="B8" s="200">
        <f>'16 Sept - 22 Sept'!D8</f>
        <v>96532.63</v>
      </c>
      <c r="C8" s="73">
        <v>113236.98</v>
      </c>
      <c r="D8" s="145">
        <v>112847.78</v>
      </c>
      <c r="E8" s="163">
        <f t="shared" si="0"/>
        <v>-3.4370397373719884E-3</v>
      </c>
      <c r="F8" s="166">
        <v>758</v>
      </c>
      <c r="G8" s="63">
        <f t="shared" si="3"/>
        <v>148.87569920844328</v>
      </c>
      <c r="H8" s="61">
        <v>64</v>
      </c>
      <c r="I8" s="169">
        <f t="shared" si="1"/>
        <v>8.4432717678100261E-2</v>
      </c>
      <c r="J8" s="46">
        <f>SUM(41+H8)</f>
        <v>105</v>
      </c>
      <c r="K8" s="172">
        <f t="shared" si="2"/>
        <v>0.13852242744063326</v>
      </c>
      <c r="L8" s="188">
        <v>40955.160000000003</v>
      </c>
      <c r="M8" s="89">
        <f t="shared" si="4"/>
        <v>0.36292393168921894</v>
      </c>
      <c r="N8" s="130">
        <v>4270.2</v>
      </c>
      <c r="O8" s="26"/>
    </row>
    <row r="9" spans="1:15" ht="15.6" customHeight="1" x14ac:dyDescent="0.3">
      <c r="A9" s="409" t="s">
        <v>18</v>
      </c>
      <c r="B9" s="200">
        <f>'16 Sept - 22 Sept'!D9</f>
        <v>319714.43</v>
      </c>
      <c r="C9" s="73">
        <v>351551.09</v>
      </c>
      <c r="D9" s="145">
        <v>363369.98</v>
      </c>
      <c r="E9" s="163">
        <f t="shared" si="0"/>
        <v>3.3619267117049628E-2</v>
      </c>
      <c r="F9" s="166">
        <v>2561</v>
      </c>
      <c r="G9" s="63">
        <f t="shared" si="3"/>
        <v>141.88597422881685</v>
      </c>
      <c r="H9" s="61">
        <v>87</v>
      </c>
      <c r="I9" s="169">
        <f t="shared" si="1"/>
        <v>3.3971105037094884E-2</v>
      </c>
      <c r="J9" s="46">
        <f>SUM(60+H9)</f>
        <v>147</v>
      </c>
      <c r="K9" s="172">
        <f t="shared" si="2"/>
        <v>5.739945333853963E-2</v>
      </c>
      <c r="L9" s="188">
        <v>31535.14</v>
      </c>
      <c r="M9" s="89">
        <f t="shared" si="4"/>
        <v>8.6785209939467214E-2</v>
      </c>
      <c r="N9" s="130">
        <v>12876.96</v>
      </c>
      <c r="O9" s="26"/>
    </row>
    <row r="10" spans="1:15" ht="15.6" customHeight="1" x14ac:dyDescent="0.3">
      <c r="A10" s="409" t="s">
        <v>20</v>
      </c>
      <c r="B10" s="200">
        <f>'16 Sept - 22 Sept'!D10</f>
        <v>139152.81</v>
      </c>
      <c r="C10" s="73">
        <v>141268.01999999999</v>
      </c>
      <c r="D10" s="145">
        <v>149468.42000000001</v>
      </c>
      <c r="E10" s="163">
        <f t="shared" si="0"/>
        <v>5.8048523650292713E-2</v>
      </c>
      <c r="F10" s="166">
        <v>968</v>
      </c>
      <c r="G10" s="63">
        <f t="shared" si="3"/>
        <v>154.40952479338844</v>
      </c>
      <c r="H10" s="61">
        <v>57</v>
      </c>
      <c r="I10" s="169">
        <f t="shared" si="1"/>
        <v>5.8884297520661155E-2</v>
      </c>
      <c r="J10" s="46">
        <f>SUM(57+H10)</f>
        <v>114</v>
      </c>
      <c r="K10" s="172">
        <f t="shared" si="2"/>
        <v>0.11776859504132231</v>
      </c>
      <c r="L10" s="188">
        <v>37418.300000000003</v>
      </c>
      <c r="M10" s="89">
        <f t="shared" si="4"/>
        <v>0.25034251382332134</v>
      </c>
      <c r="N10" s="130">
        <v>8931</v>
      </c>
      <c r="O10" s="26"/>
    </row>
    <row r="11" spans="1:15" ht="15.6" customHeight="1" x14ac:dyDescent="0.3">
      <c r="A11" s="409" t="s">
        <v>21</v>
      </c>
      <c r="B11" s="200">
        <f>'16 Sept - 22 Sept'!D11</f>
        <v>285384</v>
      </c>
      <c r="C11" s="73">
        <v>328622.21999999997</v>
      </c>
      <c r="D11" s="145">
        <v>371983.14</v>
      </c>
      <c r="E11" s="163">
        <f t="shared" si="0"/>
        <v>0.13194762058390344</v>
      </c>
      <c r="F11" s="166">
        <v>2590</v>
      </c>
      <c r="G11" s="63">
        <f t="shared" si="3"/>
        <v>143.62283397683399</v>
      </c>
      <c r="H11" s="61">
        <v>175</v>
      </c>
      <c r="I11" s="169">
        <f t="shared" si="1"/>
        <v>6.7567567567567571E-2</v>
      </c>
      <c r="J11" s="46">
        <f>SUM(119+H11)</f>
        <v>294</v>
      </c>
      <c r="K11" s="172">
        <f t="shared" si="2"/>
        <v>0.11351351351351352</v>
      </c>
      <c r="L11" s="188">
        <v>50180.25</v>
      </c>
      <c r="M11" s="89">
        <f t="shared" si="4"/>
        <v>0.13489925914384185</v>
      </c>
      <c r="N11" s="130">
        <v>18796.650000000001</v>
      </c>
      <c r="O11" s="26"/>
    </row>
    <row r="12" spans="1:15" ht="15.6" customHeight="1" x14ac:dyDescent="0.3">
      <c r="A12" s="198" t="s">
        <v>22</v>
      </c>
      <c r="B12" s="200">
        <f>'16 Sept - 22 Sept'!D12</f>
        <v>131916.09</v>
      </c>
      <c r="C12" s="73">
        <v>131554.38</v>
      </c>
      <c r="D12" s="145">
        <v>158117.67000000001</v>
      </c>
      <c r="E12" s="163">
        <f t="shared" si="0"/>
        <v>0.20191870464518177</v>
      </c>
      <c r="F12" s="166">
        <v>1181</v>
      </c>
      <c r="G12" s="63">
        <f t="shared" si="3"/>
        <v>133.88456392887386</v>
      </c>
      <c r="H12" s="61">
        <v>82</v>
      </c>
      <c r="I12" s="169">
        <f t="shared" si="1"/>
        <v>6.9432684165961045E-2</v>
      </c>
      <c r="J12" s="46">
        <f>SUM(57+H12)</f>
        <v>139</v>
      </c>
      <c r="K12" s="172">
        <f t="shared" si="2"/>
        <v>0.11769686706181202</v>
      </c>
      <c r="L12" s="188">
        <v>21373.7</v>
      </c>
      <c r="M12" s="89">
        <f t="shared" si="4"/>
        <v>0.13517591044694752</v>
      </c>
      <c r="N12" s="130">
        <v>12491.65</v>
      </c>
      <c r="O12" s="26"/>
    </row>
    <row r="13" spans="1:15" ht="15.6" customHeight="1" x14ac:dyDescent="0.3">
      <c r="A13" s="198" t="s">
        <v>23</v>
      </c>
      <c r="B13" s="200">
        <f>'16 Sept - 22 Sept'!D13</f>
        <v>171225.27</v>
      </c>
      <c r="C13" s="73">
        <v>215425.73</v>
      </c>
      <c r="D13" s="145">
        <v>214469.54</v>
      </c>
      <c r="E13" s="163">
        <f t="shared" si="0"/>
        <v>-4.4386062890444996E-3</v>
      </c>
      <c r="F13" s="166">
        <v>1543</v>
      </c>
      <c r="G13" s="63">
        <f t="shared" si="3"/>
        <v>138.99516526247569</v>
      </c>
      <c r="H13" s="61">
        <v>81</v>
      </c>
      <c r="I13" s="169">
        <f t="shared" si="1"/>
        <v>5.24951393389501E-2</v>
      </c>
      <c r="J13" s="46">
        <f>SUM(68+H13)</f>
        <v>149</v>
      </c>
      <c r="K13" s="172">
        <f t="shared" si="2"/>
        <v>9.6565132858068697E-2</v>
      </c>
      <c r="L13" s="188">
        <v>36765.370000000003</v>
      </c>
      <c r="M13" s="89">
        <f t="shared" si="4"/>
        <v>0.17142466944256979</v>
      </c>
      <c r="N13" s="130">
        <v>8370.7000000000007</v>
      </c>
      <c r="O13" s="26"/>
    </row>
    <row r="14" spans="1:15" ht="15.6" hidden="1" customHeight="1" x14ac:dyDescent="0.3">
      <c r="A14" s="198" t="s">
        <v>24</v>
      </c>
      <c r="B14" s="200">
        <f>'16 Sept - 22 Sept'!D14</f>
        <v>0</v>
      </c>
      <c r="C14" s="73">
        <v>80221.009999999995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'16 Sept - 22 Sept'!D15</f>
        <v>243243.69</v>
      </c>
      <c r="C15" s="73">
        <v>194318.28</v>
      </c>
      <c r="D15" s="145">
        <v>275297.55</v>
      </c>
      <c r="E15" s="163">
        <f t="shared" si="0"/>
        <v>0.41673521400045321</v>
      </c>
      <c r="F15" s="166">
        <v>2347</v>
      </c>
      <c r="G15" s="63">
        <f t="shared" si="3"/>
        <v>117.29763527907967</v>
      </c>
      <c r="H15" s="61">
        <v>51</v>
      </c>
      <c r="I15" s="169">
        <f t="shared" si="1"/>
        <v>2.1729867916489135E-2</v>
      </c>
      <c r="J15" s="46">
        <f>SUM(67+H15)</f>
        <v>118</v>
      </c>
      <c r="K15" s="172">
        <f t="shared" si="2"/>
        <v>5.0276949296974863E-2</v>
      </c>
      <c r="L15" s="188">
        <v>16214.43</v>
      </c>
      <c r="M15" s="89">
        <f t="shared" si="4"/>
        <v>5.8897836177619456E-2</v>
      </c>
      <c r="N15" s="130">
        <v>7652.35</v>
      </c>
      <c r="O15" s="9"/>
    </row>
    <row r="16" spans="1:15" ht="15.6" customHeight="1" x14ac:dyDescent="0.3">
      <c r="A16" s="198" t="s">
        <v>27</v>
      </c>
      <c r="B16" s="200">
        <f>'16 Sept - 22 Sept'!D16</f>
        <v>115075.28</v>
      </c>
      <c r="C16" s="73">
        <v>140331.74</v>
      </c>
      <c r="D16" s="145">
        <v>136655.46</v>
      </c>
      <c r="E16" s="163">
        <f t="shared" si="0"/>
        <v>-2.6197067035582961E-2</v>
      </c>
      <c r="F16" s="166">
        <v>907</v>
      </c>
      <c r="G16" s="63">
        <f t="shared" si="3"/>
        <v>150.6675413450937</v>
      </c>
      <c r="H16" s="61">
        <v>41</v>
      </c>
      <c r="I16" s="169">
        <f t="shared" si="1"/>
        <v>4.5203969128996692E-2</v>
      </c>
      <c r="J16" s="46">
        <f>SUM(63+H16)</f>
        <v>104</v>
      </c>
      <c r="K16" s="172">
        <f t="shared" si="2"/>
        <v>0.11466372657111357</v>
      </c>
      <c r="L16" s="188">
        <v>28464.400000000001</v>
      </c>
      <c r="M16" s="89">
        <f t="shared" si="4"/>
        <v>0.20829317760153895</v>
      </c>
      <c r="N16" s="130">
        <v>8257</v>
      </c>
      <c r="O16" s="9"/>
    </row>
    <row r="17" spans="1:15" ht="15.6" customHeight="1" x14ac:dyDescent="0.3">
      <c r="A17" s="198" t="s">
        <v>28</v>
      </c>
      <c r="B17" s="200">
        <f>'16 Sept - 22 Sept'!D17</f>
        <v>213804.3</v>
      </c>
      <c r="C17" s="73">
        <v>214261.49</v>
      </c>
      <c r="D17" s="145">
        <v>243291.29</v>
      </c>
      <c r="E17" s="163">
        <f t="shared" si="0"/>
        <v>0.1354877164347173</v>
      </c>
      <c r="F17" s="166">
        <v>1516</v>
      </c>
      <c r="G17" s="63">
        <f t="shared" si="3"/>
        <v>160.48238126649076</v>
      </c>
      <c r="H17" s="61">
        <v>111</v>
      </c>
      <c r="I17" s="169">
        <f t="shared" si="1"/>
        <v>7.3218997361477578E-2</v>
      </c>
      <c r="J17" s="46">
        <f>SUM(94+H17)</f>
        <v>205</v>
      </c>
      <c r="K17" s="172">
        <f t="shared" si="2"/>
        <v>0.13522427440633245</v>
      </c>
      <c r="L17" s="188">
        <v>43537.84</v>
      </c>
      <c r="M17" s="89">
        <f t="shared" si="4"/>
        <v>0.17895354987841938</v>
      </c>
      <c r="N17" s="130">
        <v>13218.51</v>
      </c>
      <c r="O17" s="9"/>
    </row>
    <row r="18" spans="1:15" ht="16.2" customHeight="1" thickBot="1" x14ac:dyDescent="0.35">
      <c r="A18" s="199" t="s">
        <v>33</v>
      </c>
      <c r="B18" s="201">
        <f>'16 Sept - 22 Sept'!D18</f>
        <v>155970.38</v>
      </c>
      <c r="C18" s="131"/>
      <c r="D18" s="146">
        <v>178728.72</v>
      </c>
      <c r="E18" s="164">
        <f t="shared" si="0"/>
        <v>0</v>
      </c>
      <c r="F18" s="167">
        <v>1487</v>
      </c>
      <c r="G18" s="132">
        <f t="shared" si="3"/>
        <v>120.19416274377942</v>
      </c>
      <c r="H18" s="133">
        <v>108</v>
      </c>
      <c r="I18" s="170">
        <f t="shared" si="1"/>
        <v>7.2629455279085403E-2</v>
      </c>
      <c r="J18" s="115">
        <f>SUM(76+H18)</f>
        <v>184</v>
      </c>
      <c r="K18" s="173">
        <f t="shared" si="2"/>
        <v>0.12373907195696032</v>
      </c>
      <c r="L18" s="189">
        <v>25425.57</v>
      </c>
      <c r="M18" s="116">
        <f t="shared" si="4"/>
        <v>0.14225788670114126</v>
      </c>
      <c r="N18" s="134">
        <v>5354.7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23" priority="5" operator="equal">
      <formula>0</formula>
    </cfRule>
  </conditionalFormatting>
  <conditionalFormatting sqref="D7:D18">
    <cfRule type="cellIs" dxfId="622" priority="4" operator="equal">
      <formula>0</formula>
    </cfRule>
  </conditionalFormatting>
  <conditionalFormatting sqref="E6:K18">
    <cfRule type="cellIs" dxfId="621" priority="3" operator="equal">
      <formula>0</formula>
    </cfRule>
  </conditionalFormatting>
  <conditionalFormatting sqref="L7:L18">
    <cfRule type="cellIs" dxfId="620" priority="2" operator="equal">
      <formula>0</formula>
    </cfRule>
  </conditionalFormatting>
  <conditionalFormatting sqref="M6:N18">
    <cfRule type="cellIs" dxfId="61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O40"/>
  <sheetViews>
    <sheetView zoomScale="78" workbookViewId="0">
      <pane xSplit="1" topLeftCell="B1" activePane="topRight" state="frozen"/>
      <selection pane="topRight" activeCell="S9" sqref="S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-4.6063986664949264E-2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2738945.38</v>
      </c>
      <c r="C4" s="135">
        <f>SUM(C6:C18)-C14</f>
        <v>2255985.37</v>
      </c>
      <c r="D4" s="142">
        <f>SUM(D6:D18)</f>
        <v>2313237.6799999997</v>
      </c>
      <c r="E4" s="152">
        <f t="shared" ref="E4:E18" si="0">IFERROR((SUM(D4-C4)/C4),0)</f>
        <v>2.5377961560096283E-2</v>
      </c>
      <c r="F4" s="147">
        <f>SUM(F6:F18)</f>
        <v>16716</v>
      </c>
      <c r="G4" s="136">
        <f>AVERAGE(G5:G18)</f>
        <v>127.77769849079365</v>
      </c>
      <c r="H4" s="137">
        <f>SUM(H6:H18)</f>
        <v>1138</v>
      </c>
      <c r="I4" s="138">
        <f t="shared" ref="I4:I18" si="1">IFERROR(H4/F4,0)</f>
        <v>6.8078487676477631E-2</v>
      </c>
      <c r="J4" s="139">
        <f>SUM(J6:J18)</f>
        <v>3041</v>
      </c>
      <c r="K4" s="140">
        <f t="shared" ref="K4:K18" si="2">IFERROR(J4/SUM(F4),0)</f>
        <v>0.18192151232352238</v>
      </c>
      <c r="L4" s="186">
        <f>SUM(L6:L18)</f>
        <v>348020.05000000005</v>
      </c>
      <c r="M4" s="140">
        <f>SUM(L4/D4)</f>
        <v>0.15044716459918642</v>
      </c>
      <c r="N4" s="141">
        <f>SUM(N6:N18)</f>
        <v>130724.92999999998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'23 Sept - 29 Sept'!D6</f>
        <v>313795.07</v>
      </c>
      <c r="C6" s="123">
        <v>264457.42</v>
      </c>
      <c r="D6" s="197">
        <v>247392.33</v>
      </c>
      <c r="E6" s="162">
        <f t="shared" si="0"/>
        <v>-6.4528686697465309E-2</v>
      </c>
      <c r="F6" s="165">
        <v>1989</v>
      </c>
      <c r="G6" s="124">
        <f t="shared" ref="G6:G18" si="3">IFERROR(D6/F6,0)</f>
        <v>124.38025641025641</v>
      </c>
      <c r="H6" s="125">
        <v>83</v>
      </c>
      <c r="I6" s="168">
        <f t="shared" si="1"/>
        <v>4.1729512317747609E-2</v>
      </c>
      <c r="J6" s="46">
        <f>SUM(62+H6+'23 Sept - 29 Sept'!H6)</f>
        <v>273</v>
      </c>
      <c r="K6" s="171">
        <f t="shared" si="2"/>
        <v>0.13725490196078433</v>
      </c>
      <c r="L6" s="191">
        <v>34598.620000000003</v>
      </c>
      <c r="M6" s="128">
        <f t="shared" ref="M6:M18" si="4">SUM(L6/D6)</f>
        <v>0.13985324443971245</v>
      </c>
      <c r="N6" s="129">
        <v>14502.4</v>
      </c>
      <c r="O6" s="26"/>
    </row>
    <row r="7" spans="1:15" ht="15.6" customHeight="1" x14ac:dyDescent="0.3">
      <c r="A7" s="409" t="s">
        <v>16</v>
      </c>
      <c r="B7" s="200">
        <f>'23 Sept - 29 Sept'!D7</f>
        <v>220920.76</v>
      </c>
      <c r="C7" s="73">
        <v>192360.95</v>
      </c>
      <c r="D7" s="145">
        <v>220441.59</v>
      </c>
      <c r="E7" s="163">
        <f t="shared" si="0"/>
        <v>0.14597890060326685</v>
      </c>
      <c r="F7" s="166">
        <v>1491</v>
      </c>
      <c r="G7" s="63">
        <f t="shared" si="3"/>
        <v>147.84814889336016</v>
      </c>
      <c r="H7" s="61">
        <v>168</v>
      </c>
      <c r="I7" s="169">
        <f t="shared" si="1"/>
        <v>0.11267605633802817</v>
      </c>
      <c r="J7" s="46">
        <f>SUM(62+H7+'23 Sept - 29 Sept'!H7)</f>
        <v>342</v>
      </c>
      <c r="K7" s="172">
        <f t="shared" si="2"/>
        <v>0.22937625754527163</v>
      </c>
      <c r="L7" s="188">
        <v>42409.78</v>
      </c>
      <c r="M7" s="89">
        <f t="shared" si="4"/>
        <v>0.19238556571833837</v>
      </c>
      <c r="N7" s="130">
        <v>20778.53</v>
      </c>
      <c r="O7" s="26"/>
    </row>
    <row r="8" spans="1:15" ht="15.6" customHeight="1" x14ac:dyDescent="0.3">
      <c r="A8" s="409" t="s">
        <v>17</v>
      </c>
      <c r="B8" s="200">
        <f>'23 Sept - 29 Sept'!D8</f>
        <v>112847.78</v>
      </c>
      <c r="C8" s="73">
        <v>99034.45</v>
      </c>
      <c r="D8" s="145">
        <v>107107.59</v>
      </c>
      <c r="E8" s="163">
        <f t="shared" si="0"/>
        <v>8.1518501895047626E-2</v>
      </c>
      <c r="F8" s="166">
        <v>734</v>
      </c>
      <c r="G8" s="63">
        <f t="shared" si="3"/>
        <v>145.92314713896457</v>
      </c>
      <c r="H8" s="61">
        <v>52</v>
      </c>
      <c r="I8" s="169">
        <f t="shared" si="1"/>
        <v>7.0844686648501368E-2</v>
      </c>
      <c r="J8" s="46">
        <f>SUM(62+H8+'23 Sept - 29 Sept'!H8)</f>
        <v>178</v>
      </c>
      <c r="K8" s="172">
        <f t="shared" si="2"/>
        <v>0.24250681198910082</v>
      </c>
      <c r="L8" s="188">
        <v>25866.04</v>
      </c>
      <c r="M8" s="89">
        <f t="shared" si="4"/>
        <v>0.24149586411196444</v>
      </c>
      <c r="N8" s="130">
        <v>6931</v>
      </c>
      <c r="O8" s="26"/>
    </row>
    <row r="9" spans="1:15" ht="15.6" customHeight="1" x14ac:dyDescent="0.3">
      <c r="A9" s="409" t="s">
        <v>18</v>
      </c>
      <c r="B9" s="200">
        <f>'23 Sept - 29 Sept'!D9</f>
        <v>363369.98</v>
      </c>
      <c r="C9" s="73">
        <v>341106.39</v>
      </c>
      <c r="D9" s="145">
        <v>310781.21999999997</v>
      </c>
      <c r="E9" s="163">
        <f t="shared" si="0"/>
        <v>-8.8902380280826879E-2</v>
      </c>
      <c r="F9" s="166">
        <v>2180</v>
      </c>
      <c r="G9" s="63">
        <f t="shared" si="3"/>
        <v>142.56019266055046</v>
      </c>
      <c r="H9" s="61">
        <v>87</v>
      </c>
      <c r="I9" s="169">
        <f t="shared" si="1"/>
        <v>3.9908256880733947E-2</v>
      </c>
      <c r="J9" s="46">
        <f>SUM(62+H9+'23 Sept - 29 Sept'!H9)</f>
        <v>236</v>
      </c>
      <c r="K9" s="172">
        <f t="shared" si="2"/>
        <v>0.10825688073394496</v>
      </c>
      <c r="L9" s="188">
        <v>15903.3</v>
      </c>
      <c r="M9" s="89">
        <f t="shared" si="4"/>
        <v>5.1172010972863807E-2</v>
      </c>
      <c r="N9" s="130">
        <v>13706</v>
      </c>
      <c r="O9" s="26"/>
    </row>
    <row r="10" spans="1:15" ht="15.6" customHeight="1" x14ac:dyDescent="0.3">
      <c r="A10" s="409" t="s">
        <v>20</v>
      </c>
      <c r="B10" s="200">
        <f>'23 Sept - 29 Sept'!D10</f>
        <v>149468.42000000001</v>
      </c>
      <c r="C10" s="73">
        <v>127538.21</v>
      </c>
      <c r="D10" s="145">
        <v>147789.66</v>
      </c>
      <c r="E10" s="163">
        <f t="shared" si="0"/>
        <v>0.15878731558173817</v>
      </c>
      <c r="F10" s="166">
        <v>1021</v>
      </c>
      <c r="G10" s="63">
        <f t="shared" si="3"/>
        <v>144.74991185112634</v>
      </c>
      <c r="H10" s="61">
        <v>90</v>
      </c>
      <c r="I10" s="169">
        <f t="shared" si="1"/>
        <v>8.8148873653281098E-2</v>
      </c>
      <c r="J10" s="46">
        <f>SUM(62+H10+'23 Sept - 29 Sept'!H10)</f>
        <v>209</v>
      </c>
      <c r="K10" s="172">
        <f t="shared" si="2"/>
        <v>0.20470127326150833</v>
      </c>
      <c r="L10" s="188">
        <v>41123.57</v>
      </c>
      <c r="M10" s="89">
        <f t="shared" si="4"/>
        <v>0.27825742342190923</v>
      </c>
      <c r="N10" s="130">
        <v>7005.75</v>
      </c>
      <c r="O10" s="26"/>
    </row>
    <row r="11" spans="1:15" ht="15.6" customHeight="1" x14ac:dyDescent="0.3">
      <c r="A11" s="409" t="s">
        <v>21</v>
      </c>
      <c r="B11" s="200">
        <f>'23 Sept - 29 Sept'!D11</f>
        <v>371983.14</v>
      </c>
      <c r="C11" s="73">
        <v>314738.09999999998</v>
      </c>
      <c r="D11" s="145">
        <v>310363.95</v>
      </c>
      <c r="E11" s="163">
        <f t="shared" si="0"/>
        <v>-1.3897745458843291E-2</v>
      </c>
      <c r="F11" s="166">
        <v>2054</v>
      </c>
      <c r="G11" s="63">
        <f t="shared" si="3"/>
        <v>151.10221518987342</v>
      </c>
      <c r="H11" s="61">
        <v>180</v>
      </c>
      <c r="I11" s="169">
        <f t="shared" si="1"/>
        <v>8.7633885102239531E-2</v>
      </c>
      <c r="J11" s="46">
        <f>SUM(62+H11+'23 Sept - 29 Sept'!H11)</f>
        <v>417</v>
      </c>
      <c r="K11" s="172">
        <f t="shared" si="2"/>
        <v>0.20301850048685491</v>
      </c>
      <c r="L11" s="188">
        <v>43430.48</v>
      </c>
      <c r="M11" s="89">
        <f t="shared" si="4"/>
        <v>0.1399340355089565</v>
      </c>
      <c r="N11" s="130">
        <v>18433.099999999999</v>
      </c>
      <c r="O11" s="26"/>
    </row>
    <row r="12" spans="1:15" ht="15.6" customHeight="1" x14ac:dyDescent="0.3">
      <c r="A12" s="198" t="s">
        <v>22</v>
      </c>
      <c r="B12" s="200">
        <f>'23 Sept - 29 Sept'!D12</f>
        <v>158117.67000000001</v>
      </c>
      <c r="C12" s="73">
        <v>122013.69</v>
      </c>
      <c r="D12" s="145">
        <v>145869.65</v>
      </c>
      <c r="E12" s="163">
        <f t="shared" si="0"/>
        <v>0.19551871597359272</v>
      </c>
      <c r="F12" s="166">
        <v>1082</v>
      </c>
      <c r="G12" s="63">
        <f t="shared" si="3"/>
        <v>134.81483364140479</v>
      </c>
      <c r="H12" s="61">
        <v>86</v>
      </c>
      <c r="I12" s="169">
        <f t="shared" si="1"/>
        <v>7.9482439926062853E-2</v>
      </c>
      <c r="J12" s="46">
        <f>SUM(62+H12+'23 Sept - 29 Sept'!H12)</f>
        <v>230</v>
      </c>
      <c r="K12" s="172">
        <f t="shared" si="2"/>
        <v>0.21256931608133087</v>
      </c>
      <c r="L12" s="188">
        <v>22175.96</v>
      </c>
      <c r="M12" s="89">
        <f t="shared" si="4"/>
        <v>0.15202586692982398</v>
      </c>
      <c r="N12" s="130">
        <v>11119.7</v>
      </c>
      <c r="O12" s="26"/>
    </row>
    <row r="13" spans="1:15" ht="15.6" customHeight="1" x14ac:dyDescent="0.3">
      <c r="A13" s="198" t="s">
        <v>23</v>
      </c>
      <c r="B13" s="200">
        <f>'23 Sept - 29 Sept'!D13</f>
        <v>214469.54</v>
      </c>
      <c r="C13" s="73">
        <v>205792.41</v>
      </c>
      <c r="D13" s="145">
        <v>203625.52</v>
      </c>
      <c r="E13" s="163">
        <f t="shared" si="0"/>
        <v>-1.0529494260745641E-2</v>
      </c>
      <c r="F13" s="166">
        <v>1510</v>
      </c>
      <c r="G13" s="63">
        <f t="shared" si="3"/>
        <v>134.85133774834438</v>
      </c>
      <c r="H13" s="61">
        <v>84</v>
      </c>
      <c r="I13" s="169">
        <f t="shared" si="1"/>
        <v>5.562913907284768E-2</v>
      </c>
      <c r="J13" s="46">
        <f>SUM(62+H13+'23 Sept - 29 Sept'!H13)</f>
        <v>227</v>
      </c>
      <c r="K13" s="172">
        <f t="shared" si="2"/>
        <v>0.15033112582781458</v>
      </c>
      <c r="L13" s="188">
        <v>37783.65</v>
      </c>
      <c r="M13" s="89">
        <f t="shared" si="4"/>
        <v>0.18555459060337823</v>
      </c>
      <c r="N13" s="130">
        <v>11478.4</v>
      </c>
      <c r="O13" s="26"/>
    </row>
    <row r="14" spans="1:15" ht="15.6" hidden="1" customHeight="1" x14ac:dyDescent="0.3">
      <c r="A14" s="198" t="s">
        <v>24</v>
      </c>
      <c r="B14" s="200">
        <f>'23 Sept - 29 Sept'!D14</f>
        <v>0</v>
      </c>
      <c r="C14" s="73">
        <v>110538.82</v>
      </c>
      <c r="D14" s="145"/>
      <c r="E14" s="163">
        <f t="shared" si="0"/>
        <v>-1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'23 Sept - 29 Sept'!D15</f>
        <v>275297.55</v>
      </c>
      <c r="C15" s="73">
        <v>247604.51</v>
      </c>
      <c r="D15" s="145">
        <v>146491.63</v>
      </c>
      <c r="E15" s="163">
        <f t="shared" si="0"/>
        <v>-0.40836445184298137</v>
      </c>
      <c r="F15" s="166">
        <v>1200</v>
      </c>
      <c r="G15" s="63">
        <f t="shared" si="3"/>
        <v>122.07635833333333</v>
      </c>
      <c r="H15" s="61">
        <v>95</v>
      </c>
      <c r="I15" s="169">
        <f t="shared" si="1"/>
        <v>7.9166666666666663E-2</v>
      </c>
      <c r="J15" s="46">
        <f>SUM(62+H15+'23 Sept - 29 Sept'!H15)</f>
        <v>208</v>
      </c>
      <c r="K15" s="172">
        <f t="shared" si="2"/>
        <v>0.17333333333333334</v>
      </c>
      <c r="L15" s="188">
        <v>8311.74</v>
      </c>
      <c r="M15" s="89">
        <f t="shared" si="4"/>
        <v>5.6738668277498169E-2</v>
      </c>
      <c r="N15" s="130">
        <v>5580</v>
      </c>
      <c r="O15" s="9"/>
    </row>
    <row r="16" spans="1:15" ht="15.6" customHeight="1" x14ac:dyDescent="0.3">
      <c r="A16" s="198" t="s">
        <v>27</v>
      </c>
      <c r="B16" s="200">
        <f>'23 Sept - 29 Sept'!D16</f>
        <v>136655.46</v>
      </c>
      <c r="C16" s="73">
        <v>137044.49</v>
      </c>
      <c r="D16" s="145">
        <v>124737.19</v>
      </c>
      <c r="E16" s="163">
        <f t="shared" si="0"/>
        <v>-8.9805142840839416E-2</v>
      </c>
      <c r="F16" s="166">
        <v>877</v>
      </c>
      <c r="G16" s="63">
        <f t="shared" si="3"/>
        <v>142.2316875712657</v>
      </c>
      <c r="H16" s="61">
        <v>23</v>
      </c>
      <c r="I16" s="169">
        <f t="shared" si="1"/>
        <v>2.6225769669327253E-2</v>
      </c>
      <c r="J16" s="46">
        <f>SUM(62+H16+'23 Sept - 29 Sept'!H16)</f>
        <v>126</v>
      </c>
      <c r="K16" s="172">
        <f t="shared" si="2"/>
        <v>0.14367160775370583</v>
      </c>
      <c r="L16" s="188">
        <v>28830.13</v>
      </c>
      <c r="M16" s="89">
        <f t="shared" si="4"/>
        <v>0.2311269798526005</v>
      </c>
      <c r="N16" s="130">
        <v>7409.7</v>
      </c>
      <c r="O16" s="9"/>
    </row>
    <row r="17" spans="1:15" ht="15.6" customHeight="1" x14ac:dyDescent="0.3">
      <c r="A17" s="198" t="s">
        <v>28</v>
      </c>
      <c r="B17" s="200">
        <f>'23 Sept - 29 Sept'!D17</f>
        <v>243291.29</v>
      </c>
      <c r="C17" s="73">
        <v>204294.75</v>
      </c>
      <c r="D17" s="145">
        <v>187465.36</v>
      </c>
      <c r="E17" s="163">
        <f t="shared" si="0"/>
        <v>-8.2377985728952968E-2</v>
      </c>
      <c r="F17" s="166">
        <v>1283</v>
      </c>
      <c r="G17" s="63">
        <f t="shared" si="3"/>
        <v>146.11485580670302</v>
      </c>
      <c r="H17" s="61">
        <v>108</v>
      </c>
      <c r="I17" s="169">
        <f t="shared" si="1"/>
        <v>8.4177708495713169E-2</v>
      </c>
      <c r="J17" s="46">
        <f>SUM(62+H17+'23 Sept - 29 Sept'!H17)</f>
        <v>281</v>
      </c>
      <c r="K17" s="172">
        <f t="shared" si="2"/>
        <v>0.21901792673421669</v>
      </c>
      <c r="L17" s="188">
        <v>29451.78</v>
      </c>
      <c r="M17" s="89">
        <f t="shared" si="4"/>
        <v>0.15710518465918183</v>
      </c>
      <c r="N17" s="130">
        <v>10027.200000000001</v>
      </c>
      <c r="O17" s="9"/>
    </row>
    <row r="18" spans="1:15" ht="16.2" customHeight="1" thickBot="1" x14ac:dyDescent="0.35">
      <c r="A18" s="199" t="s">
        <v>33</v>
      </c>
      <c r="B18" s="201">
        <f>'23 Sept - 29 Sept'!D18</f>
        <v>178728.72</v>
      </c>
      <c r="C18" s="131"/>
      <c r="D18" s="146">
        <v>161171.99</v>
      </c>
      <c r="E18" s="164">
        <f t="shared" si="0"/>
        <v>0</v>
      </c>
      <c r="F18" s="167">
        <v>1295</v>
      </c>
      <c r="G18" s="132">
        <f t="shared" si="3"/>
        <v>124.45713513513513</v>
      </c>
      <c r="H18" s="133">
        <v>82</v>
      </c>
      <c r="I18" s="170">
        <f t="shared" si="1"/>
        <v>6.3320463320463316E-2</v>
      </c>
      <c r="J18" s="115">
        <f>SUM(62+H18+'23 Sept - 29 Sept'!H18)</f>
        <v>252</v>
      </c>
      <c r="K18" s="173">
        <f t="shared" si="2"/>
        <v>0.19459459459459461</v>
      </c>
      <c r="L18" s="189">
        <v>18135</v>
      </c>
      <c r="M18" s="116">
        <f t="shared" si="4"/>
        <v>0.11251955131905986</v>
      </c>
      <c r="N18" s="134">
        <v>3753.15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18" priority="5" operator="equal">
      <formula>0</formula>
    </cfRule>
  </conditionalFormatting>
  <conditionalFormatting sqref="D7:D18">
    <cfRule type="cellIs" dxfId="617" priority="4" operator="equal">
      <formula>0</formula>
    </cfRule>
  </conditionalFormatting>
  <conditionalFormatting sqref="E6:K18">
    <cfRule type="cellIs" dxfId="616" priority="3" operator="equal">
      <formula>0</formula>
    </cfRule>
  </conditionalFormatting>
  <conditionalFormatting sqref="L7:L18">
    <cfRule type="cellIs" dxfId="615" priority="2" operator="equal">
      <formula>0</formula>
    </cfRule>
  </conditionalFormatting>
  <conditionalFormatting sqref="M6:N18">
    <cfRule type="cellIs" dxfId="61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40"/>
  <sheetViews>
    <sheetView zoomScale="78" workbookViewId="0">
      <pane xSplit="1" topLeftCell="B1" activePane="topRight" state="frozen"/>
      <selection pane="topRight" activeCell="F12" sqref="F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4.8879822819404589E-2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2313237.6799999997</v>
      </c>
      <c r="C4" s="135">
        <f>SUM(C6:C18)-C14</f>
        <v>2016961.2800000003</v>
      </c>
      <c r="D4" s="142">
        <f>SUM(D6:D18)</f>
        <v>2264460.8499999996</v>
      </c>
      <c r="E4" s="152">
        <f t="shared" ref="E4:E18" si="0">IFERROR((SUM(D4-C4)/C4),0)</f>
        <v>0.12270913301816054</v>
      </c>
      <c r="F4" s="147">
        <f>SUM(F6:F18)</f>
        <v>16674</v>
      </c>
      <c r="G4" s="136">
        <f>AVERAGE(G5:G18)</f>
        <v>125.66969156277204</v>
      </c>
      <c r="H4" s="137">
        <f>SUM(H6:H18)</f>
        <v>1082</v>
      </c>
      <c r="I4" s="138">
        <f t="shared" ref="I4:I18" si="1">IFERROR(H4/F4,0)</f>
        <v>6.4891447762984292E-2</v>
      </c>
      <c r="J4" s="139">
        <f>SUM(J6:J18)</f>
        <v>4123</v>
      </c>
      <c r="K4" s="140">
        <f t="shared" ref="K4:K18" si="2">IFERROR(J4/SUM(F4),0)</f>
        <v>0.24727120067170444</v>
      </c>
      <c r="L4" s="186">
        <f>SUM(L6:L18)</f>
        <v>346218.96</v>
      </c>
      <c r="M4" s="140">
        <f>SUM(L4/D4)</f>
        <v>0.15289244678264147</v>
      </c>
      <c r="N4" s="141">
        <f>SUM(N6:N18)</f>
        <v>121715.59999999999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'30 Sept - 6 Oct'!D6</f>
        <v>247392.33</v>
      </c>
      <c r="C6" s="123">
        <v>236866.46</v>
      </c>
      <c r="D6" s="197">
        <v>234693.29</v>
      </c>
      <c r="E6" s="162">
        <f t="shared" si="0"/>
        <v>-9.1746632258530129E-3</v>
      </c>
      <c r="F6" s="165">
        <v>1893</v>
      </c>
      <c r="G6" s="124">
        <f t="shared" ref="G6:G18" si="3">IFERROR(D6/F6,0)</f>
        <v>123.97955097728473</v>
      </c>
      <c r="H6" s="125">
        <v>84</v>
      </c>
      <c r="I6" s="168">
        <f t="shared" si="1"/>
        <v>4.4374009508716325E-2</v>
      </c>
      <c r="J6" s="46">
        <f>SUM(62+H6+'23 Sept - 29 Sept'!H6+'30 Sept - 6 Oct'!H6)</f>
        <v>357</v>
      </c>
      <c r="K6" s="171">
        <f t="shared" si="2"/>
        <v>0.18858954041204437</v>
      </c>
      <c r="L6" s="191">
        <v>35050.129999999997</v>
      </c>
      <c r="M6" s="128">
        <f t="shared" ref="M6:M18" si="4">SUM(L6/D6)</f>
        <v>0.14934440605438698</v>
      </c>
      <c r="N6" s="129">
        <v>10726.75</v>
      </c>
      <c r="O6" s="26"/>
    </row>
    <row r="7" spans="1:15" ht="15.6" customHeight="1" x14ac:dyDescent="0.3">
      <c r="A7" s="409" t="s">
        <v>16</v>
      </c>
      <c r="B7" s="200">
        <f>'30 Sept - 6 Oct'!D7</f>
        <v>220441.59</v>
      </c>
      <c r="C7" s="73">
        <v>144768.66</v>
      </c>
      <c r="D7" s="145">
        <v>178156.7</v>
      </c>
      <c r="E7" s="163">
        <f t="shared" si="0"/>
        <v>0.23063030354774305</v>
      </c>
      <c r="F7" s="166">
        <v>1296</v>
      </c>
      <c r="G7" s="63">
        <f t="shared" si="3"/>
        <v>137.46658950617285</v>
      </c>
      <c r="H7" s="61">
        <v>146</v>
      </c>
      <c r="I7" s="169">
        <f t="shared" si="1"/>
        <v>0.11265432098765432</v>
      </c>
      <c r="J7" s="46">
        <f>SUM(62+H7+'23 Sept - 29 Sept'!H7+'30 Sept - 6 Oct'!H7)</f>
        <v>488</v>
      </c>
      <c r="K7" s="172">
        <f t="shared" si="2"/>
        <v>0.37654320987654322</v>
      </c>
      <c r="L7" s="188">
        <v>30965.35</v>
      </c>
      <c r="M7" s="89">
        <f t="shared" si="4"/>
        <v>0.17380962938806116</v>
      </c>
      <c r="N7" s="130">
        <v>15568.2</v>
      </c>
      <c r="O7" s="26"/>
    </row>
    <row r="8" spans="1:15" ht="15.6" customHeight="1" x14ac:dyDescent="0.3">
      <c r="A8" s="409" t="s">
        <v>17</v>
      </c>
      <c r="B8" s="200">
        <f>'30 Sept - 6 Oct'!D8</f>
        <v>107107.59</v>
      </c>
      <c r="C8" s="73">
        <v>93938.69</v>
      </c>
      <c r="D8" s="145">
        <v>104958.15</v>
      </c>
      <c r="E8" s="163">
        <f t="shared" si="0"/>
        <v>0.11730480806151322</v>
      </c>
      <c r="F8" s="166">
        <v>702</v>
      </c>
      <c r="G8" s="63">
        <f t="shared" si="3"/>
        <v>149.51303418803417</v>
      </c>
      <c r="H8" s="61">
        <v>33</v>
      </c>
      <c r="I8" s="169">
        <f t="shared" si="1"/>
        <v>4.7008547008547008E-2</v>
      </c>
      <c r="J8" s="46">
        <f>SUM(62+H8+'23 Sept - 29 Sept'!H8+'30 Sept - 6 Oct'!H8)</f>
        <v>211</v>
      </c>
      <c r="K8" s="172">
        <f t="shared" si="2"/>
        <v>0.30056980056980059</v>
      </c>
      <c r="L8" s="188">
        <v>30557.87</v>
      </c>
      <c r="M8" s="89">
        <f t="shared" si="4"/>
        <v>0.29114337476413221</v>
      </c>
      <c r="N8" s="130">
        <v>4739.6000000000004</v>
      </c>
      <c r="O8" s="26"/>
    </row>
    <row r="9" spans="1:15" ht="15.6" customHeight="1" x14ac:dyDescent="0.3">
      <c r="A9" s="409" t="s">
        <v>18</v>
      </c>
      <c r="B9" s="200">
        <f>'30 Sept - 6 Oct'!D9</f>
        <v>310781.21999999997</v>
      </c>
      <c r="C9" s="73">
        <v>294741.78000000003</v>
      </c>
      <c r="D9" s="145">
        <v>307459.09000000003</v>
      </c>
      <c r="E9" s="163">
        <f t="shared" si="0"/>
        <v>4.3147293200169981E-2</v>
      </c>
      <c r="F9" s="166">
        <v>2195</v>
      </c>
      <c r="G9" s="63">
        <f t="shared" si="3"/>
        <v>140.0724783599089</v>
      </c>
      <c r="H9" s="61">
        <v>89</v>
      </c>
      <c r="I9" s="169">
        <f t="shared" si="1"/>
        <v>4.0546697038724371E-2</v>
      </c>
      <c r="J9" s="46">
        <f>SUM(62+H9+'23 Sept - 29 Sept'!H9+'30 Sept - 6 Oct'!H9)</f>
        <v>325</v>
      </c>
      <c r="K9" s="172">
        <f t="shared" si="2"/>
        <v>0.1480637813211845</v>
      </c>
      <c r="L9" s="188">
        <v>23028.080000000002</v>
      </c>
      <c r="M9" s="89">
        <f t="shared" si="4"/>
        <v>7.4898029523212339E-2</v>
      </c>
      <c r="N9" s="130">
        <v>13307.85</v>
      </c>
      <c r="O9" s="26"/>
    </row>
    <row r="10" spans="1:15" ht="15.6" customHeight="1" x14ac:dyDescent="0.3">
      <c r="A10" s="409" t="s">
        <v>20</v>
      </c>
      <c r="B10" s="200">
        <f>'30 Sept - 6 Oct'!D10</f>
        <v>147789.66</v>
      </c>
      <c r="C10" s="73">
        <v>143479.23000000001</v>
      </c>
      <c r="D10" s="145">
        <v>152374.91</v>
      </c>
      <c r="E10" s="163">
        <f t="shared" si="0"/>
        <v>6.1999775159094404E-2</v>
      </c>
      <c r="F10" s="166">
        <v>1055</v>
      </c>
      <c r="G10" s="63">
        <f t="shared" si="3"/>
        <v>144.43119431279621</v>
      </c>
      <c r="H10" s="61">
        <v>98</v>
      </c>
      <c r="I10" s="169">
        <f t="shared" si="1"/>
        <v>9.2890995260663509E-2</v>
      </c>
      <c r="J10" s="46">
        <f>SUM(62+H10+'23 Sept - 29 Sept'!H10+'30 Sept - 6 Oct'!H10)</f>
        <v>307</v>
      </c>
      <c r="K10" s="172">
        <f t="shared" si="2"/>
        <v>0.29099526066350712</v>
      </c>
      <c r="L10" s="188">
        <v>40638.629999999997</v>
      </c>
      <c r="M10" s="89">
        <f t="shared" si="4"/>
        <v>0.26670158492628476</v>
      </c>
      <c r="N10" s="130">
        <v>8302.1</v>
      </c>
      <c r="O10" s="26"/>
    </row>
    <row r="11" spans="1:15" ht="15.6" customHeight="1" x14ac:dyDescent="0.3">
      <c r="A11" s="409" t="s">
        <v>21</v>
      </c>
      <c r="B11" s="200">
        <f>'30 Sept - 6 Oct'!D11</f>
        <v>310363.95</v>
      </c>
      <c r="C11" s="73">
        <v>320816.82</v>
      </c>
      <c r="D11" s="145">
        <v>330816.71999999997</v>
      </c>
      <c r="E11" s="163">
        <f t="shared" si="0"/>
        <v>3.1170123810839983E-2</v>
      </c>
      <c r="F11" s="166">
        <v>2120</v>
      </c>
      <c r="G11" s="63">
        <f t="shared" si="3"/>
        <v>156.04562264150942</v>
      </c>
      <c r="H11" s="61">
        <v>152</v>
      </c>
      <c r="I11" s="169">
        <f t="shared" si="1"/>
        <v>7.1698113207547168E-2</v>
      </c>
      <c r="J11" s="46">
        <f>SUM(62+H11+'23 Sept - 29 Sept'!H11+'30 Sept - 6 Oct'!H11)</f>
        <v>569</v>
      </c>
      <c r="K11" s="172">
        <f t="shared" si="2"/>
        <v>0.26839622641509436</v>
      </c>
      <c r="L11" s="188">
        <v>45426.14</v>
      </c>
      <c r="M11" s="89">
        <f t="shared" si="4"/>
        <v>0.1373151272402435</v>
      </c>
      <c r="N11" s="130">
        <v>19489.650000000001</v>
      </c>
      <c r="O11" s="26"/>
    </row>
    <row r="12" spans="1:15" ht="15.6" customHeight="1" x14ac:dyDescent="0.3">
      <c r="A12" s="198" t="s">
        <v>22</v>
      </c>
      <c r="B12" s="200">
        <f>'30 Sept - 6 Oct'!D12</f>
        <v>145869.65</v>
      </c>
      <c r="C12" s="73">
        <v>120710.17</v>
      </c>
      <c r="D12" s="145">
        <v>132859.35999999999</v>
      </c>
      <c r="E12" s="163">
        <f t="shared" si="0"/>
        <v>0.10064760906226863</v>
      </c>
      <c r="F12" s="166">
        <v>1076</v>
      </c>
      <c r="G12" s="63">
        <f t="shared" si="3"/>
        <v>123.47524163568772</v>
      </c>
      <c r="H12" s="61">
        <v>92</v>
      </c>
      <c r="I12" s="169">
        <f t="shared" si="1"/>
        <v>8.5501858736059477E-2</v>
      </c>
      <c r="J12" s="46">
        <f>SUM(62+H12+'23 Sept - 29 Sept'!H12+'30 Sept - 6 Oct'!H12)</f>
        <v>322</v>
      </c>
      <c r="K12" s="172">
        <f t="shared" si="2"/>
        <v>0.2992565055762082</v>
      </c>
      <c r="L12" s="188">
        <v>19708.78</v>
      </c>
      <c r="M12" s="89">
        <f t="shared" si="4"/>
        <v>0.14834318033746363</v>
      </c>
      <c r="N12" s="130">
        <v>10137.4</v>
      </c>
      <c r="O12" s="26"/>
    </row>
    <row r="13" spans="1:15" ht="15.6" customHeight="1" x14ac:dyDescent="0.3">
      <c r="A13" s="198" t="s">
        <v>23</v>
      </c>
      <c r="B13" s="200">
        <f>'30 Sept - 6 Oct'!D13</f>
        <v>203625.52</v>
      </c>
      <c r="C13" s="73">
        <v>212472.33</v>
      </c>
      <c r="D13" s="145">
        <v>196053.8</v>
      </c>
      <c r="E13" s="163">
        <f t="shared" si="0"/>
        <v>-7.7273732537314385E-2</v>
      </c>
      <c r="F13" s="166">
        <v>1475</v>
      </c>
      <c r="G13" s="63">
        <f t="shared" si="3"/>
        <v>132.91783050847457</v>
      </c>
      <c r="H13" s="61">
        <v>95</v>
      </c>
      <c r="I13" s="169">
        <f t="shared" si="1"/>
        <v>6.4406779661016947E-2</v>
      </c>
      <c r="J13" s="46">
        <f>SUM(62+H13+'23 Sept - 29 Sept'!H13+'30 Sept - 6 Oct'!H13)</f>
        <v>322</v>
      </c>
      <c r="K13" s="172">
        <f t="shared" si="2"/>
        <v>0.21830508474576271</v>
      </c>
      <c r="L13" s="188">
        <v>37144.089999999997</v>
      </c>
      <c r="M13" s="89">
        <f t="shared" si="4"/>
        <v>0.18945865879671803</v>
      </c>
      <c r="N13" s="130">
        <v>7947.15</v>
      </c>
      <c r="O13" s="26"/>
    </row>
    <row r="14" spans="1:15" ht="15.6" hidden="1" customHeight="1" x14ac:dyDescent="0.3">
      <c r="A14" s="198" t="s">
        <v>24</v>
      </c>
      <c r="B14" s="200">
        <f>'30 Sept - 6 Oct'!D14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'30 Sept - 6 Oct'!D15</f>
        <v>146491.63</v>
      </c>
      <c r="C15" s="73">
        <v>146937.32999999999</v>
      </c>
      <c r="D15" s="145">
        <v>163134.85999999999</v>
      </c>
      <c r="E15" s="163">
        <f t="shared" si="0"/>
        <v>0.11023427470745521</v>
      </c>
      <c r="F15" s="166">
        <v>1546</v>
      </c>
      <c r="G15" s="63">
        <f t="shared" si="3"/>
        <v>105.52060802069857</v>
      </c>
      <c r="H15" s="61">
        <v>75</v>
      </c>
      <c r="I15" s="169">
        <f t="shared" si="1"/>
        <v>4.8512289780077621E-2</v>
      </c>
      <c r="J15" s="46">
        <f>SUM(62+H15+'23 Sept - 29 Sept'!H15+'30 Sept - 6 Oct'!H15)</f>
        <v>283</v>
      </c>
      <c r="K15" s="172">
        <f t="shared" si="2"/>
        <v>0.18305304010349288</v>
      </c>
      <c r="L15" s="188">
        <v>6419.3</v>
      </c>
      <c r="M15" s="89">
        <f t="shared" si="4"/>
        <v>3.9349652183475685E-2</v>
      </c>
      <c r="N15" s="130">
        <v>8982.2999999999993</v>
      </c>
      <c r="O15" s="9"/>
    </row>
    <row r="16" spans="1:15" ht="15.6" customHeight="1" x14ac:dyDescent="0.3">
      <c r="A16" s="198" t="s">
        <v>27</v>
      </c>
      <c r="B16" s="200">
        <f>'30 Sept - 6 Oct'!D16</f>
        <v>124737.19</v>
      </c>
      <c r="C16" s="73">
        <v>111304.27</v>
      </c>
      <c r="D16" s="145">
        <v>113246.57</v>
      </c>
      <c r="E16" s="163">
        <f t="shared" si="0"/>
        <v>1.7450363764121565E-2</v>
      </c>
      <c r="F16" s="166">
        <v>781</v>
      </c>
      <c r="G16" s="63">
        <f t="shared" si="3"/>
        <v>145.00201024327785</v>
      </c>
      <c r="H16" s="61">
        <v>42</v>
      </c>
      <c r="I16" s="169">
        <f t="shared" si="1"/>
        <v>5.3777208706786171E-2</v>
      </c>
      <c r="J16" s="46">
        <f>SUM(62+H16+'23 Sept - 29 Sept'!H16+'30 Sept - 6 Oct'!H16)</f>
        <v>168</v>
      </c>
      <c r="K16" s="172">
        <f t="shared" si="2"/>
        <v>0.21510883482714468</v>
      </c>
      <c r="L16" s="188">
        <v>23586.43</v>
      </c>
      <c r="M16" s="89">
        <f t="shared" si="4"/>
        <v>0.20827500559178083</v>
      </c>
      <c r="N16" s="130">
        <v>6321.5</v>
      </c>
      <c r="O16" s="9"/>
    </row>
    <row r="17" spans="1:15" ht="15.6" customHeight="1" x14ac:dyDescent="0.3">
      <c r="A17" s="198" t="s">
        <v>28</v>
      </c>
      <c r="B17" s="200">
        <f>'30 Sept - 6 Oct'!D17</f>
        <v>187465.36</v>
      </c>
      <c r="C17" s="73">
        <v>190925.54</v>
      </c>
      <c r="D17" s="145">
        <v>201796.54</v>
      </c>
      <c r="E17" s="163">
        <f t="shared" si="0"/>
        <v>5.6938427409973541E-2</v>
      </c>
      <c r="F17" s="166">
        <v>1332</v>
      </c>
      <c r="G17" s="63">
        <f t="shared" si="3"/>
        <v>151.49890390390391</v>
      </c>
      <c r="H17" s="61">
        <v>111</v>
      </c>
      <c r="I17" s="169">
        <f t="shared" si="1"/>
        <v>8.3333333333333329E-2</v>
      </c>
      <c r="J17" s="46">
        <f>SUM(62+H17+'23 Sept - 29 Sept'!H17+'30 Sept - 6 Oct'!H17)</f>
        <v>392</v>
      </c>
      <c r="K17" s="172">
        <f t="shared" si="2"/>
        <v>0.29429429429429427</v>
      </c>
      <c r="L17" s="188">
        <v>31278.57</v>
      </c>
      <c r="M17" s="89">
        <f t="shared" si="4"/>
        <v>0.15500052676819928</v>
      </c>
      <c r="N17" s="130">
        <v>13186.1</v>
      </c>
      <c r="O17" s="9"/>
    </row>
    <row r="18" spans="1:15" ht="16.2" customHeight="1" thickBot="1" x14ac:dyDescent="0.35">
      <c r="A18" s="199" t="s">
        <v>33</v>
      </c>
      <c r="B18" s="201">
        <f>'30 Sept - 6 Oct'!D18</f>
        <v>161171.99</v>
      </c>
      <c r="C18" s="131"/>
      <c r="D18" s="146">
        <v>148910.85999999999</v>
      </c>
      <c r="E18" s="164">
        <f t="shared" si="0"/>
        <v>0</v>
      </c>
      <c r="F18" s="167">
        <v>1203</v>
      </c>
      <c r="G18" s="132">
        <f t="shared" si="3"/>
        <v>123.7829260182876</v>
      </c>
      <c r="H18" s="133">
        <v>65</v>
      </c>
      <c r="I18" s="170">
        <f t="shared" si="1"/>
        <v>5.4031587697423111E-2</v>
      </c>
      <c r="J18" s="115">
        <f>SUM(62+H18+'23 Sept - 29 Sept'!H18+'30 Sept - 6 Oct'!H18)</f>
        <v>317</v>
      </c>
      <c r="K18" s="173">
        <f t="shared" si="2"/>
        <v>0.26350789692435578</v>
      </c>
      <c r="L18" s="189">
        <v>22415.59</v>
      </c>
      <c r="M18" s="116">
        <f t="shared" si="4"/>
        <v>0.15053025682613075</v>
      </c>
      <c r="N18" s="134">
        <v>3007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13" priority="5" operator="equal">
      <formula>0</formula>
    </cfRule>
  </conditionalFormatting>
  <conditionalFormatting sqref="D7:D18">
    <cfRule type="cellIs" dxfId="612" priority="4" operator="equal">
      <formula>0</formula>
    </cfRule>
  </conditionalFormatting>
  <conditionalFormatting sqref="E6:K18">
    <cfRule type="cellIs" dxfId="611" priority="3" operator="equal">
      <formula>0</formula>
    </cfRule>
  </conditionalFormatting>
  <conditionalFormatting sqref="L7:L18">
    <cfRule type="cellIs" dxfId="610" priority="2" operator="equal">
      <formula>0</formula>
    </cfRule>
  </conditionalFormatting>
  <conditionalFormatting sqref="M6:N18">
    <cfRule type="cellIs" dxfId="60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40"/>
  <sheetViews>
    <sheetView zoomScale="78" workbookViewId="0">
      <pane xSplit="1" topLeftCell="B1" activePane="topRight" state="frozen"/>
      <selection pane="topRight" activeCell="F4" sqref="F4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0.14829193706642424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2264460.8499999996</v>
      </c>
      <c r="C4" s="135">
        <f>SUM(C6:C18)-C14</f>
        <v>1909439.8900000001</v>
      </c>
      <c r="D4" s="142">
        <f>SUM(D6:D18)</f>
        <v>2345541.21</v>
      </c>
      <c r="E4" s="152">
        <f t="shared" ref="E4:E18" si="0">IFERROR((SUM(D4-C4)/C4),0)</f>
        <v>0.22839227476283624</v>
      </c>
      <c r="F4" s="147">
        <f>SUM(F6:F18)</f>
        <v>17000</v>
      </c>
      <c r="G4" s="136">
        <f>AVERAGE(G5:G18)</f>
        <v>127.66989981913164</v>
      </c>
      <c r="H4" s="137">
        <f>SUM(H6:H18)</f>
        <v>1013</v>
      </c>
      <c r="I4" s="138">
        <f t="shared" ref="I4:I18" si="1">IFERROR(H4/F4,0)</f>
        <v>5.958823529411765E-2</v>
      </c>
      <c r="J4" s="139">
        <f>SUM(J6:J18)</f>
        <v>5136</v>
      </c>
      <c r="K4" s="140">
        <f t="shared" ref="K4:K18" si="2">IFERROR(J4/SUM(F4),0)</f>
        <v>0.30211764705882355</v>
      </c>
      <c r="L4" s="186">
        <f>SUM(L6:L18)</f>
        <v>341960.54000000004</v>
      </c>
      <c r="M4" s="140">
        <f>SUM(L4/D4)</f>
        <v>0.14579174245248075</v>
      </c>
      <c r="N4" s="141">
        <f>SUM(N6:N18)</f>
        <v>126434.58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'7 Oct - 13 Oct'!D6</f>
        <v>234693.29</v>
      </c>
      <c r="C6" s="123">
        <v>231844.33</v>
      </c>
      <c r="D6" s="197">
        <v>220957.5</v>
      </c>
      <c r="E6" s="162">
        <f t="shared" si="0"/>
        <v>-4.695749945663967E-2</v>
      </c>
      <c r="F6" s="165">
        <v>1841</v>
      </c>
      <c r="G6" s="124">
        <f t="shared" ref="G6:G18" si="3">IFERROR(D6/F6,0)</f>
        <v>120.02036936447583</v>
      </c>
      <c r="H6" s="125">
        <v>62</v>
      </c>
      <c r="I6" s="168">
        <f t="shared" si="1"/>
        <v>3.3677349266702877E-2</v>
      </c>
      <c r="J6" s="46">
        <f>SUM(62+H6+'23 Sept - 29 Sept'!H6+'30 Sept - 6 Oct'!H6+'7 Oct - 13 Oct'!H6)</f>
        <v>419</v>
      </c>
      <c r="K6" s="171">
        <f t="shared" si="2"/>
        <v>0.2275936990765888</v>
      </c>
      <c r="L6" s="191">
        <v>25657.96</v>
      </c>
      <c r="M6" s="128">
        <f t="shared" ref="M6:M18" si="4">SUM(L6/D6)</f>
        <v>0.11612169761153163</v>
      </c>
      <c r="N6" s="129">
        <v>12099.3</v>
      </c>
      <c r="O6" s="26"/>
    </row>
    <row r="7" spans="1:15" ht="15.6" customHeight="1" x14ac:dyDescent="0.3">
      <c r="A7" s="409" t="s">
        <v>16</v>
      </c>
      <c r="B7" s="200">
        <f>'7 Oct - 13 Oct'!D7</f>
        <v>178156.7</v>
      </c>
      <c r="C7" s="73"/>
      <c r="D7" s="145">
        <v>212391.65</v>
      </c>
      <c r="E7" s="163">
        <f t="shared" si="0"/>
        <v>0</v>
      </c>
      <c r="F7" s="166">
        <v>1499</v>
      </c>
      <c r="G7" s="63">
        <f t="shared" si="3"/>
        <v>141.68889259506338</v>
      </c>
      <c r="H7" s="61">
        <v>116</v>
      </c>
      <c r="I7" s="169">
        <f t="shared" si="1"/>
        <v>7.7384923282188128E-2</v>
      </c>
      <c r="J7" s="46">
        <f>SUM(62+H7+'23 Sept - 29 Sept'!H7+'30 Sept - 6 Oct'!H7+'7 Oct - 13 Oct'!H7)</f>
        <v>604</v>
      </c>
      <c r="K7" s="172">
        <f t="shared" si="2"/>
        <v>0.4029352901934623</v>
      </c>
      <c r="L7" s="188">
        <v>34437.14</v>
      </c>
      <c r="M7" s="89">
        <f t="shared" si="4"/>
        <v>0.16213980163532796</v>
      </c>
      <c r="N7" s="130">
        <v>17352.259999999998</v>
      </c>
      <c r="O7" s="26"/>
    </row>
    <row r="8" spans="1:15" ht="15.6" customHeight="1" x14ac:dyDescent="0.3">
      <c r="A8" s="409" t="s">
        <v>17</v>
      </c>
      <c r="B8" s="200">
        <f>'7 Oct - 13 Oct'!D8</f>
        <v>104958.15</v>
      </c>
      <c r="C8" s="73">
        <v>80789.17</v>
      </c>
      <c r="D8" s="145">
        <v>108340.48</v>
      </c>
      <c r="E8" s="163">
        <f t="shared" si="0"/>
        <v>0.34102726887774681</v>
      </c>
      <c r="F8" s="166">
        <v>737</v>
      </c>
      <c r="G8" s="63">
        <f t="shared" si="3"/>
        <v>147.00200814111261</v>
      </c>
      <c r="H8" s="61">
        <v>23</v>
      </c>
      <c r="I8" s="169">
        <f t="shared" si="1"/>
        <v>3.1207598371777476E-2</v>
      </c>
      <c r="J8" s="46">
        <f>SUM(62+H8+'23 Sept - 29 Sept'!H8+'30 Sept - 6 Oct'!H8+'7 Oct - 13 Oct'!H8)</f>
        <v>234</v>
      </c>
      <c r="K8" s="172">
        <f t="shared" si="2"/>
        <v>0.3175033921302578</v>
      </c>
      <c r="L8" s="188">
        <v>28499.74</v>
      </c>
      <c r="M8" s="89">
        <f t="shared" si="4"/>
        <v>0.2630571693978096</v>
      </c>
      <c r="N8" s="130">
        <v>4267.37</v>
      </c>
      <c r="O8" s="26"/>
    </row>
    <row r="9" spans="1:15" ht="15.6" customHeight="1" x14ac:dyDescent="0.3">
      <c r="A9" s="409" t="s">
        <v>18</v>
      </c>
      <c r="B9" s="200">
        <f>'7 Oct - 13 Oct'!D9</f>
        <v>307459.09000000003</v>
      </c>
      <c r="C9" s="73">
        <v>377913.24</v>
      </c>
      <c r="D9" s="145">
        <v>321762.17</v>
      </c>
      <c r="E9" s="163">
        <f t="shared" si="0"/>
        <v>-0.14858190731819823</v>
      </c>
      <c r="F9" s="166">
        <v>2245</v>
      </c>
      <c r="G9" s="63">
        <f t="shared" si="3"/>
        <v>143.32390645879732</v>
      </c>
      <c r="H9" s="61">
        <v>85</v>
      </c>
      <c r="I9" s="169">
        <f t="shared" si="1"/>
        <v>3.7861915367483297E-2</v>
      </c>
      <c r="J9" s="46">
        <f>SUM(62+H9+'23 Sept - 29 Sept'!H9+'30 Sept - 6 Oct'!H9+'7 Oct - 13 Oct'!H9)</f>
        <v>410</v>
      </c>
      <c r="K9" s="172">
        <f t="shared" si="2"/>
        <v>0.18262806236080179</v>
      </c>
      <c r="L9" s="188">
        <v>19480.61</v>
      </c>
      <c r="M9" s="89">
        <f t="shared" si="4"/>
        <v>6.0543506404124516E-2</v>
      </c>
      <c r="N9" s="130">
        <v>11570.55</v>
      </c>
      <c r="O9" s="26"/>
    </row>
    <row r="10" spans="1:15" ht="15.6" customHeight="1" x14ac:dyDescent="0.3">
      <c r="A10" s="409" t="s">
        <v>20</v>
      </c>
      <c r="B10" s="200">
        <f>'7 Oct - 13 Oct'!D10</f>
        <v>152374.91</v>
      </c>
      <c r="C10" s="73">
        <v>129317.66</v>
      </c>
      <c r="D10" s="145">
        <v>138165.29</v>
      </c>
      <c r="E10" s="163">
        <f t="shared" si="0"/>
        <v>6.8417801559353952E-2</v>
      </c>
      <c r="F10" s="166">
        <v>948</v>
      </c>
      <c r="G10" s="63">
        <f t="shared" si="3"/>
        <v>145.74397679324895</v>
      </c>
      <c r="H10" s="61">
        <v>91</v>
      </c>
      <c r="I10" s="169">
        <f t="shared" si="1"/>
        <v>9.5991561181434593E-2</v>
      </c>
      <c r="J10" s="46">
        <f>SUM(62+H10+'23 Sept - 29 Sept'!H10+'30 Sept - 6 Oct'!H10+'7 Oct - 13 Oct'!H10)</f>
        <v>398</v>
      </c>
      <c r="K10" s="172">
        <f t="shared" si="2"/>
        <v>0.41983122362869196</v>
      </c>
      <c r="L10" s="188">
        <v>37470.559999999998</v>
      </c>
      <c r="M10" s="89">
        <f t="shared" si="4"/>
        <v>0.27120096516281328</v>
      </c>
      <c r="N10" s="130">
        <v>6988.4</v>
      </c>
      <c r="O10" s="26"/>
    </row>
    <row r="11" spans="1:15" ht="15.6" customHeight="1" x14ac:dyDescent="0.3">
      <c r="A11" s="409" t="s">
        <v>21</v>
      </c>
      <c r="B11" s="200">
        <f>'7 Oct - 13 Oct'!D11</f>
        <v>330816.71999999997</v>
      </c>
      <c r="C11" s="73">
        <v>314124.37</v>
      </c>
      <c r="D11" s="145">
        <v>325751.75</v>
      </c>
      <c r="E11" s="163">
        <f t="shared" si="0"/>
        <v>3.7015211522748157E-2</v>
      </c>
      <c r="F11" s="166">
        <v>2073</v>
      </c>
      <c r="G11" s="63">
        <f t="shared" si="3"/>
        <v>157.14025566811384</v>
      </c>
      <c r="H11" s="61">
        <v>150</v>
      </c>
      <c r="I11" s="169">
        <f t="shared" si="1"/>
        <v>7.2358900144717797E-2</v>
      </c>
      <c r="J11" s="46">
        <f>SUM(62+H11+'23 Sept - 29 Sept'!H11+'30 Sept - 6 Oct'!H11+'7 Oct - 13 Oct'!H11)</f>
        <v>719</v>
      </c>
      <c r="K11" s="172">
        <f t="shared" si="2"/>
        <v>0.34684032802701398</v>
      </c>
      <c r="L11" s="188">
        <v>54928.959999999999</v>
      </c>
      <c r="M11" s="89">
        <f t="shared" si="4"/>
        <v>0.16862214861470429</v>
      </c>
      <c r="N11" s="130">
        <v>21804.3</v>
      </c>
      <c r="O11" s="26"/>
    </row>
    <row r="12" spans="1:15" ht="15.6" customHeight="1" x14ac:dyDescent="0.3">
      <c r="A12" s="198" t="s">
        <v>22</v>
      </c>
      <c r="B12" s="200">
        <f>'7 Oct - 13 Oct'!D12</f>
        <v>132859.35999999999</v>
      </c>
      <c r="C12" s="73">
        <v>122918.08</v>
      </c>
      <c r="D12" s="145">
        <v>144094.25</v>
      </c>
      <c r="E12" s="163">
        <f t="shared" si="0"/>
        <v>0.17227872417141563</v>
      </c>
      <c r="F12" s="166">
        <v>1104</v>
      </c>
      <c r="G12" s="63">
        <f t="shared" si="3"/>
        <v>130.52015398550725</v>
      </c>
      <c r="H12" s="61">
        <v>56</v>
      </c>
      <c r="I12" s="169">
        <f t="shared" si="1"/>
        <v>5.0724637681159424E-2</v>
      </c>
      <c r="J12" s="46">
        <f>SUM(62+H12+'23 Sept - 29 Sept'!H12+'30 Sept - 6 Oct'!H12+'7 Oct - 13 Oct'!H12)</f>
        <v>378</v>
      </c>
      <c r="K12" s="172">
        <f t="shared" si="2"/>
        <v>0.34239130434782611</v>
      </c>
      <c r="L12" s="188">
        <v>24280.13</v>
      </c>
      <c r="M12" s="89">
        <f t="shared" si="4"/>
        <v>0.16850172716815556</v>
      </c>
      <c r="N12" s="130">
        <v>9717.25</v>
      </c>
      <c r="O12" s="26"/>
    </row>
    <row r="13" spans="1:15" ht="15.6" customHeight="1" x14ac:dyDescent="0.3">
      <c r="A13" s="198" t="s">
        <v>23</v>
      </c>
      <c r="B13" s="200">
        <f>'7 Oct - 13 Oct'!D13</f>
        <v>196053.8</v>
      </c>
      <c r="C13" s="73">
        <v>200136.97</v>
      </c>
      <c r="D13" s="145">
        <v>204599.91</v>
      </c>
      <c r="E13" s="163">
        <f t="shared" si="0"/>
        <v>2.2299428236572195E-2</v>
      </c>
      <c r="F13" s="166">
        <v>1602</v>
      </c>
      <c r="G13" s="63">
        <f t="shared" si="3"/>
        <v>127.71529962546816</v>
      </c>
      <c r="H13" s="61">
        <v>92</v>
      </c>
      <c r="I13" s="169">
        <f t="shared" si="1"/>
        <v>5.742821473158552E-2</v>
      </c>
      <c r="J13" s="46">
        <f>SUM(62+H13+'23 Sept - 29 Sept'!H13+'30 Sept - 6 Oct'!H13+'7 Oct - 13 Oct'!H13)</f>
        <v>414</v>
      </c>
      <c r="K13" s="172">
        <f t="shared" si="2"/>
        <v>0.25842696629213485</v>
      </c>
      <c r="L13" s="188">
        <v>32747.09</v>
      </c>
      <c r="M13" s="89">
        <f t="shared" si="4"/>
        <v>0.1600542737286639</v>
      </c>
      <c r="N13" s="130">
        <v>12207.6</v>
      </c>
      <c r="O13" s="26"/>
    </row>
    <row r="14" spans="1:15" ht="15.6" hidden="1" customHeight="1" x14ac:dyDescent="0.3">
      <c r="A14" s="198" t="s">
        <v>24</v>
      </c>
      <c r="B14" s="200">
        <f>'7 Oct - 13 Oct'!D14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'7 Oct - 13 Oct'!D15</f>
        <v>163134.85999999999</v>
      </c>
      <c r="C15" s="73">
        <v>137169.71</v>
      </c>
      <c r="D15" s="145">
        <v>180048.8</v>
      </c>
      <c r="E15" s="163">
        <f t="shared" si="0"/>
        <v>0.31259882374906239</v>
      </c>
      <c r="F15" s="166">
        <v>1529</v>
      </c>
      <c r="G15" s="63">
        <f t="shared" si="3"/>
        <v>117.75591890124264</v>
      </c>
      <c r="H15" s="61">
        <v>92</v>
      </c>
      <c r="I15" s="169">
        <f t="shared" si="1"/>
        <v>6.0170045781556575E-2</v>
      </c>
      <c r="J15" s="46">
        <f>SUM(62+H15+'23 Sept - 29 Sept'!H15+'30 Sept - 6 Oct'!H15+'7 Oct - 13 Oct'!H15)</f>
        <v>375</v>
      </c>
      <c r="K15" s="172">
        <f t="shared" si="2"/>
        <v>0.24525833878351863</v>
      </c>
      <c r="L15" s="188">
        <v>9623.0400000000009</v>
      </c>
      <c r="M15" s="89">
        <f t="shared" si="4"/>
        <v>5.3446843300260824E-2</v>
      </c>
      <c r="N15" s="130">
        <v>6609.8</v>
      </c>
      <c r="O15" s="9"/>
    </row>
    <row r="16" spans="1:15" ht="15.6" customHeight="1" x14ac:dyDescent="0.3">
      <c r="A16" s="198" t="s">
        <v>27</v>
      </c>
      <c r="B16" s="200">
        <f>'7 Oct - 13 Oct'!D16</f>
        <v>113246.57</v>
      </c>
      <c r="C16" s="73">
        <v>110320.85</v>
      </c>
      <c r="D16" s="145">
        <v>117277.55</v>
      </c>
      <c r="E16" s="163">
        <f t="shared" si="0"/>
        <v>6.3058796229361877E-2</v>
      </c>
      <c r="F16" s="166">
        <v>793</v>
      </c>
      <c r="G16" s="63">
        <f t="shared" si="3"/>
        <v>147.89098360655737</v>
      </c>
      <c r="H16" s="61">
        <v>45</v>
      </c>
      <c r="I16" s="169">
        <f t="shared" si="1"/>
        <v>5.6746532156368219E-2</v>
      </c>
      <c r="J16" s="46">
        <f>SUM(62+H16+'23 Sept - 29 Sept'!H16+'30 Sept - 6 Oct'!H16+'7 Oct - 13 Oct'!H16)</f>
        <v>213</v>
      </c>
      <c r="K16" s="172">
        <f t="shared" si="2"/>
        <v>0.26860025220680961</v>
      </c>
      <c r="L16" s="188">
        <v>25963.09</v>
      </c>
      <c r="M16" s="89">
        <f t="shared" si="4"/>
        <v>0.22138158581928083</v>
      </c>
      <c r="N16" s="130">
        <v>8561</v>
      </c>
      <c r="O16" s="9"/>
    </row>
    <row r="17" spans="1:15" ht="15.6" customHeight="1" x14ac:dyDescent="0.3">
      <c r="A17" s="198" t="s">
        <v>28</v>
      </c>
      <c r="B17" s="200">
        <f>'7 Oct - 13 Oct'!D17</f>
        <v>201796.54</v>
      </c>
      <c r="C17" s="73">
        <v>204905.51</v>
      </c>
      <c r="D17" s="145">
        <v>219205.08</v>
      </c>
      <c r="E17" s="163">
        <f t="shared" si="0"/>
        <v>6.9786166316366888E-2</v>
      </c>
      <c r="F17" s="166">
        <v>1414</v>
      </c>
      <c r="G17" s="63">
        <f t="shared" si="3"/>
        <v>155.02480905233381</v>
      </c>
      <c r="H17" s="61">
        <v>111</v>
      </c>
      <c r="I17" s="169">
        <f t="shared" si="1"/>
        <v>7.8500707213578505E-2</v>
      </c>
      <c r="J17" s="46">
        <f>SUM(62+H17+'23 Sept - 29 Sept'!H17+'30 Sept - 6 Oct'!H17+'7 Oct - 13 Oct'!H17)</f>
        <v>503</v>
      </c>
      <c r="K17" s="172">
        <f t="shared" si="2"/>
        <v>0.35572842998585574</v>
      </c>
      <c r="L17" s="188">
        <v>26818.7</v>
      </c>
      <c r="M17" s="89">
        <f t="shared" si="4"/>
        <v>0.12234524856814451</v>
      </c>
      <c r="N17" s="130">
        <v>11839.35</v>
      </c>
      <c r="O17" s="9"/>
    </row>
    <row r="18" spans="1:15" ht="16.2" customHeight="1" thickBot="1" x14ac:dyDescent="0.35">
      <c r="A18" s="199" t="s">
        <v>33</v>
      </c>
      <c r="B18" s="201">
        <f>'7 Oct - 13 Oct'!D18</f>
        <v>148910.85999999999</v>
      </c>
      <c r="C18" s="131"/>
      <c r="D18" s="146">
        <v>152946.78</v>
      </c>
      <c r="E18" s="164">
        <f t="shared" si="0"/>
        <v>0</v>
      </c>
      <c r="F18" s="167">
        <v>1215</v>
      </c>
      <c r="G18" s="132">
        <f t="shared" si="3"/>
        <v>125.88212345679013</v>
      </c>
      <c r="H18" s="133">
        <v>90</v>
      </c>
      <c r="I18" s="170">
        <f t="shared" si="1"/>
        <v>7.407407407407407E-2</v>
      </c>
      <c r="J18" s="115">
        <f>SUM(62+H18+'23 Sept - 29 Sept'!H18+'30 Sept - 6 Oct'!H18+'7 Oct - 13 Oct'!H18)</f>
        <v>407</v>
      </c>
      <c r="K18" s="173">
        <f t="shared" si="2"/>
        <v>0.33497942386831275</v>
      </c>
      <c r="L18" s="189">
        <v>22053.52</v>
      </c>
      <c r="M18" s="116">
        <f t="shared" si="4"/>
        <v>0.1441908093782687</v>
      </c>
      <c r="N18" s="134">
        <v>3417.4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08" priority="5" operator="equal">
      <formula>0</formula>
    </cfRule>
  </conditionalFormatting>
  <conditionalFormatting sqref="D7:D18">
    <cfRule type="cellIs" dxfId="607" priority="4" operator="equal">
      <formula>0</formula>
    </cfRule>
  </conditionalFormatting>
  <conditionalFormatting sqref="E6:K18">
    <cfRule type="cellIs" dxfId="606" priority="3" operator="equal">
      <formula>0</formula>
    </cfRule>
  </conditionalFormatting>
  <conditionalFormatting sqref="L7:L18">
    <cfRule type="cellIs" dxfId="605" priority="2" operator="equal">
      <formula>0</formula>
    </cfRule>
  </conditionalFormatting>
  <conditionalFormatting sqref="M6:N18">
    <cfRule type="cellIs" dxfId="60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5.3951229453699678E-2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2345541.21</v>
      </c>
      <c r="C4" s="135">
        <f>SUM(C6:C18)-C14</f>
        <v>2049451.7200000002</v>
      </c>
      <c r="D4" s="142">
        <f>SUM(D6:D18)</f>
        <v>2321617.2299999995</v>
      </c>
      <c r="E4" s="152">
        <f t="shared" ref="E4:E18" si="0">IFERROR((SUM(D4-C4)/C4),0)</f>
        <v>0.132799181041454</v>
      </c>
      <c r="F4" s="147">
        <f>SUM(F6:F18)</f>
        <v>16658</v>
      </c>
      <c r="G4" s="136">
        <f>AVERAGE(G5:G18)</f>
        <v>128.3521702326359</v>
      </c>
      <c r="H4" s="137">
        <f>SUM(H6:H18)</f>
        <v>992</v>
      </c>
      <c r="I4" s="138">
        <f t="shared" ref="I4:I18" si="1">IFERROR(H4/F4,0)</f>
        <v>5.9550966502581341E-2</v>
      </c>
      <c r="J4" s="139">
        <f>SUM(J6:J18)</f>
        <v>6128</v>
      </c>
      <c r="K4" s="140">
        <f t="shared" ref="K4:K18" si="2">IFERROR(J4/SUM(F4),0)</f>
        <v>0.36787129307239763</v>
      </c>
      <c r="L4" s="186">
        <f>SUM(L6:L18)</f>
        <v>366449.2</v>
      </c>
      <c r="M4" s="140">
        <f>SUM(L4/D4)</f>
        <v>0.15784221243051341</v>
      </c>
      <c r="N4" s="141">
        <f>SUM(N6:N18)</f>
        <v>127021.08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'14 Oct - 20 Oct'!D6</f>
        <v>220957.5</v>
      </c>
      <c r="C6" s="123">
        <v>232688.85</v>
      </c>
      <c r="D6" s="197">
        <v>235865.33</v>
      </c>
      <c r="E6" s="162">
        <f t="shared" si="0"/>
        <v>1.3651191279685216E-2</v>
      </c>
      <c r="F6" s="165">
        <v>1807</v>
      </c>
      <c r="G6" s="124">
        <f t="shared" ref="G6:G18" si="3">IFERROR(D6/F6,0)</f>
        <v>130.52868289983397</v>
      </c>
      <c r="H6" s="125">
        <v>86</v>
      </c>
      <c r="I6" s="168">
        <f t="shared" si="1"/>
        <v>4.7592695074709465E-2</v>
      </c>
      <c r="J6" s="46">
        <f>SUM(62+H6+'23 Sept - 29 Sept'!H6+'30 Sept - 6 Oct'!H6+'7 Oct - 13 Oct'!H6+'14 Oct - 20 Oct'!H6)</f>
        <v>505</v>
      </c>
      <c r="K6" s="171">
        <f t="shared" si="2"/>
        <v>0.27946873270614275</v>
      </c>
      <c r="L6" s="191">
        <v>37260.78</v>
      </c>
      <c r="M6" s="128">
        <f t="shared" ref="M6:M18" si="4">SUM(L6/D6)</f>
        <v>0.15797480706469239</v>
      </c>
      <c r="N6" s="129">
        <v>13245.9</v>
      </c>
      <c r="O6" s="26"/>
    </row>
    <row r="7" spans="1:15" ht="15.6" customHeight="1" x14ac:dyDescent="0.3">
      <c r="A7" s="409" t="s">
        <v>16</v>
      </c>
      <c r="B7" s="200">
        <f>'14 Oct - 20 Oct'!D7</f>
        <v>212391.65</v>
      </c>
      <c r="C7" s="73">
        <v>53942.16</v>
      </c>
      <c r="D7" s="145">
        <v>214438.21</v>
      </c>
      <c r="E7" s="163">
        <f t="shared" si="0"/>
        <v>2.9753359895117284</v>
      </c>
      <c r="F7" s="166">
        <v>1590</v>
      </c>
      <c r="G7" s="63">
        <f t="shared" si="3"/>
        <v>134.86679874213837</v>
      </c>
      <c r="H7" s="61">
        <v>114</v>
      </c>
      <c r="I7" s="169">
        <f t="shared" si="1"/>
        <v>7.1698113207547168E-2</v>
      </c>
      <c r="J7" s="46">
        <f>SUM(62+H7+'23 Sept - 29 Sept'!H7+'30 Sept - 6 Oct'!H7+'7 Oct - 13 Oct'!H7+'14 Oct - 20 Oct'!H7)</f>
        <v>718</v>
      </c>
      <c r="K7" s="172">
        <f t="shared" si="2"/>
        <v>0.45157232704402517</v>
      </c>
      <c r="L7" s="188">
        <v>28152.48</v>
      </c>
      <c r="M7" s="89">
        <f t="shared" si="4"/>
        <v>0.13128481160143987</v>
      </c>
      <c r="N7" s="130">
        <v>17323.25</v>
      </c>
      <c r="O7" s="26"/>
    </row>
    <row r="8" spans="1:15" ht="15.6" customHeight="1" x14ac:dyDescent="0.3">
      <c r="A8" s="409" t="s">
        <v>17</v>
      </c>
      <c r="B8" s="200">
        <f>'14 Oct - 20 Oct'!D8</f>
        <v>108340.48</v>
      </c>
      <c r="C8" s="73">
        <v>112191.76</v>
      </c>
      <c r="D8" s="145">
        <v>120214.26</v>
      </c>
      <c r="E8" s="163">
        <f t="shared" si="0"/>
        <v>7.1507034028167493E-2</v>
      </c>
      <c r="F8" s="166">
        <v>773</v>
      </c>
      <c r="G8" s="63">
        <f t="shared" si="3"/>
        <v>155.51650711513582</v>
      </c>
      <c r="H8" s="61">
        <v>45</v>
      </c>
      <c r="I8" s="169">
        <f t="shared" si="1"/>
        <v>5.8214747736093142E-2</v>
      </c>
      <c r="J8" s="46">
        <f>SUM(62+H8+'23 Sept - 29 Sept'!H8+'30 Sept - 6 Oct'!H8+'7 Oct - 13 Oct'!H8+'14 Oct - 20 Oct'!H8)</f>
        <v>279</v>
      </c>
      <c r="K8" s="172">
        <f t="shared" si="2"/>
        <v>0.36093143596377747</v>
      </c>
      <c r="L8" s="188">
        <v>35720.959999999999</v>
      </c>
      <c r="M8" s="89">
        <f t="shared" si="4"/>
        <v>0.29714411584782041</v>
      </c>
      <c r="N8" s="130">
        <v>4990.1000000000004</v>
      </c>
      <c r="O8" s="26"/>
    </row>
    <row r="9" spans="1:15" ht="15.6" customHeight="1" x14ac:dyDescent="0.3">
      <c r="A9" s="409" t="s">
        <v>18</v>
      </c>
      <c r="B9" s="200">
        <f>'14 Oct - 20 Oct'!D9</f>
        <v>321762.17</v>
      </c>
      <c r="C9" s="73">
        <v>362627.37</v>
      </c>
      <c r="D9" s="145">
        <v>310997.36</v>
      </c>
      <c r="E9" s="163">
        <f t="shared" si="0"/>
        <v>-0.14237758721852686</v>
      </c>
      <c r="F9" s="166">
        <v>2111</v>
      </c>
      <c r="G9" s="63">
        <f t="shared" si="3"/>
        <v>147.32229275225012</v>
      </c>
      <c r="H9" s="61">
        <v>51</v>
      </c>
      <c r="I9" s="169">
        <f t="shared" si="1"/>
        <v>2.4159166271909047E-2</v>
      </c>
      <c r="J9" s="46">
        <f>SUM(62+H9+'23 Sept - 29 Sept'!H9+'30 Sept - 6 Oct'!H9+'7 Oct - 13 Oct'!H9+'14 Oct - 20 Oct'!H9)</f>
        <v>461</v>
      </c>
      <c r="K9" s="172">
        <f t="shared" si="2"/>
        <v>0.21837991473235432</v>
      </c>
      <c r="L9" s="188">
        <v>27265.13</v>
      </c>
      <c r="M9" s="89">
        <f t="shared" si="4"/>
        <v>8.7669972503946661E-2</v>
      </c>
      <c r="N9" s="130">
        <v>13619.55</v>
      </c>
      <c r="O9" s="26"/>
    </row>
    <row r="10" spans="1:15" ht="15.6" customHeight="1" x14ac:dyDescent="0.3">
      <c r="A10" s="409" t="s">
        <v>20</v>
      </c>
      <c r="B10" s="200">
        <f>'14 Oct - 20 Oct'!D10</f>
        <v>138165.29</v>
      </c>
      <c r="C10" s="73">
        <v>139413.9</v>
      </c>
      <c r="D10" s="145">
        <v>136515.1</v>
      </c>
      <c r="E10" s="163">
        <f t="shared" si="0"/>
        <v>-2.0792761697362949E-2</v>
      </c>
      <c r="F10" s="166">
        <v>991</v>
      </c>
      <c r="G10" s="63">
        <f t="shared" si="3"/>
        <v>137.75489404641777</v>
      </c>
      <c r="H10" s="61">
        <v>63</v>
      </c>
      <c r="I10" s="169">
        <f t="shared" si="1"/>
        <v>6.357214934409687E-2</v>
      </c>
      <c r="J10" s="46">
        <f>SUM(62+H10+'23 Sept - 29 Sept'!H10+'30 Sept - 6 Oct'!H10+'7 Oct - 13 Oct'!H10+'14 Oct - 20 Oct'!H10)</f>
        <v>461</v>
      </c>
      <c r="K10" s="172">
        <f t="shared" si="2"/>
        <v>0.46518668012108982</v>
      </c>
      <c r="L10" s="188">
        <v>38734.519999999997</v>
      </c>
      <c r="M10" s="89">
        <f t="shared" si="4"/>
        <v>0.28373798942388057</v>
      </c>
      <c r="N10" s="130">
        <v>8912.77</v>
      </c>
      <c r="O10" s="26"/>
    </row>
    <row r="11" spans="1:15" ht="15.6" customHeight="1" x14ac:dyDescent="0.3">
      <c r="A11" s="409" t="s">
        <v>21</v>
      </c>
      <c r="B11" s="200">
        <f>'14 Oct - 20 Oct'!D11</f>
        <v>325751.75</v>
      </c>
      <c r="C11" s="73">
        <v>304811.65999999997</v>
      </c>
      <c r="D11" s="145">
        <v>315240.34999999998</v>
      </c>
      <c r="E11" s="163">
        <f t="shared" si="0"/>
        <v>3.4213553379158802E-2</v>
      </c>
      <c r="F11" s="166">
        <v>2061</v>
      </c>
      <c r="G11" s="63">
        <f t="shared" si="3"/>
        <v>152.95504609412905</v>
      </c>
      <c r="H11" s="61">
        <v>165</v>
      </c>
      <c r="I11" s="169">
        <f t="shared" si="1"/>
        <v>8.0058224163027658E-2</v>
      </c>
      <c r="J11" s="46">
        <f>SUM(62+H11+'23 Sept - 29 Sept'!H11+'30 Sept - 6 Oct'!H11+'7 Oct - 13 Oct'!H11+'14 Oct - 20 Oct'!H11)</f>
        <v>884</v>
      </c>
      <c r="K11" s="172">
        <f t="shared" si="2"/>
        <v>0.42891800097040272</v>
      </c>
      <c r="L11" s="188">
        <v>50687.7</v>
      </c>
      <c r="M11" s="89">
        <f t="shared" si="4"/>
        <v>0.16079064751704533</v>
      </c>
      <c r="N11" s="130">
        <v>18679.400000000001</v>
      </c>
      <c r="O11" s="26"/>
    </row>
    <row r="12" spans="1:15" ht="15.6" customHeight="1" x14ac:dyDescent="0.3">
      <c r="A12" s="198" t="s">
        <v>22</v>
      </c>
      <c r="B12" s="200">
        <f>'14 Oct - 20 Oct'!D12</f>
        <v>144094.25</v>
      </c>
      <c r="C12" s="73">
        <v>125171.07</v>
      </c>
      <c r="D12" s="145">
        <v>141945</v>
      </c>
      <c r="E12" s="163">
        <f t="shared" si="0"/>
        <v>0.13400804195410324</v>
      </c>
      <c r="F12" s="166">
        <v>1120</v>
      </c>
      <c r="G12" s="63">
        <f t="shared" si="3"/>
        <v>126.73660714285714</v>
      </c>
      <c r="H12" s="61">
        <v>70</v>
      </c>
      <c r="I12" s="169">
        <f t="shared" si="1"/>
        <v>6.25E-2</v>
      </c>
      <c r="J12" s="46">
        <f>SUM(62+H12+'23 Sept - 29 Sept'!H12+'30 Sept - 6 Oct'!H12+'7 Oct - 13 Oct'!H12+'14 Oct - 20 Oct'!H12)</f>
        <v>448</v>
      </c>
      <c r="K12" s="172">
        <f t="shared" si="2"/>
        <v>0.4</v>
      </c>
      <c r="L12" s="188">
        <v>21807.61</v>
      </c>
      <c r="M12" s="89">
        <f t="shared" si="4"/>
        <v>0.15363422452358308</v>
      </c>
      <c r="N12" s="130">
        <v>14033</v>
      </c>
      <c r="O12" s="26"/>
    </row>
    <row r="13" spans="1:15" ht="15.6" customHeight="1" x14ac:dyDescent="0.3">
      <c r="A13" s="198" t="s">
        <v>23</v>
      </c>
      <c r="B13" s="200">
        <f>'14 Oct - 20 Oct'!D13</f>
        <v>204599.91</v>
      </c>
      <c r="C13" s="73">
        <v>228423.59</v>
      </c>
      <c r="D13" s="145">
        <v>194970.43</v>
      </c>
      <c r="E13" s="163">
        <f t="shared" si="0"/>
        <v>-0.14645229943194574</v>
      </c>
      <c r="F13" s="166">
        <v>1489</v>
      </c>
      <c r="G13" s="63">
        <f t="shared" si="3"/>
        <v>130.94051712558763</v>
      </c>
      <c r="H13" s="61">
        <v>94</v>
      </c>
      <c r="I13" s="169">
        <f t="shared" si="1"/>
        <v>6.3129617192746804E-2</v>
      </c>
      <c r="J13" s="46">
        <f>SUM(62+H13+'23 Sept - 29 Sept'!H13+'30 Sept - 6 Oct'!H13+'7 Oct - 13 Oct'!H13+'14 Oct - 20 Oct'!H13)</f>
        <v>508</v>
      </c>
      <c r="K13" s="172">
        <f t="shared" si="2"/>
        <v>0.34116856950973806</v>
      </c>
      <c r="L13" s="188">
        <v>38080.17</v>
      </c>
      <c r="M13" s="89">
        <f t="shared" si="4"/>
        <v>0.19531254047088065</v>
      </c>
      <c r="N13" s="130">
        <v>8659.5</v>
      </c>
      <c r="O13" s="26"/>
    </row>
    <row r="14" spans="1:15" ht="15.6" hidden="1" customHeight="1" x14ac:dyDescent="0.3">
      <c r="A14" s="198" t="s">
        <v>24</v>
      </c>
      <c r="B14" s="200">
        <f>'14 Oct - 20 Oct'!D14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Oct'!H14+'14 Oct - 20 Oct'!H14)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'14 Oct - 20 Oct'!D15</f>
        <v>180048.8</v>
      </c>
      <c r="C15" s="73">
        <v>158104.99</v>
      </c>
      <c r="D15" s="145">
        <v>142533.66</v>
      </c>
      <c r="E15" s="163">
        <f t="shared" si="0"/>
        <v>-9.8487277346527694E-2</v>
      </c>
      <c r="F15" s="166">
        <v>1195</v>
      </c>
      <c r="G15" s="63">
        <f t="shared" si="3"/>
        <v>119.27502928870294</v>
      </c>
      <c r="H15" s="61">
        <v>57</v>
      </c>
      <c r="I15" s="169">
        <f t="shared" si="1"/>
        <v>4.7698744769874478E-2</v>
      </c>
      <c r="J15" s="46">
        <f>SUM(62+H15+'23 Sept - 29 Sept'!H15+'30 Sept - 6 Oct'!H15+'7 Oct - 13 Oct'!H15+'14 Oct - 20 Oct'!H15)</f>
        <v>432</v>
      </c>
      <c r="K15" s="172">
        <f t="shared" si="2"/>
        <v>0.36150627615062764</v>
      </c>
      <c r="L15" s="188">
        <v>4636.5200000000004</v>
      </c>
      <c r="M15" s="89">
        <f t="shared" si="4"/>
        <v>3.2529298693375307E-2</v>
      </c>
      <c r="N15" s="130">
        <v>4673.96</v>
      </c>
      <c r="O15" s="9"/>
    </row>
    <row r="16" spans="1:15" ht="15.6" customHeight="1" x14ac:dyDescent="0.3">
      <c r="A16" s="198" t="s">
        <v>27</v>
      </c>
      <c r="B16" s="200">
        <f>'14 Oct - 20 Oct'!D16</f>
        <v>117277.55</v>
      </c>
      <c r="C16" s="73">
        <v>115349.58</v>
      </c>
      <c r="D16" s="145">
        <v>120179.35</v>
      </c>
      <c r="E16" s="163">
        <f t="shared" si="0"/>
        <v>4.1870720292176221E-2</v>
      </c>
      <c r="F16" s="166">
        <v>816</v>
      </c>
      <c r="G16" s="63">
        <f t="shared" si="3"/>
        <v>147.27861519607845</v>
      </c>
      <c r="H16" s="61">
        <v>42</v>
      </c>
      <c r="I16" s="169">
        <f t="shared" si="1"/>
        <v>5.1470588235294115E-2</v>
      </c>
      <c r="J16" s="46">
        <f>SUM(62+H16+'23 Sept - 29 Sept'!H16+'30 Sept - 6 Oct'!H16+'7 Oct - 13 Oct'!H16+'14 Oct - 20 Oct'!H16)</f>
        <v>255</v>
      </c>
      <c r="K16" s="172">
        <f t="shared" si="2"/>
        <v>0.3125</v>
      </c>
      <c r="L16" s="188">
        <v>25665.39</v>
      </c>
      <c r="M16" s="89">
        <f t="shared" si="4"/>
        <v>0.21355906817602191</v>
      </c>
      <c r="N16" s="130">
        <v>9052</v>
      </c>
      <c r="O16" s="9"/>
    </row>
    <row r="17" spans="1:15" ht="15.6" customHeight="1" x14ac:dyDescent="0.3">
      <c r="A17" s="198" t="s">
        <v>28</v>
      </c>
      <c r="B17" s="200">
        <f>'14 Oct - 20 Oct'!D17</f>
        <v>219205.08</v>
      </c>
      <c r="C17" s="73">
        <v>216726.79</v>
      </c>
      <c r="D17" s="145">
        <v>227123.11</v>
      </c>
      <c r="E17" s="163">
        <f t="shared" si="0"/>
        <v>4.7969704160708407E-2</v>
      </c>
      <c r="F17" s="166">
        <v>1449</v>
      </c>
      <c r="G17" s="63">
        <f t="shared" si="3"/>
        <v>156.74472739820564</v>
      </c>
      <c r="H17" s="61">
        <v>107</v>
      </c>
      <c r="I17" s="169">
        <f t="shared" si="1"/>
        <v>7.3844030365769503E-2</v>
      </c>
      <c r="J17" s="46">
        <f>SUM(62+H17+'23 Sept - 29 Sept'!H17+'30 Sept - 6 Oct'!H17+'7 Oct - 13 Oct'!H17+'14 Oct - 20 Oct'!H17)</f>
        <v>610</v>
      </c>
      <c r="K17" s="172">
        <f t="shared" si="2"/>
        <v>0.42097998619737748</v>
      </c>
      <c r="L17" s="188">
        <v>32074.04</v>
      </c>
      <c r="M17" s="89">
        <f t="shared" si="4"/>
        <v>0.14121874255772565</v>
      </c>
      <c r="N17" s="130">
        <v>10869.15</v>
      </c>
      <c r="O17" s="9"/>
    </row>
    <row r="18" spans="1:15" ht="16.2" customHeight="1" thickBot="1" x14ac:dyDescent="0.35">
      <c r="A18" s="199" t="s">
        <v>33</v>
      </c>
      <c r="B18" s="201">
        <f>'14 Oct - 20 Oct'!D18</f>
        <v>152946.78</v>
      </c>
      <c r="C18" s="131"/>
      <c r="D18" s="146">
        <v>161595.07</v>
      </c>
      <c r="E18" s="164">
        <f t="shared" si="0"/>
        <v>0</v>
      </c>
      <c r="F18" s="167">
        <v>1256</v>
      </c>
      <c r="G18" s="132">
        <f t="shared" si="3"/>
        <v>128.65849522292993</v>
      </c>
      <c r="H18" s="133">
        <v>98</v>
      </c>
      <c r="I18" s="170">
        <f t="shared" si="1"/>
        <v>7.8025477707006366E-2</v>
      </c>
      <c r="J18" s="115">
        <f>SUM(62+H18+'23 Sept - 29 Sept'!H18+'30 Sept - 6 Oct'!H18+'7 Oct - 13 Oct'!H18+'14 Oct - 20 Oct'!H18)</f>
        <v>505</v>
      </c>
      <c r="K18" s="173">
        <f t="shared" si="2"/>
        <v>0.40207006369426751</v>
      </c>
      <c r="L18" s="189">
        <v>26363.9</v>
      </c>
      <c r="M18" s="116">
        <f t="shared" si="4"/>
        <v>0.16314792276769335</v>
      </c>
      <c r="N18" s="134">
        <v>2962.5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603" priority="5" operator="equal">
      <formula>0</formula>
    </cfRule>
  </conditionalFormatting>
  <conditionalFormatting sqref="D7:D18">
    <cfRule type="cellIs" dxfId="602" priority="4" operator="equal">
      <formula>0</formula>
    </cfRule>
  </conditionalFormatting>
  <conditionalFormatting sqref="E6:K18">
    <cfRule type="cellIs" dxfId="601" priority="3" operator="equal">
      <formula>0</formula>
    </cfRule>
  </conditionalFormatting>
  <conditionalFormatting sqref="L7:L18">
    <cfRule type="cellIs" dxfId="600" priority="2" operator="equal">
      <formula>0</formula>
    </cfRule>
  </conditionalFormatting>
  <conditionalFormatting sqref="M6:N18">
    <cfRule type="cellIs" dxfId="59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O40"/>
  <sheetViews>
    <sheetView zoomScale="78" workbookViewId="0">
      <pane xSplit="1" topLeftCell="B1" activePane="topRight" state="frozen"/>
      <selection pane="topRight" activeCell="J16" sqref="J1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5.2530773320493385E-2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2321617.2299999995</v>
      </c>
      <c r="C4" s="135">
        <f>SUM(C6:C18)-C14</f>
        <v>2126003.92</v>
      </c>
      <c r="D4" s="142">
        <f>SUM(D6:D18)</f>
        <v>2422923.2200000002</v>
      </c>
      <c r="E4" s="152">
        <f t="shared" ref="E4:E18" si="0">IFERROR((SUM(D4-C4)/C4),0)</f>
        <v>0.13966074907331322</v>
      </c>
      <c r="F4" s="147">
        <f>SUM(F6:F18)</f>
        <v>17114</v>
      </c>
      <c r="G4" s="136">
        <f>AVERAGE(G5:G18)</f>
        <v>129.81215163365735</v>
      </c>
      <c r="H4" s="137">
        <f>SUM(H6:H18)</f>
        <v>985</v>
      </c>
      <c r="I4" s="138">
        <f t="shared" ref="I4:I18" si="1">IFERROR(H4/F4,0)</f>
        <v>5.7555217950216196E-2</v>
      </c>
      <c r="J4" s="139">
        <f>SUM(J6:J18)</f>
        <v>7113</v>
      </c>
      <c r="K4" s="140">
        <f t="shared" ref="K4:K18" si="2">IFERROR(J4/SUM(F4),0)</f>
        <v>0.41562463480191658</v>
      </c>
      <c r="L4" s="186">
        <f>SUM(L6:L18)</f>
        <v>366359.05</v>
      </c>
      <c r="M4" s="140">
        <f>SUM(L4/D4)</f>
        <v>0.15120538982659135</v>
      </c>
      <c r="N4" s="141">
        <f>SUM(N6:N18)</f>
        <v>134910.76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'21 Oct - 27 Oct'!D6</f>
        <v>235865.33</v>
      </c>
      <c r="C6" s="123">
        <v>240216.24</v>
      </c>
      <c r="D6" s="197">
        <v>230483.57</v>
      </c>
      <c r="E6" s="162">
        <f t="shared" si="0"/>
        <v>-4.0516286492536822E-2</v>
      </c>
      <c r="F6" s="165">
        <v>1684</v>
      </c>
      <c r="G6" s="124">
        <f t="shared" ref="G6:G18" si="3">IFERROR(D6/F6,0)</f>
        <v>136.86672802850356</v>
      </c>
      <c r="H6" s="125">
        <v>89</v>
      </c>
      <c r="I6" s="168">
        <f t="shared" si="1"/>
        <v>5.285035629453682E-2</v>
      </c>
      <c r="J6" s="46">
        <f>SUM(62+H6+'23 Sept - 29 Sept'!H6+'30 Sept - 6 Oct'!H6+'7 Oct - 13 Oct'!H6+'14 Oct - 20 Oct'!H6+'21 Oct - 27 Oct'!H6)</f>
        <v>594</v>
      </c>
      <c r="K6" s="171">
        <f t="shared" si="2"/>
        <v>0.35273159144893113</v>
      </c>
      <c r="L6" s="191">
        <v>33680.39</v>
      </c>
      <c r="M6" s="128">
        <f t="shared" ref="M6:M18" si="4">SUM(L6/D6)</f>
        <v>0.14612924470060923</v>
      </c>
      <c r="N6" s="129">
        <v>16025.9</v>
      </c>
      <c r="O6" s="26"/>
    </row>
    <row r="7" spans="1:15" ht="15.6" customHeight="1" x14ac:dyDescent="0.3">
      <c r="A7" s="409" t="s">
        <v>16</v>
      </c>
      <c r="B7" s="200">
        <f>'21 Oct - 27 Oct'!D7</f>
        <v>214438.21</v>
      </c>
      <c r="C7" s="73">
        <v>149101.42000000001</v>
      </c>
      <c r="D7" s="145">
        <v>291263.90000000002</v>
      </c>
      <c r="E7" s="163">
        <f t="shared" si="0"/>
        <v>0.95346161022477183</v>
      </c>
      <c r="F7" s="166">
        <v>1965</v>
      </c>
      <c r="G7" s="63">
        <f t="shared" si="3"/>
        <v>148.22590330788805</v>
      </c>
      <c r="H7" s="61">
        <v>116</v>
      </c>
      <c r="I7" s="169">
        <f t="shared" si="1"/>
        <v>5.9033078880407125E-2</v>
      </c>
      <c r="J7" s="46">
        <f>SUM(62+H7+'23 Sept - 29 Sept'!H7+'30 Sept - 6 Oct'!H7+'7 Oct - 13 Oct'!H7+'14 Oct - 20 Oct'!H7+'21 Oct - 27 Oct'!H7)</f>
        <v>834</v>
      </c>
      <c r="K7" s="172">
        <f t="shared" si="2"/>
        <v>0.42442748091603055</v>
      </c>
      <c r="L7" s="188">
        <v>39160.25</v>
      </c>
      <c r="M7" s="89">
        <f t="shared" si="4"/>
        <v>0.1344493773516045</v>
      </c>
      <c r="N7" s="130">
        <v>29279.95</v>
      </c>
      <c r="O7" s="26"/>
    </row>
    <row r="8" spans="1:15" ht="15.6" customHeight="1" x14ac:dyDescent="0.3">
      <c r="A8" s="409" t="s">
        <v>17</v>
      </c>
      <c r="B8" s="200">
        <f>'21 Oct - 27 Oct'!D8</f>
        <v>120214.26</v>
      </c>
      <c r="C8" s="73">
        <v>116744.06</v>
      </c>
      <c r="D8" s="145">
        <v>105575.36</v>
      </c>
      <c r="E8" s="163">
        <f t="shared" si="0"/>
        <v>-9.5668250701577431E-2</v>
      </c>
      <c r="F8" s="166">
        <v>754</v>
      </c>
      <c r="G8" s="63">
        <f t="shared" si="3"/>
        <v>140.02037135278513</v>
      </c>
      <c r="H8" s="61">
        <v>34</v>
      </c>
      <c r="I8" s="169">
        <f t="shared" si="1"/>
        <v>4.5092838196286469E-2</v>
      </c>
      <c r="J8" s="46">
        <f>SUM(62+H8+'23 Sept - 29 Sept'!H8+'30 Sept - 6 Oct'!H8+'7 Oct - 13 Oct'!H8+'14 Oct - 20 Oct'!H8+'21 Oct - 27 Oct'!H8)</f>
        <v>313</v>
      </c>
      <c r="K8" s="172">
        <f t="shared" si="2"/>
        <v>0.41511936339522548</v>
      </c>
      <c r="L8" s="188">
        <v>28286.39</v>
      </c>
      <c r="M8" s="89">
        <f t="shared" si="4"/>
        <v>0.26792605774680756</v>
      </c>
      <c r="N8" s="130">
        <v>4859</v>
      </c>
      <c r="O8" s="26"/>
    </row>
    <row r="9" spans="1:15" ht="15.6" customHeight="1" x14ac:dyDescent="0.3">
      <c r="A9" s="409" t="s">
        <v>18</v>
      </c>
      <c r="B9" s="200">
        <f>'21 Oct - 27 Oct'!D9</f>
        <v>310997.36</v>
      </c>
      <c r="C9" s="73">
        <v>308190.77</v>
      </c>
      <c r="D9" s="145">
        <v>333384.38</v>
      </c>
      <c r="E9" s="163">
        <f t="shared" si="0"/>
        <v>8.1746802475622438E-2</v>
      </c>
      <c r="F9" s="166">
        <v>2285</v>
      </c>
      <c r="G9" s="63">
        <f t="shared" si="3"/>
        <v>145.90126039387309</v>
      </c>
      <c r="H9" s="61">
        <v>69</v>
      </c>
      <c r="I9" s="169">
        <f t="shared" si="1"/>
        <v>3.0196936542669583E-2</v>
      </c>
      <c r="J9" s="46">
        <f>SUM(62+H9+'23 Sept - 29 Sept'!H9+'30 Sept - 6 Oct'!H9+'7 Oct - 13 Oct'!H9+'14 Oct - 20 Oct'!H9+'21 Oct - 27 Oct'!H9)</f>
        <v>530</v>
      </c>
      <c r="K9" s="172">
        <f t="shared" si="2"/>
        <v>0.23194748358862144</v>
      </c>
      <c r="L9" s="188">
        <v>22909.09</v>
      </c>
      <c r="M9" s="89">
        <f t="shared" si="4"/>
        <v>6.8716746717407698E-2</v>
      </c>
      <c r="N9" s="130">
        <v>11352.51</v>
      </c>
      <c r="O9" s="26"/>
    </row>
    <row r="10" spans="1:15" ht="15.6" customHeight="1" x14ac:dyDescent="0.3">
      <c r="A10" s="409" t="s">
        <v>20</v>
      </c>
      <c r="B10" s="200">
        <f>'21 Oct - 27 Oct'!D10</f>
        <v>136515.1</v>
      </c>
      <c r="C10" s="73">
        <v>125359.7</v>
      </c>
      <c r="D10" s="145">
        <v>143482.10999999999</v>
      </c>
      <c r="E10" s="163">
        <f t="shared" si="0"/>
        <v>0.1445632846919703</v>
      </c>
      <c r="F10" s="166">
        <v>950</v>
      </c>
      <c r="G10" s="63">
        <f t="shared" si="3"/>
        <v>151.03379999999999</v>
      </c>
      <c r="H10" s="61">
        <v>71</v>
      </c>
      <c r="I10" s="169">
        <f t="shared" si="1"/>
        <v>7.4736842105263157E-2</v>
      </c>
      <c r="J10" s="46">
        <f>SUM(62+H10+'23 Sept - 29 Sept'!H10+'30 Sept - 6 Oct'!H10+'7 Oct - 13 Oct'!H10+'14 Oct - 20 Oct'!H10+'21 Oct - 27 Oct'!H10)</f>
        <v>532</v>
      </c>
      <c r="K10" s="172">
        <f t="shared" si="2"/>
        <v>0.56000000000000005</v>
      </c>
      <c r="L10" s="188">
        <v>45544.37</v>
      </c>
      <c r="M10" s="89">
        <f t="shared" si="4"/>
        <v>0.31742194201074969</v>
      </c>
      <c r="N10" s="130">
        <v>8666.1</v>
      </c>
      <c r="O10" s="26"/>
    </row>
    <row r="11" spans="1:15" ht="15.6" customHeight="1" x14ac:dyDescent="0.3">
      <c r="A11" s="409" t="s">
        <v>21</v>
      </c>
      <c r="B11" s="200">
        <f>'21 Oct - 27 Oct'!D11</f>
        <v>315240.34999999998</v>
      </c>
      <c r="C11" s="73">
        <v>357361.2</v>
      </c>
      <c r="D11" s="145">
        <v>341926.5</v>
      </c>
      <c r="E11" s="163">
        <f t="shared" si="0"/>
        <v>-4.3190754900084317E-2</v>
      </c>
      <c r="F11" s="166">
        <v>2213</v>
      </c>
      <c r="G11" s="63">
        <f t="shared" si="3"/>
        <v>154.50813375508361</v>
      </c>
      <c r="H11" s="61">
        <v>128</v>
      </c>
      <c r="I11" s="169">
        <f t="shared" si="1"/>
        <v>5.7840036150022596E-2</v>
      </c>
      <c r="J11" s="46">
        <f>SUM(62+H11+'23 Sept - 29 Sept'!H11+'30 Sept - 6 Oct'!H11+'7 Oct - 13 Oct'!H11+'14 Oct - 20 Oct'!H11+'21 Oct - 27 Oct'!H11)</f>
        <v>1012</v>
      </c>
      <c r="K11" s="172">
        <f t="shared" si="2"/>
        <v>0.45729778581111613</v>
      </c>
      <c r="L11" s="188">
        <v>50529.09</v>
      </c>
      <c r="M11" s="89">
        <f t="shared" si="4"/>
        <v>0.14777763642186259</v>
      </c>
      <c r="N11" s="130">
        <v>16174.45</v>
      </c>
      <c r="O11" s="26"/>
    </row>
    <row r="12" spans="1:15" ht="15.6" customHeight="1" x14ac:dyDescent="0.3">
      <c r="A12" s="198" t="s">
        <v>22</v>
      </c>
      <c r="B12" s="200">
        <f>'21 Oct - 27 Oct'!D12</f>
        <v>141945</v>
      </c>
      <c r="C12" s="73">
        <v>137659.51</v>
      </c>
      <c r="D12" s="145">
        <v>142162.88</v>
      </c>
      <c r="E12" s="163">
        <f t="shared" si="0"/>
        <v>3.2713831394576336E-2</v>
      </c>
      <c r="F12" s="166">
        <v>1100</v>
      </c>
      <c r="G12" s="63">
        <f t="shared" si="3"/>
        <v>129.23898181818183</v>
      </c>
      <c r="H12" s="61">
        <v>83</v>
      </c>
      <c r="I12" s="169">
        <f t="shared" si="1"/>
        <v>7.5454545454545455E-2</v>
      </c>
      <c r="J12" s="46">
        <f>SUM(62+H12+'23 Sept - 29 Sept'!H12+'30 Sept - 6 Oct'!H12+'7 Oct - 13 Oct'!H12+'14 Oct - 20 Oct'!H12+'21 Oct - 27 Oct'!H12)</f>
        <v>531</v>
      </c>
      <c r="K12" s="172">
        <f t="shared" si="2"/>
        <v>0.48272727272727273</v>
      </c>
      <c r="L12" s="188">
        <v>23380.43</v>
      </c>
      <c r="M12" s="89">
        <f t="shared" si="4"/>
        <v>0.16446227031979094</v>
      </c>
      <c r="N12" s="130">
        <v>12354</v>
      </c>
      <c r="O12" s="26"/>
    </row>
    <row r="13" spans="1:15" ht="15.6" customHeight="1" x14ac:dyDescent="0.3">
      <c r="A13" s="198" t="s">
        <v>23</v>
      </c>
      <c r="B13" s="200">
        <f>'21 Oct - 27 Oct'!D13</f>
        <v>194970.43</v>
      </c>
      <c r="C13" s="73">
        <v>219864.65</v>
      </c>
      <c r="D13" s="145">
        <v>153888.89000000001</v>
      </c>
      <c r="E13" s="163">
        <f t="shared" si="0"/>
        <v>-0.30007443215632884</v>
      </c>
      <c r="F13" s="166">
        <v>1253</v>
      </c>
      <c r="G13" s="63">
        <f t="shared" si="3"/>
        <v>122.81635275339187</v>
      </c>
      <c r="H13" s="61">
        <v>81</v>
      </c>
      <c r="I13" s="169">
        <f t="shared" si="1"/>
        <v>6.4644852354349566E-2</v>
      </c>
      <c r="J13" s="46">
        <f>SUM(62+H13+'23 Sept - 29 Sept'!H13+'30 Sept - 6 Oct'!H13+'7 Oct - 13 Oct'!H13+'14 Oct - 20 Oct'!H13+'21 Oct - 27 Oct'!H13)</f>
        <v>589</v>
      </c>
      <c r="K13" s="172">
        <f t="shared" si="2"/>
        <v>0.47007182761372707</v>
      </c>
      <c r="L13" s="188">
        <v>24427.39</v>
      </c>
      <c r="M13" s="89">
        <f t="shared" si="4"/>
        <v>0.1587339410921737</v>
      </c>
      <c r="N13" s="130">
        <v>7923.1</v>
      </c>
      <c r="O13" s="26"/>
    </row>
    <row r="14" spans="1:15" ht="15.6" hidden="1" customHeight="1" x14ac:dyDescent="0.3">
      <c r="A14" s="198" t="s">
        <v>24</v>
      </c>
      <c r="B14" s="200">
        <f>'21 Oct - 27 Oct'!D14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Oct'!H14+'14 Oct - 20 Oct'!H14+'21 Oct - 27 Oct'!H14)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'21 Oct - 27 Oct'!D15</f>
        <v>142533.66</v>
      </c>
      <c r="C15" s="73">
        <v>171766.33</v>
      </c>
      <c r="D15" s="145">
        <v>161616.66</v>
      </c>
      <c r="E15" s="163">
        <f t="shared" si="0"/>
        <v>-5.9089985796401331E-2</v>
      </c>
      <c r="F15" s="166">
        <v>1318</v>
      </c>
      <c r="G15" s="63">
        <f t="shared" si="3"/>
        <v>122.622655538695</v>
      </c>
      <c r="H15" s="61">
        <v>90</v>
      </c>
      <c r="I15" s="169">
        <f t="shared" si="1"/>
        <v>6.8285280728376321E-2</v>
      </c>
      <c r="J15" s="46">
        <f>SUM(62+H15+'23 Sept - 29 Sept'!H15+'30 Sept - 6 Oct'!H15+'7 Oct - 13 Oct'!H15+'14 Oct - 20 Oct'!H15+'21 Oct - 27 Oct'!H15)</f>
        <v>522</v>
      </c>
      <c r="K15" s="172">
        <f t="shared" si="2"/>
        <v>0.39605462822458271</v>
      </c>
      <c r="L15" s="188">
        <v>9140.9599999999991</v>
      </c>
      <c r="M15" s="89">
        <f t="shared" si="4"/>
        <v>5.6559515584593809E-2</v>
      </c>
      <c r="N15" s="130">
        <v>6528.75</v>
      </c>
      <c r="O15" s="9"/>
    </row>
    <row r="16" spans="1:15" ht="15.6" customHeight="1" x14ac:dyDescent="0.3">
      <c r="A16" s="198" t="s">
        <v>27</v>
      </c>
      <c r="B16" s="200">
        <f>'21 Oct - 27 Oct'!D16</f>
        <v>120179.35</v>
      </c>
      <c r="C16" s="73">
        <v>113012.36</v>
      </c>
      <c r="D16" s="145">
        <v>119031.85</v>
      </c>
      <c r="E16" s="163">
        <f t="shared" si="0"/>
        <v>5.3263996964579848E-2</v>
      </c>
      <c r="F16" s="166">
        <v>792</v>
      </c>
      <c r="G16" s="63">
        <f t="shared" si="3"/>
        <v>150.29273989898991</v>
      </c>
      <c r="H16" s="61">
        <v>42</v>
      </c>
      <c r="I16" s="169">
        <f t="shared" si="1"/>
        <v>5.3030303030303032E-2</v>
      </c>
      <c r="J16" s="46">
        <f>SUM(62+H16+'23 Sept - 29 Sept'!H16+'30 Sept - 6 Oct'!H16+'7 Oct - 13 Oct'!H16+'14 Oct - 20 Oct'!H16+'21 Oct - 27 Oct'!H16)</f>
        <v>297</v>
      </c>
      <c r="K16" s="172">
        <f t="shared" si="2"/>
        <v>0.375</v>
      </c>
      <c r="L16" s="188">
        <v>27646.38</v>
      </c>
      <c r="M16" s="89">
        <f t="shared" si="4"/>
        <v>0.23226035720691562</v>
      </c>
      <c r="N16" s="130">
        <v>7463.3</v>
      </c>
      <c r="O16" s="9"/>
    </row>
    <row r="17" spans="1:15" ht="15.6" customHeight="1" x14ac:dyDescent="0.3">
      <c r="A17" s="198" t="s">
        <v>28</v>
      </c>
      <c r="B17" s="200">
        <f>'21 Oct - 27 Oct'!D17</f>
        <v>227123.11</v>
      </c>
      <c r="C17" s="73">
        <v>186727.67999999999</v>
      </c>
      <c r="D17" s="145">
        <v>214868.45</v>
      </c>
      <c r="E17" s="163">
        <f t="shared" si="0"/>
        <v>0.15070486603807223</v>
      </c>
      <c r="F17" s="166">
        <v>1386</v>
      </c>
      <c r="G17" s="63">
        <f t="shared" si="3"/>
        <v>155.02774170274171</v>
      </c>
      <c r="H17" s="61">
        <v>81</v>
      </c>
      <c r="I17" s="169">
        <f t="shared" si="1"/>
        <v>5.844155844155844E-2</v>
      </c>
      <c r="J17" s="46">
        <f>SUM(62+H17+'23 Sept - 29 Sept'!H17+'30 Sept - 6 Oct'!H17+'7 Oct - 13 Oct'!H17+'14 Oct - 20 Oct'!H17+'21 Oct - 27 Oct'!H17)</f>
        <v>691</v>
      </c>
      <c r="K17" s="172">
        <f t="shared" si="2"/>
        <v>0.49855699855699853</v>
      </c>
      <c r="L17" s="188">
        <v>37437.57</v>
      </c>
      <c r="M17" s="89">
        <f t="shared" si="4"/>
        <v>0.17423483996836203</v>
      </c>
      <c r="N17" s="130">
        <v>9833</v>
      </c>
      <c r="O17" s="9"/>
    </row>
    <row r="18" spans="1:15" ht="16.2" customHeight="1" thickBot="1" x14ac:dyDescent="0.35">
      <c r="A18" s="199" t="s">
        <v>33</v>
      </c>
      <c r="B18" s="201">
        <f>'21 Oct - 27 Oct'!D18</f>
        <v>161595.07</v>
      </c>
      <c r="C18" s="131"/>
      <c r="D18" s="146">
        <v>185238.67</v>
      </c>
      <c r="E18" s="164">
        <f t="shared" si="0"/>
        <v>0</v>
      </c>
      <c r="F18" s="167">
        <v>1414</v>
      </c>
      <c r="G18" s="132">
        <f t="shared" si="3"/>
        <v>131.0033026874116</v>
      </c>
      <c r="H18" s="133">
        <v>101</v>
      </c>
      <c r="I18" s="170">
        <f t="shared" si="1"/>
        <v>7.1428571428571425E-2</v>
      </c>
      <c r="J18" s="115">
        <f>SUM(62+H18+'23 Sept - 29 Sept'!H18+'30 Sept - 6 Oct'!H18+'7 Oct - 13 Oct'!H18+'14 Oct - 20 Oct'!H18+'21 Oct - 27 Oct'!H18)</f>
        <v>606</v>
      </c>
      <c r="K18" s="173">
        <f t="shared" si="2"/>
        <v>0.42857142857142855</v>
      </c>
      <c r="L18" s="189">
        <v>24216.74</v>
      </c>
      <c r="M18" s="116">
        <f t="shared" si="4"/>
        <v>0.13073263806094051</v>
      </c>
      <c r="N18" s="134">
        <v>4450.7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98" priority="5" operator="equal">
      <formula>0</formula>
    </cfRule>
  </conditionalFormatting>
  <conditionalFormatting sqref="D7:D18">
    <cfRule type="cellIs" dxfId="597" priority="4" operator="equal">
      <formula>0</formula>
    </cfRule>
  </conditionalFormatting>
  <conditionalFormatting sqref="E6:K18">
    <cfRule type="cellIs" dxfId="596" priority="3" operator="equal">
      <formula>0</formula>
    </cfRule>
  </conditionalFormatting>
  <conditionalFormatting sqref="L7:L18">
    <cfRule type="cellIs" dxfId="595" priority="2" operator="equal">
      <formula>0</formula>
    </cfRule>
  </conditionalFormatting>
  <conditionalFormatting sqref="M6:N18">
    <cfRule type="cellIs" dxfId="59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40"/>
  <sheetViews>
    <sheetView zoomScale="78" workbookViewId="0">
      <pane xSplit="1" topLeftCell="B1" activePane="topRight" state="frozen"/>
      <selection pane="topRight" activeCell="H13" sqref="H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-8.5620925890352809E-3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2422923.2200000002</v>
      </c>
      <c r="C4" s="135">
        <f>SUM(C6:C18)-C14</f>
        <v>2172494.61</v>
      </c>
      <c r="D4" s="142">
        <f>SUM(D6:D18)</f>
        <v>2318368.8099999996</v>
      </c>
      <c r="E4" s="152">
        <f t="shared" ref="E4:E18" si="0">IFERROR((SUM(D4-C4)/C4),0)</f>
        <v>6.7145943344825945E-2</v>
      </c>
      <c r="F4" s="147">
        <f>SUM(F6:F18)</f>
        <v>16705</v>
      </c>
      <c r="G4" s="136">
        <f>AVERAGE(G5:G18)</f>
        <v>127.72325325719619</v>
      </c>
      <c r="H4" s="137">
        <f>SUM(H6:H18)</f>
        <v>1222</v>
      </c>
      <c r="I4" s="138">
        <f t="shared" ref="I4:I18" si="1">IFERROR(H4/F4,0)</f>
        <v>7.315175097276265E-2</v>
      </c>
      <c r="J4" s="139">
        <f>SUM(J6:J18)</f>
        <v>8335</v>
      </c>
      <c r="K4" s="140">
        <f t="shared" ref="K4:K18" si="2">IFERROR(J4/SUM(F4),0)</f>
        <v>0.49895240945824604</v>
      </c>
      <c r="L4" s="186">
        <f>SUM(L6:L18)</f>
        <v>338221.98000000004</v>
      </c>
      <c r="M4" s="140">
        <f>SUM(L4/D4)</f>
        <v>0.14588790987056113</v>
      </c>
      <c r="N4" s="141">
        <f>SUM(N6:N18)</f>
        <v>114039.58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'28 Oct - 3 Nov'!D6</f>
        <v>230483.57</v>
      </c>
      <c r="C6" s="123">
        <v>230376.85</v>
      </c>
      <c r="D6" s="197">
        <v>228976.77</v>
      </c>
      <c r="E6" s="162">
        <f t="shared" si="0"/>
        <v>-6.0773467472969456E-3</v>
      </c>
      <c r="F6" s="165">
        <v>1766</v>
      </c>
      <c r="G6" s="124">
        <f t="shared" ref="G6:G18" si="3">IFERROR(D6/F6,0)</f>
        <v>129.6584201585504</v>
      </c>
      <c r="H6" s="125">
        <v>93</v>
      </c>
      <c r="I6" s="168">
        <f t="shared" si="1"/>
        <v>5.2661381653454131E-2</v>
      </c>
      <c r="J6" s="46">
        <f>SUM(62+H6+'23 Sept - 29 Sept'!H6+'30 Sept - 6 Oct'!H6+'7 Oct - 13 Oct'!H6+'14 Oct - 20 Oct'!H6+'21 Oct - 27 Oct'!H6+'28 Oct - 3 Nov'!H6)</f>
        <v>687</v>
      </c>
      <c r="K6" s="171">
        <f t="shared" si="2"/>
        <v>0.38901472253680636</v>
      </c>
      <c r="L6" s="191">
        <v>34028.43</v>
      </c>
      <c r="M6" s="128">
        <f t="shared" ref="M6:M18" si="4">SUM(L6/D6)</f>
        <v>0.14861083943144102</v>
      </c>
      <c r="N6" s="129">
        <v>13039.9</v>
      </c>
      <c r="O6" s="26"/>
    </row>
    <row r="7" spans="1:15" ht="15.6" customHeight="1" x14ac:dyDescent="0.3">
      <c r="A7" s="409" t="s">
        <v>16</v>
      </c>
      <c r="B7" s="200">
        <f>'28 Oct - 3 Nov'!D7</f>
        <v>291263.90000000002</v>
      </c>
      <c r="C7" s="73">
        <v>179981.92</v>
      </c>
      <c r="D7" s="145">
        <v>203728.44</v>
      </c>
      <c r="E7" s="163">
        <f t="shared" si="0"/>
        <v>0.13193836358674244</v>
      </c>
      <c r="F7" s="166">
        <v>1394</v>
      </c>
      <c r="G7" s="63">
        <f t="shared" si="3"/>
        <v>146.14665710186515</v>
      </c>
      <c r="H7" s="61">
        <v>188</v>
      </c>
      <c r="I7" s="169">
        <f t="shared" si="1"/>
        <v>0.13486370157819225</v>
      </c>
      <c r="J7" s="46">
        <f>SUM(62+H7+'23 Sept - 29 Sept'!H7+'30 Sept - 6 Oct'!H7+'7 Oct - 13 Oct'!H7+'14 Oct - 20 Oct'!H7+'21 Oct - 27 Oct'!H7+'28 Oct - 3 Nov'!H7)</f>
        <v>1022</v>
      </c>
      <c r="K7" s="172">
        <f t="shared" si="2"/>
        <v>0.73314203730272598</v>
      </c>
      <c r="L7" s="188">
        <v>29522.17</v>
      </c>
      <c r="M7" s="89">
        <f t="shared" si="4"/>
        <v>0.14490941961760467</v>
      </c>
      <c r="N7" s="130">
        <v>13790.28</v>
      </c>
      <c r="O7" s="26"/>
    </row>
    <row r="8" spans="1:15" ht="15.6" customHeight="1" x14ac:dyDescent="0.3">
      <c r="A8" s="409" t="s">
        <v>17</v>
      </c>
      <c r="B8" s="200">
        <f>'28 Oct - 3 Nov'!D8</f>
        <v>105575.36</v>
      </c>
      <c r="C8" s="73">
        <v>116486.35</v>
      </c>
      <c r="D8" s="145">
        <v>108699.37</v>
      </c>
      <c r="E8" s="163">
        <f t="shared" si="0"/>
        <v>-6.6848862549131374E-2</v>
      </c>
      <c r="F8" s="166">
        <v>788</v>
      </c>
      <c r="G8" s="63">
        <f t="shared" si="3"/>
        <v>137.94336294416243</v>
      </c>
      <c r="H8" s="61">
        <v>34</v>
      </c>
      <c r="I8" s="169">
        <f t="shared" si="1"/>
        <v>4.3147208121827409E-2</v>
      </c>
      <c r="J8" s="46">
        <f>SUM(62+H8+'23 Sept - 29 Sept'!H8+'30 Sept - 6 Oct'!H8+'7 Oct - 13 Oct'!H8+'14 Oct - 20 Oct'!H8+'21 Oct - 27 Oct'!H8+'28 Oct - 3 Nov'!H8)</f>
        <v>347</v>
      </c>
      <c r="K8" s="172">
        <f t="shared" si="2"/>
        <v>0.44035532994923859</v>
      </c>
      <c r="L8" s="188">
        <v>26887.65</v>
      </c>
      <c r="M8" s="89">
        <f t="shared" si="4"/>
        <v>0.2473579193697259</v>
      </c>
      <c r="N8" s="130">
        <v>3588</v>
      </c>
      <c r="O8" s="26"/>
    </row>
    <row r="9" spans="1:15" ht="15.6" customHeight="1" x14ac:dyDescent="0.3">
      <c r="A9" s="409" t="s">
        <v>18</v>
      </c>
      <c r="B9" s="200">
        <f>'28 Oct - 3 Nov'!D9</f>
        <v>333384.38</v>
      </c>
      <c r="C9" s="73">
        <v>322539.8</v>
      </c>
      <c r="D9" s="145">
        <v>318828.79999999999</v>
      </c>
      <c r="E9" s="163">
        <f t="shared" si="0"/>
        <v>-1.1505556833606271E-2</v>
      </c>
      <c r="F9" s="166">
        <v>2154</v>
      </c>
      <c r="G9" s="63">
        <f t="shared" si="3"/>
        <v>148.01708449396472</v>
      </c>
      <c r="H9" s="61">
        <v>126</v>
      </c>
      <c r="I9" s="169">
        <f t="shared" si="1"/>
        <v>5.8495821727019497E-2</v>
      </c>
      <c r="J9" s="46">
        <f>SUM(62+H9+'23 Sept - 29 Sept'!H9+'30 Sept - 6 Oct'!H9+'7 Oct - 13 Oct'!H9+'14 Oct - 20 Oct'!H9+'21 Oct - 27 Oct'!H9+'28 Oct - 3 Nov'!H9)</f>
        <v>656</v>
      </c>
      <c r="K9" s="172">
        <f t="shared" si="2"/>
        <v>0.30454967502321262</v>
      </c>
      <c r="L9" s="188">
        <v>23935.39</v>
      </c>
      <c r="M9" s="89">
        <f t="shared" si="4"/>
        <v>7.5072860419134038E-2</v>
      </c>
      <c r="N9" s="130">
        <v>10043.5</v>
      </c>
      <c r="O9" s="26"/>
    </row>
    <row r="10" spans="1:15" ht="15.6" customHeight="1" x14ac:dyDescent="0.3">
      <c r="A10" s="409" t="s">
        <v>20</v>
      </c>
      <c r="B10" s="200">
        <f>'28 Oct - 3 Nov'!D10</f>
        <v>143482.10999999999</v>
      </c>
      <c r="C10" s="73">
        <v>142319</v>
      </c>
      <c r="D10" s="145">
        <v>132983.03</v>
      </c>
      <c r="E10" s="163">
        <f t="shared" si="0"/>
        <v>-6.5598901060294132E-2</v>
      </c>
      <c r="F10" s="166">
        <v>970</v>
      </c>
      <c r="G10" s="63">
        <f t="shared" si="3"/>
        <v>137.09590721649485</v>
      </c>
      <c r="H10" s="61">
        <v>106</v>
      </c>
      <c r="I10" s="169">
        <f t="shared" si="1"/>
        <v>0.10927835051546392</v>
      </c>
      <c r="J10" s="46">
        <f>SUM(62+H10+'23 Sept - 29 Sept'!H10+'30 Sept - 6 Oct'!H10+'7 Oct - 13 Oct'!H10+'14 Oct - 20 Oct'!H10+'21 Oct - 27 Oct'!H10+'28 Oct - 3 Nov'!H10)</f>
        <v>638</v>
      </c>
      <c r="K10" s="172">
        <f t="shared" si="2"/>
        <v>0.65773195876288659</v>
      </c>
      <c r="L10" s="188">
        <v>38692.83</v>
      </c>
      <c r="M10" s="89">
        <f t="shared" si="4"/>
        <v>0.29096065866449278</v>
      </c>
      <c r="N10" s="130">
        <v>8644.65</v>
      </c>
      <c r="O10" s="26"/>
    </row>
    <row r="11" spans="1:15" ht="15.6" customHeight="1" x14ac:dyDescent="0.3">
      <c r="A11" s="409" t="s">
        <v>21</v>
      </c>
      <c r="B11" s="200">
        <f>'28 Oct - 3 Nov'!D11</f>
        <v>341926.5</v>
      </c>
      <c r="C11" s="73">
        <v>325055.40999999997</v>
      </c>
      <c r="D11" s="145">
        <v>308365.96000000002</v>
      </c>
      <c r="E11" s="163">
        <f t="shared" si="0"/>
        <v>-5.1343400191370313E-2</v>
      </c>
      <c r="F11" s="166">
        <v>1967</v>
      </c>
      <c r="G11" s="63">
        <f t="shared" si="3"/>
        <v>156.76967971530252</v>
      </c>
      <c r="H11" s="61">
        <v>162</v>
      </c>
      <c r="I11" s="169">
        <f t="shared" si="1"/>
        <v>8.2358922216573469E-2</v>
      </c>
      <c r="J11" s="46">
        <f>SUM(62+H11+'23 Sept - 29 Sept'!H11+'30 Sept - 6 Oct'!H11+'7 Oct - 13 Oct'!H11+'14 Oct - 20 Oct'!H11+'21 Oct - 27 Oct'!H11+'28 Oct - 3 Nov'!H11)</f>
        <v>1174</v>
      </c>
      <c r="K11" s="172">
        <f t="shared" si="2"/>
        <v>0.59684799186578541</v>
      </c>
      <c r="L11" s="188">
        <v>47011.43</v>
      </c>
      <c r="M11" s="89">
        <f t="shared" si="4"/>
        <v>0.15245337066386963</v>
      </c>
      <c r="N11" s="130">
        <v>18848.8</v>
      </c>
      <c r="O11" s="26"/>
    </row>
    <row r="12" spans="1:15" ht="15.6" customHeight="1" x14ac:dyDescent="0.3">
      <c r="A12" s="198" t="s">
        <v>22</v>
      </c>
      <c r="B12" s="200">
        <f>'28 Oct - 3 Nov'!D12</f>
        <v>142162.88</v>
      </c>
      <c r="C12" s="73">
        <v>128157.48</v>
      </c>
      <c r="D12" s="145">
        <v>146753.75</v>
      </c>
      <c r="E12" s="163">
        <f t="shared" si="0"/>
        <v>0.14510483508258748</v>
      </c>
      <c r="F12" s="166">
        <v>1224</v>
      </c>
      <c r="G12" s="63">
        <f t="shared" si="3"/>
        <v>119.8968545751634</v>
      </c>
      <c r="H12" s="61">
        <v>91</v>
      </c>
      <c r="I12" s="169">
        <f t="shared" si="1"/>
        <v>7.4346405228758169E-2</v>
      </c>
      <c r="J12" s="46">
        <f>SUM(62+H12+'23 Sept - 29 Sept'!H12+'30 Sept - 6 Oct'!H12+'7 Oct - 13 Oct'!H12+'14 Oct - 20 Oct'!H12+'21 Oct - 27 Oct'!H12+'28 Oct - 3 Nov'!H12)</f>
        <v>622</v>
      </c>
      <c r="K12" s="172">
        <f t="shared" si="2"/>
        <v>0.50816993464052285</v>
      </c>
      <c r="L12" s="188">
        <v>23834</v>
      </c>
      <c r="M12" s="89">
        <f t="shared" si="4"/>
        <v>0.16240811563588664</v>
      </c>
      <c r="N12" s="130">
        <v>9596.5</v>
      </c>
      <c r="O12" s="26"/>
    </row>
    <row r="13" spans="1:15" ht="15.6" customHeight="1" x14ac:dyDescent="0.3">
      <c r="A13" s="198" t="s">
        <v>23</v>
      </c>
      <c r="B13" s="200">
        <f>'28 Oct - 3 Nov'!D13</f>
        <v>153888.89000000001</v>
      </c>
      <c r="C13" s="73">
        <v>209424.97</v>
      </c>
      <c r="D13" s="145">
        <v>215493.07</v>
      </c>
      <c r="E13" s="163">
        <f t="shared" si="0"/>
        <v>2.8975054884811519E-2</v>
      </c>
      <c r="F13" s="166">
        <v>1628</v>
      </c>
      <c r="G13" s="63">
        <f t="shared" si="3"/>
        <v>132.36675061425061</v>
      </c>
      <c r="H13" s="61">
        <v>104</v>
      </c>
      <c r="I13" s="169">
        <f t="shared" si="1"/>
        <v>6.3882063882063883E-2</v>
      </c>
      <c r="J13" s="46">
        <f>SUM(62+H13+'23 Sept - 29 Sept'!H13+'30 Sept - 6 Oct'!H13+'7 Oct - 13 Oct'!H13+'14 Oct - 20 Oct'!H13+'21 Oct - 27 Oct'!H13+'28 Oct - 3 Nov'!H13)</f>
        <v>693</v>
      </c>
      <c r="K13" s="172">
        <f t="shared" si="2"/>
        <v>0.42567567567567566</v>
      </c>
      <c r="L13" s="188">
        <v>32551.48</v>
      </c>
      <c r="M13" s="89">
        <f t="shared" si="4"/>
        <v>0.15105580889445772</v>
      </c>
      <c r="N13" s="130">
        <v>9530.9</v>
      </c>
      <c r="O13" s="26"/>
    </row>
    <row r="14" spans="1:15" ht="15.6" hidden="1" customHeight="1" x14ac:dyDescent="0.3">
      <c r="A14" s="198" t="s">
        <v>24</v>
      </c>
      <c r="B14" s="200">
        <f>'28 Oct - 3 Nov'!D14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Oct'!H14+'14 Oct - 20 Oct'!H14+'21 Oct - 27 Oct'!H14+'28 Oct - 3 Nov'!H14)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'28 Oct - 3 Nov'!D15</f>
        <v>161616.66</v>
      </c>
      <c r="C15" s="73">
        <v>164453.70000000001</v>
      </c>
      <c r="D15" s="145">
        <v>165767.19</v>
      </c>
      <c r="E15" s="163">
        <f t="shared" si="0"/>
        <v>7.9869896511905215E-3</v>
      </c>
      <c r="F15" s="166">
        <v>1353</v>
      </c>
      <c r="G15" s="63">
        <f t="shared" si="3"/>
        <v>122.51824833702882</v>
      </c>
      <c r="H15" s="61">
        <v>66</v>
      </c>
      <c r="I15" s="169">
        <f t="shared" si="1"/>
        <v>4.878048780487805E-2</v>
      </c>
      <c r="J15" s="46">
        <f>SUM(62+H15+'23 Sept - 29 Sept'!H15+'30 Sept - 6 Oct'!H15+'7 Oct - 13 Oct'!H15+'14 Oct - 20 Oct'!H15+'21 Oct - 27 Oct'!H15+'28 Oct - 3 Nov'!H15)</f>
        <v>588</v>
      </c>
      <c r="K15" s="172">
        <f t="shared" si="2"/>
        <v>0.43458980044345896</v>
      </c>
      <c r="L15" s="188">
        <v>8234.7800000000007</v>
      </c>
      <c r="M15" s="89">
        <f t="shared" si="4"/>
        <v>4.9676778619460224E-2</v>
      </c>
      <c r="N15" s="130">
        <v>5729</v>
      </c>
      <c r="O15" s="9"/>
    </row>
    <row r="16" spans="1:15" ht="15.6" customHeight="1" x14ac:dyDescent="0.3">
      <c r="A16" s="198" t="s">
        <v>27</v>
      </c>
      <c r="B16" s="200">
        <f>'28 Oct - 3 Nov'!D16</f>
        <v>119031.85</v>
      </c>
      <c r="C16" s="73">
        <v>111401.27</v>
      </c>
      <c r="D16" s="145">
        <v>122700.03</v>
      </c>
      <c r="E16" s="163">
        <f t="shared" si="0"/>
        <v>0.10142397838013871</v>
      </c>
      <c r="F16" s="166">
        <v>784</v>
      </c>
      <c r="G16" s="63">
        <f t="shared" si="3"/>
        <v>156.50514030612246</v>
      </c>
      <c r="H16" s="61">
        <v>33</v>
      </c>
      <c r="I16" s="169">
        <f t="shared" si="1"/>
        <v>4.2091836734693876E-2</v>
      </c>
      <c r="J16" s="46">
        <f>SUM(62+H16+'23 Sept - 29 Sept'!H16+'30 Sept - 6 Oct'!H16+'7 Oct - 13 Oct'!H16+'14 Oct - 20 Oct'!H16+'21 Oct - 27 Oct'!H16+'28 Oct - 3 Nov'!H16)</f>
        <v>330</v>
      </c>
      <c r="K16" s="172">
        <f t="shared" si="2"/>
        <v>0.42091836734693877</v>
      </c>
      <c r="L16" s="188">
        <v>22694.3</v>
      </c>
      <c r="M16" s="89">
        <f t="shared" si="4"/>
        <v>0.18495757498999796</v>
      </c>
      <c r="N16" s="130">
        <v>7192.25</v>
      </c>
      <c r="O16" s="9"/>
    </row>
    <row r="17" spans="1:15" ht="15.6" customHeight="1" x14ac:dyDescent="0.3">
      <c r="A17" s="198" t="s">
        <v>28</v>
      </c>
      <c r="B17" s="200">
        <f>'28 Oct - 3 Nov'!D17</f>
        <v>214868.45</v>
      </c>
      <c r="C17" s="73">
        <v>242297.86</v>
      </c>
      <c r="D17" s="145">
        <v>201597.1</v>
      </c>
      <c r="E17" s="163">
        <f t="shared" si="0"/>
        <v>-0.16797820665853169</v>
      </c>
      <c r="F17" s="166">
        <v>1339</v>
      </c>
      <c r="G17" s="63">
        <f t="shared" si="3"/>
        <v>150.55795369678864</v>
      </c>
      <c r="H17" s="61">
        <v>106</v>
      </c>
      <c r="I17" s="169">
        <f t="shared" si="1"/>
        <v>7.9163554891710231E-2</v>
      </c>
      <c r="J17" s="46">
        <f>SUM(62+H17+'23 Sept - 29 Sept'!H17+'30 Sept - 6 Oct'!H17+'7 Oct - 13 Oct'!H17+'14 Oct - 20 Oct'!H17+'21 Oct - 27 Oct'!H17+'28 Oct - 3 Nov'!H17)</f>
        <v>797</v>
      </c>
      <c r="K17" s="172">
        <f t="shared" si="2"/>
        <v>0.59522031366691563</v>
      </c>
      <c r="L17" s="188">
        <v>30263.52</v>
      </c>
      <c r="M17" s="89">
        <f t="shared" si="4"/>
        <v>0.15011882611406613</v>
      </c>
      <c r="N17" s="130">
        <v>11577.8</v>
      </c>
      <c r="O17" s="9"/>
    </row>
    <row r="18" spans="1:15" ht="16.2" customHeight="1" thickBot="1" x14ac:dyDescent="0.35">
      <c r="A18" s="199" t="s">
        <v>33</v>
      </c>
      <c r="B18" s="201">
        <f>'28 Oct - 3 Nov'!D18</f>
        <v>185238.67</v>
      </c>
      <c r="C18" s="131"/>
      <c r="D18" s="146">
        <v>164475.29999999999</v>
      </c>
      <c r="E18" s="164">
        <f t="shared" si="0"/>
        <v>0</v>
      </c>
      <c r="F18" s="167">
        <v>1338</v>
      </c>
      <c r="G18" s="132">
        <f t="shared" si="3"/>
        <v>122.9262331838565</v>
      </c>
      <c r="H18" s="133">
        <v>113</v>
      </c>
      <c r="I18" s="170">
        <f t="shared" si="1"/>
        <v>8.4454409566517188E-2</v>
      </c>
      <c r="J18" s="115">
        <f>SUM(62+H18+'23 Sept - 29 Sept'!H18+'30 Sept - 6 Oct'!H18+'7 Oct - 13 Oct'!H18+'14 Oct - 20 Oct'!H18+'21 Oct - 27 Oct'!H18+'28 Oct - 3 Nov'!H18)</f>
        <v>719</v>
      </c>
      <c r="K18" s="173">
        <f t="shared" si="2"/>
        <v>0.53736920777279518</v>
      </c>
      <c r="L18" s="189">
        <v>20566</v>
      </c>
      <c r="M18" s="116">
        <f t="shared" si="4"/>
        <v>0.12504005160653303</v>
      </c>
      <c r="N18" s="134">
        <v>2458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93" priority="5" operator="equal">
      <formula>0</formula>
    </cfRule>
  </conditionalFormatting>
  <conditionalFormatting sqref="D7:D18">
    <cfRule type="cellIs" dxfId="592" priority="4" operator="equal">
      <formula>0</formula>
    </cfRule>
  </conditionalFormatting>
  <conditionalFormatting sqref="E6:K18">
    <cfRule type="cellIs" dxfId="591" priority="3" operator="equal">
      <formula>0</formula>
    </cfRule>
  </conditionalFormatting>
  <conditionalFormatting sqref="L7:L18">
    <cfRule type="cellIs" dxfId="590" priority="2" operator="equal">
      <formula>0</formula>
    </cfRule>
  </conditionalFormatting>
  <conditionalFormatting sqref="M6:N18">
    <cfRule type="cellIs" dxfId="58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O40"/>
  <sheetViews>
    <sheetView zoomScale="78" workbookViewId="0">
      <pane xSplit="1" topLeftCell="B1" activePane="topRight" state="frozen"/>
      <selection pane="topRight" activeCell="D9" sqref="D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-5.7177269752273593E-2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2318368.8099999996</v>
      </c>
      <c r="C4" s="135">
        <f>SUM(C6:C18)-C14</f>
        <v>2313064.1</v>
      </c>
      <c r="D4" s="142">
        <f>SUM(D6:D18)</f>
        <v>2345893.7000000002</v>
      </c>
      <c r="E4" s="152">
        <f t="shared" ref="E4:E18" si="0">IFERROR((SUM(D4-C4)/C4),0)</f>
        <v>1.4193121582752545E-2</v>
      </c>
      <c r="F4" s="147">
        <f>SUM(F6:F18)</f>
        <v>17417</v>
      </c>
      <c r="G4" s="136">
        <f>AVERAGE(G5:G18)</f>
        <v>123.51894446280211</v>
      </c>
      <c r="H4" s="137">
        <f>SUM(H6:H18)</f>
        <v>1098</v>
      </c>
      <c r="I4" s="138">
        <f t="shared" ref="I4:I18" si="1">IFERROR(H4/F4,0)</f>
        <v>6.3041855658264909E-2</v>
      </c>
      <c r="J4" s="139">
        <f>SUM(J6:J18)</f>
        <v>9433</v>
      </c>
      <c r="K4" s="140">
        <f t="shared" ref="K4:K18" si="2">IFERROR(J4/SUM(F4),0)</f>
        <v>0.54159729000401902</v>
      </c>
      <c r="L4" s="186"/>
      <c r="M4" s="140">
        <f>SUM(L4/D4)</f>
        <v>0</v>
      </c>
      <c r="N4" s="141">
        <f>SUM(N6:N18)</f>
        <v>126087.94000000002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'4 Nov - 10 Nov'!D6</f>
        <v>228976.77</v>
      </c>
      <c r="C6" s="123">
        <v>230527.2</v>
      </c>
      <c r="D6" s="197">
        <v>259568.58</v>
      </c>
      <c r="E6" s="162">
        <f t="shared" si="0"/>
        <v>0.12597810583740215</v>
      </c>
      <c r="F6" s="165">
        <v>1983</v>
      </c>
      <c r="G6" s="124">
        <f t="shared" ref="G6:G18" si="3">IFERROR(D6/F6,0)</f>
        <v>130.89691376701967</v>
      </c>
      <c r="H6" s="125">
        <v>70</v>
      </c>
      <c r="I6" s="168">
        <f t="shared" si="1"/>
        <v>3.5300050428643467E-2</v>
      </c>
      <c r="J6" s="46">
        <f>SUM(62+H6+'23 Sept - 29 Sept'!H6+'30 Sept - 6 Oct'!H6+'7 Oct - 13 Oct'!H6+'14 Oct - 20 Oct'!H6+'21 Oct - 27 Oct'!H6+'28 Oct - 3 Nov'!H6+'4 Nov - 10 Nov'!H6)</f>
        <v>757</v>
      </c>
      <c r="K6" s="171">
        <f t="shared" si="2"/>
        <v>0.38174483106404439</v>
      </c>
      <c r="L6" s="191">
        <v>34926.22</v>
      </c>
      <c r="M6" s="128">
        <f t="shared" ref="M6:M18" si="4">SUM(L6/D6)</f>
        <v>0.13455488333757501</v>
      </c>
      <c r="N6" s="129">
        <v>11312.15</v>
      </c>
      <c r="O6" s="26"/>
    </row>
    <row r="7" spans="1:15" ht="15.6" customHeight="1" x14ac:dyDescent="0.3">
      <c r="A7" s="409" t="s">
        <v>16</v>
      </c>
      <c r="B7" s="200">
        <f>'4 Nov - 10 Nov'!D7</f>
        <v>203728.44</v>
      </c>
      <c r="C7" s="73">
        <v>313293.68</v>
      </c>
      <c r="D7" s="145">
        <v>209028.31</v>
      </c>
      <c r="E7" s="163">
        <f t="shared" si="0"/>
        <v>-0.33280393654924667</v>
      </c>
      <c r="F7" s="166">
        <v>1506</v>
      </c>
      <c r="G7" s="63">
        <f t="shared" si="3"/>
        <v>138.79701859229746</v>
      </c>
      <c r="H7" s="61">
        <v>111</v>
      </c>
      <c r="I7" s="169">
        <f t="shared" si="1"/>
        <v>7.370517928286853E-2</v>
      </c>
      <c r="J7" s="46">
        <f>SUM(62+H7+'23 Sept - 29 Sept'!H7+'30 Sept - 6 Oct'!H7+'7 Oct - 13 Oct'!H7+'14 Oct - 20 Oct'!H7+'21 Oct - 27 Oct'!H7+'28 Oct - 3 Nov'!H7+'4 Nov - 10 Nov'!H7)</f>
        <v>1133</v>
      </c>
      <c r="K7" s="172">
        <f t="shared" si="2"/>
        <v>0.75232403718459495</v>
      </c>
      <c r="L7" s="188">
        <v>29086.35</v>
      </c>
      <c r="M7" s="89">
        <f t="shared" si="4"/>
        <v>0.13915029021666969</v>
      </c>
      <c r="N7" s="130">
        <v>16360.23</v>
      </c>
      <c r="O7" s="26"/>
    </row>
    <row r="8" spans="1:15" ht="15.6" customHeight="1" x14ac:dyDescent="0.3">
      <c r="A8" s="409" t="s">
        <v>17</v>
      </c>
      <c r="B8" s="200">
        <f>'4 Nov - 10 Nov'!D8</f>
        <v>108699.37</v>
      </c>
      <c r="C8" s="73">
        <v>121201.12</v>
      </c>
      <c r="D8" s="145">
        <v>101423.55</v>
      </c>
      <c r="E8" s="163">
        <f t="shared" si="0"/>
        <v>-0.16317976269526216</v>
      </c>
      <c r="F8" s="166">
        <v>1050</v>
      </c>
      <c r="G8" s="63">
        <f t="shared" si="3"/>
        <v>96.593857142857146</v>
      </c>
      <c r="H8" s="61">
        <v>68</v>
      </c>
      <c r="I8" s="169">
        <f t="shared" si="1"/>
        <v>6.4761904761904757E-2</v>
      </c>
      <c r="J8" s="46">
        <f>SUM(62+H8+'23 Sept - 29 Sept'!H8+'30 Sept - 6 Oct'!H8+'7 Oct - 13 Oct'!H8+'14 Oct - 20 Oct'!H8+'21 Oct - 27 Oct'!H8+'28 Oct - 3 Nov'!H8+'4 Nov - 10 Nov'!H8)</f>
        <v>415</v>
      </c>
      <c r="K8" s="172">
        <f t="shared" si="2"/>
        <v>0.39523809523809522</v>
      </c>
      <c r="L8" s="188">
        <v>33658.43</v>
      </c>
      <c r="M8" s="89">
        <f t="shared" si="4"/>
        <v>0.33186010546860173</v>
      </c>
      <c r="N8" s="130">
        <v>4350.05</v>
      </c>
      <c r="O8" s="26"/>
    </row>
    <row r="9" spans="1:15" ht="15.6" customHeight="1" x14ac:dyDescent="0.3">
      <c r="A9" s="409" t="s">
        <v>18</v>
      </c>
      <c r="B9" s="200">
        <f>'4 Nov - 10 Nov'!D9</f>
        <v>318828.79999999999</v>
      </c>
      <c r="C9" s="73">
        <v>354340.71</v>
      </c>
      <c r="D9" s="145">
        <v>300109.68</v>
      </c>
      <c r="E9" s="163">
        <f t="shared" si="0"/>
        <v>-0.1530476980756742</v>
      </c>
      <c r="F9" s="166">
        <v>2192</v>
      </c>
      <c r="G9" s="63">
        <f t="shared" si="3"/>
        <v>136.91135036496351</v>
      </c>
      <c r="H9" s="61">
        <v>95</v>
      </c>
      <c r="I9" s="169">
        <f t="shared" si="1"/>
        <v>4.3339416058394163E-2</v>
      </c>
      <c r="J9" s="46">
        <f>SUM(62+H9+'23 Sept - 29 Sept'!H9+'30 Sept - 6 Oct'!H9+'7 Oct - 13 Oct'!H9+'14 Oct - 20 Oct'!H9+'21 Oct - 27 Oct'!H9+'28 Oct - 3 Nov'!H9+'4 Nov - 10 Nov'!H9)</f>
        <v>751</v>
      </c>
      <c r="K9" s="172">
        <f t="shared" si="2"/>
        <v>0.3426094890510949</v>
      </c>
      <c r="L9" s="188">
        <v>22430.52</v>
      </c>
      <c r="M9" s="89">
        <f t="shared" si="4"/>
        <v>7.4741074663103174E-2</v>
      </c>
      <c r="N9" s="130">
        <v>11524.1</v>
      </c>
      <c r="O9" s="26"/>
    </row>
    <row r="10" spans="1:15" ht="15.6" customHeight="1" x14ac:dyDescent="0.3">
      <c r="A10" s="409" t="s">
        <v>20</v>
      </c>
      <c r="B10" s="200">
        <f>'4 Nov - 10 Nov'!D10</f>
        <v>132983.03</v>
      </c>
      <c r="C10" s="73">
        <v>133992.31</v>
      </c>
      <c r="D10" s="145">
        <v>137768.23000000001</v>
      </c>
      <c r="E10" s="163">
        <f t="shared" si="0"/>
        <v>2.8180124665363356E-2</v>
      </c>
      <c r="F10" s="166">
        <v>991</v>
      </c>
      <c r="G10" s="63">
        <f t="shared" si="3"/>
        <v>139.01940464177599</v>
      </c>
      <c r="H10" s="61">
        <v>86</v>
      </c>
      <c r="I10" s="169">
        <f t="shared" si="1"/>
        <v>8.6781029263370335E-2</v>
      </c>
      <c r="J10" s="46">
        <f>SUM(62+H10+'23 Sept - 29 Sept'!H10+'30 Sept - 6 Oct'!H10+'7 Oct - 13 Oct'!H10+'14 Oct - 20 Oct'!H10+'21 Oct - 27 Oct'!H10+'28 Oct - 3 Nov'!H10+'4 Nov - 10 Nov'!H10)</f>
        <v>724</v>
      </c>
      <c r="K10" s="172">
        <f t="shared" si="2"/>
        <v>0.73057517658930371</v>
      </c>
      <c r="L10" s="188">
        <v>33932.61</v>
      </c>
      <c r="M10" s="89">
        <f t="shared" si="4"/>
        <v>0.24630214092174951</v>
      </c>
      <c r="N10" s="130">
        <v>10627.4</v>
      </c>
      <c r="O10" s="26"/>
    </row>
    <row r="11" spans="1:15" ht="15.6" customHeight="1" x14ac:dyDescent="0.3">
      <c r="A11" s="409" t="s">
        <v>21</v>
      </c>
      <c r="B11" s="200">
        <f>'4 Nov - 10 Nov'!D11</f>
        <v>308365.96000000002</v>
      </c>
      <c r="C11" s="73">
        <v>309782.65999999997</v>
      </c>
      <c r="D11" s="145">
        <v>311032.46000000002</v>
      </c>
      <c r="E11" s="163">
        <f t="shared" si="0"/>
        <v>4.0344414371031832E-3</v>
      </c>
      <c r="F11" s="166">
        <v>2100</v>
      </c>
      <c r="G11" s="63">
        <f t="shared" si="3"/>
        <v>148.11069523809525</v>
      </c>
      <c r="H11" s="61">
        <v>178</v>
      </c>
      <c r="I11" s="169">
        <f t="shared" si="1"/>
        <v>8.4761904761904761E-2</v>
      </c>
      <c r="J11" s="46">
        <f>SUM(62+H11+'23 Sept - 29 Sept'!H11+'30 Sept - 6 Oct'!H11+'7 Oct - 13 Oct'!H11+'14 Oct - 20 Oct'!H11+'21 Oct - 27 Oct'!H11+'28 Oct - 3 Nov'!H11+'4 Nov - 10 Nov'!H11)</f>
        <v>1352</v>
      </c>
      <c r="K11" s="172">
        <f t="shared" si="2"/>
        <v>0.64380952380952383</v>
      </c>
      <c r="L11" s="188">
        <v>50083.83</v>
      </c>
      <c r="M11" s="89">
        <f t="shared" si="4"/>
        <v>0.16102444741619573</v>
      </c>
      <c r="N11" s="130">
        <v>18996.05</v>
      </c>
      <c r="O11" s="26"/>
    </row>
    <row r="12" spans="1:15" ht="15.6" customHeight="1" x14ac:dyDescent="0.3">
      <c r="A12" s="198" t="s">
        <v>22</v>
      </c>
      <c r="B12" s="200">
        <f>'4 Nov - 10 Nov'!D12</f>
        <v>146753.75</v>
      </c>
      <c r="C12" s="73">
        <v>137174.29</v>
      </c>
      <c r="D12" s="145">
        <v>143951.47</v>
      </c>
      <c r="E12" s="163">
        <f t="shared" si="0"/>
        <v>4.9405613836237046E-2</v>
      </c>
      <c r="F12" s="166">
        <v>1138</v>
      </c>
      <c r="G12" s="63">
        <f t="shared" si="3"/>
        <v>126.49514059753955</v>
      </c>
      <c r="H12" s="61">
        <v>89</v>
      </c>
      <c r="I12" s="169">
        <f t="shared" si="1"/>
        <v>7.8207381370826015E-2</v>
      </c>
      <c r="J12" s="46">
        <f>SUM(62+H12+'23 Sept - 29 Sept'!H12+'30 Sept - 6 Oct'!H12+'7 Oct - 13 Oct'!H12+'14 Oct - 20 Oct'!H12+'21 Oct - 27 Oct'!H12+'28 Oct - 3 Nov'!H12+'4 Nov - 10 Nov'!H12)</f>
        <v>711</v>
      </c>
      <c r="K12" s="172">
        <f t="shared" si="2"/>
        <v>0.62478031634446396</v>
      </c>
      <c r="L12" s="188">
        <v>17497.57</v>
      </c>
      <c r="M12" s="89">
        <f t="shared" si="4"/>
        <v>0.12155186744532723</v>
      </c>
      <c r="N12" s="130">
        <v>12216.25</v>
      </c>
      <c r="O12" s="26"/>
    </row>
    <row r="13" spans="1:15" ht="15.6" customHeight="1" x14ac:dyDescent="0.3">
      <c r="A13" s="198" t="s">
        <v>23</v>
      </c>
      <c r="B13" s="200">
        <f>'4 Nov - 10 Nov'!D13</f>
        <v>215493.07</v>
      </c>
      <c r="C13" s="73">
        <v>199894.33</v>
      </c>
      <c r="D13" s="145">
        <v>202568.82</v>
      </c>
      <c r="E13" s="163">
        <f t="shared" si="0"/>
        <v>1.3379519068900152E-2</v>
      </c>
      <c r="F13" s="166">
        <v>1479</v>
      </c>
      <c r="G13" s="63">
        <f t="shared" si="3"/>
        <v>136.96336713995944</v>
      </c>
      <c r="H13" s="61">
        <v>114</v>
      </c>
      <c r="I13" s="169">
        <f t="shared" si="1"/>
        <v>7.7079107505070993E-2</v>
      </c>
      <c r="J13" s="46">
        <f>SUM(62+H13+'23 Sept - 29 Sept'!H13+'30 Sept - 6 Oct'!H13+'7 Oct - 13 Oct'!H13+'14 Oct - 20 Oct'!H13+'21 Oct - 27 Oct'!H13+'28 Oct - 3 Nov'!H13+'4 Nov - 10 Nov'!H13)</f>
        <v>807</v>
      </c>
      <c r="K13" s="172">
        <f t="shared" si="2"/>
        <v>0.54563894523326573</v>
      </c>
      <c r="L13" s="188">
        <v>25685.39</v>
      </c>
      <c r="M13" s="89">
        <f t="shared" si="4"/>
        <v>0.12679833944829219</v>
      </c>
      <c r="N13" s="130">
        <v>11832.1</v>
      </c>
      <c r="O13" s="26"/>
    </row>
    <row r="14" spans="1:15" ht="15.6" hidden="1" customHeight="1" x14ac:dyDescent="0.3">
      <c r="A14" s="198" t="s">
        <v>24</v>
      </c>
      <c r="B14" s="200">
        <f>'4 Nov - 10 Nov'!D14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Oct'!H14+'14 Oct - 20 Oct'!H14+'21 Oct - 27 Oct'!H14+'28 Oct - 3 Nov'!H14+'4 Nov - 10 Nov'!H14)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'4 Nov - 10 Nov'!D15</f>
        <v>165767.19</v>
      </c>
      <c r="C15" s="73">
        <v>154493.53</v>
      </c>
      <c r="D15" s="145">
        <v>187730.76</v>
      </c>
      <c r="E15" s="163">
        <f t="shared" si="0"/>
        <v>0.21513671155031547</v>
      </c>
      <c r="F15" s="166">
        <v>1457</v>
      </c>
      <c r="G15" s="63">
        <f t="shared" si="3"/>
        <v>128.84746739876459</v>
      </c>
      <c r="H15" s="61">
        <v>69</v>
      </c>
      <c r="I15" s="169">
        <f t="shared" si="1"/>
        <v>4.7357584076870282E-2</v>
      </c>
      <c r="J15" s="46">
        <f>SUM(62+H15+'23 Sept - 29 Sept'!H15+'30 Sept - 6 Oct'!H15+'7 Oct - 13 Oct'!H15+'14 Oct - 20 Oct'!H15+'21 Oct - 27 Oct'!H15+'28 Oct - 3 Nov'!H15+'4 Nov - 10 Nov'!H15)</f>
        <v>657</v>
      </c>
      <c r="K15" s="172">
        <f t="shared" si="2"/>
        <v>0.45092656142759097</v>
      </c>
      <c r="L15" s="188">
        <v>11046.26</v>
      </c>
      <c r="M15" s="89">
        <f t="shared" si="4"/>
        <v>5.8840969908181266E-2</v>
      </c>
      <c r="N15" s="130">
        <v>5171.7700000000004</v>
      </c>
      <c r="O15" s="9"/>
    </row>
    <row r="16" spans="1:15" ht="15.6" customHeight="1" x14ac:dyDescent="0.3">
      <c r="A16" s="198" t="s">
        <v>27</v>
      </c>
      <c r="B16" s="200">
        <f>'4 Nov - 10 Nov'!D16</f>
        <v>122700.03</v>
      </c>
      <c r="C16" s="73">
        <v>128338.69</v>
      </c>
      <c r="D16" s="145">
        <v>117265.60000000001</v>
      </c>
      <c r="E16" s="163">
        <f t="shared" si="0"/>
        <v>-8.6280216823157507E-2</v>
      </c>
      <c r="F16" s="166">
        <v>788</v>
      </c>
      <c r="G16" s="63">
        <f t="shared" si="3"/>
        <v>148.81421319796954</v>
      </c>
      <c r="H16" s="61">
        <v>24</v>
      </c>
      <c r="I16" s="169">
        <f t="shared" si="1"/>
        <v>3.0456852791878174E-2</v>
      </c>
      <c r="J16" s="46">
        <f>SUM(62+H16+'23 Sept - 29 Sept'!H16+'30 Sept - 6 Oct'!H16+'7 Oct - 13 Oct'!H16+'14 Oct - 20 Oct'!H16+'21 Oct - 27 Oct'!H16+'28 Oct - 3 Nov'!H16+'4 Nov - 10 Nov'!H16)</f>
        <v>354</v>
      </c>
      <c r="K16" s="172">
        <f t="shared" si="2"/>
        <v>0.44923857868020306</v>
      </c>
      <c r="L16" s="188">
        <v>19463.650000000001</v>
      </c>
      <c r="M16" s="89">
        <f t="shared" si="4"/>
        <v>0.16597919594493185</v>
      </c>
      <c r="N16" s="130">
        <v>8953</v>
      </c>
      <c r="O16" s="9"/>
    </row>
    <row r="17" spans="1:15" ht="15.6" customHeight="1" x14ac:dyDescent="0.3">
      <c r="A17" s="198" t="s">
        <v>28</v>
      </c>
      <c r="B17" s="200">
        <f>'4 Nov - 10 Nov'!D17</f>
        <v>201597.1</v>
      </c>
      <c r="C17" s="73">
        <v>230025.58</v>
      </c>
      <c r="D17" s="145">
        <v>210361.95</v>
      </c>
      <c r="E17" s="163">
        <f t="shared" si="0"/>
        <v>-8.5484536111157625E-2</v>
      </c>
      <c r="F17" s="166">
        <v>1388</v>
      </c>
      <c r="G17" s="63">
        <f t="shared" si="3"/>
        <v>151.55760086455334</v>
      </c>
      <c r="H17" s="61">
        <v>105</v>
      </c>
      <c r="I17" s="169">
        <f t="shared" si="1"/>
        <v>7.5648414985590773E-2</v>
      </c>
      <c r="J17" s="46">
        <f>SUM(62+H17+'23 Sept - 29 Sept'!H17+'30 Sept - 6 Oct'!H17+'7 Oct - 13 Oct'!H17+'14 Oct - 20 Oct'!H17+'21 Oct - 27 Oct'!H17+'28 Oct - 3 Nov'!H17+'4 Nov - 10 Nov'!H17)</f>
        <v>902</v>
      </c>
      <c r="K17" s="172">
        <f t="shared" si="2"/>
        <v>0.64985590778097979</v>
      </c>
      <c r="L17" s="188">
        <v>28668.22</v>
      </c>
      <c r="M17" s="89">
        <f t="shared" si="4"/>
        <v>0.13628044425334523</v>
      </c>
      <c r="N17" s="130">
        <v>11896.1</v>
      </c>
      <c r="O17" s="9"/>
    </row>
    <row r="18" spans="1:15" ht="16.2" customHeight="1" thickBot="1" x14ac:dyDescent="0.35">
      <c r="A18" s="199" t="s">
        <v>33</v>
      </c>
      <c r="B18" s="201">
        <f>'4 Nov - 10 Nov'!D18</f>
        <v>164475.29999999999</v>
      </c>
      <c r="C18" s="131"/>
      <c r="D18" s="146">
        <v>165084.29</v>
      </c>
      <c r="E18" s="164">
        <f t="shared" si="0"/>
        <v>0</v>
      </c>
      <c r="F18" s="167">
        <v>1345</v>
      </c>
      <c r="G18" s="132">
        <f t="shared" si="3"/>
        <v>122.73924907063197</v>
      </c>
      <c r="H18" s="133">
        <v>89</v>
      </c>
      <c r="I18" s="170">
        <f t="shared" si="1"/>
        <v>6.6171003717472116E-2</v>
      </c>
      <c r="J18" s="115">
        <f>SUM(62+H18+'23 Sept - 29 Sept'!H18+'30 Sept - 6 Oct'!H18+'7 Oct - 13 Oct'!H18+'14 Oct - 20 Oct'!H18+'21 Oct - 27 Oct'!H18+'28 Oct - 3 Nov'!H18+'4 Nov - 10 Nov'!H18)</f>
        <v>808</v>
      </c>
      <c r="K18" s="173">
        <f t="shared" si="2"/>
        <v>0.60074349442379182</v>
      </c>
      <c r="L18" s="189">
        <v>26648.7</v>
      </c>
      <c r="M18" s="116">
        <f t="shared" si="4"/>
        <v>0.16142480910812287</v>
      </c>
      <c r="N18" s="134">
        <v>2848.74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88" priority="5" operator="equal">
      <formula>0</formula>
    </cfRule>
  </conditionalFormatting>
  <conditionalFormatting sqref="D7:D18">
    <cfRule type="cellIs" dxfId="587" priority="4" operator="equal">
      <formula>0</formula>
    </cfRule>
  </conditionalFormatting>
  <conditionalFormatting sqref="E6:K18">
    <cfRule type="cellIs" dxfId="586" priority="3" operator="equal">
      <formula>0</formula>
    </cfRule>
  </conditionalFormatting>
  <conditionalFormatting sqref="L7:L18">
    <cfRule type="cellIs" dxfId="585" priority="2" operator="equal">
      <formula>0</formula>
    </cfRule>
  </conditionalFormatting>
  <conditionalFormatting sqref="M6:N18">
    <cfRule type="cellIs" dxfId="58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O40"/>
  <sheetViews>
    <sheetView zoomScale="78" workbookViewId="0">
      <pane xSplit="1" topLeftCell="D1" activePane="topRight" state="frozen"/>
      <selection pane="topRight" activeCell="H6" sqref="H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4.8826408436242745E-2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2345893.7000000002</v>
      </c>
      <c r="C4" s="135">
        <f>SUM(C6:C18)-C14</f>
        <v>2309164.52</v>
      </c>
      <c r="D4" s="142">
        <f>SUM(D6:D18)</f>
        <v>2589461.0000000005</v>
      </c>
      <c r="E4" s="152">
        <f t="shared" ref="E4:E18" si="0">IFERROR((SUM(D4-C4)/C4),0)</f>
        <v>0.12138436978929525</v>
      </c>
      <c r="F4" s="147">
        <f>SUM(F6:F18)</f>
        <v>19082</v>
      </c>
      <c r="G4" s="136">
        <f>AVERAGE(G5:G18)</f>
        <v>125.50820062454422</v>
      </c>
      <c r="H4" s="137">
        <f>SUM(H6:H18)</f>
        <v>1225</v>
      </c>
      <c r="I4" s="138">
        <f t="shared" ref="I4:I18" si="1">IFERROR(H4/F4,0)</f>
        <v>6.4196625091709467E-2</v>
      </c>
      <c r="J4" s="139">
        <f>SUM(J6:J18)</f>
        <v>10658</v>
      </c>
      <c r="K4" s="140">
        <f t="shared" ref="K4:K18" si="2">IFERROR(J4/SUM(F4),0)</f>
        <v>0.55853684100199141</v>
      </c>
      <c r="L4" s="186"/>
      <c r="M4" s="140">
        <f>SUM(L4/D4)</f>
        <v>0</v>
      </c>
      <c r="N4" s="141">
        <f>SUM(N6:N18)</f>
        <v>136161.07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'11 Nov - 17 Nov'!D6</f>
        <v>259568.58</v>
      </c>
      <c r="C6" s="123">
        <v>256902.53</v>
      </c>
      <c r="D6" s="197">
        <v>249420.07</v>
      </c>
      <c r="E6" s="162">
        <f t="shared" si="0"/>
        <v>-2.9125676574691544E-2</v>
      </c>
      <c r="F6" s="165">
        <v>2296</v>
      </c>
      <c r="G6" s="124">
        <f t="shared" ref="G6:G18" si="3">IFERROR(D6/F6,0)</f>
        <v>108.63243466898955</v>
      </c>
      <c r="H6" s="125">
        <v>77</v>
      </c>
      <c r="I6" s="168">
        <f t="shared" si="1"/>
        <v>3.3536585365853661E-2</v>
      </c>
      <c r="J6" s="46">
        <f>SUM(62+H6+'23 Sept - 29 Sept'!H6+'30 Sept - 6 Oct'!H6+'7 Oct - 13 Oct'!H6+'14 Oct - 20 Oct'!H6+'21 Oct - 27 Oct'!H6+'28 Oct - 3 Nov'!H6+'4 Nov - 10 Nov'!H6+'11 Nov - 17 Nov'!H6)</f>
        <v>834</v>
      </c>
      <c r="K6" s="171">
        <f t="shared" si="2"/>
        <v>0.36324041811846691</v>
      </c>
      <c r="L6" s="191">
        <v>31969.48</v>
      </c>
      <c r="M6" s="128">
        <f t="shared" ref="M6:M18" si="4">SUM(L6/D6)</f>
        <v>0.12817525069253649</v>
      </c>
      <c r="N6" s="129">
        <v>12721.45</v>
      </c>
      <c r="O6" s="26"/>
    </row>
    <row r="7" spans="1:15" ht="15.6" customHeight="1" x14ac:dyDescent="0.3">
      <c r="A7" s="409" t="s">
        <v>16</v>
      </c>
      <c r="B7" s="200">
        <f>'11 Nov - 17 Nov'!D7</f>
        <v>209028.31</v>
      </c>
      <c r="C7" s="73">
        <v>245413.55</v>
      </c>
      <c r="D7" s="145">
        <v>277083.59000000003</v>
      </c>
      <c r="E7" s="163">
        <f t="shared" si="0"/>
        <v>0.12904764223491344</v>
      </c>
      <c r="F7" s="166">
        <v>1971</v>
      </c>
      <c r="G7" s="63">
        <f t="shared" si="3"/>
        <v>140.58020801623542</v>
      </c>
      <c r="H7" s="61">
        <v>150</v>
      </c>
      <c r="I7" s="169">
        <f t="shared" si="1"/>
        <v>7.6103500761035003E-2</v>
      </c>
      <c r="J7" s="46">
        <f>SUM(62+H7+'23 Sept - 29 Sept'!H7+'30 Sept - 6 Oct'!H7+'7 Oct - 13 Oct'!H7+'14 Oct - 20 Oct'!H7+'21 Oct - 27 Oct'!H7+'28 Oct - 3 Nov'!H7+'4 Nov - 10 Nov'!H7+'11 Nov - 17 Nov'!H7)</f>
        <v>1283</v>
      </c>
      <c r="K7" s="172">
        <f t="shared" si="2"/>
        <v>0.65093860984271945</v>
      </c>
      <c r="L7" s="188">
        <v>31947.96</v>
      </c>
      <c r="M7" s="89">
        <f t="shared" si="4"/>
        <v>0.11530080146572375</v>
      </c>
      <c r="N7" s="130">
        <v>23090.91</v>
      </c>
      <c r="O7" s="26"/>
    </row>
    <row r="8" spans="1:15" ht="15.6" customHeight="1" x14ac:dyDescent="0.3">
      <c r="A8" s="409" t="s">
        <v>17</v>
      </c>
      <c r="B8" s="200">
        <f>'11 Nov - 17 Nov'!D8</f>
        <v>101423.55</v>
      </c>
      <c r="C8" s="73">
        <v>136957</v>
      </c>
      <c r="D8" s="145">
        <v>126423.17</v>
      </c>
      <c r="E8" s="163">
        <f t="shared" si="0"/>
        <v>-7.6913410778565547E-2</v>
      </c>
      <c r="F8" s="166">
        <v>1167</v>
      </c>
      <c r="G8" s="63">
        <f t="shared" si="3"/>
        <v>108.33176520994002</v>
      </c>
      <c r="H8" s="61">
        <v>70</v>
      </c>
      <c r="I8" s="169">
        <f t="shared" si="1"/>
        <v>5.9982862039417308E-2</v>
      </c>
      <c r="J8" s="46">
        <f>SUM(62+H8+'23 Sept - 29 Sept'!H8+'30 Sept - 6 Oct'!H8+'7 Oct - 13 Oct'!H8+'14 Oct - 20 Oct'!H8+'21 Oct - 27 Oct'!H8+'28 Oct - 3 Nov'!H8+'4 Nov - 10 Nov'!H8+'11 Nov - 17 Nov'!H8)</f>
        <v>485</v>
      </c>
      <c r="K8" s="172">
        <f t="shared" si="2"/>
        <v>0.41559554413024852</v>
      </c>
      <c r="L8" s="188">
        <v>34306.089999999997</v>
      </c>
      <c r="M8" s="89">
        <f t="shared" si="4"/>
        <v>0.27135919784324342</v>
      </c>
      <c r="N8" s="130">
        <v>5406.89</v>
      </c>
      <c r="O8" s="26"/>
    </row>
    <row r="9" spans="1:15" ht="15.6" customHeight="1" x14ac:dyDescent="0.3">
      <c r="A9" s="409" t="s">
        <v>18</v>
      </c>
      <c r="B9" s="200">
        <f>'11 Nov - 17 Nov'!D9</f>
        <v>300109.68</v>
      </c>
      <c r="C9" s="73">
        <v>358375.04</v>
      </c>
      <c r="D9" s="145">
        <v>334792.28000000003</v>
      </c>
      <c r="E9" s="163">
        <f t="shared" si="0"/>
        <v>-6.5804694434076522E-2</v>
      </c>
      <c r="F9" s="166">
        <v>2412</v>
      </c>
      <c r="G9" s="63">
        <f t="shared" si="3"/>
        <v>138.80276948590384</v>
      </c>
      <c r="H9" s="61">
        <v>91</v>
      </c>
      <c r="I9" s="169">
        <f t="shared" si="1"/>
        <v>3.7728026533996685E-2</v>
      </c>
      <c r="J9" s="46">
        <f>SUM(62+H9+'23 Sept - 29 Sept'!H9+'30 Sept - 6 Oct'!H9+'7 Oct - 13 Oct'!H9+'14 Oct - 20 Oct'!H9+'21 Oct - 27 Oct'!H9+'28 Oct - 3 Nov'!H9+'4 Nov - 10 Nov'!H9+'11 Nov - 17 Nov'!H9)</f>
        <v>842</v>
      </c>
      <c r="K9" s="172">
        <f t="shared" si="2"/>
        <v>0.34908789386401329</v>
      </c>
      <c r="L9" s="188">
        <v>24908.83</v>
      </c>
      <c r="M9" s="89">
        <f t="shared" si="4"/>
        <v>7.4400849386371745E-2</v>
      </c>
      <c r="N9" s="130">
        <v>14381.5</v>
      </c>
      <c r="O9" s="26"/>
    </row>
    <row r="10" spans="1:15" ht="15.6" customHeight="1" x14ac:dyDescent="0.3">
      <c r="A10" s="409" t="s">
        <v>20</v>
      </c>
      <c r="B10" s="200">
        <f>'11 Nov - 17 Nov'!D10</f>
        <v>137768.23000000001</v>
      </c>
      <c r="C10" s="73">
        <v>142236.65</v>
      </c>
      <c r="D10" s="145">
        <v>151772.76999999999</v>
      </c>
      <c r="E10" s="163">
        <f t="shared" si="0"/>
        <v>6.7044042446162758E-2</v>
      </c>
      <c r="F10" s="166">
        <v>1046</v>
      </c>
      <c r="G10" s="63">
        <f t="shared" si="3"/>
        <v>145.09825047801147</v>
      </c>
      <c r="H10" s="61">
        <v>91</v>
      </c>
      <c r="I10" s="169">
        <f t="shared" si="1"/>
        <v>8.6998087954110903E-2</v>
      </c>
      <c r="J10" s="46">
        <f>SUM(62+H10+'23 Sept - 29 Sept'!H10+'30 Sept - 6 Oct'!H10+'7 Oct - 13 Oct'!H10+'14 Oct - 20 Oct'!H10+'21 Oct - 27 Oct'!H10+'28 Oct - 3 Nov'!H10+'4 Nov - 10 Nov'!H10+'11 Nov - 17 Nov'!H10)</f>
        <v>815</v>
      </c>
      <c r="K10" s="172">
        <f t="shared" si="2"/>
        <v>0.77915869980879537</v>
      </c>
      <c r="L10" s="188">
        <v>37302.129999999997</v>
      </c>
      <c r="M10" s="89">
        <f t="shared" si="4"/>
        <v>0.24577616920347437</v>
      </c>
      <c r="N10" s="130">
        <v>8493.5499999999993</v>
      </c>
      <c r="O10" s="26"/>
    </row>
    <row r="11" spans="1:15" ht="15.6" customHeight="1" x14ac:dyDescent="0.3">
      <c r="A11" s="409" t="s">
        <v>21</v>
      </c>
      <c r="B11" s="200">
        <f>'11 Nov - 17 Nov'!D11</f>
        <v>311032.46000000002</v>
      </c>
      <c r="C11" s="73">
        <v>318574.28000000003</v>
      </c>
      <c r="D11" s="145">
        <v>372731.86</v>
      </c>
      <c r="E11" s="163">
        <f t="shared" si="0"/>
        <v>0.16999985058429687</v>
      </c>
      <c r="F11" s="166">
        <v>2210</v>
      </c>
      <c r="G11" s="63">
        <f t="shared" si="3"/>
        <v>168.65695022624433</v>
      </c>
      <c r="H11" s="61">
        <v>199</v>
      </c>
      <c r="I11" s="169">
        <f t="shared" si="1"/>
        <v>9.004524886877828E-2</v>
      </c>
      <c r="J11" s="46">
        <f>SUM(62+H11+'23 Sept - 29 Sept'!H11+'30 Sept - 6 Oct'!H11+'7 Oct - 13 Oct'!H11+'14 Oct - 20 Oct'!H11+'21 Oct - 27 Oct'!H11+'28 Oct - 3 Nov'!H11+'4 Nov - 10 Nov'!H11+'11 Nov - 17 Nov'!H11)</f>
        <v>1551</v>
      </c>
      <c r="K11" s="172">
        <f t="shared" si="2"/>
        <v>0.70180995475113117</v>
      </c>
      <c r="L11" s="188">
        <v>23013.96</v>
      </c>
      <c r="M11" s="89">
        <f t="shared" si="4"/>
        <v>6.1744010828588679E-2</v>
      </c>
      <c r="N11" s="130">
        <v>19281.75</v>
      </c>
      <c r="O11" s="26"/>
    </row>
    <row r="12" spans="1:15" ht="15.6" customHeight="1" x14ac:dyDescent="0.3">
      <c r="A12" s="198" t="s">
        <v>22</v>
      </c>
      <c r="B12" s="200">
        <f>'11 Nov - 17 Nov'!D12</f>
        <v>143951.47</v>
      </c>
      <c r="C12" s="73">
        <v>128803.75</v>
      </c>
      <c r="D12" s="145">
        <v>143504.95999999999</v>
      </c>
      <c r="E12" s="163">
        <f t="shared" si="0"/>
        <v>0.1141365061188047</v>
      </c>
      <c r="F12" s="166">
        <v>1106</v>
      </c>
      <c r="G12" s="63">
        <f t="shared" si="3"/>
        <v>129.75132007233273</v>
      </c>
      <c r="H12" s="61">
        <v>91</v>
      </c>
      <c r="I12" s="169">
        <f t="shared" si="1"/>
        <v>8.2278481012658222E-2</v>
      </c>
      <c r="J12" s="46">
        <f>SUM(62+H12+'23 Sept - 29 Sept'!H12+'30 Sept - 6 Oct'!H12+'7 Oct - 13 Oct'!H12+'14 Oct - 20 Oct'!H12+'21 Oct - 27 Oct'!H12+'28 Oct - 3 Nov'!H12+'4 Nov - 10 Nov'!H12+'11 Nov - 17 Nov'!H12)</f>
        <v>802</v>
      </c>
      <c r="K12" s="172">
        <f t="shared" si="2"/>
        <v>0.72513562386980113</v>
      </c>
      <c r="L12" s="188">
        <v>25138.17</v>
      </c>
      <c r="M12" s="89">
        <f t="shared" si="4"/>
        <v>0.17517283026314909</v>
      </c>
      <c r="N12" s="130">
        <v>9080</v>
      </c>
      <c r="O12" s="26"/>
    </row>
    <row r="13" spans="1:15" ht="15.6" customHeight="1" x14ac:dyDescent="0.3">
      <c r="A13" s="198" t="s">
        <v>23</v>
      </c>
      <c r="B13" s="200">
        <f>'11 Nov - 17 Nov'!D13</f>
        <v>202568.82</v>
      </c>
      <c r="C13" s="73">
        <v>215499.76</v>
      </c>
      <c r="D13" s="145">
        <v>218108.55</v>
      </c>
      <c r="E13" s="163">
        <f t="shared" si="0"/>
        <v>1.2105767542386028E-2</v>
      </c>
      <c r="F13" s="166">
        <v>1629</v>
      </c>
      <c r="G13" s="63">
        <f t="shared" si="3"/>
        <v>133.89106813996315</v>
      </c>
      <c r="H13" s="61">
        <v>85</v>
      </c>
      <c r="I13" s="169">
        <f t="shared" si="1"/>
        <v>5.2179251074278697E-2</v>
      </c>
      <c r="J13" s="46">
        <f>SUM(62+H13+'23 Sept - 29 Sept'!H13+'30 Sept - 6 Oct'!H13+'7 Oct - 13 Oct'!H13+'14 Oct - 20 Oct'!H13+'21 Oct - 27 Oct'!H13+'28 Oct - 3 Nov'!H13+'4 Nov - 10 Nov'!H13+'11 Nov - 17 Nov'!H13)</f>
        <v>892</v>
      </c>
      <c r="K13" s="172">
        <f t="shared" si="2"/>
        <v>0.54757519950890121</v>
      </c>
      <c r="L13" s="188">
        <v>32109.52</v>
      </c>
      <c r="M13" s="89">
        <f t="shared" si="4"/>
        <v>0.14721807100180165</v>
      </c>
      <c r="N13" s="130">
        <v>11610</v>
      </c>
      <c r="O13" s="26"/>
    </row>
    <row r="14" spans="1:15" ht="15.6" hidden="1" customHeight="1" x14ac:dyDescent="0.3">
      <c r="A14" s="198" t="s">
        <v>24</v>
      </c>
      <c r="B14" s="200">
        <f>'11 Nov - 17 Nov'!D14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SUM(62+H14+'23 Sept - 29 Sept'!H14+'30 Sept - 6 Oct'!H14+'7 Oct - 13 Oct'!H14+'14 Oct - 20 Oct'!H14+'21 Oct - 27 Oct'!H14+'28 Oct - 3 Nov'!H14+'4 Nov - 10 Nov'!H14+'11 Nov - 17 Nov'!H14)</f>
        <v>62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'11 Nov - 17 Nov'!D15</f>
        <v>187730.76</v>
      </c>
      <c r="C15" s="73">
        <v>157729.49</v>
      </c>
      <c r="D15" s="145">
        <v>203493.11</v>
      </c>
      <c r="E15" s="163">
        <f t="shared" si="0"/>
        <v>0.29013990979112403</v>
      </c>
      <c r="F15" s="166">
        <v>1720</v>
      </c>
      <c r="G15" s="63">
        <f t="shared" si="3"/>
        <v>118.30994767441859</v>
      </c>
      <c r="H15" s="61">
        <v>96</v>
      </c>
      <c r="I15" s="169">
        <f t="shared" si="1"/>
        <v>5.5813953488372092E-2</v>
      </c>
      <c r="J15" s="46">
        <f>SUM(62+H15+'23 Sept - 29 Sept'!H15+'30 Sept - 6 Oct'!H15+'7 Oct - 13 Oct'!H15+'14 Oct - 20 Oct'!H15+'21 Oct - 27 Oct'!H15+'28 Oct - 3 Nov'!H15+'4 Nov - 10 Nov'!H15+'11 Nov - 17 Nov'!H15)</f>
        <v>753</v>
      </c>
      <c r="K15" s="172">
        <f t="shared" si="2"/>
        <v>0.43779069767441858</v>
      </c>
      <c r="L15" s="188">
        <v>9907.83</v>
      </c>
      <c r="M15" s="89">
        <f t="shared" si="4"/>
        <v>4.8688773786984732E-2</v>
      </c>
      <c r="N15" s="130">
        <v>6022.72</v>
      </c>
      <c r="O15" s="9"/>
    </row>
    <row r="16" spans="1:15" ht="15.6" customHeight="1" x14ac:dyDescent="0.3">
      <c r="A16" s="198" t="s">
        <v>27</v>
      </c>
      <c r="B16" s="200">
        <f>'11 Nov - 17 Nov'!D16</f>
        <v>117265.60000000001</v>
      </c>
      <c r="C16" s="73">
        <v>125199.1</v>
      </c>
      <c r="D16" s="145">
        <v>130233.66</v>
      </c>
      <c r="E16" s="163">
        <f t="shared" si="0"/>
        <v>4.0212429642066096E-2</v>
      </c>
      <c r="F16" s="166">
        <v>838</v>
      </c>
      <c r="G16" s="63">
        <f t="shared" si="3"/>
        <v>155.41009546539379</v>
      </c>
      <c r="H16" s="61">
        <v>51</v>
      </c>
      <c r="I16" s="169">
        <f t="shared" si="1"/>
        <v>6.0859188544152745E-2</v>
      </c>
      <c r="J16" s="46">
        <f>SUM(62+H16+'23 Sept - 29 Sept'!H16+'30 Sept - 6 Oct'!H16+'7 Oct - 13 Oct'!H16+'14 Oct - 20 Oct'!H16+'21 Oct - 27 Oct'!H16+'28 Oct - 3 Nov'!H16+'4 Nov - 10 Nov'!H16+'11 Nov - 17 Nov'!H16)</f>
        <v>405</v>
      </c>
      <c r="K16" s="172">
        <f t="shared" si="2"/>
        <v>0.48329355608591884</v>
      </c>
      <c r="L16" s="188">
        <v>26885.35</v>
      </c>
      <c r="M16" s="89">
        <f t="shared" si="4"/>
        <v>0.20643933373292278</v>
      </c>
      <c r="N16" s="130">
        <v>9274.5</v>
      </c>
      <c r="O16" s="9"/>
    </row>
    <row r="17" spans="1:15" ht="15.6" customHeight="1" x14ac:dyDescent="0.3">
      <c r="A17" s="198" t="s">
        <v>28</v>
      </c>
      <c r="B17" s="200">
        <f>'11 Nov - 17 Nov'!D17</f>
        <v>210361.95</v>
      </c>
      <c r="C17" s="73">
        <v>223473.37</v>
      </c>
      <c r="D17" s="145">
        <v>214348.71</v>
      </c>
      <c r="E17" s="163">
        <f t="shared" si="0"/>
        <v>-4.0831084258495784E-2</v>
      </c>
      <c r="F17" s="166">
        <v>1348</v>
      </c>
      <c r="G17" s="63">
        <f t="shared" si="3"/>
        <v>159.01239614243323</v>
      </c>
      <c r="H17" s="61">
        <v>142</v>
      </c>
      <c r="I17" s="169">
        <f t="shared" si="1"/>
        <v>0.10534124629080119</v>
      </c>
      <c r="J17" s="46">
        <f>SUM(62+H17+'23 Sept - 29 Sept'!H17+'30 Sept - 6 Oct'!H17+'7 Oct - 13 Oct'!H17+'14 Oct - 20 Oct'!H17+'21 Oct - 27 Oct'!H17+'28 Oct - 3 Nov'!H17+'4 Nov - 10 Nov'!H17+'11 Nov - 17 Nov'!H17)</f>
        <v>1044</v>
      </c>
      <c r="K17" s="172">
        <f t="shared" si="2"/>
        <v>0.77448071216617209</v>
      </c>
      <c r="L17" s="188">
        <v>36162.74</v>
      </c>
      <c r="M17" s="89">
        <f t="shared" si="4"/>
        <v>0.16870985600986355</v>
      </c>
      <c r="N17" s="130">
        <v>11749.8</v>
      </c>
      <c r="O17" s="9"/>
    </row>
    <row r="18" spans="1:15" ht="16.2" customHeight="1" thickBot="1" x14ac:dyDescent="0.35">
      <c r="A18" s="199" t="s">
        <v>33</v>
      </c>
      <c r="B18" s="201">
        <f>'11 Nov - 17 Nov'!D18</f>
        <v>165084.29</v>
      </c>
      <c r="C18" s="131"/>
      <c r="D18" s="146">
        <v>167548.26999999999</v>
      </c>
      <c r="E18" s="164">
        <f t="shared" si="0"/>
        <v>0</v>
      </c>
      <c r="F18" s="167">
        <v>1339</v>
      </c>
      <c r="G18" s="132">
        <f t="shared" si="3"/>
        <v>125.12940253920836</v>
      </c>
      <c r="H18" s="133">
        <v>82</v>
      </c>
      <c r="I18" s="170">
        <f t="shared" si="1"/>
        <v>6.1239731142643763E-2</v>
      </c>
      <c r="J18" s="115">
        <f>SUM(62+H18+'23 Sept - 29 Sept'!H18+'30 Sept - 6 Oct'!H18+'7 Oct - 13 Oct'!H18+'14 Oct - 20 Oct'!H18+'21 Oct - 27 Oct'!H18+'28 Oct - 3 Nov'!H18+'4 Nov - 10 Nov'!H18+'11 Nov - 17 Nov'!H18)</f>
        <v>890</v>
      </c>
      <c r="K18" s="173">
        <f t="shared" si="2"/>
        <v>0.6646751306945482</v>
      </c>
      <c r="L18" s="189">
        <v>26816.39</v>
      </c>
      <c r="M18" s="116">
        <f t="shared" si="4"/>
        <v>0.16005172718285901</v>
      </c>
      <c r="N18" s="134">
        <v>5048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83" priority="5" operator="equal">
      <formula>0</formula>
    </cfRule>
  </conditionalFormatting>
  <conditionalFormatting sqref="D7:D18">
    <cfRule type="cellIs" dxfId="582" priority="4" operator="equal">
      <formula>0</formula>
    </cfRule>
  </conditionalFormatting>
  <conditionalFormatting sqref="E6:K18">
    <cfRule type="cellIs" dxfId="581" priority="3" operator="equal">
      <formula>0</formula>
    </cfRule>
  </conditionalFormatting>
  <conditionalFormatting sqref="L7:L18">
    <cfRule type="cellIs" dxfId="580" priority="2" operator="equal">
      <formula>0</formula>
    </cfRule>
  </conditionalFormatting>
  <conditionalFormatting sqref="M6:N18">
    <cfRule type="cellIs" dxfId="57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O40"/>
  <sheetViews>
    <sheetView zoomScale="78" workbookViewId="0">
      <pane xSplit="1" topLeftCell="F1" activePane="topRight" state="frozen"/>
      <selection pane="topRight" activeCell="J6" sqref="J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-2.2511843804637662E-2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2589461.0000000005</v>
      </c>
      <c r="C4" s="135">
        <f>SUM(C6:C18)-C14</f>
        <v>2789323.2799999993</v>
      </c>
      <c r="D4" s="142">
        <f>SUM(D6:D18)</f>
        <v>2960603.88</v>
      </c>
      <c r="E4" s="152">
        <f t="shared" ref="E4:E18" si="0">IFERROR((SUM(D4-C4)/C4),0)</f>
        <v>6.1405790152800288E-2</v>
      </c>
      <c r="F4" s="147">
        <f>SUM(F6:F18)</f>
        <v>21344</v>
      </c>
      <c r="G4" s="136">
        <f>AVERAGE(G5:G18)</f>
        <v>128.78682128642143</v>
      </c>
      <c r="H4" s="137">
        <f>SUM(H6:H18)</f>
        <v>433</v>
      </c>
      <c r="I4" s="138">
        <f t="shared" ref="I4:I18" si="1">IFERROR(H4/F4,0)</f>
        <v>2.028673163418291E-2</v>
      </c>
      <c r="J4" s="139">
        <f>SUM(J6:J18)</f>
        <v>1527</v>
      </c>
      <c r="K4" s="140">
        <f t="shared" ref="K4:K18" si="2">IFERROR(J4/SUM(F4),0)</f>
        <v>7.1542353823088461E-2</v>
      </c>
      <c r="L4" s="186"/>
      <c r="M4" s="140">
        <f>SUM(L4/D4)</f>
        <v>0</v>
      </c>
      <c r="N4" s="141">
        <f>SUM(N6:N18)</f>
        <v>140855.00999999998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'18 Nov - 24 Nov'!D6</f>
        <v>249420.07</v>
      </c>
      <c r="C6" s="123">
        <v>323437.12</v>
      </c>
      <c r="D6" s="197">
        <v>296557.98</v>
      </c>
      <c r="E6" s="162">
        <f t="shared" si="0"/>
        <v>-8.3104685077581744E-2</v>
      </c>
      <c r="F6" s="165">
        <v>2320</v>
      </c>
      <c r="G6" s="124">
        <f t="shared" ref="G6:G18" si="3">IFERROR(D6/F6,0)</f>
        <v>127.82671551724137</v>
      </c>
      <c r="H6" s="125">
        <v>77</v>
      </c>
      <c r="I6" s="168">
        <f t="shared" si="1"/>
        <v>3.318965517241379E-2</v>
      </c>
      <c r="J6" s="46">
        <f>SUM(73+H6)</f>
        <v>150</v>
      </c>
      <c r="K6" s="171">
        <f t="shared" si="2"/>
        <v>6.4655172413793108E-2</v>
      </c>
      <c r="L6" s="191">
        <v>44254.91</v>
      </c>
      <c r="M6" s="128">
        <f t="shared" ref="M6:M18" si="4">SUM(L6/D6)</f>
        <v>0.14922852522801783</v>
      </c>
      <c r="N6" s="129">
        <v>9995.7000000000007</v>
      </c>
      <c r="O6" s="26"/>
    </row>
    <row r="7" spans="1:15" ht="15.6" customHeight="1" x14ac:dyDescent="0.3">
      <c r="A7" s="409" t="s">
        <v>16</v>
      </c>
      <c r="B7" s="200">
        <f>'18 Nov - 24 Nov'!D7</f>
        <v>277083.59000000003</v>
      </c>
      <c r="C7" s="73">
        <v>338183.88</v>
      </c>
      <c r="D7" s="145">
        <v>384641.91</v>
      </c>
      <c r="E7" s="163">
        <f t="shared" si="0"/>
        <v>0.13737505761658411</v>
      </c>
      <c r="F7" s="166">
        <v>2771</v>
      </c>
      <c r="G7" s="63">
        <f t="shared" si="3"/>
        <v>138.80978347167087</v>
      </c>
      <c r="H7" s="61">
        <v>46</v>
      </c>
      <c r="I7" s="169">
        <f t="shared" si="1"/>
        <v>1.6600505232767952E-2</v>
      </c>
      <c r="J7" s="46">
        <f>SUM(157+H7)</f>
        <v>203</v>
      </c>
      <c r="K7" s="172">
        <f t="shared" si="2"/>
        <v>7.3258751353302051E-2</v>
      </c>
      <c r="L7" s="188">
        <v>39464.57</v>
      </c>
      <c r="M7" s="89">
        <f t="shared" si="4"/>
        <v>0.10260080603281115</v>
      </c>
      <c r="N7" s="130">
        <v>26539.26</v>
      </c>
      <c r="O7" s="26"/>
    </row>
    <row r="8" spans="1:15" ht="15.6" customHeight="1" x14ac:dyDescent="0.3">
      <c r="A8" s="409" t="s">
        <v>17</v>
      </c>
      <c r="B8" s="200">
        <f>'18 Nov - 24 Nov'!D8</f>
        <v>126423.17</v>
      </c>
      <c r="C8" s="73">
        <v>134962.82999999999</v>
      </c>
      <c r="D8" s="145">
        <v>127269.54</v>
      </c>
      <c r="E8" s="163">
        <f t="shared" si="0"/>
        <v>-5.7003028167088632E-2</v>
      </c>
      <c r="F8" s="166">
        <v>876</v>
      </c>
      <c r="G8" s="63">
        <f t="shared" si="3"/>
        <v>145.28486301369861</v>
      </c>
      <c r="H8" s="61">
        <v>7</v>
      </c>
      <c r="I8" s="169">
        <f t="shared" si="1"/>
        <v>7.9908675799086754E-3</v>
      </c>
      <c r="J8" s="46">
        <f>SUM(6+H8)</f>
        <v>13</v>
      </c>
      <c r="K8" s="172">
        <f t="shared" si="2"/>
        <v>1.4840182648401826E-2</v>
      </c>
      <c r="L8" s="188">
        <v>34151.089999999997</v>
      </c>
      <c r="M8" s="89">
        <f t="shared" si="4"/>
        <v>0.26833671277510707</v>
      </c>
      <c r="N8" s="130">
        <v>4878.25</v>
      </c>
      <c r="O8" s="26"/>
    </row>
    <row r="9" spans="1:15" ht="15.6" customHeight="1" x14ac:dyDescent="0.3">
      <c r="A9" s="409" t="s">
        <v>18</v>
      </c>
      <c r="B9" s="200">
        <f>'18 Nov - 24 Nov'!D9</f>
        <v>334792.28000000003</v>
      </c>
      <c r="C9" s="73">
        <v>420853.22</v>
      </c>
      <c r="D9" s="145">
        <v>344599.74</v>
      </c>
      <c r="E9" s="163">
        <f t="shared" si="0"/>
        <v>-0.18118782600736663</v>
      </c>
      <c r="F9" s="166">
        <v>2469</v>
      </c>
      <c r="G9" s="63">
        <f t="shared" si="3"/>
        <v>139.57057108140947</v>
      </c>
      <c r="H9" s="61">
        <v>24</v>
      </c>
      <c r="I9" s="169">
        <f t="shared" si="1"/>
        <v>9.7205346294046164E-3</v>
      </c>
      <c r="J9" s="46">
        <f>SUM(84+H9)</f>
        <v>108</v>
      </c>
      <c r="K9" s="172">
        <f t="shared" si="2"/>
        <v>4.374240583232078E-2</v>
      </c>
      <c r="L9" s="188">
        <v>23514.26</v>
      </c>
      <c r="M9" s="89">
        <f t="shared" si="4"/>
        <v>6.8236441501667994E-2</v>
      </c>
      <c r="N9" s="130">
        <v>13250</v>
      </c>
      <c r="O9" s="26"/>
    </row>
    <row r="10" spans="1:15" ht="15.6" customHeight="1" x14ac:dyDescent="0.3">
      <c r="A10" s="409" t="s">
        <v>20</v>
      </c>
      <c r="B10" s="200">
        <f>'18 Nov - 24 Nov'!D10</f>
        <v>151772.76999999999</v>
      </c>
      <c r="C10" s="73">
        <v>170438.21</v>
      </c>
      <c r="D10" s="145">
        <v>191019.57</v>
      </c>
      <c r="E10" s="163">
        <f t="shared" si="0"/>
        <v>0.12075555123466748</v>
      </c>
      <c r="F10" s="166">
        <v>1354</v>
      </c>
      <c r="G10" s="63">
        <f t="shared" si="3"/>
        <v>141.07796898079764</v>
      </c>
      <c r="H10" s="61">
        <v>79</v>
      </c>
      <c r="I10" s="169">
        <f t="shared" si="1"/>
        <v>5.8345642540620385E-2</v>
      </c>
      <c r="J10" s="46">
        <f>SUM(86+H10)</f>
        <v>165</v>
      </c>
      <c r="K10" s="172">
        <f t="shared" si="2"/>
        <v>0.12186115214180207</v>
      </c>
      <c r="L10" s="188">
        <v>51263.7</v>
      </c>
      <c r="M10" s="89">
        <f t="shared" si="4"/>
        <v>0.26836883781070175</v>
      </c>
      <c r="N10" s="130">
        <v>9988.1</v>
      </c>
      <c r="O10" s="26"/>
    </row>
    <row r="11" spans="1:15" ht="15.6" customHeight="1" x14ac:dyDescent="0.3">
      <c r="A11" s="409" t="s">
        <v>21</v>
      </c>
      <c r="B11" s="200">
        <f>'18 Nov - 24 Nov'!D11</f>
        <v>372731.86</v>
      </c>
      <c r="C11" s="73">
        <v>357727.57</v>
      </c>
      <c r="D11" s="145">
        <v>383307.6</v>
      </c>
      <c r="E11" s="163">
        <f t="shared" si="0"/>
        <v>7.1507013004337261E-2</v>
      </c>
      <c r="F11" s="166">
        <v>2349</v>
      </c>
      <c r="G11" s="63">
        <f t="shared" si="3"/>
        <v>163.17905491698593</v>
      </c>
      <c r="H11" s="61">
        <v>29</v>
      </c>
      <c r="I11" s="169">
        <f t="shared" si="1"/>
        <v>1.2345679012345678E-2</v>
      </c>
      <c r="J11" s="46">
        <f>SUM(138+H11)</f>
        <v>167</v>
      </c>
      <c r="K11" s="172">
        <f t="shared" si="2"/>
        <v>7.1094082588335467E-2</v>
      </c>
      <c r="L11" s="188">
        <v>47233.17</v>
      </c>
      <c r="M11" s="89">
        <f t="shared" si="4"/>
        <v>0.12322523738115289</v>
      </c>
      <c r="N11" s="130">
        <v>21166.9</v>
      </c>
      <c r="O11" s="26"/>
    </row>
    <row r="12" spans="1:15" ht="15.6" customHeight="1" x14ac:dyDescent="0.3">
      <c r="A12" s="198" t="s">
        <v>22</v>
      </c>
      <c r="B12" s="200">
        <f>'18 Nov - 24 Nov'!D12</f>
        <v>143504.95999999999</v>
      </c>
      <c r="C12" s="73">
        <v>145174.03</v>
      </c>
      <c r="D12" s="145">
        <v>162809.35999999999</v>
      </c>
      <c r="E12" s="163">
        <f t="shared" si="0"/>
        <v>0.12147716778269493</v>
      </c>
      <c r="F12" s="166">
        <v>1254</v>
      </c>
      <c r="G12" s="63">
        <f t="shared" si="3"/>
        <v>129.83202551834128</v>
      </c>
      <c r="H12" s="61">
        <v>28</v>
      </c>
      <c r="I12" s="169">
        <f t="shared" si="1"/>
        <v>2.2328548644338118E-2</v>
      </c>
      <c r="J12" s="46">
        <f>SUM(54+H12)</f>
        <v>82</v>
      </c>
      <c r="K12" s="172">
        <f t="shared" si="2"/>
        <v>6.5390749601275916E-2</v>
      </c>
      <c r="L12" s="188">
        <v>21847.35</v>
      </c>
      <c r="M12" s="89">
        <f t="shared" si="4"/>
        <v>0.13418976648517014</v>
      </c>
      <c r="N12" s="130">
        <v>12730.5</v>
      </c>
      <c r="O12" s="26"/>
    </row>
    <row r="13" spans="1:15" ht="15.6" customHeight="1" x14ac:dyDescent="0.3">
      <c r="A13" s="198" t="s">
        <v>23</v>
      </c>
      <c r="B13" s="200">
        <f>'18 Nov - 24 Nov'!D13</f>
        <v>218108.55</v>
      </c>
      <c r="C13" s="73">
        <v>291527.74</v>
      </c>
      <c r="D13" s="145">
        <v>242832.81</v>
      </c>
      <c r="E13" s="163">
        <f t="shared" si="0"/>
        <v>-0.16703360716204912</v>
      </c>
      <c r="F13" s="166">
        <v>1896</v>
      </c>
      <c r="G13" s="63">
        <f t="shared" si="3"/>
        <v>128.07637658227847</v>
      </c>
      <c r="H13" s="61">
        <v>9</v>
      </c>
      <c r="I13" s="169">
        <f t="shared" si="1"/>
        <v>4.7468354430379748E-3</v>
      </c>
      <c r="J13" s="46">
        <f>SUM(63+H13)</f>
        <v>72</v>
      </c>
      <c r="K13" s="172">
        <f t="shared" si="2"/>
        <v>3.7974683544303799E-2</v>
      </c>
      <c r="L13" s="188">
        <v>38544.39</v>
      </c>
      <c r="M13" s="89">
        <f t="shared" si="4"/>
        <v>0.15872809773934585</v>
      </c>
      <c r="N13" s="130">
        <v>10070.200000000001</v>
      </c>
      <c r="O13" s="26"/>
    </row>
    <row r="14" spans="1:15" ht="15.6" hidden="1" customHeight="1" x14ac:dyDescent="0.3">
      <c r="A14" s="198" t="s">
        <v>24</v>
      </c>
      <c r="B14" s="200">
        <f>'18 Nov - 24 Nov'!D14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'18 Nov - 24 Nov'!D15</f>
        <v>203493.11</v>
      </c>
      <c r="C15" s="73">
        <v>204683.15</v>
      </c>
      <c r="D15" s="145">
        <v>234804.6</v>
      </c>
      <c r="E15" s="163">
        <f t="shared" si="0"/>
        <v>0.14716135646730086</v>
      </c>
      <c r="F15" s="166">
        <v>1978</v>
      </c>
      <c r="G15" s="63">
        <f t="shared" si="3"/>
        <v>118.70808897876644</v>
      </c>
      <c r="H15" s="61">
        <v>48</v>
      </c>
      <c r="I15" s="169">
        <f t="shared" si="1"/>
        <v>2.4266936299292215E-2</v>
      </c>
      <c r="J15" s="46">
        <f>SUM(141+H15)</f>
        <v>189</v>
      </c>
      <c r="K15" s="172">
        <f t="shared" si="2"/>
        <v>9.5551061678463098E-2</v>
      </c>
      <c r="L15" s="188">
        <v>14848.7</v>
      </c>
      <c r="M15" s="89">
        <f t="shared" si="4"/>
        <v>6.3238539619751913E-2</v>
      </c>
      <c r="N15" s="130">
        <v>9229.7999999999993</v>
      </c>
      <c r="O15" s="9"/>
    </row>
    <row r="16" spans="1:15" ht="15.6" customHeight="1" x14ac:dyDescent="0.3">
      <c r="A16" s="198" t="s">
        <v>27</v>
      </c>
      <c r="B16" s="200">
        <f>'18 Nov - 24 Nov'!D16</f>
        <v>130233.66</v>
      </c>
      <c r="C16" s="73">
        <v>160866.38</v>
      </c>
      <c r="D16" s="145">
        <v>133257.29999999999</v>
      </c>
      <c r="E16" s="163">
        <f t="shared" si="0"/>
        <v>-0.17162740903350976</v>
      </c>
      <c r="F16" s="166">
        <v>882</v>
      </c>
      <c r="G16" s="63">
        <f t="shared" si="3"/>
        <v>151.08537414965986</v>
      </c>
      <c r="H16" s="61">
        <v>39</v>
      </c>
      <c r="I16" s="169">
        <f t="shared" si="1"/>
        <v>4.4217687074829932E-2</v>
      </c>
      <c r="J16" s="46">
        <f>SUM(56+H16)</f>
        <v>95</v>
      </c>
      <c r="K16" s="172">
        <f t="shared" si="2"/>
        <v>0.10770975056689343</v>
      </c>
      <c r="L16" s="188">
        <v>22492.32</v>
      </c>
      <c r="M16" s="89">
        <f t="shared" si="4"/>
        <v>0.16878865172864826</v>
      </c>
      <c r="N16" s="130">
        <v>7601.5</v>
      </c>
      <c r="O16" s="9"/>
    </row>
    <row r="17" spans="1:15" ht="15.6" customHeight="1" x14ac:dyDescent="0.3">
      <c r="A17" s="198" t="s">
        <v>28</v>
      </c>
      <c r="B17" s="200">
        <f>'18 Nov - 24 Nov'!D17</f>
        <v>214348.71</v>
      </c>
      <c r="C17" s="73">
        <v>241469.15</v>
      </c>
      <c r="D17" s="145">
        <v>225430.06</v>
      </c>
      <c r="E17" s="163">
        <f t="shared" si="0"/>
        <v>-6.6422936428939247E-2</v>
      </c>
      <c r="F17" s="166">
        <v>1416</v>
      </c>
      <c r="G17" s="63">
        <f t="shared" si="3"/>
        <v>159.20201977401129</v>
      </c>
      <c r="H17" s="61">
        <v>17</v>
      </c>
      <c r="I17" s="169">
        <f t="shared" si="1"/>
        <v>1.2005649717514125E-2</v>
      </c>
      <c r="J17" s="46">
        <f>SUM(67+H17)</f>
        <v>84</v>
      </c>
      <c r="K17" s="172">
        <f t="shared" si="2"/>
        <v>5.9322033898305086E-2</v>
      </c>
      <c r="L17" s="188">
        <v>34263.26</v>
      </c>
      <c r="M17" s="89">
        <f t="shared" si="4"/>
        <v>0.15199064401615295</v>
      </c>
      <c r="N17" s="130">
        <v>10141.9</v>
      </c>
      <c r="O17" s="9"/>
    </row>
    <row r="18" spans="1:15" ht="16.2" customHeight="1" thickBot="1" x14ac:dyDescent="0.35">
      <c r="A18" s="199" t="s">
        <v>33</v>
      </c>
      <c r="B18" s="201">
        <f>'18 Nov - 24 Nov'!D18</f>
        <v>167548.26999999999</v>
      </c>
      <c r="C18" s="131"/>
      <c r="D18" s="146">
        <v>234073.41</v>
      </c>
      <c r="E18" s="164">
        <f t="shared" si="0"/>
        <v>0</v>
      </c>
      <c r="F18" s="167">
        <v>1779</v>
      </c>
      <c r="G18" s="132">
        <f t="shared" si="3"/>
        <v>131.5758347386172</v>
      </c>
      <c r="H18" s="133">
        <v>30</v>
      </c>
      <c r="I18" s="170">
        <f t="shared" si="1"/>
        <v>1.6863406408094434E-2</v>
      </c>
      <c r="J18" s="115">
        <f>SUM(169+H18)</f>
        <v>199</v>
      </c>
      <c r="K18" s="173">
        <f t="shared" si="2"/>
        <v>0.11186059584035975</v>
      </c>
      <c r="L18" s="189">
        <v>26490</v>
      </c>
      <c r="M18" s="116">
        <f t="shared" si="4"/>
        <v>0.11316962486255915</v>
      </c>
      <c r="N18" s="134">
        <v>5262.9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78" priority="5" operator="equal">
      <formula>0</formula>
    </cfRule>
  </conditionalFormatting>
  <conditionalFormatting sqref="D7:D18">
    <cfRule type="cellIs" dxfId="577" priority="4" operator="equal">
      <formula>0</formula>
    </cfRule>
  </conditionalFormatting>
  <conditionalFormatting sqref="E6:K18">
    <cfRule type="cellIs" dxfId="576" priority="3" operator="equal">
      <formula>0</formula>
    </cfRule>
  </conditionalFormatting>
  <conditionalFormatting sqref="L7:L18">
    <cfRule type="cellIs" dxfId="575" priority="2" operator="equal">
      <formula>0</formula>
    </cfRule>
  </conditionalFormatting>
  <conditionalFormatting sqref="M6:N18">
    <cfRule type="cellIs" dxfId="57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O40"/>
  <sheetViews>
    <sheetView zoomScale="78" workbookViewId="0">
      <pane xSplit="1" topLeftCell="I1" activePane="topRight" state="frozen"/>
      <selection pane="topRight" activeCell="J12" sqref="J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-5.1415332024309897E-3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2960603.88</v>
      </c>
      <c r="C4" s="135">
        <f>SUM(C6:C18)-C14</f>
        <v>2932337.38</v>
      </c>
      <c r="D4" s="142">
        <f>SUM(D6:D18)</f>
        <v>3125843.2</v>
      </c>
      <c r="E4" s="152">
        <f t="shared" ref="E4:E18" si="0">IFERROR((SUM(D4-C4)/C4),0)</f>
        <v>6.5990298837987155E-2</v>
      </c>
      <c r="F4" s="147">
        <f>SUM(F6:F18)</f>
        <v>22500</v>
      </c>
      <c r="G4" s="136">
        <f>AVERAGE(G5:G18)</f>
        <v>129.95254960950595</v>
      </c>
      <c r="H4" s="137">
        <f>SUM(H6:H18)</f>
        <v>189</v>
      </c>
      <c r="I4" s="138">
        <f t="shared" ref="I4:I18" si="1">IFERROR(H4/F4,0)</f>
        <v>8.3999999999999995E-3</v>
      </c>
      <c r="J4" s="139">
        <f>SUM(J6:J18)</f>
        <v>1716</v>
      </c>
      <c r="K4" s="140">
        <f t="shared" ref="K4:K18" si="2">IFERROR(J4/SUM(F4),0)</f>
        <v>7.6266666666666663E-2</v>
      </c>
      <c r="L4" s="186"/>
      <c r="M4" s="140">
        <f>SUM(L4/D4)</f>
        <v>0</v>
      </c>
      <c r="N4" s="141">
        <f>SUM(N6:N18)</f>
        <v>147802.25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'25 Nov - 1 Dec'!D6</f>
        <v>296557.98</v>
      </c>
      <c r="C6" s="123">
        <v>320822.53999999998</v>
      </c>
      <c r="D6" s="197">
        <v>312733.53000000003</v>
      </c>
      <c r="E6" s="162">
        <f t="shared" si="0"/>
        <v>-2.5213346917582386E-2</v>
      </c>
      <c r="F6" s="165">
        <v>2455</v>
      </c>
      <c r="G6" s="124">
        <f t="shared" ref="G6:G18" si="3">IFERROR(D6/F6,0)</f>
        <v>127.38636659877801</v>
      </c>
      <c r="H6" s="125">
        <v>23</v>
      </c>
      <c r="I6" s="168">
        <f t="shared" si="1"/>
        <v>9.3686354378818733E-3</v>
      </c>
      <c r="J6" s="46">
        <f>SUM(73+H6+'25 Nov - 1 Dec'!H6)</f>
        <v>173</v>
      </c>
      <c r="K6" s="171">
        <f t="shared" si="2"/>
        <v>7.0468431771894088E-2</v>
      </c>
      <c r="L6" s="191">
        <v>49112.91</v>
      </c>
      <c r="M6" s="128">
        <f t="shared" ref="M6:M18" si="4">SUM(L6/D6)</f>
        <v>0.15704395368158955</v>
      </c>
      <c r="N6" s="129">
        <v>14697.9</v>
      </c>
      <c r="O6" s="26"/>
    </row>
    <row r="7" spans="1:15" ht="15.6" customHeight="1" x14ac:dyDescent="0.3">
      <c r="A7" s="409" t="s">
        <v>16</v>
      </c>
      <c r="B7" s="200">
        <f>'25 Nov - 1 Dec'!D7</f>
        <v>384641.91</v>
      </c>
      <c r="C7" s="73">
        <v>391424.66</v>
      </c>
      <c r="D7" s="145">
        <v>341167.2</v>
      </c>
      <c r="E7" s="163">
        <f t="shared" si="0"/>
        <v>-0.12839625382825898</v>
      </c>
      <c r="F7" s="166">
        <v>2332</v>
      </c>
      <c r="G7" s="63">
        <f t="shared" si="3"/>
        <v>146.29811320754717</v>
      </c>
      <c r="H7" s="61">
        <v>13</v>
      </c>
      <c r="I7" s="169">
        <f t="shared" si="1"/>
        <v>5.5746140651801029E-3</v>
      </c>
      <c r="J7" s="46">
        <f>SUM(157+H7+'25 Nov - 1 Dec'!H7)</f>
        <v>216</v>
      </c>
      <c r="K7" s="172">
        <f t="shared" si="2"/>
        <v>9.2624356775300176E-2</v>
      </c>
      <c r="L7" s="188">
        <v>47602.84</v>
      </c>
      <c r="M7" s="89">
        <f t="shared" si="4"/>
        <v>0.13952935686666243</v>
      </c>
      <c r="N7" s="130">
        <v>23113.38</v>
      </c>
      <c r="O7" s="26"/>
    </row>
    <row r="8" spans="1:15" ht="15.6" customHeight="1" x14ac:dyDescent="0.3">
      <c r="A8" s="409" t="s">
        <v>17</v>
      </c>
      <c r="B8" s="200">
        <f>'25 Nov - 1 Dec'!D8</f>
        <v>127269.54</v>
      </c>
      <c r="C8" s="73">
        <v>164133.56</v>
      </c>
      <c r="D8" s="145">
        <v>134327.28</v>
      </c>
      <c r="E8" s="163">
        <f t="shared" si="0"/>
        <v>-0.18159771834596167</v>
      </c>
      <c r="F8" s="166">
        <v>936</v>
      </c>
      <c r="G8" s="63">
        <f t="shared" si="3"/>
        <v>143.51205128205129</v>
      </c>
      <c r="H8" s="61">
        <v>3</v>
      </c>
      <c r="I8" s="169">
        <f t="shared" si="1"/>
        <v>3.205128205128205E-3</v>
      </c>
      <c r="J8" s="46">
        <f>SUM(6+H8+'25 Nov - 1 Dec'!H8)</f>
        <v>16</v>
      </c>
      <c r="K8" s="172">
        <f t="shared" si="2"/>
        <v>1.7094017094017096E-2</v>
      </c>
      <c r="L8" s="188">
        <v>40595.910000000003</v>
      </c>
      <c r="M8" s="89">
        <f t="shared" si="4"/>
        <v>0.30221642245715097</v>
      </c>
      <c r="N8" s="130">
        <v>3979.2</v>
      </c>
      <c r="O8" s="26"/>
    </row>
    <row r="9" spans="1:15" ht="15.6" customHeight="1" x14ac:dyDescent="0.3">
      <c r="A9" s="409" t="s">
        <v>18</v>
      </c>
      <c r="B9" s="200">
        <f>'25 Nov - 1 Dec'!D9</f>
        <v>344599.74</v>
      </c>
      <c r="C9" s="73">
        <v>447805.95</v>
      </c>
      <c r="D9" s="145">
        <v>403789.74</v>
      </c>
      <c r="E9" s="163">
        <f t="shared" si="0"/>
        <v>-9.8293044118775152E-2</v>
      </c>
      <c r="F9" s="166">
        <v>2716</v>
      </c>
      <c r="G9" s="63">
        <f t="shared" si="3"/>
        <v>148.67074374079527</v>
      </c>
      <c r="H9" s="61">
        <v>18</v>
      </c>
      <c r="I9" s="169">
        <f t="shared" si="1"/>
        <v>6.6273932253313695E-3</v>
      </c>
      <c r="J9" s="46">
        <f>SUM(84+H9+'25 Nov - 1 Dec'!H9)</f>
        <v>126</v>
      </c>
      <c r="K9" s="172">
        <f t="shared" si="2"/>
        <v>4.6391752577319589E-2</v>
      </c>
      <c r="L9" s="188">
        <v>39285.699999999997</v>
      </c>
      <c r="M9" s="89">
        <f t="shared" si="4"/>
        <v>9.7292467114196604E-2</v>
      </c>
      <c r="N9" s="130">
        <v>15043</v>
      </c>
      <c r="O9" s="26"/>
    </row>
    <row r="10" spans="1:15" ht="15.6" customHeight="1" x14ac:dyDescent="0.3">
      <c r="A10" s="409" t="s">
        <v>20</v>
      </c>
      <c r="B10" s="200">
        <f>'25 Nov - 1 Dec'!D10</f>
        <v>191019.57</v>
      </c>
      <c r="C10" s="73">
        <v>148868.28</v>
      </c>
      <c r="D10" s="145">
        <v>198366.18</v>
      </c>
      <c r="E10" s="163">
        <f t="shared" si="0"/>
        <v>0.33249460529805269</v>
      </c>
      <c r="F10" s="166">
        <v>1285</v>
      </c>
      <c r="G10" s="63">
        <f t="shared" si="3"/>
        <v>154.3705680933852</v>
      </c>
      <c r="H10" s="61">
        <v>21</v>
      </c>
      <c r="I10" s="169">
        <f t="shared" si="1"/>
        <v>1.6342412451361869E-2</v>
      </c>
      <c r="J10" s="46">
        <f>SUM(86+H10+'25 Nov - 1 Dec'!H10)</f>
        <v>186</v>
      </c>
      <c r="K10" s="172">
        <f t="shared" si="2"/>
        <v>0.14474708171206227</v>
      </c>
      <c r="L10" s="188">
        <v>44998.11</v>
      </c>
      <c r="M10" s="89">
        <f t="shared" si="4"/>
        <v>0.22684365853090482</v>
      </c>
      <c r="N10" s="130">
        <v>11509.8</v>
      </c>
      <c r="O10" s="26"/>
    </row>
    <row r="11" spans="1:15" ht="15.6" customHeight="1" x14ac:dyDescent="0.3">
      <c r="A11" s="409" t="s">
        <v>21</v>
      </c>
      <c r="B11" s="200">
        <f>'25 Nov - 1 Dec'!D11</f>
        <v>383307.6</v>
      </c>
      <c r="C11" s="73">
        <v>371133.97</v>
      </c>
      <c r="D11" s="145">
        <v>390457.33</v>
      </c>
      <c r="E11" s="163">
        <f t="shared" si="0"/>
        <v>5.2065727101186794E-2</v>
      </c>
      <c r="F11" s="166">
        <v>2558</v>
      </c>
      <c r="G11" s="63">
        <f t="shared" si="3"/>
        <v>152.64164581704458</v>
      </c>
      <c r="H11" s="61">
        <v>21</v>
      </c>
      <c r="I11" s="169">
        <f t="shared" si="1"/>
        <v>8.2095387021110244E-3</v>
      </c>
      <c r="J11" s="46">
        <f>SUM(138+H11+'25 Nov - 1 Dec'!H11)</f>
        <v>188</v>
      </c>
      <c r="K11" s="172">
        <f t="shared" si="2"/>
        <v>7.3494917904612975E-2</v>
      </c>
      <c r="L11" s="188">
        <v>53148.34</v>
      </c>
      <c r="M11" s="89">
        <f t="shared" si="4"/>
        <v>0.13611817711297672</v>
      </c>
      <c r="N11" s="130">
        <v>20204</v>
      </c>
      <c r="O11" s="26"/>
    </row>
    <row r="12" spans="1:15" ht="15.6" customHeight="1" x14ac:dyDescent="0.3">
      <c r="A12" s="198" t="s">
        <v>22</v>
      </c>
      <c r="B12" s="200">
        <f>'25 Nov - 1 Dec'!D12</f>
        <v>162809.35999999999</v>
      </c>
      <c r="C12" s="73">
        <v>150125.48000000001</v>
      </c>
      <c r="D12" s="145">
        <v>171682.03</v>
      </c>
      <c r="E12" s="163">
        <f t="shared" si="0"/>
        <v>0.14359021533186764</v>
      </c>
      <c r="F12" s="166">
        <v>1487</v>
      </c>
      <c r="G12" s="63">
        <f t="shared" si="3"/>
        <v>115.45529926025554</v>
      </c>
      <c r="H12" s="61">
        <v>7</v>
      </c>
      <c r="I12" s="169">
        <f t="shared" si="1"/>
        <v>4.707464694014795E-3</v>
      </c>
      <c r="J12" s="46">
        <f>SUM(54+H12+'25 Nov - 1 Dec'!H12)</f>
        <v>89</v>
      </c>
      <c r="K12" s="172">
        <f t="shared" si="2"/>
        <v>5.985205110961668E-2</v>
      </c>
      <c r="L12" s="188">
        <v>25136.22</v>
      </c>
      <c r="M12" s="89">
        <f t="shared" si="4"/>
        <v>0.14641147940760021</v>
      </c>
      <c r="N12" s="130">
        <v>11876.8</v>
      </c>
      <c r="O12" s="26"/>
    </row>
    <row r="13" spans="1:15" ht="15.6" customHeight="1" x14ac:dyDescent="0.3">
      <c r="A13" s="198" t="s">
        <v>23</v>
      </c>
      <c r="B13" s="200">
        <f>'25 Nov - 1 Dec'!D13</f>
        <v>242832.81</v>
      </c>
      <c r="C13" s="73">
        <v>274465.48</v>
      </c>
      <c r="D13" s="145">
        <v>235871.29</v>
      </c>
      <c r="E13" s="163">
        <f t="shared" si="0"/>
        <v>-0.14061582534896547</v>
      </c>
      <c r="F13" s="166">
        <v>1774</v>
      </c>
      <c r="G13" s="63">
        <f t="shared" si="3"/>
        <v>132.9601409244645</v>
      </c>
      <c r="H13" s="61">
        <v>24</v>
      </c>
      <c r="I13" s="169">
        <f t="shared" si="1"/>
        <v>1.3528748590755355E-2</v>
      </c>
      <c r="J13" s="46">
        <f>SUM(63+H13+'25 Nov - 1 Dec'!H13)</f>
        <v>96</v>
      </c>
      <c r="K13" s="172">
        <f t="shared" si="2"/>
        <v>5.4114994363021418E-2</v>
      </c>
      <c r="L13" s="188">
        <v>38791.699999999997</v>
      </c>
      <c r="M13" s="89">
        <f t="shared" si="4"/>
        <v>0.16446130429862826</v>
      </c>
      <c r="N13" s="130">
        <v>14037.7</v>
      </c>
      <c r="O13" s="26"/>
    </row>
    <row r="14" spans="1:15" ht="15.6" hidden="1" customHeight="1" x14ac:dyDescent="0.3">
      <c r="A14" s="198" t="s">
        <v>24</v>
      </c>
      <c r="B14" s="200">
        <f>'25 Nov - 1 Dec'!D14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'25 Nov - 1 Dec'!D15</f>
        <v>234804.6</v>
      </c>
      <c r="C15" s="73">
        <v>271640.67</v>
      </c>
      <c r="D15" s="145">
        <v>316293.24</v>
      </c>
      <c r="E15" s="163">
        <f t="shared" si="0"/>
        <v>0.16438101849770878</v>
      </c>
      <c r="F15" s="166">
        <v>2837</v>
      </c>
      <c r="G15" s="63">
        <f t="shared" si="3"/>
        <v>111.48862883327459</v>
      </c>
      <c r="H15" s="61">
        <v>0</v>
      </c>
      <c r="I15" s="169">
        <f t="shared" si="1"/>
        <v>0</v>
      </c>
      <c r="J15" s="46">
        <f>SUM(141+H15+'25 Nov - 1 Dec'!H15)</f>
        <v>189</v>
      </c>
      <c r="K15" s="172">
        <f t="shared" si="2"/>
        <v>6.6619668664081783E-2</v>
      </c>
      <c r="L15" s="188">
        <v>18231.830000000002</v>
      </c>
      <c r="M15" s="89">
        <f t="shared" si="4"/>
        <v>5.7642174078712534E-2</v>
      </c>
      <c r="N15" s="130">
        <v>9392.4500000000007</v>
      </c>
      <c r="O15" s="9"/>
    </row>
    <row r="16" spans="1:15" ht="15.6" customHeight="1" x14ac:dyDescent="0.3">
      <c r="A16" s="198" t="s">
        <v>27</v>
      </c>
      <c r="B16" s="200">
        <f>'25 Nov - 1 Dec'!D16</f>
        <v>133257.29999999999</v>
      </c>
      <c r="C16" s="73">
        <v>164090.57</v>
      </c>
      <c r="D16" s="145">
        <v>190910.89</v>
      </c>
      <c r="E16" s="163">
        <f t="shared" si="0"/>
        <v>0.16344827128091521</v>
      </c>
      <c r="F16" s="166">
        <v>1167</v>
      </c>
      <c r="G16" s="63">
        <f t="shared" si="3"/>
        <v>163.59116538131963</v>
      </c>
      <c r="H16" s="61">
        <v>16</v>
      </c>
      <c r="I16" s="169">
        <f t="shared" si="1"/>
        <v>1.3710368466152529E-2</v>
      </c>
      <c r="J16" s="46">
        <f>SUM(56+H16+'25 Nov - 1 Dec'!H16)</f>
        <v>111</v>
      </c>
      <c r="K16" s="172">
        <f t="shared" si="2"/>
        <v>9.5115681233933158E-2</v>
      </c>
      <c r="L16" s="188">
        <v>32323</v>
      </c>
      <c r="M16" s="89">
        <f t="shared" si="4"/>
        <v>0.16930935684182288</v>
      </c>
      <c r="N16" s="130">
        <v>8352.2999999999993</v>
      </c>
      <c r="O16" s="9"/>
    </row>
    <row r="17" spans="1:15" ht="15.6" customHeight="1" x14ac:dyDescent="0.3">
      <c r="A17" s="198" t="s">
        <v>28</v>
      </c>
      <c r="B17" s="200">
        <f>'25 Nov - 1 Dec'!D17</f>
        <v>225430.06</v>
      </c>
      <c r="C17" s="73">
        <v>227826.22</v>
      </c>
      <c r="D17" s="145">
        <v>221661.96</v>
      </c>
      <c r="E17" s="163">
        <f t="shared" si="0"/>
        <v>-2.7056850611839187E-2</v>
      </c>
      <c r="F17" s="166">
        <v>1387</v>
      </c>
      <c r="G17" s="63">
        <f t="shared" si="3"/>
        <v>159.81395818312905</v>
      </c>
      <c r="H17" s="61">
        <v>9</v>
      </c>
      <c r="I17" s="169">
        <f t="shared" si="1"/>
        <v>6.4888248017303529E-3</v>
      </c>
      <c r="J17" s="46">
        <f>SUM(67+H17+'25 Nov - 1 Dec'!H17)</f>
        <v>93</v>
      </c>
      <c r="K17" s="172">
        <f t="shared" si="2"/>
        <v>6.7051189617880314E-2</v>
      </c>
      <c r="L17" s="188">
        <v>37607.78</v>
      </c>
      <c r="M17" s="89">
        <f t="shared" si="4"/>
        <v>0.16966276035815978</v>
      </c>
      <c r="N17" s="130">
        <v>11956.15</v>
      </c>
      <c r="O17" s="9"/>
    </row>
    <row r="18" spans="1:15" ht="16.2" customHeight="1" thickBot="1" x14ac:dyDescent="0.35">
      <c r="A18" s="199" t="s">
        <v>33</v>
      </c>
      <c r="B18" s="201">
        <f>'25 Nov - 1 Dec'!D18</f>
        <v>234073.41</v>
      </c>
      <c r="C18" s="131"/>
      <c r="D18" s="146">
        <v>208582.53</v>
      </c>
      <c r="E18" s="164">
        <f t="shared" si="0"/>
        <v>0</v>
      </c>
      <c r="F18" s="167">
        <v>1566</v>
      </c>
      <c r="G18" s="132">
        <f t="shared" si="3"/>
        <v>133.19446360153256</v>
      </c>
      <c r="H18" s="133">
        <v>34</v>
      </c>
      <c r="I18" s="170">
        <f t="shared" si="1"/>
        <v>2.1711366538952746E-2</v>
      </c>
      <c r="J18" s="115">
        <f>SUM(169+H18+'25 Nov - 1 Dec'!H18)</f>
        <v>233</v>
      </c>
      <c r="K18" s="173">
        <f t="shared" si="2"/>
        <v>0.14878671775223498</v>
      </c>
      <c r="L18" s="189">
        <v>31554.04</v>
      </c>
      <c r="M18" s="116">
        <f t="shared" si="4"/>
        <v>0.15127844120022899</v>
      </c>
      <c r="N18" s="134">
        <v>3639.57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73" priority="5" operator="equal">
      <formula>0</formula>
    </cfRule>
  </conditionalFormatting>
  <conditionalFormatting sqref="D7:D18">
    <cfRule type="cellIs" dxfId="572" priority="4" operator="equal">
      <formula>0</formula>
    </cfRule>
  </conditionalFormatting>
  <conditionalFormatting sqref="E6:K18">
    <cfRule type="cellIs" dxfId="571" priority="3" operator="equal">
      <formula>0</formula>
    </cfRule>
  </conditionalFormatting>
  <conditionalFormatting sqref="L7:L18">
    <cfRule type="cellIs" dxfId="570" priority="2" operator="equal">
      <formula>0</formula>
    </cfRule>
  </conditionalFormatting>
  <conditionalFormatting sqref="M6:N18">
    <cfRule type="cellIs" dxfId="56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O40"/>
  <sheetViews>
    <sheetView zoomScale="78" workbookViewId="0">
      <pane xSplit="1" topLeftCell="B1" activePane="topRight" state="frozen"/>
      <selection pane="topRight" activeCell="F8" sqref="F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3.7971625276127227E-2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3125843.2</v>
      </c>
      <c r="C4" s="135">
        <f>SUM(C6:C18)-C14</f>
        <v>3117839.6799999997</v>
      </c>
      <c r="D4" s="142">
        <f>SUM(D6:D18)</f>
        <v>3425781.42</v>
      </c>
      <c r="E4" s="152">
        <f t="shared" ref="E4:E18" si="0">IFERROR((SUM(D4-C4)/C4),0)</f>
        <v>9.8767663384154589E-2</v>
      </c>
      <c r="F4" s="147">
        <f>SUM(F6:F18)</f>
        <v>24881</v>
      </c>
      <c r="G4" s="136">
        <f>AVERAGE(G5:G18)</f>
        <v>130.34722036474238</v>
      </c>
      <c r="H4" s="137">
        <f>SUM(H6:H18)</f>
        <v>210</v>
      </c>
      <c r="I4" s="138">
        <f t="shared" ref="I4:I18" si="1">IFERROR(H4/F4,0)</f>
        <v>8.4401752341143853E-3</v>
      </c>
      <c r="J4" s="139">
        <f>SUM(J6:J18)</f>
        <v>1357</v>
      </c>
      <c r="K4" s="140">
        <f t="shared" ref="K4:K18" si="2">IFERROR(J4/SUM(F4),0)</f>
        <v>5.4539608536634379E-2</v>
      </c>
      <c r="L4" s="186"/>
      <c r="M4" s="140">
        <f>SUM(L4/D4)</f>
        <v>0</v>
      </c>
      <c r="N4" s="141">
        <f>SUM(N6:N18)</f>
        <v>157382.69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 Dec - 8 Dec'!D6</f>
        <v>312733.53000000003</v>
      </c>
      <c r="C6" s="123">
        <v>347035.47</v>
      </c>
      <c r="D6" s="197">
        <v>316187.89</v>
      </c>
      <c r="E6" s="162">
        <f t="shared" si="0"/>
        <v>-8.8888838942025039E-2</v>
      </c>
      <c r="F6" s="165">
        <v>2919</v>
      </c>
      <c r="G6" s="124">
        <f t="shared" ref="G6:G18" si="3">IFERROR(D6/F6,0)</f>
        <v>108.32062007536828</v>
      </c>
      <c r="H6" s="125">
        <v>51</v>
      </c>
      <c r="I6" s="168">
        <f t="shared" si="1"/>
        <v>1.7471736896197326E-2</v>
      </c>
      <c r="J6" s="46">
        <f>SUM(109+H6)</f>
        <v>160</v>
      </c>
      <c r="K6" s="171">
        <f t="shared" si="2"/>
        <v>5.4813292223364167E-2</v>
      </c>
      <c r="L6" s="191">
        <v>40015.089999999997</v>
      </c>
      <c r="M6" s="128">
        <f t="shared" ref="M6:M18" si="4">SUM(L6/D6)</f>
        <v>0.12655478361299669</v>
      </c>
      <c r="N6" s="129">
        <v>14577.4</v>
      </c>
      <c r="O6" s="26"/>
    </row>
    <row r="7" spans="1:15" ht="15.6" customHeight="1" x14ac:dyDescent="0.3">
      <c r="A7" s="409" t="s">
        <v>16</v>
      </c>
      <c r="B7" s="200">
        <f>'2 Dec - 8 Dec'!D7</f>
        <v>341167.2</v>
      </c>
      <c r="C7" s="73">
        <v>440642.84</v>
      </c>
      <c r="D7" s="145">
        <v>537525.52</v>
      </c>
      <c r="E7" s="163">
        <f t="shared" si="0"/>
        <v>0.21986668386578115</v>
      </c>
      <c r="F7" s="166">
        <v>3718</v>
      </c>
      <c r="G7" s="63">
        <f t="shared" si="3"/>
        <v>144.57383539537386</v>
      </c>
      <c r="H7" s="61">
        <v>21</v>
      </c>
      <c r="I7" s="169">
        <f t="shared" si="1"/>
        <v>5.6481979558902634E-3</v>
      </c>
      <c r="J7" s="46">
        <f>SUM(H7+153)</f>
        <v>174</v>
      </c>
      <c r="K7" s="172">
        <f t="shared" si="2"/>
        <v>4.6799354491662185E-2</v>
      </c>
      <c r="L7" s="188">
        <v>40710.480000000003</v>
      </c>
      <c r="M7" s="89">
        <f t="shared" si="4"/>
        <v>7.5736831992646608E-2</v>
      </c>
      <c r="N7" s="130">
        <v>28814.11</v>
      </c>
      <c r="O7" s="26"/>
    </row>
    <row r="8" spans="1:15" ht="15.6" customHeight="1" x14ac:dyDescent="0.3">
      <c r="A8" s="409" t="s">
        <v>17</v>
      </c>
      <c r="B8" s="200">
        <f>'2 Dec - 8 Dec'!D8</f>
        <v>134327.28</v>
      </c>
      <c r="C8" s="73">
        <v>139078.93</v>
      </c>
      <c r="D8" s="145">
        <v>129151.53</v>
      </c>
      <c r="E8" s="163">
        <f t="shared" si="0"/>
        <v>-7.1379611563016726E-2</v>
      </c>
      <c r="F8" s="166">
        <v>833</v>
      </c>
      <c r="G8" s="63">
        <f t="shared" si="3"/>
        <v>155.04385354141655</v>
      </c>
      <c r="H8" s="61">
        <v>16</v>
      </c>
      <c r="I8" s="169">
        <f t="shared" si="1"/>
        <v>1.920768307322929E-2</v>
      </c>
      <c r="J8" s="46">
        <f>SUM(H8+12)</f>
        <v>28</v>
      </c>
      <c r="K8" s="172">
        <f t="shared" si="2"/>
        <v>3.3613445378151259E-2</v>
      </c>
      <c r="L8" s="188">
        <v>28299.22</v>
      </c>
      <c r="M8" s="89">
        <f t="shared" si="4"/>
        <v>0.21911641310017776</v>
      </c>
      <c r="N8" s="130">
        <v>5078.8</v>
      </c>
      <c r="O8" s="26"/>
    </row>
    <row r="9" spans="1:15" ht="15.6" customHeight="1" x14ac:dyDescent="0.3">
      <c r="A9" s="409" t="s">
        <v>18</v>
      </c>
      <c r="B9" s="200">
        <f>'2 Dec - 8 Dec'!D9</f>
        <v>403789.74</v>
      </c>
      <c r="C9" s="73">
        <v>463412.55</v>
      </c>
      <c r="D9" s="145">
        <v>461868.74</v>
      </c>
      <c r="E9" s="163">
        <f t="shared" si="0"/>
        <v>-3.3313944561924307E-3</v>
      </c>
      <c r="F9" s="166">
        <v>3098</v>
      </c>
      <c r="G9" s="63">
        <f t="shared" si="3"/>
        <v>149.08610071013558</v>
      </c>
      <c r="H9" s="61">
        <v>20</v>
      </c>
      <c r="I9" s="169">
        <f t="shared" si="1"/>
        <v>6.4557779212395094E-3</v>
      </c>
      <c r="J9" s="46">
        <f>SUM(H9+79)</f>
        <v>99</v>
      </c>
      <c r="K9" s="172">
        <f t="shared" si="2"/>
        <v>3.195610071013557E-2</v>
      </c>
      <c r="L9" s="188">
        <v>34296.46</v>
      </c>
      <c r="M9" s="89">
        <f t="shared" si="4"/>
        <v>7.425585892649933E-2</v>
      </c>
      <c r="N9" s="130">
        <v>18944</v>
      </c>
      <c r="O9" s="26"/>
    </row>
    <row r="10" spans="1:15" ht="15.6" customHeight="1" x14ac:dyDescent="0.3">
      <c r="A10" s="409" t="s">
        <v>20</v>
      </c>
      <c r="B10" s="200">
        <f>'2 Dec - 8 Dec'!D10</f>
        <v>198366.18</v>
      </c>
      <c r="C10" s="73">
        <v>131512.71</v>
      </c>
      <c r="D10" s="145">
        <v>140709.13</v>
      </c>
      <c r="E10" s="163">
        <f t="shared" si="0"/>
        <v>6.9927994031907734E-2</v>
      </c>
      <c r="F10" s="166">
        <v>969</v>
      </c>
      <c r="G10" s="63">
        <f t="shared" si="3"/>
        <v>145.21066047471621</v>
      </c>
      <c r="H10" s="61">
        <v>23</v>
      </c>
      <c r="I10" s="169">
        <f t="shared" si="1"/>
        <v>2.3735810113519093E-2</v>
      </c>
      <c r="J10" s="46">
        <f>SUM(H10+130)</f>
        <v>153</v>
      </c>
      <c r="K10" s="172">
        <f t="shared" si="2"/>
        <v>0.15789473684210525</v>
      </c>
      <c r="L10" s="188">
        <v>41296.61</v>
      </c>
      <c r="M10" s="89">
        <f t="shared" si="4"/>
        <v>0.29348920002561313</v>
      </c>
      <c r="N10" s="130">
        <v>9315.4500000000007</v>
      </c>
      <c r="O10" s="26"/>
    </row>
    <row r="11" spans="1:15" ht="15.6" customHeight="1" x14ac:dyDescent="0.3">
      <c r="A11" s="409" t="s">
        <v>21</v>
      </c>
      <c r="B11" s="200">
        <f>'2 Dec - 8 Dec'!D11</f>
        <v>390457.33</v>
      </c>
      <c r="C11" s="73">
        <v>336899.8</v>
      </c>
      <c r="D11" s="145">
        <v>423448.09</v>
      </c>
      <c r="E11" s="163">
        <f t="shared" si="0"/>
        <v>0.25689623442934678</v>
      </c>
      <c r="F11" s="166">
        <v>2682</v>
      </c>
      <c r="G11" s="63">
        <f t="shared" si="3"/>
        <v>157.88519388516033</v>
      </c>
      <c r="H11" s="61">
        <v>14</v>
      </c>
      <c r="I11" s="169">
        <f t="shared" si="1"/>
        <v>5.219985085756898E-3</v>
      </c>
      <c r="J11" s="46">
        <f>SUM(H11+123)</f>
        <v>137</v>
      </c>
      <c r="K11" s="172">
        <f t="shared" si="2"/>
        <v>5.1081282624906785E-2</v>
      </c>
      <c r="L11" s="188">
        <v>61996.52</v>
      </c>
      <c r="M11" s="89">
        <f t="shared" si="4"/>
        <v>0.14640878413219433</v>
      </c>
      <c r="N11" s="130">
        <v>16172.75</v>
      </c>
      <c r="O11" s="26"/>
    </row>
    <row r="12" spans="1:15" ht="15.6" customHeight="1" x14ac:dyDescent="0.3">
      <c r="A12" s="198" t="s">
        <v>22</v>
      </c>
      <c r="B12" s="200">
        <f>'2 Dec - 8 Dec'!D12</f>
        <v>171682.03</v>
      </c>
      <c r="C12" s="73">
        <v>165364.96</v>
      </c>
      <c r="D12" s="145">
        <v>163386.12</v>
      </c>
      <c r="E12" s="163">
        <f t="shared" si="0"/>
        <v>-1.1966501246696981E-2</v>
      </c>
      <c r="F12" s="166">
        <v>1216</v>
      </c>
      <c r="G12" s="63">
        <f t="shared" si="3"/>
        <v>134.36358552631577</v>
      </c>
      <c r="H12" s="61">
        <v>9</v>
      </c>
      <c r="I12" s="169">
        <f t="shared" si="1"/>
        <v>7.4013157894736838E-3</v>
      </c>
      <c r="J12" s="46">
        <f>SUM(H12+55)</f>
        <v>64</v>
      </c>
      <c r="K12" s="172">
        <f t="shared" si="2"/>
        <v>5.2631578947368418E-2</v>
      </c>
      <c r="L12" s="188">
        <v>20472.61</v>
      </c>
      <c r="M12" s="89">
        <f t="shared" si="4"/>
        <v>0.12530201463869758</v>
      </c>
      <c r="N12" s="130">
        <v>12794.3</v>
      </c>
      <c r="O12" s="26"/>
    </row>
    <row r="13" spans="1:15" ht="15.6" customHeight="1" x14ac:dyDescent="0.3">
      <c r="A13" s="198" t="s">
        <v>23</v>
      </c>
      <c r="B13" s="200">
        <f>'2 Dec - 8 Dec'!D13</f>
        <v>235871.29</v>
      </c>
      <c r="C13" s="73">
        <v>249921.32</v>
      </c>
      <c r="D13" s="145">
        <v>219828.87</v>
      </c>
      <c r="E13" s="163">
        <f t="shared" si="0"/>
        <v>-0.12040769470967908</v>
      </c>
      <c r="F13" s="166">
        <v>1601</v>
      </c>
      <c r="G13" s="63">
        <f t="shared" si="3"/>
        <v>137.30722673329169</v>
      </c>
      <c r="H13" s="61">
        <v>10</v>
      </c>
      <c r="I13" s="169">
        <f t="shared" si="1"/>
        <v>6.2460961898813238E-3</v>
      </c>
      <c r="J13" s="46">
        <f>SUM(H13+66)</f>
        <v>76</v>
      </c>
      <c r="K13" s="172">
        <f t="shared" si="2"/>
        <v>4.7470331043098064E-2</v>
      </c>
      <c r="L13" s="188">
        <v>32895.300000000003</v>
      </c>
      <c r="M13" s="89">
        <f t="shared" si="4"/>
        <v>0.14964049080541605</v>
      </c>
      <c r="N13" s="130">
        <v>12265</v>
      </c>
      <c r="O13" s="26"/>
    </row>
    <row r="14" spans="1:15" ht="15.6" hidden="1" customHeight="1" x14ac:dyDescent="0.3">
      <c r="A14" s="198" t="s">
        <v>24</v>
      </c>
      <c r="B14" s="200">
        <f>'2 Dec - 8 Dec'!D14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 Dec - 8 Dec'!D15</f>
        <v>316293.24</v>
      </c>
      <c r="C15" s="73">
        <v>413155.48</v>
      </c>
      <c r="D15" s="145">
        <v>423907.22</v>
      </c>
      <c r="E15" s="163">
        <f t="shared" si="0"/>
        <v>2.6023471841641773E-2</v>
      </c>
      <c r="F15" s="166">
        <v>3748</v>
      </c>
      <c r="G15" s="63">
        <f t="shared" si="3"/>
        <v>113.10224653148344</v>
      </c>
      <c r="H15" s="61">
        <v>0</v>
      </c>
      <c r="I15" s="169">
        <f t="shared" si="1"/>
        <v>0</v>
      </c>
      <c r="J15" s="46">
        <f>SUM(H15+134)</f>
        <v>134</v>
      </c>
      <c r="K15" s="172">
        <f t="shared" si="2"/>
        <v>3.5752401280683029E-2</v>
      </c>
      <c r="L15" s="188">
        <v>20894.78</v>
      </c>
      <c r="M15" s="89">
        <f t="shared" si="4"/>
        <v>4.9290927387365568E-2</v>
      </c>
      <c r="N15" s="130">
        <v>14758.2</v>
      </c>
      <c r="O15" s="9"/>
    </row>
    <row r="16" spans="1:15" ht="15.6" customHeight="1" x14ac:dyDescent="0.3">
      <c r="A16" s="198" t="s">
        <v>27</v>
      </c>
      <c r="B16" s="200">
        <f>'2 Dec - 8 Dec'!D16</f>
        <v>190910.89</v>
      </c>
      <c r="C16" s="73">
        <v>197982.05</v>
      </c>
      <c r="D16" s="145">
        <v>171875.61</v>
      </c>
      <c r="E16" s="163">
        <f t="shared" si="0"/>
        <v>-0.13186266128671767</v>
      </c>
      <c r="F16" s="166">
        <v>1054</v>
      </c>
      <c r="G16" s="63">
        <f t="shared" si="3"/>
        <v>163.06983870967741</v>
      </c>
      <c r="H16" s="61">
        <v>4</v>
      </c>
      <c r="I16" s="169">
        <f t="shared" si="1"/>
        <v>3.7950664136622392E-3</v>
      </c>
      <c r="J16" s="46">
        <f>SUM(H16+67)</f>
        <v>71</v>
      </c>
      <c r="K16" s="172">
        <f t="shared" si="2"/>
        <v>6.7362428842504748E-2</v>
      </c>
      <c r="L16" s="188">
        <v>22829.61</v>
      </c>
      <c r="M16" s="89">
        <f t="shared" si="4"/>
        <v>0.13282635040538912</v>
      </c>
      <c r="N16" s="130">
        <v>8266</v>
      </c>
      <c r="O16" s="9"/>
    </row>
    <row r="17" spans="1:15" ht="15.6" customHeight="1" x14ac:dyDescent="0.3">
      <c r="A17" s="198" t="s">
        <v>28</v>
      </c>
      <c r="B17" s="200">
        <f>'2 Dec - 8 Dec'!D17</f>
        <v>221661.96</v>
      </c>
      <c r="C17" s="73">
        <v>232833.57</v>
      </c>
      <c r="D17" s="145">
        <v>248340.4</v>
      </c>
      <c r="E17" s="163">
        <f t="shared" si="0"/>
        <v>6.6600490642307233E-2</v>
      </c>
      <c r="F17" s="166">
        <v>1604</v>
      </c>
      <c r="G17" s="63">
        <f t="shared" si="3"/>
        <v>154.82568578553617</v>
      </c>
      <c r="H17" s="61">
        <v>25</v>
      </c>
      <c r="I17" s="169">
        <f t="shared" si="1"/>
        <v>1.5586034912718205E-2</v>
      </c>
      <c r="J17" s="46">
        <f>SUM(H17+61)</f>
        <v>86</v>
      </c>
      <c r="K17" s="172">
        <f t="shared" si="2"/>
        <v>5.3615960099750622E-2</v>
      </c>
      <c r="L17" s="188">
        <v>33515.96</v>
      </c>
      <c r="M17" s="89">
        <f t="shared" si="4"/>
        <v>0.13495975684987219</v>
      </c>
      <c r="N17" s="130">
        <v>11875.18</v>
      </c>
      <c r="O17" s="9"/>
    </row>
    <row r="18" spans="1:15" ht="16.2" customHeight="1" thickBot="1" x14ac:dyDescent="0.35">
      <c r="A18" s="199" t="s">
        <v>33</v>
      </c>
      <c r="B18" s="201">
        <f>'2 Dec - 8 Dec'!D18</f>
        <v>208582.53</v>
      </c>
      <c r="C18" s="131"/>
      <c r="D18" s="146">
        <v>189552.3</v>
      </c>
      <c r="E18" s="164">
        <f t="shared" si="0"/>
        <v>0</v>
      </c>
      <c r="F18" s="167">
        <v>1439</v>
      </c>
      <c r="G18" s="132">
        <f t="shared" si="3"/>
        <v>131.7250173731758</v>
      </c>
      <c r="H18" s="133">
        <v>17</v>
      </c>
      <c r="I18" s="170">
        <f t="shared" si="1"/>
        <v>1.1813759555246699E-2</v>
      </c>
      <c r="J18" s="115">
        <f>SUM(H18+158)</f>
        <v>175</v>
      </c>
      <c r="K18" s="173">
        <f t="shared" si="2"/>
        <v>0.12161223071577484</v>
      </c>
      <c r="L18" s="189">
        <v>24491.09</v>
      </c>
      <c r="M18" s="116">
        <f t="shared" si="4"/>
        <v>0.129204921280301</v>
      </c>
      <c r="N18" s="134">
        <v>4521.5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68" priority="5" operator="equal">
      <formula>0</formula>
    </cfRule>
  </conditionalFormatting>
  <conditionalFormatting sqref="D7:D18">
    <cfRule type="cellIs" dxfId="567" priority="4" operator="equal">
      <formula>0</formula>
    </cfRule>
  </conditionalFormatting>
  <conditionalFormatting sqref="E6:K18">
    <cfRule type="cellIs" dxfId="566" priority="3" operator="equal">
      <formula>0</formula>
    </cfRule>
  </conditionalFormatting>
  <conditionalFormatting sqref="L7:L18">
    <cfRule type="cellIs" dxfId="565" priority="2" operator="equal">
      <formula>0</formula>
    </cfRule>
  </conditionalFormatting>
  <conditionalFormatting sqref="M6:N18">
    <cfRule type="cellIs" dxfId="56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O40"/>
  <sheetViews>
    <sheetView zoomScale="78" workbookViewId="0">
      <pane xSplit="1" topLeftCell="B1" activePane="topRight" state="frozen"/>
      <selection pane="topRight" activeCell="D11" sqref="D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5.0649755164200571E-3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SUM(B6:B18)</f>
        <v>3425781.42</v>
      </c>
      <c r="C4" s="135">
        <f>SUM(C6:C18)-C14</f>
        <v>3132660.75</v>
      </c>
      <c r="D4" s="142">
        <f>SUM(D6:D18)</f>
        <v>3306199</v>
      </c>
      <c r="E4" s="152">
        <f t="shared" ref="E4:E18" si="0">IFERROR((SUM(D4-C4)/C4),0)</f>
        <v>5.5396438953691361E-2</v>
      </c>
      <c r="F4" s="147">
        <f>SUM(F6:F18)</f>
        <v>24612</v>
      </c>
      <c r="G4" s="136">
        <f>AVERAGE(G5:G18)</f>
        <v>130.69484647125458</v>
      </c>
      <c r="H4" s="137">
        <f>SUM(H6:H18)</f>
        <v>131</v>
      </c>
      <c r="I4" s="138">
        <f t="shared" ref="I4:I18" si="1">IFERROR(H4/F4,0)</f>
        <v>5.322606858443036E-3</v>
      </c>
      <c r="J4" s="139">
        <f>SUM(J6:J18)</f>
        <v>1488</v>
      </c>
      <c r="K4" s="140">
        <f t="shared" ref="K4:K18" si="2">IFERROR(J4/SUM(F4),0)</f>
        <v>6.0458313018039979E-2</v>
      </c>
      <c r="L4" s="186"/>
      <c r="M4" s="140">
        <f>SUM(L4/D4)</f>
        <v>0</v>
      </c>
      <c r="N4" s="141">
        <f>SUM(N6:N18)</f>
        <v>150841.25000000003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'9 Dec - 15 Dec'!D6</f>
        <v>316187.89</v>
      </c>
      <c r="C6" s="123">
        <v>364522.63</v>
      </c>
      <c r="D6" s="197">
        <v>332934.52</v>
      </c>
      <c r="E6" s="162">
        <f t="shared" si="0"/>
        <v>-8.6656101433263508E-2</v>
      </c>
      <c r="F6" s="165">
        <v>2596</v>
      </c>
      <c r="G6" s="124">
        <f t="shared" ref="G6:G18" si="3">IFERROR(D6/F6,0)</f>
        <v>128.24904468412944</v>
      </c>
      <c r="H6" s="125">
        <v>19</v>
      </c>
      <c r="I6" s="168">
        <f t="shared" si="1"/>
        <v>7.3189522342064712E-3</v>
      </c>
      <c r="J6" s="46">
        <f>SUM(109+H6+'9 Dec - 15 Dec'!H6)</f>
        <v>179</v>
      </c>
      <c r="K6" s="171">
        <f t="shared" si="2"/>
        <v>6.8952234206471494E-2</v>
      </c>
      <c r="L6" s="191">
        <v>42714.65</v>
      </c>
      <c r="M6" s="128">
        <f t="shared" ref="M6:M18" si="4">SUM(L6/D6)</f>
        <v>0.12829745020131886</v>
      </c>
      <c r="N6" s="129">
        <v>13034.8</v>
      </c>
      <c r="O6" s="26"/>
    </row>
    <row r="7" spans="1:15" ht="15.6" customHeight="1" x14ac:dyDescent="0.3">
      <c r="A7" s="409" t="s">
        <v>16</v>
      </c>
      <c r="B7" s="200">
        <f>'9 Dec - 15 Dec'!D7</f>
        <v>537525.52</v>
      </c>
      <c r="C7" s="73">
        <v>425021.24</v>
      </c>
      <c r="D7" s="145">
        <v>503613.1</v>
      </c>
      <c r="E7" s="163">
        <f t="shared" si="0"/>
        <v>0.18491278224118868</v>
      </c>
      <c r="F7" s="166">
        <v>3698</v>
      </c>
      <c r="G7" s="63">
        <f t="shared" si="3"/>
        <v>136.18526230394806</v>
      </c>
      <c r="H7" s="61">
        <v>4</v>
      </c>
      <c r="I7" s="169">
        <f t="shared" si="1"/>
        <v>1.081665765278529E-3</v>
      </c>
      <c r="J7" s="46">
        <f>SUM(H7+153+'9 Dec - 15 Dec'!H7)</f>
        <v>178</v>
      </c>
      <c r="K7" s="172">
        <f t="shared" si="2"/>
        <v>4.8134126554894539E-2</v>
      </c>
      <c r="L7" s="188">
        <v>26691.74</v>
      </c>
      <c r="M7" s="89">
        <f t="shared" si="4"/>
        <v>5.3000487874521142E-2</v>
      </c>
      <c r="N7" s="130">
        <v>33114.75</v>
      </c>
      <c r="O7" s="26"/>
    </row>
    <row r="8" spans="1:15" ht="15.6" customHeight="1" x14ac:dyDescent="0.3">
      <c r="A8" s="409" t="s">
        <v>17</v>
      </c>
      <c r="B8" s="200">
        <f>'9 Dec - 15 Dec'!D8</f>
        <v>129151.53</v>
      </c>
      <c r="C8" s="73">
        <v>109671.37</v>
      </c>
      <c r="D8" s="145">
        <v>105968.29</v>
      </c>
      <c r="E8" s="163">
        <f t="shared" si="0"/>
        <v>-3.3765238822128348E-2</v>
      </c>
      <c r="F8" s="166">
        <v>740</v>
      </c>
      <c r="G8" s="63">
        <f t="shared" si="3"/>
        <v>143.20039189189188</v>
      </c>
      <c r="H8" s="61">
        <v>2</v>
      </c>
      <c r="I8" s="169">
        <f t="shared" si="1"/>
        <v>2.7027027027027029E-3</v>
      </c>
      <c r="J8" s="46">
        <f>SUM(H8+12+'9 Dec - 15 Dec'!H8)</f>
        <v>30</v>
      </c>
      <c r="K8" s="172">
        <f t="shared" si="2"/>
        <v>4.0540540540540543E-2</v>
      </c>
      <c r="L8" s="188">
        <v>32951.22</v>
      </c>
      <c r="M8" s="89">
        <f t="shared" si="4"/>
        <v>0.31095358809696755</v>
      </c>
      <c r="N8" s="130">
        <v>4291</v>
      </c>
      <c r="O8" s="26"/>
    </row>
    <row r="9" spans="1:15" ht="15.6" customHeight="1" x14ac:dyDescent="0.3">
      <c r="A9" s="409" t="s">
        <v>18</v>
      </c>
      <c r="B9" s="200">
        <f>'9 Dec - 15 Dec'!D9</f>
        <v>461868.74</v>
      </c>
      <c r="C9" s="73">
        <v>351087.57</v>
      </c>
      <c r="D9" s="145">
        <v>376764.91</v>
      </c>
      <c r="E9" s="163">
        <f t="shared" si="0"/>
        <v>7.3136568178702441E-2</v>
      </c>
      <c r="F9" s="166">
        <v>2754</v>
      </c>
      <c r="G9" s="63">
        <f t="shared" si="3"/>
        <v>136.80643064633259</v>
      </c>
      <c r="H9" s="61">
        <v>18</v>
      </c>
      <c r="I9" s="169">
        <f t="shared" si="1"/>
        <v>6.5359477124183009E-3</v>
      </c>
      <c r="J9" s="46">
        <f>SUM(H9+79+'9 Dec - 15 Dec'!H9)</f>
        <v>117</v>
      </c>
      <c r="K9" s="172">
        <f t="shared" si="2"/>
        <v>4.2483660130718956E-2</v>
      </c>
      <c r="L9" s="188">
        <v>26607.96</v>
      </c>
      <c r="M9" s="89">
        <f t="shared" si="4"/>
        <v>7.0622181879942056E-2</v>
      </c>
      <c r="N9" s="130">
        <v>14611</v>
      </c>
      <c r="O9" s="26"/>
    </row>
    <row r="10" spans="1:15" ht="15.6" customHeight="1" x14ac:dyDescent="0.3">
      <c r="A10" s="409" t="s">
        <v>20</v>
      </c>
      <c r="B10" s="200">
        <f>'9 Dec - 15 Dec'!D10</f>
        <v>140709.13</v>
      </c>
      <c r="C10" s="73">
        <v>115237.01</v>
      </c>
      <c r="D10" s="145">
        <v>115192.67</v>
      </c>
      <c r="E10" s="163">
        <f t="shared" si="0"/>
        <v>-3.8477221857801162E-4</v>
      </c>
      <c r="F10" s="166">
        <v>771</v>
      </c>
      <c r="G10" s="63">
        <f t="shared" si="3"/>
        <v>149.40683527885864</v>
      </c>
      <c r="H10" s="61">
        <v>25</v>
      </c>
      <c r="I10" s="169">
        <f t="shared" si="1"/>
        <v>3.2425421530479899E-2</v>
      </c>
      <c r="J10" s="46">
        <f>SUM(H10+130+'9 Dec - 15 Dec'!H10)</f>
        <v>178</v>
      </c>
      <c r="K10" s="172">
        <f t="shared" si="2"/>
        <v>0.23086900129701687</v>
      </c>
      <c r="L10" s="188">
        <v>28292.19</v>
      </c>
      <c r="M10" s="89">
        <f t="shared" si="4"/>
        <v>0.2456075547168062</v>
      </c>
      <c r="N10" s="130">
        <v>7133.5</v>
      </c>
      <c r="O10" s="26"/>
    </row>
    <row r="11" spans="1:15" ht="15.6" customHeight="1" x14ac:dyDescent="0.3">
      <c r="A11" s="409" t="s">
        <v>21</v>
      </c>
      <c r="B11" s="200">
        <f>'9 Dec - 15 Dec'!D11</f>
        <v>423448.09</v>
      </c>
      <c r="C11" s="73">
        <v>312544.07</v>
      </c>
      <c r="D11" s="145">
        <v>311404.3</v>
      </c>
      <c r="E11" s="163">
        <f t="shared" si="0"/>
        <v>-3.6467497207674378E-3</v>
      </c>
      <c r="F11" s="166">
        <v>1844</v>
      </c>
      <c r="G11" s="63">
        <f t="shared" si="3"/>
        <v>168.8743492407809</v>
      </c>
      <c r="H11" s="61">
        <v>26</v>
      </c>
      <c r="I11" s="169">
        <f t="shared" si="1"/>
        <v>1.4099783080260303E-2</v>
      </c>
      <c r="J11" s="46">
        <f>SUM(H11+123+'9 Dec - 15 Dec'!H11)</f>
        <v>163</v>
      </c>
      <c r="K11" s="172">
        <f t="shared" si="2"/>
        <v>8.8394793926247286E-2</v>
      </c>
      <c r="L11" s="188">
        <v>45711.7</v>
      </c>
      <c r="M11" s="89">
        <f t="shared" si="4"/>
        <v>0.14679212843239481</v>
      </c>
      <c r="N11" s="130">
        <v>15350.05</v>
      </c>
      <c r="O11" s="26"/>
    </row>
    <row r="12" spans="1:15" ht="15.6" customHeight="1" x14ac:dyDescent="0.3">
      <c r="A12" s="198" t="s">
        <v>22</v>
      </c>
      <c r="B12" s="200">
        <f>'9 Dec - 15 Dec'!D12</f>
        <v>163386.12</v>
      </c>
      <c r="C12" s="73">
        <v>146411.35999999999</v>
      </c>
      <c r="D12" s="145">
        <v>149883.34</v>
      </c>
      <c r="E12" s="163">
        <f t="shared" si="0"/>
        <v>2.3713870289846437E-2</v>
      </c>
      <c r="F12" s="166">
        <v>1169</v>
      </c>
      <c r="G12" s="63">
        <f t="shared" si="3"/>
        <v>128.21500427715995</v>
      </c>
      <c r="H12" s="61">
        <v>8</v>
      </c>
      <c r="I12" s="169">
        <f t="shared" si="1"/>
        <v>6.8434559452523521E-3</v>
      </c>
      <c r="J12" s="46">
        <f>SUM(H12+55+'9 Dec - 15 Dec'!H12)</f>
        <v>72</v>
      </c>
      <c r="K12" s="172">
        <f t="shared" si="2"/>
        <v>6.1591103507271171E-2</v>
      </c>
      <c r="L12" s="188">
        <v>21440.87</v>
      </c>
      <c r="M12" s="89">
        <f t="shared" si="4"/>
        <v>0.14305038838872952</v>
      </c>
      <c r="N12" s="130">
        <v>12076.6</v>
      </c>
      <c r="O12" s="26"/>
    </row>
    <row r="13" spans="1:15" ht="15.6" customHeight="1" x14ac:dyDescent="0.3">
      <c r="A13" s="198" t="s">
        <v>23</v>
      </c>
      <c r="B13" s="200">
        <f>'9 Dec - 15 Dec'!D13</f>
        <v>219828.87</v>
      </c>
      <c r="C13" s="73">
        <v>212746.47</v>
      </c>
      <c r="D13" s="145">
        <v>199187.93</v>
      </c>
      <c r="E13" s="163">
        <f t="shared" si="0"/>
        <v>-6.3730975183748095E-2</v>
      </c>
      <c r="F13" s="166">
        <v>1430</v>
      </c>
      <c r="G13" s="63">
        <f t="shared" si="3"/>
        <v>139.29225874125873</v>
      </c>
      <c r="H13" s="61">
        <v>10</v>
      </c>
      <c r="I13" s="169">
        <f t="shared" si="1"/>
        <v>6.993006993006993E-3</v>
      </c>
      <c r="J13" s="46">
        <f>SUM(H13+66+'9 Dec - 15 Dec'!H13)</f>
        <v>86</v>
      </c>
      <c r="K13" s="172">
        <f t="shared" si="2"/>
        <v>6.0139860139860141E-2</v>
      </c>
      <c r="L13" s="188">
        <v>31268.35</v>
      </c>
      <c r="M13" s="89">
        <f t="shared" si="4"/>
        <v>0.1569791402521227</v>
      </c>
      <c r="N13" s="130">
        <v>7648.1</v>
      </c>
      <c r="O13" s="26"/>
    </row>
    <row r="14" spans="1:15" ht="15.6" hidden="1" customHeight="1" x14ac:dyDescent="0.3">
      <c r="A14" s="198" t="s">
        <v>24</v>
      </c>
      <c r="B14" s="200">
        <f>'9 Dec - 15 Dec'!D14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'9 Dec - 15 Dec'!D15</f>
        <v>423907.22</v>
      </c>
      <c r="C15" s="73">
        <v>735480.34</v>
      </c>
      <c r="D15" s="145">
        <v>721819.17</v>
      </c>
      <c r="E15" s="163">
        <f t="shared" si="0"/>
        <v>-1.8574486980848362E-2</v>
      </c>
      <c r="F15" s="166">
        <v>6359</v>
      </c>
      <c r="G15" s="63">
        <f t="shared" si="3"/>
        <v>113.51142789746817</v>
      </c>
      <c r="H15" s="61">
        <v>0</v>
      </c>
      <c r="I15" s="169">
        <f t="shared" si="1"/>
        <v>0</v>
      </c>
      <c r="J15" s="46">
        <f>SUM(H15+134+'9 Dec - 15 Dec'!H15)</f>
        <v>134</v>
      </c>
      <c r="K15" s="172">
        <f t="shared" si="2"/>
        <v>2.1072495675420664E-2</v>
      </c>
      <c r="L15" s="188">
        <v>36134.519999999997</v>
      </c>
      <c r="M15" s="89">
        <f t="shared" si="4"/>
        <v>5.0060349602518865E-2</v>
      </c>
      <c r="N15" s="130">
        <v>24911</v>
      </c>
      <c r="O15" s="9"/>
    </row>
    <row r="16" spans="1:15" ht="15.6" customHeight="1" x14ac:dyDescent="0.3">
      <c r="A16" s="198" t="s">
        <v>27</v>
      </c>
      <c r="B16" s="200">
        <f>'9 Dec - 15 Dec'!D16</f>
        <v>171875.61</v>
      </c>
      <c r="C16" s="73">
        <v>129028.04</v>
      </c>
      <c r="D16" s="145">
        <v>121137.18</v>
      </c>
      <c r="E16" s="163">
        <f t="shared" si="0"/>
        <v>-6.1156164195007544E-2</v>
      </c>
      <c r="F16" s="166">
        <v>750</v>
      </c>
      <c r="G16" s="63">
        <f t="shared" si="3"/>
        <v>161.51623999999998</v>
      </c>
      <c r="H16" s="61">
        <v>9</v>
      </c>
      <c r="I16" s="169">
        <f t="shared" si="1"/>
        <v>1.2E-2</v>
      </c>
      <c r="J16" s="46">
        <f>SUM(H16+67+'9 Dec - 15 Dec'!H16)</f>
        <v>80</v>
      </c>
      <c r="K16" s="172">
        <f t="shared" si="2"/>
        <v>0.10666666666666667</v>
      </c>
      <c r="L16" s="188">
        <v>26161.599999999999</v>
      </c>
      <c r="M16" s="89">
        <f t="shared" si="4"/>
        <v>0.21596672466702627</v>
      </c>
      <c r="N16" s="130">
        <v>6155</v>
      </c>
      <c r="O16" s="9"/>
    </row>
    <row r="17" spans="1:15" ht="15.6" customHeight="1" x14ac:dyDescent="0.3">
      <c r="A17" s="198" t="s">
        <v>28</v>
      </c>
      <c r="B17" s="200">
        <f>'9 Dec - 15 Dec'!D17</f>
        <v>248340.4</v>
      </c>
      <c r="C17" s="73">
        <v>230910.65</v>
      </c>
      <c r="D17" s="145">
        <v>210622.19</v>
      </c>
      <c r="E17" s="163">
        <f t="shared" si="0"/>
        <v>-8.7862816201851199E-2</v>
      </c>
      <c r="F17" s="166">
        <v>1276</v>
      </c>
      <c r="G17" s="63">
        <f t="shared" si="3"/>
        <v>165.06441222570533</v>
      </c>
      <c r="H17" s="61">
        <v>0</v>
      </c>
      <c r="I17" s="169">
        <f t="shared" si="1"/>
        <v>0</v>
      </c>
      <c r="J17" s="46">
        <f>SUM(H17+61+'9 Dec - 15 Dec'!H17)</f>
        <v>86</v>
      </c>
      <c r="K17" s="172">
        <f t="shared" si="2"/>
        <v>6.7398119122257058E-2</v>
      </c>
      <c r="L17" s="188">
        <v>29537.22</v>
      </c>
      <c r="M17" s="89">
        <f t="shared" si="4"/>
        <v>0.14023793029594842</v>
      </c>
      <c r="N17" s="130">
        <v>10279.450000000001</v>
      </c>
      <c r="O17" s="9"/>
    </row>
    <row r="18" spans="1:15" ht="16.2" customHeight="1" thickBot="1" x14ac:dyDescent="0.35">
      <c r="A18" s="199" t="s">
        <v>33</v>
      </c>
      <c r="B18" s="201">
        <f>'9 Dec - 15 Dec'!D18</f>
        <v>189552.3</v>
      </c>
      <c r="C18" s="131"/>
      <c r="D18" s="146">
        <v>157671.4</v>
      </c>
      <c r="E18" s="164">
        <f t="shared" si="0"/>
        <v>0</v>
      </c>
      <c r="F18" s="167">
        <v>1225</v>
      </c>
      <c r="G18" s="132">
        <f t="shared" si="3"/>
        <v>128.71134693877551</v>
      </c>
      <c r="H18" s="133">
        <v>10</v>
      </c>
      <c r="I18" s="170">
        <f t="shared" si="1"/>
        <v>8.1632653061224497E-3</v>
      </c>
      <c r="J18" s="115">
        <f>SUM(H18+158+'9 Dec - 15 Dec'!H18)</f>
        <v>185</v>
      </c>
      <c r="K18" s="173">
        <f t="shared" si="2"/>
        <v>0.15102040816326531</v>
      </c>
      <c r="L18" s="189">
        <v>25997.57</v>
      </c>
      <c r="M18" s="116">
        <f t="shared" si="4"/>
        <v>0.16488450029618562</v>
      </c>
      <c r="N18" s="134">
        <v>2236</v>
      </c>
      <c r="O18" s="9"/>
    </row>
    <row r="19" spans="1:15" x14ac:dyDescent="0.3">
      <c r="A19" s="81"/>
      <c r="B19" s="81"/>
      <c r="C19" s="81"/>
      <c r="D19" s="395"/>
      <c r="E19" s="81"/>
      <c r="F19" s="396"/>
      <c r="G19" s="397"/>
      <c r="H19" s="91" t="s">
        <v>31</v>
      </c>
      <c r="I19" s="397"/>
      <c r="J19" s="397"/>
      <c r="K19" s="397"/>
      <c r="L19" s="397"/>
      <c r="M19" s="397"/>
      <c r="N19" s="397"/>
      <c r="O19" s="9"/>
    </row>
    <row r="20" spans="1:15" x14ac:dyDescent="0.3">
      <c r="A20" s="81"/>
      <c r="B20" s="81"/>
      <c r="C20" s="81"/>
      <c r="D20" s="83"/>
      <c r="E20" s="81"/>
      <c r="F20" s="82"/>
      <c r="G20" s="81"/>
      <c r="H20" s="81"/>
      <c r="I20" s="81"/>
      <c r="J20" s="81"/>
      <c r="K20" s="81"/>
      <c r="L20" s="81"/>
      <c r="M20" s="81"/>
      <c r="N20" s="81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ht="15" customHeight="1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27"/>
      <c r="O22" s="9"/>
    </row>
    <row r="23" spans="1:15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81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</sheetData>
  <conditionalFormatting sqref="C6:C18">
    <cfRule type="cellIs" dxfId="563" priority="5" operator="equal">
      <formula>0</formula>
    </cfRule>
  </conditionalFormatting>
  <conditionalFormatting sqref="D7:D18">
    <cfRule type="cellIs" dxfId="562" priority="4" operator="equal">
      <formula>0</formula>
    </cfRule>
  </conditionalFormatting>
  <conditionalFormatting sqref="E6:K18">
    <cfRule type="cellIs" dxfId="561" priority="3" operator="equal">
      <formula>0</formula>
    </cfRule>
  </conditionalFormatting>
  <conditionalFormatting sqref="L7:L18">
    <cfRule type="cellIs" dxfId="560" priority="2" operator="equal">
      <formula>0</formula>
    </cfRule>
  </conditionalFormatting>
  <conditionalFormatting sqref="M6:N18">
    <cfRule type="cellIs" dxfId="55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O41"/>
  <sheetViews>
    <sheetView zoomScale="78" workbookViewId="0">
      <pane xSplit="1" topLeftCell="B1" activePane="topRight" state="frozen"/>
      <selection pane="topRight" activeCell="J20" sqref="J2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3.521616908289564E-2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3306199</v>
      </c>
      <c r="C4" s="135">
        <f>SUM(C6:C19)-C14</f>
        <v>2458787.3200000003</v>
      </c>
      <c r="D4" s="142">
        <f>SUM(D6:D19)</f>
        <v>2678896.7000000002</v>
      </c>
      <c r="E4" s="152">
        <f t="shared" ref="E4:E19" si="0">IFERROR((SUM(D4-C4)/C4),0)</f>
        <v>8.9519487191759173E-2</v>
      </c>
      <c r="F4" s="147">
        <f>SUM(F6:F19)</f>
        <v>21247</v>
      </c>
      <c r="G4" s="136">
        <f>AVERAGE(G5:G19)</f>
        <v>125.0971751767412</v>
      </c>
      <c r="H4" s="137">
        <f>SUM(H6:H19)</f>
        <v>124</v>
      </c>
      <c r="I4" s="138">
        <f t="shared" ref="I4:I19" si="1">IFERROR(H4/F4,0)</f>
        <v>5.8361180401939093E-3</v>
      </c>
      <c r="J4" s="139">
        <f>SUM(J6:J19)</f>
        <v>1612</v>
      </c>
      <c r="K4" s="140">
        <f t="shared" ref="K4:K19" si="2">IFERROR(J4/SUM(F4),0)</f>
        <v>7.5869534522520821E-2</v>
      </c>
      <c r="L4" s="186"/>
      <c r="M4" s="140">
        <f>SUM(L4/D4)</f>
        <v>0</v>
      </c>
      <c r="N4" s="141">
        <f>SUM(N6:N19)</f>
        <v>135710.88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'16 Dec - 22 Dec'!D6</f>
        <v>332934.52</v>
      </c>
      <c r="C6" s="123">
        <v>315787.46000000002</v>
      </c>
      <c r="D6" s="197">
        <v>251356.61</v>
      </c>
      <c r="E6" s="162">
        <f t="shared" si="0"/>
        <v>-0.20403232604613253</v>
      </c>
      <c r="F6" s="165">
        <v>1949</v>
      </c>
      <c r="G6" s="124">
        <f t="shared" ref="G6:G19" si="3">IFERROR(D6/F6,0)</f>
        <v>128.96696254489481</v>
      </c>
      <c r="H6" s="125">
        <v>18</v>
      </c>
      <c r="I6" s="168">
        <f t="shared" si="1"/>
        <v>9.2355053873781432E-3</v>
      </c>
      <c r="J6" s="46">
        <f>SUM(109+H6+'9 Dec - 15 Dec'!H6+'16 Dec - 22 Dec'!H6)</f>
        <v>197</v>
      </c>
      <c r="K6" s="171">
        <f t="shared" si="2"/>
        <v>0.10107747562852745</v>
      </c>
      <c r="L6" s="191">
        <v>31842.43</v>
      </c>
      <c r="M6" s="128">
        <f t="shared" ref="M6:M19" si="4">SUM(L6/D6)</f>
        <v>0.12668228617500848</v>
      </c>
      <c r="N6" s="129">
        <v>9550.9</v>
      </c>
      <c r="O6" s="26"/>
    </row>
    <row r="7" spans="1:15" ht="15.6" customHeight="1" x14ac:dyDescent="0.3">
      <c r="A7" s="409" t="s">
        <v>16</v>
      </c>
      <c r="B7" s="200">
        <f>'16 Dec - 22 Dec'!D7</f>
        <v>503613.1</v>
      </c>
      <c r="C7" s="73">
        <v>195208.54</v>
      </c>
      <c r="D7" s="145">
        <v>285024.23</v>
      </c>
      <c r="E7" s="163">
        <f t="shared" si="0"/>
        <v>0.46010123327596203</v>
      </c>
      <c r="F7" s="166">
        <v>2229</v>
      </c>
      <c r="G7" s="63">
        <f t="shared" si="3"/>
        <v>127.87089726334679</v>
      </c>
      <c r="H7" s="61">
        <v>19</v>
      </c>
      <c r="I7" s="169">
        <f t="shared" si="1"/>
        <v>8.5240017945266942E-3</v>
      </c>
      <c r="J7" s="46">
        <f>SUM(H7+153+'9 Dec - 15 Dec'!H7+'16 Dec - 22 Dec'!H7)</f>
        <v>197</v>
      </c>
      <c r="K7" s="172">
        <f t="shared" si="2"/>
        <v>8.8380439659039925E-2</v>
      </c>
      <c r="L7" s="188">
        <v>18607.830000000002</v>
      </c>
      <c r="M7" s="89">
        <f t="shared" si="4"/>
        <v>6.5285081201692935E-2</v>
      </c>
      <c r="N7" s="130">
        <v>17769.330000000002</v>
      </c>
      <c r="O7" s="26"/>
    </row>
    <row r="8" spans="1:15" ht="15.6" customHeight="1" x14ac:dyDescent="0.3">
      <c r="A8" s="409" t="s">
        <v>17</v>
      </c>
      <c r="B8" s="200">
        <f>'16 Dec - 22 Dec'!D8</f>
        <v>105968.29</v>
      </c>
      <c r="C8" s="73">
        <v>67639.259999999995</v>
      </c>
      <c r="D8" s="145">
        <v>47067.040000000001</v>
      </c>
      <c r="E8" s="163">
        <f t="shared" si="0"/>
        <v>-0.30414614234395815</v>
      </c>
      <c r="F8" s="166">
        <v>321</v>
      </c>
      <c r="G8" s="63">
        <f t="shared" si="3"/>
        <v>146.62629283489096</v>
      </c>
      <c r="H8" s="61">
        <v>0</v>
      </c>
      <c r="I8" s="169">
        <f t="shared" si="1"/>
        <v>0</v>
      </c>
      <c r="J8" s="46">
        <f>SUM(H8+12+'9 Dec - 15 Dec'!H8+'16 Dec - 22 Dec'!H8)</f>
        <v>30</v>
      </c>
      <c r="K8" s="172">
        <f t="shared" si="2"/>
        <v>9.3457943925233641E-2</v>
      </c>
      <c r="L8" s="188">
        <v>12063.7</v>
      </c>
      <c r="M8" s="89">
        <f t="shared" si="4"/>
        <v>0.25630887347069203</v>
      </c>
      <c r="N8" s="130">
        <v>1869.5</v>
      </c>
      <c r="O8" s="26"/>
    </row>
    <row r="9" spans="1:15" ht="15.6" customHeight="1" x14ac:dyDescent="0.3">
      <c r="A9" s="409" t="s">
        <v>18</v>
      </c>
      <c r="B9" s="200">
        <f>'16 Dec - 22 Dec'!D9</f>
        <v>376764.91</v>
      </c>
      <c r="C9" s="73">
        <v>251347.92</v>
      </c>
      <c r="D9" s="145">
        <v>252630.01</v>
      </c>
      <c r="E9" s="163">
        <f t="shared" si="0"/>
        <v>5.100857806979252E-3</v>
      </c>
      <c r="F9" s="166">
        <v>2109</v>
      </c>
      <c r="G9" s="63">
        <f t="shared" si="3"/>
        <v>119.78663347558084</v>
      </c>
      <c r="H9" s="61">
        <v>22</v>
      </c>
      <c r="I9" s="169">
        <f t="shared" si="1"/>
        <v>1.0431484115694643E-2</v>
      </c>
      <c r="J9" s="46">
        <f>SUM(H9+79+'9 Dec - 15 Dec'!H9+'16 Dec - 22 Dec'!H9)</f>
        <v>139</v>
      </c>
      <c r="K9" s="172">
        <f t="shared" si="2"/>
        <v>6.5908013276434335E-2</v>
      </c>
      <c r="L9" s="188">
        <v>9135.26</v>
      </c>
      <c r="M9" s="89">
        <f t="shared" si="4"/>
        <v>3.6160628739238067E-2</v>
      </c>
      <c r="N9" s="130">
        <v>9425.15</v>
      </c>
      <c r="O9" s="26"/>
    </row>
    <row r="10" spans="1:15" ht="15.6" customHeight="1" x14ac:dyDescent="0.3">
      <c r="A10" s="409" t="s">
        <v>20</v>
      </c>
      <c r="B10" s="200">
        <f>'16 Dec - 22 Dec'!D10</f>
        <v>115192.67</v>
      </c>
      <c r="C10" s="73">
        <v>87101.46</v>
      </c>
      <c r="D10" s="145">
        <v>89635.6</v>
      </c>
      <c r="E10" s="163">
        <f t="shared" si="0"/>
        <v>2.9094116218028942E-2</v>
      </c>
      <c r="F10" s="166">
        <v>595</v>
      </c>
      <c r="G10" s="63">
        <f t="shared" si="3"/>
        <v>150.64806722689076</v>
      </c>
      <c r="H10" s="61">
        <v>12</v>
      </c>
      <c r="I10" s="169">
        <f t="shared" si="1"/>
        <v>2.0168067226890758E-2</v>
      </c>
      <c r="J10" s="46">
        <f>SUM(H10+130+'9 Dec - 15 Dec'!H10+'16 Dec - 22 Dec'!H10)</f>
        <v>190</v>
      </c>
      <c r="K10" s="172">
        <f t="shared" si="2"/>
        <v>0.31932773109243695</v>
      </c>
      <c r="L10" s="188">
        <v>26618.22</v>
      </c>
      <c r="M10" s="89">
        <f t="shared" si="4"/>
        <v>0.29696035950002009</v>
      </c>
      <c r="N10" s="130">
        <v>6478.2</v>
      </c>
      <c r="O10" s="26"/>
    </row>
    <row r="11" spans="1:15" ht="15.6" customHeight="1" x14ac:dyDescent="0.3">
      <c r="A11" s="409" t="s">
        <v>21</v>
      </c>
      <c r="B11" s="200">
        <f>'16 Dec - 22 Dec'!D11</f>
        <v>311404.3</v>
      </c>
      <c r="C11" s="73">
        <v>231448.73</v>
      </c>
      <c r="D11" s="145">
        <v>234511.26</v>
      </c>
      <c r="E11" s="163">
        <f t="shared" si="0"/>
        <v>1.3232001748292154E-2</v>
      </c>
      <c r="F11" s="166">
        <v>1568</v>
      </c>
      <c r="G11" s="63">
        <f t="shared" si="3"/>
        <v>149.56075255102041</v>
      </c>
      <c r="H11" s="61">
        <v>5</v>
      </c>
      <c r="I11" s="169">
        <f t="shared" si="1"/>
        <v>3.1887755102040817E-3</v>
      </c>
      <c r="J11" s="46">
        <f>SUM(H11+123+'9 Dec - 15 Dec'!H11+'16 Dec - 22 Dec'!H11)</f>
        <v>168</v>
      </c>
      <c r="K11" s="172">
        <f t="shared" si="2"/>
        <v>0.10714285714285714</v>
      </c>
      <c r="L11" s="188">
        <v>39106.36</v>
      </c>
      <c r="M11" s="89">
        <f t="shared" si="4"/>
        <v>0.16675685423377964</v>
      </c>
      <c r="N11" s="130">
        <v>13504.3</v>
      </c>
      <c r="O11" s="26"/>
    </row>
    <row r="12" spans="1:15" ht="15.6" customHeight="1" x14ac:dyDescent="0.3">
      <c r="A12" s="198" t="s">
        <v>22</v>
      </c>
      <c r="B12" s="200">
        <f>'16 Dec - 22 Dec'!D12</f>
        <v>149883.34</v>
      </c>
      <c r="C12" s="73">
        <v>108709.47</v>
      </c>
      <c r="D12" s="145">
        <v>128991.96</v>
      </c>
      <c r="E12" s="163">
        <f t="shared" si="0"/>
        <v>0.18657518981556992</v>
      </c>
      <c r="F12" s="166">
        <v>973</v>
      </c>
      <c r="G12" s="63">
        <f t="shared" si="3"/>
        <v>132.57138746145941</v>
      </c>
      <c r="H12" s="61">
        <v>11</v>
      </c>
      <c r="I12" s="169">
        <f t="shared" si="1"/>
        <v>1.1305241521068859E-2</v>
      </c>
      <c r="J12" s="46">
        <f>SUM(H12+55+'9 Dec - 15 Dec'!H12+'16 Dec - 22 Dec'!H12)</f>
        <v>83</v>
      </c>
      <c r="K12" s="172">
        <f t="shared" si="2"/>
        <v>8.5303186022610486E-2</v>
      </c>
      <c r="L12" s="188">
        <v>18999</v>
      </c>
      <c r="M12" s="89">
        <f t="shared" si="4"/>
        <v>0.14728824959323045</v>
      </c>
      <c r="N12" s="130">
        <v>8286</v>
      </c>
      <c r="O12" s="26"/>
    </row>
    <row r="13" spans="1:15" ht="15.6" customHeight="1" x14ac:dyDescent="0.3">
      <c r="A13" s="198" t="s">
        <v>23</v>
      </c>
      <c r="B13" s="200">
        <f>'16 Dec - 22 Dec'!D13</f>
        <v>199187.93</v>
      </c>
      <c r="C13" s="73">
        <v>149304.72</v>
      </c>
      <c r="D13" s="145">
        <v>128106.28</v>
      </c>
      <c r="E13" s="163">
        <f t="shared" si="0"/>
        <v>-0.14198104386786969</v>
      </c>
      <c r="F13" s="166">
        <v>913</v>
      </c>
      <c r="G13" s="63">
        <f t="shared" si="3"/>
        <v>140.31355969331872</v>
      </c>
      <c r="H13" s="61">
        <v>7</v>
      </c>
      <c r="I13" s="169">
        <f t="shared" si="1"/>
        <v>7.6670317634173054E-3</v>
      </c>
      <c r="J13" s="46">
        <f>SUM(H13+66+'9 Dec - 15 Dec'!H13+'16 Dec - 22 Dec'!H13)</f>
        <v>93</v>
      </c>
      <c r="K13" s="172">
        <f t="shared" si="2"/>
        <v>0.10186199342825848</v>
      </c>
      <c r="L13" s="188">
        <v>26571.83</v>
      </c>
      <c r="M13" s="89">
        <f t="shared" si="4"/>
        <v>0.20742019829160602</v>
      </c>
      <c r="N13" s="130">
        <v>8454</v>
      </c>
      <c r="O13" s="26"/>
    </row>
    <row r="14" spans="1:15" ht="15.6" hidden="1" customHeight="1" x14ac:dyDescent="0.3">
      <c r="A14" s="198" t="s">
        <v>24</v>
      </c>
      <c r="B14" s="200">
        <f>'16 Dec - 22 Dec'!D14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'16 Dec - 22 Dec'!D15</f>
        <v>721819.17</v>
      </c>
      <c r="C15" s="73">
        <v>849629.22</v>
      </c>
      <c r="D15" s="145">
        <v>845642.47</v>
      </c>
      <c r="E15" s="163">
        <f t="shared" si="0"/>
        <v>-4.6923409719830493E-3</v>
      </c>
      <c r="F15" s="166">
        <v>7419</v>
      </c>
      <c r="G15" s="63">
        <f t="shared" si="3"/>
        <v>113.98334950801994</v>
      </c>
      <c r="H15" s="61">
        <v>0</v>
      </c>
      <c r="I15" s="169">
        <f t="shared" si="1"/>
        <v>0</v>
      </c>
      <c r="J15" s="46">
        <f>SUM(H15+134+'9 Dec - 15 Dec'!H15+'16 Dec - 22 Dec'!H15)</f>
        <v>134</v>
      </c>
      <c r="K15" s="172">
        <f t="shared" si="2"/>
        <v>1.8061733387248955E-2</v>
      </c>
      <c r="L15" s="188">
        <v>47903.83</v>
      </c>
      <c r="M15" s="89">
        <f t="shared" si="4"/>
        <v>5.6647852608443378E-2</v>
      </c>
      <c r="N15" s="130">
        <v>38400.300000000003</v>
      </c>
      <c r="O15" s="9"/>
    </row>
    <row r="16" spans="1:15" ht="15.6" customHeight="1" x14ac:dyDescent="0.3">
      <c r="A16" s="198" t="s">
        <v>27</v>
      </c>
      <c r="B16" s="200">
        <f>'16 Dec - 22 Dec'!D16</f>
        <v>121137.18</v>
      </c>
      <c r="C16" s="73">
        <v>88647.83</v>
      </c>
      <c r="D16" s="145">
        <v>72195.61</v>
      </c>
      <c r="E16" s="163">
        <f t="shared" si="0"/>
        <v>-0.18559078095876685</v>
      </c>
      <c r="F16" s="166">
        <v>466</v>
      </c>
      <c r="G16" s="63">
        <f t="shared" si="3"/>
        <v>154.92620171673821</v>
      </c>
      <c r="H16" s="61">
        <v>7</v>
      </c>
      <c r="I16" s="169">
        <f t="shared" si="1"/>
        <v>1.5021459227467811E-2</v>
      </c>
      <c r="J16" s="46">
        <f>SUM(H16+67+'9 Dec - 15 Dec'!H16+'16 Dec - 22 Dec'!H16)</f>
        <v>87</v>
      </c>
      <c r="K16" s="172">
        <f t="shared" si="2"/>
        <v>0.18669527896995708</v>
      </c>
      <c r="L16" s="188">
        <v>16267.09</v>
      </c>
      <c r="M16" s="89">
        <f t="shared" si="4"/>
        <v>0.22531965586273181</v>
      </c>
      <c r="N16" s="130">
        <v>4646</v>
      </c>
      <c r="O16" s="9"/>
    </row>
    <row r="17" spans="1:15" ht="15.6" customHeight="1" x14ac:dyDescent="0.3">
      <c r="A17" s="198" t="s">
        <v>28</v>
      </c>
      <c r="B17" s="200">
        <f>'16 Dec - 22 Dec'!D17</f>
        <v>210622.19</v>
      </c>
      <c r="C17" s="73">
        <v>113962.71</v>
      </c>
      <c r="D17" s="145">
        <v>123472.58</v>
      </c>
      <c r="E17" s="163">
        <f t="shared" si="0"/>
        <v>8.3447208301733036E-2</v>
      </c>
      <c r="F17" s="166">
        <v>781</v>
      </c>
      <c r="G17" s="63">
        <f t="shared" si="3"/>
        <v>158.09549295774647</v>
      </c>
      <c r="H17" s="61">
        <v>4</v>
      </c>
      <c r="I17" s="169">
        <f t="shared" si="1"/>
        <v>5.1216389244558257E-3</v>
      </c>
      <c r="J17" s="46">
        <f>SUM(H17+61+'9 Dec - 15 Dec'!H17+'16 Dec - 22 Dec'!H17)</f>
        <v>90</v>
      </c>
      <c r="K17" s="172">
        <f t="shared" si="2"/>
        <v>0.11523687580025609</v>
      </c>
      <c r="L17" s="188">
        <v>18407.57</v>
      </c>
      <c r="M17" s="89">
        <f t="shared" si="4"/>
        <v>0.14908224967843062</v>
      </c>
      <c r="N17" s="130">
        <v>5998.8</v>
      </c>
      <c r="O17" s="9"/>
    </row>
    <row r="18" spans="1:15" ht="15.6" customHeight="1" x14ac:dyDescent="0.3">
      <c r="A18" s="198" t="s">
        <v>33</v>
      </c>
      <c r="B18" s="200">
        <f>'16 Dec - 22 Dec'!D18</f>
        <v>157671.4</v>
      </c>
      <c r="C18" s="73"/>
      <c r="D18" s="145">
        <v>133520.31</v>
      </c>
      <c r="E18" s="163">
        <f t="shared" si="0"/>
        <v>0</v>
      </c>
      <c r="F18" s="166">
        <v>983</v>
      </c>
      <c r="G18" s="63">
        <f t="shared" si="3"/>
        <v>135.82940996948119</v>
      </c>
      <c r="H18" s="61">
        <v>19</v>
      </c>
      <c r="I18" s="169">
        <f t="shared" si="1"/>
        <v>1.9328585961342827E-2</v>
      </c>
      <c r="J18" s="46">
        <f>SUM(H18+158+'9 Dec - 15 Dec'!H18+'16 Dec - 22 Dec'!H18)</f>
        <v>204</v>
      </c>
      <c r="K18" s="172">
        <f t="shared" si="2"/>
        <v>0.20752797558494404</v>
      </c>
      <c r="L18" s="188">
        <v>18942.349999999999</v>
      </c>
      <c r="M18" s="89">
        <f t="shared" si="4"/>
        <v>0.1418686790047147</v>
      </c>
      <c r="N18" s="130">
        <v>2009.9</v>
      </c>
      <c r="O18" s="9"/>
    </row>
    <row r="19" spans="1:15" ht="16.2" customHeight="1" thickBot="1" x14ac:dyDescent="0.35">
      <c r="A19" s="203" t="s">
        <v>37</v>
      </c>
      <c r="B19" s="204">
        <f>'9 Dec - 15 Dec'!D19</f>
        <v>0</v>
      </c>
      <c r="C19" s="205"/>
      <c r="D19" s="206">
        <v>86742.74</v>
      </c>
      <c r="E19" s="207">
        <f t="shared" si="0"/>
        <v>0</v>
      </c>
      <c r="F19" s="208">
        <v>941</v>
      </c>
      <c r="G19" s="209">
        <f t="shared" si="3"/>
        <v>92.18144527098832</v>
      </c>
      <c r="H19" s="210">
        <v>0</v>
      </c>
      <c r="I19" s="211">
        <f t="shared" si="1"/>
        <v>0</v>
      </c>
      <c r="J19" s="212">
        <f>H19</f>
        <v>0</v>
      </c>
      <c r="K19" s="213">
        <f t="shared" si="2"/>
        <v>0</v>
      </c>
      <c r="L19" s="214">
        <v>4920.43</v>
      </c>
      <c r="M19" s="215">
        <f t="shared" si="4"/>
        <v>5.6724401373532816E-2</v>
      </c>
      <c r="N19" s="216">
        <v>9318.5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58" priority="5" operator="equal">
      <formula>0</formula>
    </cfRule>
  </conditionalFormatting>
  <conditionalFormatting sqref="D7:D19">
    <cfRule type="cellIs" dxfId="557" priority="4" operator="equal">
      <formula>0</formula>
    </cfRule>
  </conditionalFormatting>
  <conditionalFormatting sqref="E6:K19">
    <cfRule type="cellIs" dxfId="556" priority="3" operator="equal">
      <formula>0</formula>
    </cfRule>
  </conditionalFormatting>
  <conditionalFormatting sqref="L7:L19">
    <cfRule type="cellIs" dxfId="555" priority="2" operator="equal">
      <formula>0</formula>
    </cfRule>
  </conditionalFormatting>
  <conditionalFormatting sqref="M6:N19">
    <cfRule type="cellIs" dxfId="55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O41"/>
  <sheetViews>
    <sheetView zoomScale="78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0.13041274032357753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2678896.7000000002</v>
      </c>
      <c r="C4" s="135">
        <f>SUM(C6:C19)-C14</f>
        <v>2525146.54</v>
      </c>
      <c r="D4" s="142">
        <f>SUM(D6:D19)</f>
        <v>3048987.74</v>
      </c>
      <c r="E4" s="152">
        <f t="shared" ref="E4:E19" si="0">IFERROR((SUM(D4-C4)/C4),0)</f>
        <v>0.20744982190221728</v>
      </c>
      <c r="F4" s="147">
        <f>SUM(F6:F19)</f>
        <v>23473</v>
      </c>
      <c r="G4" s="136">
        <f>AVERAGE(G5:G19)</f>
        <v>124.04041981983347</v>
      </c>
      <c r="H4" s="137">
        <f>SUM(H6:H19)</f>
        <v>106</v>
      </c>
      <c r="I4" s="138">
        <f t="shared" ref="I4:I19" si="1">IFERROR(H4/F4,0)</f>
        <v>4.5158266945000639E-3</v>
      </c>
      <c r="J4" s="139">
        <f>SUM(J6:J19)</f>
        <v>1718</v>
      </c>
      <c r="K4" s="140">
        <f t="shared" ref="K4:K19" si="2">IFERROR(J4/SUM(F4),0)</f>
        <v>7.3190474161802924E-2</v>
      </c>
      <c r="L4" s="186"/>
      <c r="M4" s="140">
        <f>SUM(L4/D4)</f>
        <v>0</v>
      </c>
      <c r="N4" s="141">
        <f>SUM(N6:N19)</f>
        <v>158393.9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'23 Dec - 29 Dec'!D6</f>
        <v>251356.61</v>
      </c>
      <c r="C6" s="123">
        <v>325096.33</v>
      </c>
      <c r="D6" s="197">
        <v>276666.88</v>
      </c>
      <c r="E6" s="162">
        <f t="shared" si="0"/>
        <v>-0.14896953773670718</v>
      </c>
      <c r="F6" s="165">
        <v>2300</v>
      </c>
      <c r="G6" s="124">
        <f t="shared" ref="G6:G19" si="3">IFERROR(D6/F6,0)</f>
        <v>120.28994782608696</v>
      </c>
      <c r="H6" s="125">
        <v>14</v>
      </c>
      <c r="I6" s="168">
        <f t="shared" si="1"/>
        <v>6.0869565217391303E-3</v>
      </c>
      <c r="J6" s="46">
        <f>SUM(109+H6+'9 Dec - 15 Dec'!H6+'16 Dec - 22 Dec'!H6+'23 Dec - 29 Dec'!H6)</f>
        <v>211</v>
      </c>
      <c r="K6" s="171">
        <f t="shared" si="2"/>
        <v>9.1739130434782615E-2</v>
      </c>
      <c r="L6" s="191">
        <v>27562.74</v>
      </c>
      <c r="M6" s="128">
        <f t="shared" ref="M6:M19" si="4">SUM(L6/D6)</f>
        <v>9.9624284627057635E-2</v>
      </c>
      <c r="N6" s="129">
        <v>10895.8</v>
      </c>
      <c r="O6" s="26"/>
    </row>
    <row r="7" spans="1:15" ht="15.6" customHeight="1" x14ac:dyDescent="0.3">
      <c r="A7" s="409" t="s">
        <v>16</v>
      </c>
      <c r="B7" s="200">
        <f>'23 Dec - 29 Dec'!D7</f>
        <v>285024.23</v>
      </c>
      <c r="C7" s="73">
        <v>157885.87</v>
      </c>
      <c r="D7" s="145">
        <v>266740.18</v>
      </c>
      <c r="E7" s="163">
        <f t="shared" si="0"/>
        <v>0.68944934717717299</v>
      </c>
      <c r="F7" s="166">
        <v>1864</v>
      </c>
      <c r="G7" s="63">
        <f t="shared" si="3"/>
        <v>143.10095493562233</v>
      </c>
      <c r="H7" s="61">
        <v>7</v>
      </c>
      <c r="I7" s="169">
        <f t="shared" si="1"/>
        <v>3.7553648068669528E-3</v>
      </c>
      <c r="J7" s="46">
        <f>SUM(H7+153+'9 Dec - 15 Dec'!H7+'16 Dec - 22 Dec'!H7+'23 Dec - 29 Dec'!H7)</f>
        <v>204</v>
      </c>
      <c r="K7" s="172">
        <f t="shared" si="2"/>
        <v>0.10944206008583691</v>
      </c>
      <c r="L7" s="188">
        <v>20850.740000000002</v>
      </c>
      <c r="M7" s="89">
        <f t="shared" si="4"/>
        <v>7.8168725836505026E-2</v>
      </c>
      <c r="N7" s="130">
        <v>21169.91</v>
      </c>
      <c r="O7" s="26"/>
    </row>
    <row r="8" spans="1:15" ht="15.6" customHeight="1" x14ac:dyDescent="0.3">
      <c r="A8" s="409" t="s">
        <v>17</v>
      </c>
      <c r="B8" s="200">
        <f>'23 Dec - 29 Dec'!D8</f>
        <v>47067.040000000001</v>
      </c>
      <c r="C8" s="73">
        <v>90111.4</v>
      </c>
      <c r="D8" s="145">
        <v>67999.53</v>
      </c>
      <c r="E8" s="163">
        <f t="shared" si="0"/>
        <v>-0.24538371393630548</v>
      </c>
      <c r="F8" s="166">
        <v>449</v>
      </c>
      <c r="G8" s="63">
        <f t="shared" si="3"/>
        <v>151.44661469933183</v>
      </c>
      <c r="H8" s="61">
        <v>0</v>
      </c>
      <c r="I8" s="169">
        <f t="shared" si="1"/>
        <v>0</v>
      </c>
      <c r="J8" s="46">
        <f>SUM(H8+12+'9 Dec - 15 Dec'!H8+'16 Dec - 22 Dec'!H8+'23 Dec - 29 Dec'!H8)</f>
        <v>30</v>
      </c>
      <c r="K8" s="172">
        <f t="shared" si="2"/>
        <v>6.6815144766147E-2</v>
      </c>
      <c r="L8" s="188">
        <v>22247.87</v>
      </c>
      <c r="M8" s="89">
        <f t="shared" si="4"/>
        <v>0.32717682019272781</v>
      </c>
      <c r="N8" s="130">
        <v>2365</v>
      </c>
      <c r="O8" s="26"/>
    </row>
    <row r="9" spans="1:15" ht="15.6" customHeight="1" x14ac:dyDescent="0.3">
      <c r="A9" s="409" t="s">
        <v>18</v>
      </c>
      <c r="B9" s="200">
        <f>'23 Dec - 29 Dec'!D9</f>
        <v>252630.01</v>
      </c>
      <c r="C9" s="73">
        <v>329855.34999999998</v>
      </c>
      <c r="D9" s="145">
        <v>305260.75</v>
      </c>
      <c r="E9" s="163">
        <f t="shared" si="0"/>
        <v>-7.4561773819948593E-2</v>
      </c>
      <c r="F9" s="166">
        <v>2452</v>
      </c>
      <c r="G9" s="63">
        <f t="shared" si="3"/>
        <v>124.49459624796084</v>
      </c>
      <c r="H9" s="61">
        <v>21</v>
      </c>
      <c r="I9" s="169">
        <f t="shared" si="1"/>
        <v>8.5644371941272432E-3</v>
      </c>
      <c r="J9" s="46">
        <f>SUM(H9+79+'9 Dec - 15 Dec'!H9+'16 Dec - 22 Dec'!H9+'23 Dec - 29 Dec'!H9)</f>
        <v>160</v>
      </c>
      <c r="K9" s="172">
        <f t="shared" si="2"/>
        <v>6.5252854812398037E-2</v>
      </c>
      <c r="L9" s="188">
        <v>18792.900000000001</v>
      </c>
      <c r="M9" s="89">
        <f t="shared" si="4"/>
        <v>6.1563433883982797E-2</v>
      </c>
      <c r="N9" s="130">
        <v>15650</v>
      </c>
      <c r="O9" s="26"/>
    </row>
    <row r="10" spans="1:15" ht="15.6" customHeight="1" x14ac:dyDescent="0.3">
      <c r="A10" s="409" t="s">
        <v>20</v>
      </c>
      <c r="B10" s="200">
        <f>'23 Dec - 29 Dec'!D10</f>
        <v>89635.6</v>
      </c>
      <c r="C10" s="73">
        <v>114633.65</v>
      </c>
      <c r="D10" s="145">
        <v>112210.71</v>
      </c>
      <c r="E10" s="163">
        <f t="shared" si="0"/>
        <v>-2.1136376622396546E-2</v>
      </c>
      <c r="F10" s="166">
        <v>741</v>
      </c>
      <c r="G10" s="63">
        <f t="shared" si="3"/>
        <v>151.43145748987854</v>
      </c>
      <c r="H10" s="61">
        <v>11</v>
      </c>
      <c r="I10" s="169">
        <f t="shared" si="1"/>
        <v>1.4844804318488529E-2</v>
      </c>
      <c r="J10" s="46">
        <f>SUM(H10+130+'9 Dec - 15 Dec'!H10+'16 Dec - 22 Dec'!H10+'23 Dec - 29 Dec'!H10)</f>
        <v>201</v>
      </c>
      <c r="K10" s="172">
        <f t="shared" si="2"/>
        <v>0.27125506072874495</v>
      </c>
      <c r="L10" s="188">
        <v>29344.35</v>
      </c>
      <c r="M10" s="89">
        <f t="shared" si="4"/>
        <v>0.26151113383027341</v>
      </c>
      <c r="N10" s="130">
        <v>6072.1</v>
      </c>
      <c r="O10" s="26"/>
    </row>
    <row r="11" spans="1:15" ht="15.6" customHeight="1" x14ac:dyDescent="0.3">
      <c r="A11" s="409" t="s">
        <v>21</v>
      </c>
      <c r="B11" s="200">
        <f>'23 Dec - 29 Dec'!D11</f>
        <v>234511.26</v>
      </c>
      <c r="C11" s="73">
        <v>228405.1</v>
      </c>
      <c r="D11" s="145">
        <v>259688.15</v>
      </c>
      <c r="E11" s="163">
        <f t="shared" si="0"/>
        <v>0.13696301002035413</v>
      </c>
      <c r="F11" s="166">
        <v>1658</v>
      </c>
      <c r="G11" s="63">
        <f t="shared" si="3"/>
        <v>156.62735223160433</v>
      </c>
      <c r="H11" s="61">
        <v>7</v>
      </c>
      <c r="I11" s="169">
        <f t="shared" si="1"/>
        <v>4.2219541616405308E-3</v>
      </c>
      <c r="J11" s="46">
        <f>SUM(H11+123+'9 Dec - 15 Dec'!H11+'16 Dec - 22 Dec'!H11+'23 Dec - 29 Dec'!H11)</f>
        <v>175</v>
      </c>
      <c r="K11" s="172">
        <f t="shared" si="2"/>
        <v>0.10554885404101327</v>
      </c>
      <c r="L11" s="188">
        <v>41361.22</v>
      </c>
      <c r="M11" s="89">
        <f t="shared" si="4"/>
        <v>0.15927265067736052</v>
      </c>
      <c r="N11" s="130">
        <v>18883</v>
      </c>
      <c r="O11" s="26"/>
    </row>
    <row r="12" spans="1:15" ht="15.6" customHeight="1" x14ac:dyDescent="0.3">
      <c r="A12" s="198" t="s">
        <v>22</v>
      </c>
      <c r="B12" s="200">
        <f>'23 Dec - 29 Dec'!D12</f>
        <v>128991.96</v>
      </c>
      <c r="C12" s="73">
        <v>133751.79</v>
      </c>
      <c r="D12" s="145">
        <v>172759.05</v>
      </c>
      <c r="E12" s="163">
        <f t="shared" si="0"/>
        <v>0.29163916236186432</v>
      </c>
      <c r="F12" s="166">
        <v>1305</v>
      </c>
      <c r="G12" s="63">
        <f t="shared" si="3"/>
        <v>132.38241379310344</v>
      </c>
      <c r="H12" s="61">
        <v>17</v>
      </c>
      <c r="I12" s="169">
        <f t="shared" si="1"/>
        <v>1.3026819923371647E-2</v>
      </c>
      <c r="J12" s="46">
        <f>SUM(H12+55+'9 Dec - 15 Dec'!H12+'16 Dec - 22 Dec'!H12+'23 Dec - 29 Dec'!H12)</f>
        <v>100</v>
      </c>
      <c r="K12" s="172">
        <f t="shared" si="2"/>
        <v>7.662835249042145E-2</v>
      </c>
      <c r="L12" s="188">
        <v>23952.09</v>
      </c>
      <c r="M12" s="89">
        <f t="shared" si="4"/>
        <v>0.13864448779962613</v>
      </c>
      <c r="N12" s="130">
        <v>14266.1</v>
      </c>
      <c r="O12" s="26"/>
    </row>
    <row r="13" spans="1:15" ht="15.6" customHeight="1" x14ac:dyDescent="0.3">
      <c r="A13" s="198" t="s">
        <v>23</v>
      </c>
      <c r="B13" s="200">
        <f>'23 Dec - 29 Dec'!D13</f>
        <v>128106.28</v>
      </c>
      <c r="C13" s="73">
        <v>185171.07</v>
      </c>
      <c r="D13" s="145">
        <v>155712.35</v>
      </c>
      <c r="E13" s="163">
        <f t="shared" si="0"/>
        <v>-0.159089214098077</v>
      </c>
      <c r="F13" s="166">
        <v>1133</v>
      </c>
      <c r="G13" s="63">
        <f t="shared" si="3"/>
        <v>137.43367166813769</v>
      </c>
      <c r="H13" s="61">
        <v>10</v>
      </c>
      <c r="I13" s="169">
        <f t="shared" si="1"/>
        <v>8.8261253309796991E-3</v>
      </c>
      <c r="J13" s="46">
        <f>SUM(H13+66+'9 Dec - 15 Dec'!H13+'16 Dec - 22 Dec'!H13+'23 Dec - 29 Dec'!H13)</f>
        <v>103</v>
      </c>
      <c r="K13" s="172">
        <f t="shared" si="2"/>
        <v>9.0909090909090912E-2</v>
      </c>
      <c r="L13" s="188">
        <v>24317.65</v>
      </c>
      <c r="M13" s="89">
        <f t="shared" si="4"/>
        <v>0.15617033587894602</v>
      </c>
      <c r="N13" s="130">
        <v>9582.84</v>
      </c>
      <c r="O13" s="26"/>
    </row>
    <row r="14" spans="1:15" ht="15.6" hidden="1" customHeight="1" x14ac:dyDescent="0.3">
      <c r="A14" s="198" t="s">
        <v>24</v>
      </c>
      <c r="B14" s="200">
        <f>'23 Dec - 29 Dec'!D14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'23 Dec - 29 Dec'!D15</f>
        <v>845642.47</v>
      </c>
      <c r="C15" s="73">
        <v>730769.93</v>
      </c>
      <c r="D15" s="145">
        <v>877892.31</v>
      </c>
      <c r="E15" s="163">
        <f t="shared" si="0"/>
        <v>0.20132516946886414</v>
      </c>
      <c r="F15" s="166">
        <v>6909</v>
      </c>
      <c r="G15" s="63">
        <f t="shared" si="3"/>
        <v>127.06503256621798</v>
      </c>
      <c r="H15" s="61">
        <v>0</v>
      </c>
      <c r="I15" s="169">
        <f t="shared" si="1"/>
        <v>0</v>
      </c>
      <c r="J15" s="46">
        <f>SUM(H15+134+'9 Dec - 15 Dec'!H15+'16 Dec - 22 Dec'!H15+'23 Dec - 29 Dec'!H15)</f>
        <v>134</v>
      </c>
      <c r="K15" s="172">
        <f t="shared" si="2"/>
        <v>1.9394992039368938E-2</v>
      </c>
      <c r="L15" s="188">
        <v>54580.43</v>
      </c>
      <c r="M15" s="89">
        <f t="shared" si="4"/>
        <v>6.2172124505795019E-2</v>
      </c>
      <c r="N15" s="130">
        <v>24133.95</v>
      </c>
      <c r="O15" s="9"/>
    </row>
    <row r="16" spans="1:15" ht="15.6" customHeight="1" x14ac:dyDescent="0.3">
      <c r="A16" s="198" t="s">
        <v>27</v>
      </c>
      <c r="B16" s="200">
        <f>'23 Dec - 29 Dec'!D16</f>
        <v>72195.61</v>
      </c>
      <c r="C16" s="73">
        <v>96083.839999999997</v>
      </c>
      <c r="D16" s="145">
        <v>104178.02</v>
      </c>
      <c r="E16" s="163">
        <f t="shared" si="0"/>
        <v>8.4240804697231164E-2</v>
      </c>
      <c r="F16" s="166">
        <v>747</v>
      </c>
      <c r="G16" s="63">
        <f t="shared" si="3"/>
        <v>139.46187416331995</v>
      </c>
      <c r="H16" s="61">
        <v>6</v>
      </c>
      <c r="I16" s="169">
        <f t="shared" si="1"/>
        <v>8.0321285140562242E-3</v>
      </c>
      <c r="J16" s="46">
        <f>SUM(H16+67+'9 Dec - 15 Dec'!H16+'16 Dec - 22 Dec'!H16+'23 Dec - 29 Dec'!H16)</f>
        <v>93</v>
      </c>
      <c r="K16" s="172">
        <f t="shared" si="2"/>
        <v>0.12449799196787148</v>
      </c>
      <c r="L16" s="188">
        <v>19094.900000000001</v>
      </c>
      <c r="M16" s="89">
        <f t="shared" si="4"/>
        <v>0.18329106274048979</v>
      </c>
      <c r="N16" s="130">
        <v>10407</v>
      </c>
      <c r="O16" s="9"/>
    </row>
    <row r="17" spans="1:15" ht="15.6" customHeight="1" x14ac:dyDescent="0.3">
      <c r="A17" s="198" t="s">
        <v>28</v>
      </c>
      <c r="B17" s="200">
        <f>'23 Dec - 29 Dec'!D17</f>
        <v>123472.58</v>
      </c>
      <c r="C17" s="73">
        <v>133382.21</v>
      </c>
      <c r="D17" s="145">
        <v>153893.73000000001</v>
      </c>
      <c r="E17" s="163">
        <f t="shared" si="0"/>
        <v>0.15378002808620445</v>
      </c>
      <c r="F17" s="166">
        <v>1018</v>
      </c>
      <c r="G17" s="63">
        <f t="shared" si="3"/>
        <v>151.1726227897839</v>
      </c>
      <c r="H17" s="61">
        <v>4</v>
      </c>
      <c r="I17" s="169">
        <f t="shared" si="1"/>
        <v>3.929273084479371E-3</v>
      </c>
      <c r="J17" s="46">
        <f>SUM(H17+61+'9 Dec - 15 Dec'!H17+'16 Dec - 22 Dec'!H17+'23 Dec - 29 Dec'!H17)</f>
        <v>94</v>
      </c>
      <c r="K17" s="172">
        <f t="shared" si="2"/>
        <v>9.2337917485265222E-2</v>
      </c>
      <c r="L17" s="188">
        <v>25295.39</v>
      </c>
      <c r="M17" s="89">
        <f t="shared" si="4"/>
        <v>0.16436920464530944</v>
      </c>
      <c r="N17" s="130">
        <v>10212.299999999999</v>
      </c>
      <c r="O17" s="9"/>
    </row>
    <row r="18" spans="1:15" ht="15.6" customHeight="1" x14ac:dyDescent="0.3">
      <c r="A18" s="198" t="s">
        <v>33</v>
      </c>
      <c r="B18" s="200">
        <f>'23 Dec - 29 Dec'!D18</f>
        <v>133520.31</v>
      </c>
      <c r="C18" s="73"/>
      <c r="D18" s="145">
        <v>194529.92000000001</v>
      </c>
      <c r="E18" s="163">
        <f t="shared" si="0"/>
        <v>0</v>
      </c>
      <c r="F18" s="166">
        <v>1520</v>
      </c>
      <c r="G18" s="63">
        <f t="shared" si="3"/>
        <v>127.9802105263158</v>
      </c>
      <c r="H18" s="61">
        <v>9</v>
      </c>
      <c r="I18" s="169">
        <f t="shared" si="1"/>
        <v>5.9210526315789476E-3</v>
      </c>
      <c r="J18" s="46">
        <f>SUM(H18+158+'9 Dec - 15 Dec'!H18+'16 Dec - 22 Dec'!H18+'23 Dec - 29 Dec'!H18)</f>
        <v>213</v>
      </c>
      <c r="K18" s="172">
        <f t="shared" si="2"/>
        <v>0.14013157894736841</v>
      </c>
      <c r="L18" s="188">
        <v>32168.43</v>
      </c>
      <c r="M18" s="89">
        <f t="shared" si="4"/>
        <v>0.16536494745898214</v>
      </c>
      <c r="N18" s="130">
        <v>2888</v>
      </c>
      <c r="O18" s="9"/>
    </row>
    <row r="19" spans="1:15" ht="16.2" customHeight="1" thickBot="1" x14ac:dyDescent="0.35">
      <c r="A19" s="203" t="s">
        <v>37</v>
      </c>
      <c r="B19" s="201">
        <f>'23 Dec - 29 Dec'!D19</f>
        <v>86742.74</v>
      </c>
      <c r="C19" s="205"/>
      <c r="D19" s="206">
        <v>101456.16</v>
      </c>
      <c r="E19" s="207">
        <f t="shared" si="0"/>
        <v>0</v>
      </c>
      <c r="F19" s="208">
        <v>1377</v>
      </c>
      <c r="G19" s="209">
        <f t="shared" si="3"/>
        <v>73.679128540305015</v>
      </c>
      <c r="H19" s="210">
        <v>0</v>
      </c>
      <c r="I19" s="211">
        <f t="shared" si="1"/>
        <v>0</v>
      </c>
      <c r="J19" s="212">
        <f>H19+'23 Dec - 29 Dec'!H19</f>
        <v>0</v>
      </c>
      <c r="K19" s="213">
        <f t="shared" si="2"/>
        <v>0</v>
      </c>
      <c r="L19" s="214">
        <v>5176.96</v>
      </c>
      <c r="M19" s="215">
        <f t="shared" si="4"/>
        <v>5.1026571476783668E-2</v>
      </c>
      <c r="N19" s="216">
        <v>11867.9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53" priority="5" operator="equal">
      <formula>0</formula>
    </cfRule>
  </conditionalFormatting>
  <conditionalFormatting sqref="D7:D19">
    <cfRule type="cellIs" dxfId="552" priority="4" operator="equal">
      <formula>0</formula>
    </cfRule>
  </conditionalFormatting>
  <conditionalFormatting sqref="E6:K19">
    <cfRule type="cellIs" dxfId="551" priority="3" operator="equal">
      <formula>0</formula>
    </cfRule>
  </conditionalFormatting>
  <conditionalFormatting sqref="L7:L19">
    <cfRule type="cellIs" dxfId="550" priority="2" operator="equal">
      <formula>0</formula>
    </cfRule>
  </conditionalFormatting>
  <conditionalFormatting sqref="M6:N19">
    <cfRule type="cellIs" dxfId="54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O41"/>
  <sheetViews>
    <sheetView zoomScale="78" workbookViewId="0">
      <pane xSplit="1" topLeftCell="B1" activePane="topRight" state="frozen"/>
      <selection pane="topRight" activeCell="C16" sqref="C1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0.1338340979199093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3048987.74</v>
      </c>
      <c r="C4" s="135">
        <f>SUM(C6:C19)-C14</f>
        <v>2238096.23</v>
      </c>
      <c r="D4" s="142">
        <f>SUM(D6:D19)</f>
        <v>2714341.79</v>
      </c>
      <c r="E4" s="217">
        <f t="shared" ref="E4:E19" si="0">IFERROR((SUM(D4-C4)/C4),0)</f>
        <v>0.21279047505477458</v>
      </c>
      <c r="F4" s="147">
        <f>SUM(F6:F19)</f>
        <v>21627</v>
      </c>
      <c r="G4" s="218">
        <f>AVERAGE(G5:G19)</f>
        <v>119.12507098622055</v>
      </c>
      <c r="H4" s="219">
        <f>SUM(H6:H19)</f>
        <v>193</v>
      </c>
      <c r="I4" s="220">
        <f t="shared" ref="I4:I19" si="1">IFERROR(H4/F4,0)</f>
        <v>8.9240301475008096E-3</v>
      </c>
      <c r="J4" s="221">
        <f>SUM(J6:J19)</f>
        <v>1911</v>
      </c>
      <c r="K4" s="222">
        <f t="shared" ref="K4:K19" si="2">IFERROR(J4/SUM(F4),0)</f>
        <v>8.8361770009710086E-2</v>
      </c>
      <c r="L4" s="223">
        <f>SUM(L6:L19)</f>
        <v>343431.06</v>
      </c>
      <c r="M4" s="222">
        <f>SUM(L4/D4)</f>
        <v>0.12652461869954851</v>
      </c>
      <c r="N4" s="141">
        <f>SUM(N6:N19)</f>
        <v>160537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'30 Dec - 5 Jan'!D6</f>
        <v>276666.88</v>
      </c>
      <c r="C6" s="123">
        <v>282462.92</v>
      </c>
      <c r="D6" s="197">
        <v>296675.38</v>
      </c>
      <c r="E6" s="162">
        <f t="shared" si="0"/>
        <v>5.0316197255200867E-2</v>
      </c>
      <c r="F6" s="165">
        <v>2865</v>
      </c>
      <c r="G6" s="124">
        <f t="shared" ref="G6:G19" si="3">IFERROR(D6/F6,0)</f>
        <v>103.55161605584642</v>
      </c>
      <c r="H6" s="125">
        <v>15</v>
      </c>
      <c r="I6" s="168">
        <f t="shared" si="1"/>
        <v>5.235602094240838E-3</v>
      </c>
      <c r="J6" s="46">
        <f>SUM(109+H6+'9 Dec - 15 Dec'!H6+'16 Dec - 22 Dec'!H6+'23 Dec - 29 Dec'!H6+'30 Dec - 5 Jan'!H6)</f>
        <v>226</v>
      </c>
      <c r="K6" s="171">
        <f t="shared" si="2"/>
        <v>7.8883071553228615E-2</v>
      </c>
      <c r="L6" s="191">
        <v>31630.91</v>
      </c>
      <c r="M6" s="128">
        <f t="shared" ref="M6:M19" si="4">SUM(L6/D6)</f>
        <v>0.10661791349184419</v>
      </c>
      <c r="N6" s="129">
        <v>16012.95</v>
      </c>
      <c r="O6" s="26"/>
    </row>
    <row r="7" spans="1:15" ht="15.6" customHeight="1" x14ac:dyDescent="0.3">
      <c r="A7" s="409" t="s">
        <v>16</v>
      </c>
      <c r="B7" s="200">
        <f>'30 Dec - 5 Jan'!D7</f>
        <v>266740.18</v>
      </c>
      <c r="C7" s="73">
        <v>167793.48</v>
      </c>
      <c r="D7" s="145">
        <v>198130.76</v>
      </c>
      <c r="E7" s="163">
        <f t="shared" si="0"/>
        <v>0.18080130407927647</v>
      </c>
      <c r="F7" s="166">
        <v>1946</v>
      </c>
      <c r="G7" s="63">
        <f t="shared" si="3"/>
        <v>101.81436793422405</v>
      </c>
      <c r="H7" s="61">
        <v>5</v>
      </c>
      <c r="I7" s="169">
        <f t="shared" si="1"/>
        <v>2.5693730729701952E-3</v>
      </c>
      <c r="J7" s="46">
        <f>SUM(H7+153+'9 Dec - 15 Dec'!H7+'16 Dec - 22 Dec'!H7+'23 Dec - 29 Dec'!H7+'30 Dec - 5 Jan'!H7)</f>
        <v>209</v>
      </c>
      <c r="K7" s="172">
        <f t="shared" si="2"/>
        <v>0.10739979445015416</v>
      </c>
      <c r="L7" s="188">
        <v>22149.57</v>
      </c>
      <c r="M7" s="89">
        <f t="shared" si="4"/>
        <v>0.11179268680945856</v>
      </c>
      <c r="N7" s="130">
        <v>13434.75</v>
      </c>
      <c r="O7" s="26"/>
    </row>
    <row r="8" spans="1:15" ht="15.6" customHeight="1" x14ac:dyDescent="0.3">
      <c r="A8" s="409" t="s">
        <v>17</v>
      </c>
      <c r="B8" s="200">
        <f>'30 Dec - 5 Jan'!D8</f>
        <v>67999.53</v>
      </c>
      <c r="C8" s="73">
        <v>82899.22</v>
      </c>
      <c r="D8" s="145">
        <v>81968.13</v>
      </c>
      <c r="E8" s="163">
        <f t="shared" si="0"/>
        <v>-1.1231589392517765E-2</v>
      </c>
      <c r="F8" s="166">
        <v>567</v>
      </c>
      <c r="G8" s="63">
        <f t="shared" si="3"/>
        <v>144.56460317460318</v>
      </c>
      <c r="H8" s="61">
        <v>7</v>
      </c>
      <c r="I8" s="169">
        <f t="shared" si="1"/>
        <v>1.2345679012345678E-2</v>
      </c>
      <c r="J8" s="46">
        <f>SUM(H8+12+'9 Dec - 15 Dec'!H8+'16 Dec - 22 Dec'!H8+'23 Dec - 29 Dec'!H8+'30 Dec - 5 Jan'!H8)</f>
        <v>37</v>
      </c>
      <c r="K8" s="172">
        <f t="shared" si="2"/>
        <v>6.5255731922398585E-2</v>
      </c>
      <c r="L8" s="188">
        <v>23555.65</v>
      </c>
      <c r="M8" s="89">
        <f t="shared" si="4"/>
        <v>0.28737571541524737</v>
      </c>
      <c r="N8" s="130">
        <v>2741</v>
      </c>
      <c r="O8" s="26"/>
    </row>
    <row r="9" spans="1:15" ht="15.6" customHeight="1" x14ac:dyDescent="0.3">
      <c r="A9" s="409" t="s">
        <v>18</v>
      </c>
      <c r="B9" s="200">
        <f>'30 Dec - 5 Jan'!D9</f>
        <v>305260.75</v>
      </c>
      <c r="C9" s="73">
        <v>317910.26</v>
      </c>
      <c r="D9" s="145">
        <v>287972.86</v>
      </c>
      <c r="E9" s="163">
        <f t="shared" si="0"/>
        <v>-9.4169342002362627E-2</v>
      </c>
      <c r="F9" s="166">
        <v>2237</v>
      </c>
      <c r="G9" s="63">
        <f t="shared" si="3"/>
        <v>128.73172105498435</v>
      </c>
      <c r="H9" s="61">
        <v>14</v>
      </c>
      <c r="I9" s="169">
        <f t="shared" si="1"/>
        <v>6.2583817612874388E-3</v>
      </c>
      <c r="J9" s="46">
        <f>SUM(H9+79+'9 Dec - 15 Dec'!H9+'16 Dec - 22 Dec'!H9+'23 Dec - 29 Dec'!H9+'30 Dec - 5 Jan'!H9)</f>
        <v>174</v>
      </c>
      <c r="K9" s="172">
        <f t="shared" si="2"/>
        <v>7.7782744747429591E-2</v>
      </c>
      <c r="L9" s="188">
        <v>20551.89</v>
      </c>
      <c r="M9" s="89">
        <f t="shared" si="4"/>
        <v>7.1367454558044122E-2</v>
      </c>
      <c r="N9" s="130">
        <v>13774.1</v>
      </c>
      <c r="O9" s="26"/>
    </row>
    <row r="10" spans="1:15" ht="15.6" customHeight="1" x14ac:dyDescent="0.3">
      <c r="A10" s="409" t="s">
        <v>20</v>
      </c>
      <c r="B10" s="200">
        <f>'30 Dec - 5 Jan'!D10</f>
        <v>112210.71</v>
      </c>
      <c r="C10" s="73">
        <v>135753.01999999999</v>
      </c>
      <c r="D10" s="145">
        <v>132580.56</v>
      </c>
      <c r="E10" s="163">
        <f t="shared" si="0"/>
        <v>-2.3369351193807637E-2</v>
      </c>
      <c r="F10" s="166">
        <v>943</v>
      </c>
      <c r="G10" s="63">
        <f t="shared" si="3"/>
        <v>140.59444326617179</v>
      </c>
      <c r="H10" s="61">
        <v>28</v>
      </c>
      <c r="I10" s="169">
        <f t="shared" si="1"/>
        <v>2.9692470837751856E-2</v>
      </c>
      <c r="J10" s="46">
        <f>SUM(H10+130+'9 Dec - 15 Dec'!H10+'16 Dec - 22 Dec'!H10+'23 Dec - 29 Dec'!H10+'30 Dec - 5 Jan'!H10)</f>
        <v>229</v>
      </c>
      <c r="K10" s="172">
        <f t="shared" si="2"/>
        <v>0.24284199363732767</v>
      </c>
      <c r="L10" s="188">
        <v>33120.04</v>
      </c>
      <c r="M10" s="89">
        <f t="shared" si="4"/>
        <v>0.24981068114360055</v>
      </c>
      <c r="N10" s="130">
        <v>10966.3</v>
      </c>
      <c r="O10" s="26"/>
    </row>
    <row r="11" spans="1:15" ht="15.6" customHeight="1" x14ac:dyDescent="0.3">
      <c r="A11" s="409" t="s">
        <v>21</v>
      </c>
      <c r="B11" s="200">
        <f>'30 Dec - 5 Jan'!D11</f>
        <v>259688.15</v>
      </c>
      <c r="C11" s="73">
        <v>320006.2</v>
      </c>
      <c r="D11" s="145">
        <v>330215.89</v>
      </c>
      <c r="E11" s="163">
        <f t="shared" si="0"/>
        <v>3.1904663097152501E-2</v>
      </c>
      <c r="F11" s="166">
        <v>2095</v>
      </c>
      <c r="G11" s="63">
        <f t="shared" si="3"/>
        <v>157.62094988066826</v>
      </c>
      <c r="H11" s="61">
        <v>58</v>
      </c>
      <c r="I11" s="169">
        <f t="shared" si="1"/>
        <v>2.7684964200477329E-2</v>
      </c>
      <c r="J11" s="46">
        <f>SUM(H11+123+'9 Dec - 15 Dec'!H11+'16 Dec - 22 Dec'!H11+'23 Dec - 29 Dec'!H11+'30 Dec - 5 Jan'!H11)</f>
        <v>233</v>
      </c>
      <c r="K11" s="172">
        <f t="shared" si="2"/>
        <v>0.11121718377088305</v>
      </c>
      <c r="L11" s="188">
        <v>45956.52</v>
      </c>
      <c r="M11" s="89">
        <f t="shared" si="4"/>
        <v>0.13917113437515075</v>
      </c>
      <c r="N11" s="130">
        <v>18237.900000000001</v>
      </c>
      <c r="O11" s="26"/>
    </row>
    <row r="12" spans="1:15" ht="15.6" customHeight="1" x14ac:dyDescent="0.3">
      <c r="A12" s="198" t="s">
        <v>22</v>
      </c>
      <c r="B12" s="200">
        <f>'30 Dec - 5 Jan'!D12</f>
        <v>172759.05</v>
      </c>
      <c r="C12" s="73">
        <v>138417.91</v>
      </c>
      <c r="D12" s="145">
        <v>132864.84</v>
      </c>
      <c r="E12" s="163">
        <f t="shared" si="0"/>
        <v>-4.0118146560658277E-2</v>
      </c>
      <c r="F12" s="166">
        <v>1052</v>
      </c>
      <c r="G12" s="63">
        <f t="shared" si="3"/>
        <v>126.2973764258555</v>
      </c>
      <c r="H12" s="61">
        <v>4</v>
      </c>
      <c r="I12" s="169">
        <f t="shared" si="1"/>
        <v>3.8022813688212928E-3</v>
      </c>
      <c r="J12" s="46">
        <f>SUM(H12+55+'9 Dec - 15 Dec'!H12+'16 Dec - 22 Dec'!H12+'23 Dec - 29 Dec'!H12+'30 Dec - 5 Jan'!H12)</f>
        <v>104</v>
      </c>
      <c r="K12" s="172">
        <f t="shared" si="2"/>
        <v>9.8859315589353611E-2</v>
      </c>
      <c r="L12" s="188">
        <v>18924.78</v>
      </c>
      <c r="M12" s="89">
        <f t="shared" si="4"/>
        <v>0.14243632852754723</v>
      </c>
      <c r="N12" s="130">
        <v>10099</v>
      </c>
      <c r="O12" s="26"/>
    </row>
    <row r="13" spans="1:15" ht="15.6" customHeight="1" x14ac:dyDescent="0.3">
      <c r="A13" s="198" t="s">
        <v>23</v>
      </c>
      <c r="B13" s="200">
        <f>'30 Dec - 5 Jan'!D13</f>
        <v>155712.35</v>
      </c>
      <c r="C13" s="73">
        <v>219380.24</v>
      </c>
      <c r="D13" s="145">
        <v>219689.71</v>
      </c>
      <c r="E13" s="163">
        <f t="shared" si="0"/>
        <v>1.4106557637096266E-3</v>
      </c>
      <c r="F13" s="166">
        <v>1561</v>
      </c>
      <c r="G13" s="63">
        <f t="shared" si="3"/>
        <v>140.73652146060218</v>
      </c>
      <c r="H13" s="61">
        <v>2</v>
      </c>
      <c r="I13" s="169">
        <f t="shared" si="1"/>
        <v>1.2812299807815502E-3</v>
      </c>
      <c r="J13" s="46">
        <f>SUM(H13+66+'9 Dec - 15 Dec'!H13+'16 Dec - 22 Dec'!H13+'23 Dec - 29 Dec'!H13+'30 Dec - 5 Jan'!H13)</f>
        <v>105</v>
      </c>
      <c r="K13" s="172">
        <f t="shared" si="2"/>
        <v>6.726457399103139E-2</v>
      </c>
      <c r="L13" s="188">
        <v>32114.17</v>
      </c>
      <c r="M13" s="89">
        <f t="shared" si="4"/>
        <v>0.14617967313990263</v>
      </c>
      <c r="N13" s="130">
        <v>13110.5</v>
      </c>
      <c r="O13" s="26"/>
    </row>
    <row r="14" spans="1:15" ht="15.6" hidden="1" customHeight="1" x14ac:dyDescent="0.3">
      <c r="A14" s="198" t="s">
        <v>24</v>
      </c>
      <c r="B14" s="200">
        <f>'30 Dec - 5 Jan'!D14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'30 Dec - 5 Jan'!D15</f>
        <v>877892.31</v>
      </c>
      <c r="C15" s="73">
        <v>260614.2</v>
      </c>
      <c r="D15" s="145">
        <v>440887.85</v>
      </c>
      <c r="E15" s="163">
        <f t="shared" si="0"/>
        <v>0.69172612236785236</v>
      </c>
      <c r="F15" s="166">
        <v>3581</v>
      </c>
      <c r="G15" s="63">
        <f t="shared" si="3"/>
        <v>123.11864004468025</v>
      </c>
      <c r="H15" s="61">
        <v>0</v>
      </c>
      <c r="I15" s="169">
        <f t="shared" si="1"/>
        <v>0</v>
      </c>
      <c r="J15" s="46">
        <f>SUM(H15+134+'9 Dec - 15 Dec'!H15+'16 Dec - 22 Dec'!H15+'23 Dec - 29 Dec'!H15+'30 Dec - 5 Jan'!H15)</f>
        <v>134</v>
      </c>
      <c r="K15" s="172">
        <f t="shared" si="2"/>
        <v>3.7419715163362191E-2</v>
      </c>
      <c r="L15" s="188">
        <v>27028.43</v>
      </c>
      <c r="M15" s="89">
        <f t="shared" si="4"/>
        <v>6.1304547176793379E-2</v>
      </c>
      <c r="N15" s="130">
        <v>12570.9</v>
      </c>
      <c r="O15" s="9"/>
    </row>
    <row r="16" spans="1:15" ht="15.6" customHeight="1" x14ac:dyDescent="0.3">
      <c r="A16" s="198" t="s">
        <v>27</v>
      </c>
      <c r="B16" s="200">
        <f>'30 Dec - 5 Jan'!D16</f>
        <v>104178.02</v>
      </c>
      <c r="C16" s="73">
        <v>123295.01</v>
      </c>
      <c r="D16" s="145">
        <v>115805.88</v>
      </c>
      <c r="E16" s="163">
        <f t="shared" si="0"/>
        <v>-6.07415498810535E-2</v>
      </c>
      <c r="F16" s="166">
        <v>824</v>
      </c>
      <c r="G16" s="63">
        <f t="shared" si="3"/>
        <v>140.54111650485439</v>
      </c>
      <c r="H16" s="61">
        <v>17</v>
      </c>
      <c r="I16" s="169">
        <f t="shared" si="1"/>
        <v>2.063106796116505E-2</v>
      </c>
      <c r="J16" s="46">
        <f>SUM(H16+67+'9 Dec - 15 Dec'!H16+'16 Dec - 22 Dec'!H16+'23 Dec - 29 Dec'!H16+'30 Dec - 5 Jan'!H16)</f>
        <v>110</v>
      </c>
      <c r="K16" s="172">
        <f t="shared" si="2"/>
        <v>0.13349514563106796</v>
      </c>
      <c r="L16" s="188">
        <v>20599.09</v>
      </c>
      <c r="M16" s="89">
        <f t="shared" si="4"/>
        <v>0.17787602840201205</v>
      </c>
      <c r="N16" s="130">
        <v>11635.5</v>
      </c>
      <c r="O16" s="9"/>
    </row>
    <row r="17" spans="1:15" ht="15.6" customHeight="1" x14ac:dyDescent="0.3">
      <c r="A17" s="198" t="s">
        <v>28</v>
      </c>
      <c r="B17" s="200">
        <f>'30 Dec - 5 Jan'!D17</f>
        <v>153893.73000000001</v>
      </c>
      <c r="C17" s="73">
        <v>189563.77</v>
      </c>
      <c r="D17" s="145">
        <v>192938.39</v>
      </c>
      <c r="E17" s="163">
        <f t="shared" si="0"/>
        <v>1.7802030419631475E-2</v>
      </c>
      <c r="F17" s="166">
        <v>1283</v>
      </c>
      <c r="G17" s="63">
        <f t="shared" si="3"/>
        <v>150.38066250974279</v>
      </c>
      <c r="H17" s="61">
        <v>22</v>
      </c>
      <c r="I17" s="169">
        <f t="shared" si="1"/>
        <v>1.7147310989867499E-2</v>
      </c>
      <c r="J17" s="46">
        <f>SUM(H17+61+'9 Dec - 15 Dec'!H17+'16 Dec - 22 Dec'!H17+'23 Dec - 29 Dec'!H17+'30 Dec - 5 Jan'!H17)</f>
        <v>116</v>
      </c>
      <c r="K17" s="172">
        <f t="shared" si="2"/>
        <v>9.041309431021044E-2</v>
      </c>
      <c r="L17" s="188">
        <v>29456.13</v>
      </c>
      <c r="M17" s="89">
        <f t="shared" si="4"/>
        <v>0.15267117135164235</v>
      </c>
      <c r="N17" s="130">
        <v>13923.4</v>
      </c>
      <c r="O17" s="9"/>
    </row>
    <row r="18" spans="1:15" ht="15.6" customHeight="1" x14ac:dyDescent="0.3">
      <c r="A18" s="198" t="s">
        <v>33</v>
      </c>
      <c r="B18" s="200">
        <f>'30 Dec - 5 Jan'!D18</f>
        <v>194529.92000000001</v>
      </c>
      <c r="C18" s="73"/>
      <c r="D18" s="145">
        <v>176711.97</v>
      </c>
      <c r="E18" s="163">
        <f t="shared" si="0"/>
        <v>0</v>
      </c>
      <c r="F18" s="166">
        <v>1494</v>
      </c>
      <c r="G18" s="63">
        <f t="shared" si="3"/>
        <v>118.28110441767069</v>
      </c>
      <c r="H18" s="61">
        <v>21</v>
      </c>
      <c r="I18" s="169">
        <f t="shared" si="1"/>
        <v>1.4056224899598393E-2</v>
      </c>
      <c r="J18" s="46">
        <f>SUM(H18+158+'9 Dec - 15 Dec'!H18+'16 Dec - 22 Dec'!H18+'23 Dec - 29 Dec'!H18+'30 Dec - 5 Jan'!H18)</f>
        <v>234</v>
      </c>
      <c r="K18" s="172">
        <f t="shared" si="2"/>
        <v>0.15662650602409639</v>
      </c>
      <c r="L18" s="188">
        <v>26477.84</v>
      </c>
      <c r="M18" s="89">
        <f t="shared" si="4"/>
        <v>0.14983614296190575</v>
      </c>
      <c r="N18" s="130">
        <v>8326.5</v>
      </c>
      <c r="O18" s="9"/>
    </row>
    <row r="19" spans="1:15" ht="16.2" customHeight="1" thickBot="1" x14ac:dyDescent="0.35">
      <c r="A19" s="203" t="s">
        <v>37</v>
      </c>
      <c r="B19" s="201">
        <f>'30 Dec - 5 Jan'!D19</f>
        <v>101456.16</v>
      </c>
      <c r="C19" s="205"/>
      <c r="D19" s="206">
        <v>107899.57</v>
      </c>
      <c r="E19" s="207">
        <f t="shared" si="0"/>
        <v>0</v>
      </c>
      <c r="F19" s="208">
        <v>1179</v>
      </c>
      <c r="G19" s="209">
        <f t="shared" si="3"/>
        <v>91.517871077184054</v>
      </c>
      <c r="H19" s="210">
        <v>0</v>
      </c>
      <c r="I19" s="211">
        <f t="shared" si="1"/>
        <v>0</v>
      </c>
      <c r="J19" s="212">
        <f>H19+'23 Dec - 29 Dec'!H19+'30 Dec - 5 Jan'!H19</f>
        <v>0</v>
      </c>
      <c r="K19" s="213">
        <f t="shared" si="2"/>
        <v>0</v>
      </c>
      <c r="L19" s="214">
        <v>11866.04</v>
      </c>
      <c r="M19" s="215">
        <f t="shared" si="4"/>
        <v>0.10997300545312647</v>
      </c>
      <c r="N19" s="216">
        <v>15704.2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48" priority="5" operator="equal">
      <formula>0</formula>
    </cfRule>
  </conditionalFormatting>
  <conditionalFormatting sqref="D7:D19">
    <cfRule type="cellIs" dxfId="547" priority="4" operator="equal">
      <formula>0</formula>
    </cfRule>
  </conditionalFormatting>
  <conditionalFormatting sqref="E6:K19">
    <cfRule type="cellIs" dxfId="546" priority="3" operator="equal">
      <formula>0</formula>
    </cfRule>
  </conditionalFormatting>
  <conditionalFormatting sqref="L7:L19">
    <cfRule type="cellIs" dxfId="545" priority="2" operator="equal">
      <formula>0</formula>
    </cfRule>
  </conditionalFormatting>
  <conditionalFormatting sqref="M6:N19">
    <cfRule type="cellIs" dxfId="54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O41"/>
  <sheetViews>
    <sheetView zoomScale="78" workbookViewId="0">
      <pane xSplit="1" topLeftCell="B1" activePane="topRight" state="frozen"/>
      <selection pane="topRight" activeCell="H6" sqref="H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3.8621160947762849E-2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2714341.79</v>
      </c>
      <c r="C4" s="135">
        <f>SUM(C6:C19)-C14</f>
        <v>2111171.13</v>
      </c>
      <c r="D4" s="142">
        <f>SUM(D6:D19)</f>
        <v>2365372.5500000003</v>
      </c>
      <c r="E4" s="217">
        <f t="shared" ref="E4:E19" si="0">IFERROR((SUM(D4-C4)/C4),0)</f>
        <v>0.12040777575430392</v>
      </c>
      <c r="F4" s="147">
        <f>SUM(F6:F19)</f>
        <v>18629</v>
      </c>
      <c r="G4" s="218">
        <f>AVERAGE(G5:G19)</f>
        <v>120.65793321857812</v>
      </c>
      <c r="H4" s="219">
        <f>SUM(H6:H19)</f>
        <v>183</v>
      </c>
      <c r="I4" s="220">
        <f t="shared" ref="I4:I19" si="1">IFERROR(H4/F4,0)</f>
        <v>9.8233936335820494E-3</v>
      </c>
      <c r="J4" s="221">
        <f>SUM(J6:J19)</f>
        <v>2094</v>
      </c>
      <c r="K4" s="222">
        <f t="shared" ref="K4:K19" si="2">IFERROR(J4/SUM(F4),0)</f>
        <v>0.11240538944656181</v>
      </c>
      <c r="L4" s="223">
        <f>SUM(L6:L19)</f>
        <v>339563.08999999997</v>
      </c>
      <c r="M4" s="222">
        <f>SUM(L4/D4)</f>
        <v>0.14355585973127147</v>
      </c>
      <c r="N4" s="141">
        <f>SUM(N6:N19)</f>
        <v>144736.59999999998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'6 Jan - 12 Jan'!D6</f>
        <v>296675.38</v>
      </c>
      <c r="C6" s="123">
        <v>250408.15</v>
      </c>
      <c r="D6" s="197">
        <v>249678.67</v>
      </c>
      <c r="E6" s="162">
        <f t="shared" si="0"/>
        <v>-2.9131639685049445E-3</v>
      </c>
      <c r="F6" s="165">
        <v>2590</v>
      </c>
      <c r="G6" s="124">
        <f t="shared" ref="G6:G19" si="3">IFERROR(D6/F6,0)</f>
        <v>96.401030888030888</v>
      </c>
      <c r="H6" s="125">
        <v>16</v>
      </c>
      <c r="I6" s="168">
        <f t="shared" si="1"/>
        <v>6.1776061776061776E-3</v>
      </c>
      <c r="J6" s="46">
        <f>SUM(109+H6+'9 Dec - 15 Dec'!H6+'16 Dec - 22 Dec'!H6+'23 Dec - 29 Dec'!H6+'30 Dec - 5 Jan'!H6+'6 Jan - 12 Jan'!H6)</f>
        <v>242</v>
      </c>
      <c r="K6" s="171">
        <f t="shared" si="2"/>
        <v>9.3436293436293436E-2</v>
      </c>
      <c r="L6" s="191">
        <v>33625</v>
      </c>
      <c r="M6" s="128">
        <f t="shared" ref="M6:M19" si="4">SUM(L6/D6)</f>
        <v>0.13467309802635521</v>
      </c>
      <c r="N6" s="129">
        <v>15281.4</v>
      </c>
      <c r="O6" s="26"/>
    </row>
    <row r="7" spans="1:15" ht="15.6" customHeight="1" x14ac:dyDescent="0.3">
      <c r="A7" s="409" t="s">
        <v>16</v>
      </c>
      <c r="B7" s="200">
        <f>'6 Jan - 12 Jan'!D7</f>
        <v>198130.76</v>
      </c>
      <c r="C7" s="73">
        <v>200795.26</v>
      </c>
      <c r="D7" s="145">
        <v>184174.36</v>
      </c>
      <c r="E7" s="163">
        <f t="shared" si="0"/>
        <v>-8.2775360334701245E-2</v>
      </c>
      <c r="F7" s="166">
        <v>1342</v>
      </c>
      <c r="G7" s="63">
        <f t="shared" si="3"/>
        <v>137.23871833084948</v>
      </c>
      <c r="H7" s="61">
        <v>5</v>
      </c>
      <c r="I7" s="169">
        <f t="shared" si="1"/>
        <v>3.7257824143070045E-3</v>
      </c>
      <c r="J7" s="46">
        <f>SUM(H7+153+'9 Dec - 15 Dec'!H7+'16 Dec - 22 Dec'!H7+'23 Dec - 29 Dec'!H7+'30 Dec - 5 Jan'!H7+'6 Jan - 12 Jan'!H7)</f>
        <v>214</v>
      </c>
      <c r="K7" s="172">
        <f t="shared" si="2"/>
        <v>0.15946348733233978</v>
      </c>
      <c r="L7" s="188">
        <v>24165.61</v>
      </c>
      <c r="M7" s="89">
        <f t="shared" si="4"/>
        <v>0.13121050074505486</v>
      </c>
      <c r="N7" s="130">
        <v>14198.45</v>
      </c>
      <c r="O7" s="26"/>
    </row>
    <row r="8" spans="1:15" ht="15.6" customHeight="1" x14ac:dyDescent="0.3">
      <c r="A8" s="409" t="s">
        <v>17</v>
      </c>
      <c r="B8" s="200">
        <f>'6 Jan - 12 Jan'!D8</f>
        <v>81968.13</v>
      </c>
      <c r="C8" s="73">
        <v>77975.73</v>
      </c>
      <c r="D8" s="145">
        <v>92094.41</v>
      </c>
      <c r="E8" s="163">
        <f t="shared" si="0"/>
        <v>0.18106505703761938</v>
      </c>
      <c r="F8" s="166">
        <v>672</v>
      </c>
      <c r="G8" s="63">
        <f t="shared" si="3"/>
        <v>137.04525297619048</v>
      </c>
      <c r="H8" s="61">
        <v>0</v>
      </c>
      <c r="I8" s="169">
        <f t="shared" si="1"/>
        <v>0</v>
      </c>
      <c r="J8" s="46">
        <f>SUM(H8+12+'9 Dec - 15 Dec'!H8+'16 Dec - 22 Dec'!H8+'23 Dec - 29 Dec'!H8+'30 Dec - 5 Jan'!H8+'6 Jan - 12 Jan'!H8)</f>
        <v>37</v>
      </c>
      <c r="K8" s="172">
        <f t="shared" si="2"/>
        <v>5.5059523809523808E-2</v>
      </c>
      <c r="L8" s="188">
        <v>25054.65</v>
      </c>
      <c r="M8" s="89">
        <f t="shared" si="4"/>
        <v>0.27205397157113009</v>
      </c>
      <c r="N8" s="130">
        <v>3600.1</v>
      </c>
      <c r="O8" s="26"/>
    </row>
    <row r="9" spans="1:15" ht="15.6" customHeight="1" x14ac:dyDescent="0.3">
      <c r="A9" s="409" t="s">
        <v>18</v>
      </c>
      <c r="B9" s="200">
        <f>'6 Jan - 12 Jan'!D9</f>
        <v>287972.86</v>
      </c>
      <c r="C9" s="73">
        <v>287612.28999999998</v>
      </c>
      <c r="D9" s="145">
        <v>282534.18</v>
      </c>
      <c r="E9" s="163">
        <f t="shared" si="0"/>
        <v>-1.7656095294119687E-2</v>
      </c>
      <c r="F9" s="166">
        <v>2209</v>
      </c>
      <c r="G9" s="63">
        <f t="shared" si="3"/>
        <v>127.90139429606157</v>
      </c>
      <c r="H9" s="61">
        <v>12</v>
      </c>
      <c r="I9" s="169">
        <f t="shared" si="1"/>
        <v>5.432322317790856E-3</v>
      </c>
      <c r="J9" s="46">
        <f>SUM(H9+79+'9 Dec - 15 Dec'!H9+'16 Dec - 22 Dec'!H9+'23 Dec - 29 Dec'!H9+'30 Dec - 5 Jan'!H9+'6 Jan - 12 Jan'!H9)</f>
        <v>186</v>
      </c>
      <c r="K9" s="172">
        <f t="shared" si="2"/>
        <v>8.4200995925758262E-2</v>
      </c>
      <c r="L9" s="188">
        <v>16290.35</v>
      </c>
      <c r="M9" s="89">
        <f t="shared" si="4"/>
        <v>5.7657979646922722E-2</v>
      </c>
      <c r="N9" s="130">
        <v>15413.6</v>
      </c>
      <c r="O9" s="26"/>
    </row>
    <row r="10" spans="1:15" ht="15.6" customHeight="1" x14ac:dyDescent="0.3">
      <c r="A10" s="409" t="s">
        <v>20</v>
      </c>
      <c r="B10" s="200">
        <f>'6 Jan - 12 Jan'!D10</f>
        <v>132580.56</v>
      </c>
      <c r="C10" s="73">
        <v>132398.45000000001</v>
      </c>
      <c r="D10" s="145">
        <v>160577.06</v>
      </c>
      <c r="E10" s="163">
        <f t="shared" si="0"/>
        <v>0.21283187227645023</v>
      </c>
      <c r="F10" s="166">
        <v>1042</v>
      </c>
      <c r="G10" s="63">
        <f t="shared" si="3"/>
        <v>154.1046641074856</v>
      </c>
      <c r="H10" s="61">
        <v>27</v>
      </c>
      <c r="I10" s="169">
        <f t="shared" si="1"/>
        <v>2.5911708253358926E-2</v>
      </c>
      <c r="J10" s="46">
        <f>SUM(H10+130+'9 Dec - 15 Dec'!H10+'16 Dec - 22 Dec'!H10+'23 Dec - 29 Dec'!H10+'30 Dec - 5 Jan'!H10+'6 Jan - 12 Jan'!H10)</f>
        <v>256</v>
      </c>
      <c r="K10" s="172">
        <f t="shared" si="2"/>
        <v>0.2456813819577735</v>
      </c>
      <c r="L10" s="188">
        <v>41100.480000000003</v>
      </c>
      <c r="M10" s="89">
        <f t="shared" si="4"/>
        <v>0.25595486677860463</v>
      </c>
      <c r="N10" s="130">
        <v>12738.15</v>
      </c>
      <c r="O10" s="26"/>
    </row>
    <row r="11" spans="1:15" ht="15.6" customHeight="1" x14ac:dyDescent="0.3">
      <c r="A11" s="409" t="s">
        <v>21</v>
      </c>
      <c r="B11" s="200">
        <f>'6 Jan - 12 Jan'!D11</f>
        <v>330215.89</v>
      </c>
      <c r="C11" s="73">
        <v>313579.03000000003</v>
      </c>
      <c r="D11" s="145">
        <v>287900.99</v>
      </c>
      <c r="E11" s="163">
        <f t="shared" si="0"/>
        <v>-8.1886980771641638E-2</v>
      </c>
      <c r="F11" s="166">
        <v>2000</v>
      </c>
      <c r="G11" s="63">
        <f t="shared" si="3"/>
        <v>143.95049499999999</v>
      </c>
      <c r="H11" s="61">
        <v>18</v>
      </c>
      <c r="I11" s="169">
        <f t="shared" si="1"/>
        <v>8.9999999999999993E-3</v>
      </c>
      <c r="J11" s="46">
        <f>SUM(H11+123+'9 Dec - 15 Dec'!H11+'16 Dec - 22 Dec'!H11+'23 Dec - 29 Dec'!H11+'30 Dec - 5 Jan'!H11+'6 Jan - 12 Jan'!H11)</f>
        <v>251</v>
      </c>
      <c r="K11" s="172">
        <f t="shared" si="2"/>
        <v>0.1255</v>
      </c>
      <c r="L11" s="188">
        <v>44712.3</v>
      </c>
      <c r="M11" s="89">
        <f t="shared" si="4"/>
        <v>0.15530443295801102</v>
      </c>
      <c r="N11" s="130">
        <v>1718.7</v>
      </c>
      <c r="O11" s="26"/>
    </row>
    <row r="12" spans="1:15" ht="15.6" customHeight="1" x14ac:dyDescent="0.3">
      <c r="A12" s="198" t="s">
        <v>22</v>
      </c>
      <c r="B12" s="200">
        <f>'6 Jan - 12 Jan'!D12</f>
        <v>132864.84</v>
      </c>
      <c r="C12" s="73">
        <v>139966.79999999999</v>
      </c>
      <c r="D12" s="145">
        <v>167794.96</v>
      </c>
      <c r="E12" s="163">
        <f t="shared" si="0"/>
        <v>0.19881972010505353</v>
      </c>
      <c r="F12" s="166">
        <v>1276</v>
      </c>
      <c r="G12" s="63">
        <f t="shared" si="3"/>
        <v>131.50075235109716</v>
      </c>
      <c r="H12" s="61">
        <v>18</v>
      </c>
      <c r="I12" s="169">
        <f t="shared" si="1"/>
        <v>1.4106583072100314E-2</v>
      </c>
      <c r="J12" s="46">
        <f>SUM(H12+55+'9 Dec - 15 Dec'!H12+'16 Dec - 22 Dec'!H12+'23 Dec - 29 Dec'!H12+'30 Dec - 5 Jan'!H12+'6 Jan - 12 Jan'!H12)</f>
        <v>122</v>
      </c>
      <c r="K12" s="172">
        <f t="shared" si="2"/>
        <v>9.561128526645768E-2</v>
      </c>
      <c r="L12" s="188">
        <v>23203.3</v>
      </c>
      <c r="M12" s="89">
        <f t="shared" si="4"/>
        <v>0.1382836528582265</v>
      </c>
      <c r="N12" s="130">
        <v>12677.47</v>
      </c>
      <c r="O12" s="26"/>
    </row>
    <row r="13" spans="1:15" ht="15.6" customHeight="1" x14ac:dyDescent="0.3">
      <c r="A13" s="198" t="s">
        <v>23</v>
      </c>
      <c r="B13" s="200">
        <f>'6 Jan - 12 Jan'!D13</f>
        <v>219689.71</v>
      </c>
      <c r="C13" s="73">
        <v>198827.43</v>
      </c>
      <c r="D13" s="145">
        <v>173601.74</v>
      </c>
      <c r="E13" s="163">
        <f t="shared" si="0"/>
        <v>-0.12687228316535604</v>
      </c>
      <c r="F13" s="166">
        <v>1411</v>
      </c>
      <c r="G13" s="63">
        <f t="shared" si="3"/>
        <v>123.03454287739191</v>
      </c>
      <c r="H13" s="61">
        <v>18</v>
      </c>
      <c r="I13" s="169">
        <f t="shared" si="1"/>
        <v>1.2756909992912827E-2</v>
      </c>
      <c r="J13" s="46">
        <f>SUM(H13+66+'9 Dec - 15 Dec'!H13+'16 Dec - 22 Dec'!H13+'23 Dec - 29 Dec'!H13+'30 Dec - 5 Jan'!H13+'6 Jan - 12 Jan'!H13)</f>
        <v>123</v>
      </c>
      <c r="K13" s="172">
        <f t="shared" si="2"/>
        <v>8.7172218284904318E-2</v>
      </c>
      <c r="L13" s="188">
        <v>26711.26</v>
      </c>
      <c r="M13" s="89">
        <f t="shared" si="4"/>
        <v>0.15386516287221544</v>
      </c>
      <c r="N13" s="130">
        <v>16121.55</v>
      </c>
      <c r="O13" s="26"/>
    </row>
    <row r="14" spans="1:15" ht="15.6" hidden="1" customHeight="1" x14ac:dyDescent="0.3">
      <c r="A14" s="198" t="s">
        <v>24</v>
      </c>
      <c r="B14" s="200">
        <f>'6 Jan - 12 Jan'!D14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'6 Jan - 12 Jan'!D15</f>
        <v>440887.85</v>
      </c>
      <c r="C15" s="73">
        <v>189348.96</v>
      </c>
      <c r="D15" s="145">
        <v>187166.99</v>
      </c>
      <c r="E15" s="163">
        <f t="shared" si="0"/>
        <v>-1.1523538338948369E-2</v>
      </c>
      <c r="F15" s="166">
        <v>1564</v>
      </c>
      <c r="G15" s="63">
        <f t="shared" si="3"/>
        <v>119.67198849104859</v>
      </c>
      <c r="H15" s="61">
        <v>14</v>
      </c>
      <c r="I15" s="169">
        <f t="shared" si="1"/>
        <v>8.9514066496163679E-3</v>
      </c>
      <c r="J15" s="46">
        <f>SUM(H15+134+'9 Dec - 15 Dec'!H15+'16 Dec - 22 Dec'!H15+'23 Dec - 29 Dec'!H15+'30 Dec - 5 Jan'!H15+'6 Jan - 12 Jan'!H15)</f>
        <v>148</v>
      </c>
      <c r="K15" s="172">
        <f t="shared" si="2"/>
        <v>9.4629156010230184E-2</v>
      </c>
      <c r="L15" s="188">
        <v>12016.87</v>
      </c>
      <c r="M15" s="89">
        <f t="shared" si="4"/>
        <v>6.4204003066993823E-2</v>
      </c>
      <c r="N15" s="130">
        <v>9609.7999999999993</v>
      </c>
      <c r="O15" s="9"/>
    </row>
    <row r="16" spans="1:15" ht="15.6" customHeight="1" x14ac:dyDescent="0.3">
      <c r="A16" s="198" t="s">
        <v>27</v>
      </c>
      <c r="B16" s="200">
        <f>'6 Jan - 12 Jan'!D16</f>
        <v>115805.88</v>
      </c>
      <c r="C16" s="73">
        <v>121824.18</v>
      </c>
      <c r="D16" s="145">
        <v>114412.28</v>
      </c>
      <c r="E16" s="163">
        <f t="shared" si="0"/>
        <v>-6.0840959487681298E-2</v>
      </c>
      <c r="F16" s="166">
        <v>796</v>
      </c>
      <c r="G16" s="63">
        <f t="shared" si="3"/>
        <v>143.73402010050251</v>
      </c>
      <c r="H16" s="61">
        <v>16</v>
      </c>
      <c r="I16" s="169">
        <f t="shared" si="1"/>
        <v>2.0100502512562814E-2</v>
      </c>
      <c r="J16" s="46">
        <f>SUM(H16+67+'9 Dec - 15 Dec'!H16+'16 Dec - 22 Dec'!H16+'23 Dec - 29 Dec'!H16+'30 Dec - 5 Jan'!H16+'6 Jan - 12 Jan'!H16)</f>
        <v>126</v>
      </c>
      <c r="K16" s="172">
        <f t="shared" si="2"/>
        <v>0.15829145728643215</v>
      </c>
      <c r="L16" s="188">
        <v>23592.35</v>
      </c>
      <c r="M16" s="89">
        <f t="shared" si="4"/>
        <v>0.20620470110376263</v>
      </c>
      <c r="N16" s="130">
        <v>10242</v>
      </c>
      <c r="O16" s="9"/>
    </row>
    <row r="17" spans="1:15" ht="15.6" customHeight="1" x14ac:dyDescent="0.3">
      <c r="A17" s="198" t="s">
        <v>28</v>
      </c>
      <c r="B17" s="200">
        <f>'6 Jan - 12 Jan'!D17</f>
        <v>192938.39</v>
      </c>
      <c r="C17" s="73">
        <v>198434.85</v>
      </c>
      <c r="D17" s="145">
        <v>173816.25</v>
      </c>
      <c r="E17" s="163">
        <f t="shared" si="0"/>
        <v>-0.12406389301072873</v>
      </c>
      <c r="F17" s="166">
        <v>1187</v>
      </c>
      <c r="G17" s="63">
        <f t="shared" si="3"/>
        <v>146.43323504633531</v>
      </c>
      <c r="H17" s="61">
        <v>10</v>
      </c>
      <c r="I17" s="169">
        <f t="shared" si="1"/>
        <v>8.4245998315080027E-3</v>
      </c>
      <c r="J17" s="46">
        <f>SUM(H17+61+'9 Dec - 15 Dec'!H17+'16 Dec - 22 Dec'!H17+'23 Dec - 29 Dec'!H17+'30 Dec - 5 Jan'!H17+'6 Jan - 12 Jan'!H17)</f>
        <v>126</v>
      </c>
      <c r="K17" s="172">
        <f t="shared" si="2"/>
        <v>0.10614995787700084</v>
      </c>
      <c r="L17" s="188">
        <v>23268.61</v>
      </c>
      <c r="M17" s="89">
        <f t="shared" si="4"/>
        <v>0.1338690139730894</v>
      </c>
      <c r="N17" s="130">
        <v>13396.18</v>
      </c>
      <c r="O17" s="9"/>
    </row>
    <row r="18" spans="1:15" ht="15.6" customHeight="1" x14ac:dyDescent="0.3">
      <c r="A18" s="198" t="s">
        <v>33</v>
      </c>
      <c r="B18" s="200">
        <f>'6 Jan - 12 Jan'!D18</f>
        <v>176711.97</v>
      </c>
      <c r="C18" s="73"/>
      <c r="D18" s="145">
        <v>172665.54</v>
      </c>
      <c r="E18" s="163">
        <f t="shared" si="0"/>
        <v>0</v>
      </c>
      <c r="F18" s="166">
        <v>1449</v>
      </c>
      <c r="G18" s="63">
        <f t="shared" si="3"/>
        <v>119.16186335403728</v>
      </c>
      <c r="H18" s="61">
        <v>20</v>
      </c>
      <c r="I18" s="169">
        <f t="shared" si="1"/>
        <v>1.3802622498274672E-2</v>
      </c>
      <c r="J18" s="46">
        <f>SUM(H18+158+'9 Dec - 15 Dec'!H18+'16 Dec - 22 Dec'!H18+'23 Dec - 29 Dec'!H18+'30 Dec - 5 Jan'!H18+'6 Jan - 12 Jan'!H18)</f>
        <v>254</v>
      </c>
      <c r="K18" s="172">
        <f t="shared" si="2"/>
        <v>0.17529330572808835</v>
      </c>
      <c r="L18" s="188">
        <v>21850.35</v>
      </c>
      <c r="M18" s="89">
        <f t="shared" si="4"/>
        <v>0.12654725430447789</v>
      </c>
      <c r="N18" s="130">
        <v>7607.8</v>
      </c>
      <c r="O18" s="9"/>
    </row>
    <row r="19" spans="1:15" ht="16.2" customHeight="1" thickBot="1" x14ac:dyDescent="0.35">
      <c r="A19" s="203" t="s">
        <v>37</v>
      </c>
      <c r="B19" s="201">
        <f>'6 Jan - 12 Jan'!D19</f>
        <v>107899.57</v>
      </c>
      <c r="C19" s="205"/>
      <c r="D19" s="206">
        <v>118955.12</v>
      </c>
      <c r="E19" s="207">
        <f t="shared" si="0"/>
        <v>0</v>
      </c>
      <c r="F19" s="208">
        <v>1091</v>
      </c>
      <c r="G19" s="209">
        <f t="shared" si="3"/>
        <v>109.03310724106323</v>
      </c>
      <c r="H19" s="210">
        <v>9</v>
      </c>
      <c r="I19" s="211">
        <f t="shared" si="1"/>
        <v>8.2493125572868919E-3</v>
      </c>
      <c r="J19" s="212">
        <f>H19+'23 Dec - 29 Dec'!H19+'30 Dec - 5 Jan'!H19+'6 Jan - 12 Jan'!H19</f>
        <v>9</v>
      </c>
      <c r="K19" s="213">
        <f t="shared" si="2"/>
        <v>8.2493125572868919E-3</v>
      </c>
      <c r="L19" s="214">
        <v>23971.96</v>
      </c>
      <c r="M19" s="215">
        <f t="shared" si="4"/>
        <v>0.2015210442392055</v>
      </c>
      <c r="N19" s="216">
        <v>12131.4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43" priority="5" operator="equal">
      <formula>0</formula>
    </cfRule>
  </conditionalFormatting>
  <conditionalFormatting sqref="D7:D19">
    <cfRule type="cellIs" dxfId="542" priority="4" operator="equal">
      <formula>0</formula>
    </cfRule>
  </conditionalFormatting>
  <conditionalFormatting sqref="E6:K19">
    <cfRule type="cellIs" dxfId="541" priority="3" operator="equal">
      <formula>0</formula>
    </cfRule>
  </conditionalFormatting>
  <conditionalFormatting sqref="L7:L19">
    <cfRule type="cellIs" dxfId="540" priority="2" operator="equal">
      <formula>0</formula>
    </cfRule>
  </conditionalFormatting>
  <conditionalFormatting sqref="M6:N19">
    <cfRule type="cellIs" dxfId="53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O41"/>
  <sheetViews>
    <sheetView zoomScale="78" workbookViewId="0">
      <pane xSplit="1" topLeftCell="E1" activePane="topRight" state="frozen"/>
      <selection pane="topRight" activeCell="J6" sqref="J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5.8894356685973794E-2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2365372.5500000003</v>
      </c>
      <c r="C4" s="135">
        <f>SUM(C6:C19)-C14</f>
        <v>2218346.16</v>
      </c>
      <c r="D4" s="142">
        <f>SUM(D6:D19)</f>
        <v>2547712.3800000004</v>
      </c>
      <c r="E4" s="217">
        <f t="shared" ref="E4:E19" si="0">IFERROR((SUM(D4-C4)/C4),0)</f>
        <v>0.1484737711088337</v>
      </c>
      <c r="F4" s="147">
        <f>SUM(F6:F19)</f>
        <v>19853</v>
      </c>
      <c r="G4" s="218">
        <f>AVERAGE(G5:G19)</f>
        <v>121.39442433453885</v>
      </c>
      <c r="H4" s="219">
        <f>SUM(H6:H19)</f>
        <v>213</v>
      </c>
      <c r="I4" s="220">
        <f t="shared" ref="I4:I19" si="1">IFERROR(H4/F4,0)</f>
        <v>1.0728857099682668E-2</v>
      </c>
      <c r="J4" s="221">
        <f>SUM(J6:J19)</f>
        <v>2307</v>
      </c>
      <c r="K4" s="222">
        <f t="shared" ref="K4:K19" si="2">IFERROR(J4/SUM(F4),0)</f>
        <v>0.11620410013599959</v>
      </c>
      <c r="L4" s="223">
        <f>SUM(L6:L19)</f>
        <v>363270.36</v>
      </c>
      <c r="M4" s="222">
        <f>SUM(L4/D4)</f>
        <v>0.14258688023488739</v>
      </c>
      <c r="N4" s="141">
        <f>SUM(N6:N19)</f>
        <v>163275.67000000001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'13 Jan - 19 Jan'!D6</f>
        <v>249678.67</v>
      </c>
      <c r="C6" s="123">
        <v>254835.6</v>
      </c>
      <c r="D6" s="197">
        <v>244971.94</v>
      </c>
      <c r="E6" s="162">
        <f t="shared" si="0"/>
        <v>-3.8705973576690242E-2</v>
      </c>
      <c r="F6" s="165">
        <v>2424</v>
      </c>
      <c r="G6" s="124">
        <f t="shared" ref="G6:G19" si="3">IFERROR(D6/F6,0)</f>
        <v>101.06103135313532</v>
      </c>
      <c r="H6" s="125">
        <v>8</v>
      </c>
      <c r="I6" s="168">
        <f t="shared" si="1"/>
        <v>3.3003300330033004E-3</v>
      </c>
      <c r="J6" s="46">
        <f>SUM(109+H6+'9 Dec - 15 Dec'!H6+'16 Dec - 22 Dec'!H6+'23 Dec - 29 Dec'!H6+'30 Dec - 5 Jan'!H6+'6 Jan - 12 Jan'!H6+'13 Jan - 19 Jan'!H6)</f>
        <v>250</v>
      </c>
      <c r="K6" s="171">
        <f t="shared" si="2"/>
        <v>0.10313531353135313</v>
      </c>
      <c r="L6" s="191">
        <v>34829.089999999997</v>
      </c>
      <c r="M6" s="128">
        <f t="shared" ref="M6:M19" si="4">SUM(L6/D6)</f>
        <v>0.14217583450578053</v>
      </c>
      <c r="N6" s="129">
        <v>16199.5</v>
      </c>
      <c r="O6" s="26"/>
    </row>
    <row r="7" spans="1:15" ht="15.6" customHeight="1" x14ac:dyDescent="0.3">
      <c r="A7" s="409" t="s">
        <v>16</v>
      </c>
      <c r="B7" s="200">
        <f>'13 Jan - 19 Jan'!D7</f>
        <v>184174.36</v>
      </c>
      <c r="C7" s="73">
        <v>191397.82</v>
      </c>
      <c r="D7" s="145">
        <v>212211.86</v>
      </c>
      <c r="E7" s="163">
        <f t="shared" si="0"/>
        <v>0.10874752909933863</v>
      </c>
      <c r="F7" s="166">
        <v>1634</v>
      </c>
      <c r="G7" s="63">
        <f t="shared" si="3"/>
        <v>129.87261933904529</v>
      </c>
      <c r="H7" s="61">
        <v>6</v>
      </c>
      <c r="I7" s="169">
        <f t="shared" si="1"/>
        <v>3.6719706242350062E-3</v>
      </c>
      <c r="J7" s="46">
        <f>SUM(H7+153+'9 Dec - 15 Dec'!H7+'16 Dec - 22 Dec'!H7+'23 Dec - 29 Dec'!H7+'30 Dec - 5 Jan'!H7+'6 Jan - 12 Jan'!H7+'13 Jan - 19 Jan'!H7)</f>
        <v>220</v>
      </c>
      <c r="K7" s="172">
        <f t="shared" si="2"/>
        <v>0.1346389228886169</v>
      </c>
      <c r="L7" s="188">
        <v>21913.83</v>
      </c>
      <c r="M7" s="89">
        <f t="shared" si="4"/>
        <v>0.10326392690776097</v>
      </c>
      <c r="N7" s="130">
        <v>17678.75</v>
      </c>
      <c r="O7" s="26"/>
    </row>
    <row r="8" spans="1:15" ht="15.6" customHeight="1" x14ac:dyDescent="0.3">
      <c r="A8" s="409" t="s">
        <v>17</v>
      </c>
      <c r="B8" s="200">
        <f>'13 Jan - 19 Jan'!D8</f>
        <v>92094.41</v>
      </c>
      <c r="C8" s="73">
        <v>86713.33</v>
      </c>
      <c r="D8" s="145">
        <v>104090</v>
      </c>
      <c r="E8" s="163">
        <f t="shared" si="0"/>
        <v>0.20039214270747066</v>
      </c>
      <c r="F8" s="166">
        <v>708</v>
      </c>
      <c r="G8" s="63">
        <f t="shared" si="3"/>
        <v>147.01977401129943</v>
      </c>
      <c r="H8" s="61">
        <v>0</v>
      </c>
      <c r="I8" s="169">
        <f t="shared" si="1"/>
        <v>0</v>
      </c>
      <c r="J8" s="46">
        <f>SUM(H8+12+'9 Dec - 15 Dec'!H8+'16 Dec - 22 Dec'!H8+'23 Dec - 29 Dec'!H8+'30 Dec - 5 Jan'!H8+'6 Jan - 12 Jan'!H8+'13 Jan - 19 Jan'!H8)</f>
        <v>37</v>
      </c>
      <c r="K8" s="172">
        <f t="shared" si="2"/>
        <v>5.2259887005649715E-2</v>
      </c>
      <c r="L8" s="188">
        <v>31041.74</v>
      </c>
      <c r="M8" s="89">
        <f t="shared" si="4"/>
        <v>0.29822019406283024</v>
      </c>
      <c r="N8" s="130">
        <v>4191.1000000000004</v>
      </c>
      <c r="O8" s="26"/>
    </row>
    <row r="9" spans="1:15" ht="15.6" customHeight="1" x14ac:dyDescent="0.3">
      <c r="A9" s="409" t="s">
        <v>18</v>
      </c>
      <c r="B9" s="200">
        <f>'13 Jan - 19 Jan'!D9</f>
        <v>282534.18</v>
      </c>
      <c r="C9" s="73">
        <v>328134.63</v>
      </c>
      <c r="D9" s="145">
        <v>326457.8</v>
      </c>
      <c r="E9" s="163">
        <f t="shared" si="0"/>
        <v>-5.1101890708701372E-3</v>
      </c>
      <c r="F9" s="166">
        <v>2636</v>
      </c>
      <c r="G9" s="63">
        <f t="shared" si="3"/>
        <v>123.8459028831563</v>
      </c>
      <c r="H9" s="61">
        <v>32</v>
      </c>
      <c r="I9" s="169">
        <f t="shared" si="1"/>
        <v>1.2139605462822459E-2</v>
      </c>
      <c r="J9" s="46">
        <f>SUM(H9+79+'9 Dec - 15 Dec'!H9+'16 Dec - 22 Dec'!H9+'23 Dec - 29 Dec'!H9+'30 Dec - 5 Jan'!H9+'6 Jan - 12 Jan'!H9+'13 Jan - 19 Jan'!H9)</f>
        <v>218</v>
      </c>
      <c r="K9" s="172">
        <f t="shared" si="2"/>
        <v>8.2701062215478002E-2</v>
      </c>
      <c r="L9" s="188">
        <v>19963.09</v>
      </c>
      <c r="M9" s="89">
        <f t="shared" si="4"/>
        <v>6.1150598944182066E-2</v>
      </c>
      <c r="N9" s="130">
        <v>14879.9</v>
      </c>
      <c r="O9" s="26"/>
    </row>
    <row r="10" spans="1:15" ht="15.6" customHeight="1" x14ac:dyDescent="0.3">
      <c r="A10" s="409" t="s">
        <v>20</v>
      </c>
      <c r="B10" s="200">
        <f>'13 Jan - 19 Jan'!D10</f>
        <v>160577.06</v>
      </c>
      <c r="C10" s="73">
        <v>144600.03</v>
      </c>
      <c r="D10" s="145">
        <v>168531.62</v>
      </c>
      <c r="E10" s="163">
        <f t="shared" si="0"/>
        <v>0.16550197119599488</v>
      </c>
      <c r="F10" s="166">
        <v>1155</v>
      </c>
      <c r="G10" s="63">
        <f t="shared" si="3"/>
        <v>145.91482251082252</v>
      </c>
      <c r="H10" s="61">
        <v>26</v>
      </c>
      <c r="I10" s="169">
        <f t="shared" si="1"/>
        <v>2.2510822510822513E-2</v>
      </c>
      <c r="J10" s="46">
        <f>SUM(H10+130+'9 Dec - 15 Dec'!H10+'16 Dec - 22 Dec'!H10+'23 Dec - 29 Dec'!H10+'30 Dec - 5 Jan'!H10+'6 Jan - 12 Jan'!H10+'13 Jan - 19 Jan'!H10)</f>
        <v>282</v>
      </c>
      <c r="K10" s="172">
        <f t="shared" si="2"/>
        <v>0.24415584415584415</v>
      </c>
      <c r="L10" s="188">
        <v>35336.74</v>
      </c>
      <c r="M10" s="89">
        <f t="shared" si="4"/>
        <v>0.20967424391933098</v>
      </c>
      <c r="N10" s="130">
        <v>9067.25</v>
      </c>
      <c r="O10" s="26"/>
    </row>
    <row r="11" spans="1:15" ht="15.6" customHeight="1" x14ac:dyDescent="0.3">
      <c r="A11" s="409" t="s">
        <v>21</v>
      </c>
      <c r="B11" s="200">
        <f>'13 Jan - 19 Jan'!D11</f>
        <v>287900.99</v>
      </c>
      <c r="C11" s="73">
        <v>317233.91999999998</v>
      </c>
      <c r="D11" s="145">
        <v>291680.28999999998</v>
      </c>
      <c r="E11" s="163">
        <f t="shared" si="0"/>
        <v>-8.0551379877662532E-2</v>
      </c>
      <c r="F11" s="166">
        <v>2023</v>
      </c>
      <c r="G11" s="63">
        <f t="shared" si="3"/>
        <v>144.1820514087988</v>
      </c>
      <c r="H11" s="61">
        <v>21</v>
      </c>
      <c r="I11" s="169">
        <f t="shared" si="1"/>
        <v>1.0380622837370242E-2</v>
      </c>
      <c r="J11" s="46">
        <f>SUM(H11+123+'9 Dec - 15 Dec'!H11+'16 Dec - 22 Dec'!H11+'23 Dec - 29 Dec'!H11+'30 Dec - 5 Jan'!H11+'6 Jan - 12 Jan'!H11+'13 Jan - 19 Jan'!H11)</f>
        <v>272</v>
      </c>
      <c r="K11" s="172">
        <f t="shared" si="2"/>
        <v>0.13445378151260504</v>
      </c>
      <c r="L11" s="188">
        <v>47738</v>
      </c>
      <c r="M11" s="89">
        <f t="shared" si="4"/>
        <v>0.16366549827552626</v>
      </c>
      <c r="N11" s="130">
        <v>22989.65</v>
      </c>
      <c r="O11" s="26"/>
    </row>
    <row r="12" spans="1:15" ht="15.6" customHeight="1" x14ac:dyDescent="0.3">
      <c r="A12" s="198" t="s">
        <v>22</v>
      </c>
      <c r="B12" s="200">
        <f>'13 Jan - 19 Jan'!D12</f>
        <v>167794.96</v>
      </c>
      <c r="C12" s="73">
        <v>152846.04</v>
      </c>
      <c r="D12" s="145">
        <v>156281.82</v>
      </c>
      <c r="E12" s="163">
        <f t="shared" si="0"/>
        <v>2.247869817235696E-2</v>
      </c>
      <c r="F12" s="166">
        <v>1269</v>
      </c>
      <c r="G12" s="63">
        <f t="shared" si="3"/>
        <v>123.15352245862884</v>
      </c>
      <c r="H12" s="61">
        <v>0</v>
      </c>
      <c r="I12" s="169">
        <f t="shared" si="1"/>
        <v>0</v>
      </c>
      <c r="J12" s="46">
        <f>SUM(H12+55+'9 Dec - 15 Dec'!H12+'16 Dec - 22 Dec'!H12+'23 Dec - 29 Dec'!H12+'30 Dec - 5 Jan'!H12+'6 Jan - 12 Jan'!H12+'13 Jan - 19 Jan'!H12)</f>
        <v>122</v>
      </c>
      <c r="K12" s="172">
        <f t="shared" si="2"/>
        <v>9.6138691883372734E-2</v>
      </c>
      <c r="L12" s="188">
        <v>17753.96</v>
      </c>
      <c r="M12" s="89">
        <f t="shared" si="4"/>
        <v>0.1136022091373136</v>
      </c>
      <c r="N12" s="130">
        <v>12821.9</v>
      </c>
      <c r="O12" s="26"/>
    </row>
    <row r="13" spans="1:15" ht="15.6" customHeight="1" x14ac:dyDescent="0.3">
      <c r="A13" s="198" t="s">
        <v>23</v>
      </c>
      <c r="B13" s="200">
        <f>'13 Jan - 19 Jan'!D13</f>
        <v>173601.74</v>
      </c>
      <c r="C13" s="73">
        <v>243010.12</v>
      </c>
      <c r="D13" s="145">
        <v>195672.15</v>
      </c>
      <c r="E13" s="163">
        <f t="shared" si="0"/>
        <v>-0.19479834831569978</v>
      </c>
      <c r="F13" s="166">
        <v>1546</v>
      </c>
      <c r="G13" s="63">
        <f t="shared" si="3"/>
        <v>126.56672056921086</v>
      </c>
      <c r="H13" s="61">
        <v>14</v>
      </c>
      <c r="I13" s="169">
        <f t="shared" si="1"/>
        <v>9.0556274256144882E-3</v>
      </c>
      <c r="J13" s="46">
        <f>SUM(H13+66+'9 Dec - 15 Dec'!H13+'16 Dec - 22 Dec'!H13+'23 Dec - 29 Dec'!H13+'30 Dec - 5 Jan'!H13+'6 Jan - 12 Jan'!H13+'13 Jan - 19 Jan'!H13)</f>
        <v>137</v>
      </c>
      <c r="K13" s="172">
        <f t="shared" si="2"/>
        <v>8.8615782664941786E-2</v>
      </c>
      <c r="L13" s="188">
        <v>28862.3</v>
      </c>
      <c r="M13" s="89">
        <f t="shared" si="4"/>
        <v>0.14750336212894885</v>
      </c>
      <c r="N13" s="130">
        <v>12937.7</v>
      </c>
      <c r="O13" s="26"/>
    </row>
    <row r="14" spans="1:15" ht="15.6" hidden="1" customHeight="1" x14ac:dyDescent="0.3">
      <c r="A14" s="198" t="s">
        <v>24</v>
      </c>
      <c r="B14" s="200">
        <f>'13 Jan - 19 Jan'!D14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'13 Jan - 19 Jan'!D15</f>
        <v>187166.99</v>
      </c>
      <c r="C15" s="73">
        <v>166877.21</v>
      </c>
      <c r="D15" s="145">
        <v>177959.61</v>
      </c>
      <c r="E15" s="163">
        <f t="shared" si="0"/>
        <v>6.6410506263857083E-2</v>
      </c>
      <c r="F15" s="166">
        <v>1472</v>
      </c>
      <c r="G15" s="63">
        <f t="shared" si="3"/>
        <v>120.8964741847826</v>
      </c>
      <c r="H15" s="61">
        <v>18</v>
      </c>
      <c r="I15" s="169">
        <f t="shared" si="1"/>
        <v>1.2228260869565218E-2</v>
      </c>
      <c r="J15" s="46">
        <f>SUM(H15+134+'9 Dec - 15 Dec'!H15+'16 Dec - 22 Dec'!H15+'23 Dec - 29 Dec'!H15+'30 Dec - 5 Jan'!H15+'6 Jan - 12 Jan'!H15+'13 Jan - 19 Jan'!H15)</f>
        <v>166</v>
      </c>
      <c r="K15" s="172">
        <f t="shared" si="2"/>
        <v>0.11277173913043478</v>
      </c>
      <c r="L15" s="188">
        <v>13022.61</v>
      </c>
      <c r="M15" s="89">
        <f t="shared" si="4"/>
        <v>7.3177335014388945E-2</v>
      </c>
      <c r="N15" s="130">
        <v>7907.85</v>
      </c>
      <c r="O15" s="9"/>
    </row>
    <row r="16" spans="1:15" ht="15.6" customHeight="1" x14ac:dyDescent="0.3">
      <c r="A16" s="198" t="s">
        <v>27</v>
      </c>
      <c r="B16" s="200">
        <f>'13 Jan - 19 Jan'!D16</f>
        <v>114412.28</v>
      </c>
      <c r="C16" s="73">
        <v>125945.97</v>
      </c>
      <c r="D16" s="145">
        <v>127667.08</v>
      </c>
      <c r="E16" s="163">
        <f t="shared" si="0"/>
        <v>1.3665463055308563E-2</v>
      </c>
      <c r="F16" s="166">
        <v>875</v>
      </c>
      <c r="G16" s="63">
        <f t="shared" si="3"/>
        <v>145.9052342857143</v>
      </c>
      <c r="H16" s="61">
        <v>7</v>
      </c>
      <c r="I16" s="169">
        <f t="shared" si="1"/>
        <v>8.0000000000000002E-3</v>
      </c>
      <c r="J16" s="46">
        <f>SUM(H16+67+'9 Dec - 15 Dec'!H16+'16 Dec - 22 Dec'!H16+'23 Dec - 29 Dec'!H16+'30 Dec - 5 Jan'!H16+'6 Jan - 12 Jan'!H16+'13 Jan - 19 Jan'!H16)</f>
        <v>133</v>
      </c>
      <c r="K16" s="172">
        <f t="shared" si="2"/>
        <v>0.152</v>
      </c>
      <c r="L16" s="188">
        <v>24269.96</v>
      </c>
      <c r="M16" s="89">
        <f t="shared" si="4"/>
        <v>0.19010350984764435</v>
      </c>
      <c r="N16" s="130">
        <v>11122.7</v>
      </c>
      <c r="O16" s="9"/>
    </row>
    <row r="17" spans="1:15" ht="15.6" customHeight="1" x14ac:dyDescent="0.3">
      <c r="A17" s="198" t="s">
        <v>28</v>
      </c>
      <c r="B17" s="200">
        <f>'13 Jan - 19 Jan'!D17</f>
        <v>173816.25</v>
      </c>
      <c r="C17" s="73">
        <v>206751.49</v>
      </c>
      <c r="D17" s="145">
        <v>217452</v>
      </c>
      <c r="E17" s="163">
        <f t="shared" si="0"/>
        <v>5.1755419029870159E-2</v>
      </c>
      <c r="F17" s="166">
        <v>1462</v>
      </c>
      <c r="G17" s="63">
        <f t="shared" si="3"/>
        <v>148.7359781121751</v>
      </c>
      <c r="H17" s="61">
        <v>20</v>
      </c>
      <c r="I17" s="169">
        <f t="shared" si="1"/>
        <v>1.3679890560875513E-2</v>
      </c>
      <c r="J17" s="46">
        <f>SUM(H17+61+'9 Dec - 15 Dec'!H17+'16 Dec - 22 Dec'!H17+'23 Dec - 29 Dec'!H17+'30 Dec - 5 Jan'!H17+'6 Jan - 12 Jan'!H17+'13 Jan - 19 Jan'!H17)</f>
        <v>146</v>
      </c>
      <c r="K17" s="172">
        <f t="shared" si="2"/>
        <v>9.9863201094391243E-2</v>
      </c>
      <c r="L17" s="188">
        <v>32388.87</v>
      </c>
      <c r="M17" s="89">
        <f t="shared" si="4"/>
        <v>0.14894721593731031</v>
      </c>
      <c r="N17" s="130">
        <v>14476.7</v>
      </c>
      <c r="O17" s="9"/>
    </row>
    <row r="18" spans="1:15" ht="15.6" customHeight="1" x14ac:dyDescent="0.3">
      <c r="A18" s="198" t="s">
        <v>33</v>
      </c>
      <c r="B18" s="200">
        <f>'13 Jan - 19 Jan'!D18</f>
        <v>172665.54</v>
      </c>
      <c r="C18" s="73"/>
      <c r="D18" s="145">
        <v>198718.15</v>
      </c>
      <c r="E18" s="163">
        <f t="shared" si="0"/>
        <v>0</v>
      </c>
      <c r="F18" s="166">
        <v>1521</v>
      </c>
      <c r="G18" s="63">
        <f t="shared" si="3"/>
        <v>130.64967126890204</v>
      </c>
      <c r="H18" s="61">
        <v>40</v>
      </c>
      <c r="I18" s="169">
        <f t="shared" si="1"/>
        <v>2.6298487836949377E-2</v>
      </c>
      <c r="J18" s="46">
        <f>SUM(H18+158+'9 Dec - 15 Dec'!H18+'16 Dec - 22 Dec'!H18+'23 Dec - 29 Dec'!H18+'30 Dec - 5 Jan'!H18+'6 Jan - 12 Jan'!H18+'13 Jan - 19 Jan'!H18)</f>
        <v>294</v>
      </c>
      <c r="K18" s="172">
        <f t="shared" si="2"/>
        <v>0.1932938856015779</v>
      </c>
      <c r="L18" s="188">
        <v>27730.74</v>
      </c>
      <c r="M18" s="89">
        <f t="shared" si="4"/>
        <v>0.13954809865128073</v>
      </c>
      <c r="N18" s="130">
        <v>8022.67</v>
      </c>
      <c r="O18" s="9"/>
    </row>
    <row r="19" spans="1:15" ht="16.2" customHeight="1" thickBot="1" x14ac:dyDescent="0.35">
      <c r="A19" s="203" t="s">
        <v>37</v>
      </c>
      <c r="B19" s="201">
        <f>'13 Jan - 19 Jan'!D19</f>
        <v>118955.12</v>
      </c>
      <c r="C19" s="205"/>
      <c r="D19" s="206">
        <v>126018.06</v>
      </c>
      <c r="E19" s="207">
        <f t="shared" si="0"/>
        <v>0</v>
      </c>
      <c r="F19" s="208">
        <v>1128</v>
      </c>
      <c r="G19" s="209">
        <f t="shared" si="3"/>
        <v>111.71813829787234</v>
      </c>
      <c r="H19" s="210">
        <v>21</v>
      </c>
      <c r="I19" s="211">
        <f t="shared" si="1"/>
        <v>1.8617021276595744E-2</v>
      </c>
      <c r="J19" s="212">
        <f>H19+'23 Dec - 29 Dec'!H19+'30 Dec - 5 Jan'!H19+'6 Jan - 12 Jan'!H19+'13 Jan - 19 Jan'!H19</f>
        <v>30</v>
      </c>
      <c r="K19" s="213">
        <f t="shared" si="2"/>
        <v>2.6595744680851064E-2</v>
      </c>
      <c r="L19" s="214">
        <v>28419.43</v>
      </c>
      <c r="M19" s="215">
        <f t="shared" si="4"/>
        <v>0.22551870739797136</v>
      </c>
      <c r="N19" s="216">
        <v>10980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38" priority="5" operator="equal">
      <formula>0</formula>
    </cfRule>
  </conditionalFormatting>
  <conditionalFormatting sqref="D7:D19">
    <cfRule type="cellIs" dxfId="537" priority="4" operator="equal">
      <formula>0</formula>
    </cfRule>
  </conditionalFormatting>
  <conditionalFormatting sqref="E6:K19">
    <cfRule type="cellIs" dxfId="536" priority="3" operator="equal">
      <formula>0</formula>
    </cfRule>
  </conditionalFormatting>
  <conditionalFormatting sqref="L7:L19">
    <cfRule type="cellIs" dxfId="535" priority="2" operator="equal">
      <formula>0</formula>
    </cfRule>
  </conditionalFormatting>
  <conditionalFormatting sqref="M6:N19">
    <cfRule type="cellIs" dxfId="53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O41"/>
  <sheetViews>
    <sheetView zoomScale="78" workbookViewId="0">
      <pane xSplit="1" topLeftCell="B1" activePane="topRight" state="frozen"/>
      <selection pane="topRight" activeCell="H10" sqref="H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(((D4-D18)-C4)/C4)</f>
        <v>7.1016543702877605E-2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2547712.3800000004</v>
      </c>
      <c r="C4" s="135">
        <f>SUM(C6:C19)-C14</f>
        <v>2282583.9099999997</v>
      </c>
      <c r="D4" s="142">
        <f>SUM(D6:D19)</f>
        <v>2634075.19</v>
      </c>
      <c r="E4" s="217">
        <f t="shared" ref="E4:E19" si="0">IFERROR((SUM(D4-C4)/C4),0)</f>
        <v>0.15398832807859419</v>
      </c>
      <c r="F4" s="147">
        <f>SUM(F6:F19)</f>
        <v>20389</v>
      </c>
      <c r="G4" s="218">
        <f>AVERAGE(G5:G19)</f>
        <v>122.84411862794569</v>
      </c>
      <c r="H4" s="219">
        <f>SUM(H6:H19)</f>
        <v>180</v>
      </c>
      <c r="I4" s="220">
        <f t="shared" ref="I4:I19" si="1">IFERROR(H4/F4,0)</f>
        <v>8.8282897640884796E-3</v>
      </c>
      <c r="J4" s="221">
        <f>SUM(J6:J19)</f>
        <v>2487</v>
      </c>
      <c r="K4" s="222">
        <f t="shared" ref="K4:K19" si="2">IFERROR(J4/SUM(F4),0)</f>
        <v>0.12197753690715582</v>
      </c>
      <c r="L4" s="223"/>
      <c r="M4" s="222">
        <f>SUM(L4/D4)</f>
        <v>0</v>
      </c>
      <c r="N4" s="141">
        <f>SUM(N6:N19)</f>
        <v>156125.30999999997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'20 Jan - 26 Jan'!D6</f>
        <v>244971.94</v>
      </c>
      <c r="C6" s="123">
        <v>234881.47</v>
      </c>
      <c r="D6" s="197">
        <v>253886.48</v>
      </c>
      <c r="E6" s="162">
        <f t="shared" si="0"/>
        <v>8.0913194216640463E-2</v>
      </c>
      <c r="F6" s="165">
        <v>2842</v>
      </c>
      <c r="G6" s="124">
        <f t="shared" ref="G6:G19" si="3">IFERROR(D6/F6,0)</f>
        <v>89.333736805066863</v>
      </c>
      <c r="H6" s="125">
        <v>19</v>
      </c>
      <c r="I6" s="168">
        <f t="shared" si="1"/>
        <v>6.6854327938071778E-3</v>
      </c>
      <c r="J6" s="46">
        <f>SUM(109+H6+'9 Dec - 15 Dec'!H6+'16 Dec - 22 Dec'!H6+'23 Dec - 29 Dec'!H6+'30 Dec - 5 Jan'!H6+'6 Jan - 12 Jan'!H6+'13 Jan - 19 Jan'!H6+'20 Jan - 26 Jan'!H6)</f>
        <v>269</v>
      </c>
      <c r="K6" s="171">
        <f t="shared" si="2"/>
        <v>9.4651653764954255E-2</v>
      </c>
      <c r="L6" s="191">
        <v>35506.74</v>
      </c>
      <c r="M6" s="128">
        <f t="shared" ref="M6:M19" si="4">SUM(L6/D6)</f>
        <v>0.13985281926000942</v>
      </c>
      <c r="N6" s="129">
        <v>12350.47</v>
      </c>
      <c r="O6" s="26"/>
    </row>
    <row r="7" spans="1:15" ht="15.6" customHeight="1" x14ac:dyDescent="0.3">
      <c r="A7" s="409" t="s">
        <v>16</v>
      </c>
      <c r="B7" s="200">
        <f>'20 Jan - 26 Jan'!D7</f>
        <v>212211.86</v>
      </c>
      <c r="C7" s="73">
        <v>200131.3</v>
      </c>
      <c r="D7" s="145">
        <v>219670.06</v>
      </c>
      <c r="E7" s="163">
        <f t="shared" si="0"/>
        <v>9.7629706097946745E-2</v>
      </c>
      <c r="F7" s="166">
        <v>1778</v>
      </c>
      <c r="G7" s="63">
        <f t="shared" si="3"/>
        <v>123.54896512935883</v>
      </c>
      <c r="H7" s="61">
        <v>9</v>
      </c>
      <c r="I7" s="169">
        <f t="shared" si="1"/>
        <v>5.0618672665916761E-3</v>
      </c>
      <c r="J7" s="46">
        <f>SUM(H7+153+'9 Dec - 15 Dec'!H7+'16 Dec - 22 Dec'!H7+'23 Dec - 29 Dec'!H7+'30 Dec - 5 Jan'!H7+'6 Jan - 12 Jan'!H7+'13 Jan - 19 Jan'!H7+'20 Jan - 26 Jan'!H7)</f>
        <v>229</v>
      </c>
      <c r="K7" s="172">
        <f t="shared" si="2"/>
        <v>0.12879640044994375</v>
      </c>
      <c r="L7" s="188">
        <v>24002.39</v>
      </c>
      <c r="M7" s="89">
        <f t="shared" si="4"/>
        <v>0.10926564138963681</v>
      </c>
      <c r="N7" s="130">
        <v>14657.88</v>
      </c>
      <c r="O7" s="26"/>
    </row>
    <row r="8" spans="1:15" ht="15.6" customHeight="1" x14ac:dyDescent="0.3">
      <c r="A8" s="409" t="s">
        <v>17</v>
      </c>
      <c r="B8" s="200">
        <f>'20 Jan - 26 Jan'!D8</f>
        <v>104090</v>
      </c>
      <c r="C8" s="73">
        <v>100729.45</v>
      </c>
      <c r="D8" s="145">
        <v>108989.56</v>
      </c>
      <c r="E8" s="163">
        <f t="shared" si="0"/>
        <v>8.2002929629815327E-2</v>
      </c>
      <c r="F8" s="166">
        <v>729</v>
      </c>
      <c r="G8" s="63">
        <f t="shared" si="3"/>
        <v>149.50556927297669</v>
      </c>
      <c r="H8" s="61">
        <v>19</v>
      </c>
      <c r="I8" s="169">
        <f t="shared" si="1"/>
        <v>2.6063100137174212E-2</v>
      </c>
      <c r="J8" s="46">
        <f>SUM(H8+12+'9 Dec - 15 Dec'!H8+'16 Dec - 22 Dec'!H8+'23 Dec - 29 Dec'!H8+'30 Dec - 5 Jan'!H8+'6 Jan - 12 Jan'!H8+'13 Jan - 19 Jan'!H8+'20 Jan - 26 Jan'!H8)</f>
        <v>56</v>
      </c>
      <c r="K8" s="172">
        <f t="shared" si="2"/>
        <v>7.6817558299039787E-2</v>
      </c>
      <c r="L8" s="188">
        <v>28435.3</v>
      </c>
      <c r="M8" s="89">
        <f t="shared" si="4"/>
        <v>0.260899300813766</v>
      </c>
      <c r="N8" s="130">
        <v>5571.5</v>
      </c>
      <c r="O8" s="26"/>
    </row>
    <row r="9" spans="1:15" ht="15.6" customHeight="1" x14ac:dyDescent="0.3">
      <c r="A9" s="409" t="s">
        <v>18</v>
      </c>
      <c r="B9" s="200">
        <f>'20 Jan - 26 Jan'!D9</f>
        <v>326457.8</v>
      </c>
      <c r="C9" s="73">
        <v>329808.99</v>
      </c>
      <c r="D9" s="145">
        <v>304035.96000000002</v>
      </c>
      <c r="E9" s="163">
        <f t="shared" si="0"/>
        <v>-7.8145322842776269E-2</v>
      </c>
      <c r="F9" s="166">
        <v>2158</v>
      </c>
      <c r="G9" s="63">
        <f t="shared" si="3"/>
        <v>140.88784059314182</v>
      </c>
      <c r="H9" s="61">
        <v>0</v>
      </c>
      <c r="I9" s="169">
        <f t="shared" si="1"/>
        <v>0</v>
      </c>
      <c r="J9" s="46">
        <f>SUM(H9+79+'9 Dec - 15 Dec'!H9+'16 Dec - 22 Dec'!H9+'23 Dec - 29 Dec'!H9+'30 Dec - 5 Jan'!H9+'6 Jan - 12 Jan'!H9+'13 Jan - 19 Jan'!H9+'20 Jan - 26 Jan'!H9)</f>
        <v>218</v>
      </c>
      <c r="K9" s="172">
        <f t="shared" si="2"/>
        <v>0.1010194624652456</v>
      </c>
      <c r="L9" s="188">
        <v>19816.169999999998</v>
      </c>
      <c r="M9" s="89">
        <f t="shared" si="4"/>
        <v>6.5177059976721158E-2</v>
      </c>
      <c r="N9" s="130">
        <v>11946.5</v>
      </c>
      <c r="O9" s="26"/>
    </row>
    <row r="10" spans="1:15" ht="15.6" customHeight="1" x14ac:dyDescent="0.3">
      <c r="A10" s="409" t="s">
        <v>20</v>
      </c>
      <c r="B10" s="200">
        <f>'20 Jan - 26 Jan'!D10</f>
        <v>168531.62</v>
      </c>
      <c r="C10" s="73">
        <v>149771.03</v>
      </c>
      <c r="D10" s="145">
        <v>157218.01</v>
      </c>
      <c r="E10" s="163">
        <f t="shared" si="0"/>
        <v>4.9722432969847442E-2</v>
      </c>
      <c r="F10" s="166">
        <v>1095</v>
      </c>
      <c r="G10" s="63">
        <f t="shared" si="3"/>
        <v>143.57809132420093</v>
      </c>
      <c r="H10" s="61">
        <v>43</v>
      </c>
      <c r="I10" s="169">
        <f t="shared" si="1"/>
        <v>3.9269406392694065E-2</v>
      </c>
      <c r="J10" s="46">
        <f>SUM(H10+130+'9 Dec - 15 Dec'!H10+'16 Dec - 22 Dec'!H10+'23 Dec - 29 Dec'!H10+'30 Dec - 5 Jan'!H10+'6 Jan - 12 Jan'!H10+'13 Jan - 19 Jan'!H10+'20 Jan - 26 Jan'!H10)</f>
        <v>325</v>
      </c>
      <c r="K10" s="172">
        <f t="shared" si="2"/>
        <v>0.29680365296803651</v>
      </c>
      <c r="L10" s="188">
        <v>42999.519999999997</v>
      </c>
      <c r="M10" s="89">
        <f t="shared" si="4"/>
        <v>0.27350250775976614</v>
      </c>
      <c r="N10" s="130">
        <v>9056.4</v>
      </c>
      <c r="O10" s="26"/>
    </row>
    <row r="11" spans="1:15" ht="15.6" customHeight="1" x14ac:dyDescent="0.3">
      <c r="A11" s="409" t="s">
        <v>21</v>
      </c>
      <c r="B11" s="200">
        <f>'20 Jan - 26 Jan'!D11</f>
        <v>291680.28999999998</v>
      </c>
      <c r="C11" s="73">
        <v>335261.96999999997</v>
      </c>
      <c r="D11" s="145">
        <v>317481.25</v>
      </c>
      <c r="E11" s="163">
        <f t="shared" si="0"/>
        <v>-5.3035302512837869E-2</v>
      </c>
      <c r="F11" s="166">
        <v>2068</v>
      </c>
      <c r="G11" s="63">
        <f t="shared" si="3"/>
        <v>153.52091392649902</v>
      </c>
      <c r="H11" s="61">
        <v>8</v>
      </c>
      <c r="I11" s="169">
        <f t="shared" si="1"/>
        <v>3.8684719535783366E-3</v>
      </c>
      <c r="J11" s="46">
        <f>SUM(H11+123+'9 Dec - 15 Dec'!H11+'16 Dec - 22 Dec'!H11+'23 Dec - 29 Dec'!H11+'30 Dec - 5 Jan'!H11+'6 Jan - 12 Jan'!H11+'13 Jan - 19 Jan'!H11+'20 Jan - 26 Jan'!H11)</f>
        <v>280</v>
      </c>
      <c r="K11" s="172">
        <f t="shared" si="2"/>
        <v>0.13539651837524178</v>
      </c>
      <c r="L11" s="188">
        <v>50996.78</v>
      </c>
      <c r="M11" s="89">
        <f t="shared" si="4"/>
        <v>0.16062926550780557</v>
      </c>
      <c r="N11" s="130">
        <v>21153.8</v>
      </c>
      <c r="O11" s="26"/>
    </row>
    <row r="12" spans="1:15" ht="15.6" customHeight="1" x14ac:dyDescent="0.3">
      <c r="A12" s="198" t="s">
        <v>22</v>
      </c>
      <c r="B12" s="200">
        <f>'20 Jan - 26 Jan'!D12</f>
        <v>156281.82</v>
      </c>
      <c r="C12" s="73">
        <v>154730.66</v>
      </c>
      <c r="D12" s="145">
        <v>171217.16</v>
      </c>
      <c r="E12" s="163">
        <f t="shared" si="0"/>
        <v>0.10654966507607477</v>
      </c>
      <c r="F12" s="166">
        <v>1368</v>
      </c>
      <c r="G12" s="63">
        <f t="shared" si="3"/>
        <v>125.15874269005849</v>
      </c>
      <c r="H12" s="61">
        <v>4</v>
      </c>
      <c r="I12" s="169">
        <f t="shared" si="1"/>
        <v>2.9239766081871343E-3</v>
      </c>
      <c r="J12" s="46">
        <f>SUM(H12+55+'9 Dec - 15 Dec'!H12+'16 Dec - 22 Dec'!H12+'23 Dec - 29 Dec'!H12+'30 Dec - 5 Jan'!H12+'6 Jan - 12 Jan'!H12+'13 Jan - 19 Jan'!H12+'20 Jan - 26 Jan'!H12)</f>
        <v>126</v>
      </c>
      <c r="K12" s="172">
        <f t="shared" si="2"/>
        <v>9.2105263157894732E-2</v>
      </c>
      <c r="L12" s="188">
        <v>25420.87</v>
      </c>
      <c r="M12" s="89">
        <f t="shared" si="4"/>
        <v>0.14847150834647649</v>
      </c>
      <c r="N12" s="130">
        <v>15847.4</v>
      </c>
      <c r="O12" s="26"/>
    </row>
    <row r="13" spans="1:15" ht="15.6" customHeight="1" x14ac:dyDescent="0.3">
      <c r="A13" s="198" t="s">
        <v>23</v>
      </c>
      <c r="B13" s="200">
        <f>'20 Jan - 26 Jan'!D13</f>
        <v>195672.15</v>
      </c>
      <c r="C13" s="73">
        <v>227584.22</v>
      </c>
      <c r="D13" s="145">
        <v>252185.47</v>
      </c>
      <c r="E13" s="163">
        <f t="shared" si="0"/>
        <v>0.10809734523773221</v>
      </c>
      <c r="F13" s="166">
        <v>1840</v>
      </c>
      <c r="G13" s="63">
        <f t="shared" si="3"/>
        <v>137.0573206521739</v>
      </c>
      <c r="H13" s="61">
        <v>13</v>
      </c>
      <c r="I13" s="169">
        <f t="shared" si="1"/>
        <v>7.0652173913043478E-3</v>
      </c>
      <c r="J13" s="46">
        <f>SUM(H13+66+'9 Dec - 15 Dec'!H13+'16 Dec - 22 Dec'!H13+'23 Dec - 29 Dec'!H13+'30 Dec - 5 Jan'!H13+'6 Jan - 12 Jan'!H13+'13 Jan - 19 Jan'!H13+'20 Jan - 26 Jan'!H13)</f>
        <v>150</v>
      </c>
      <c r="K13" s="172">
        <f t="shared" si="2"/>
        <v>8.1521739130434784E-2</v>
      </c>
      <c r="L13" s="188">
        <v>33408.61</v>
      </c>
      <c r="M13" s="89">
        <f t="shared" si="4"/>
        <v>0.13247634766586672</v>
      </c>
      <c r="N13" s="130">
        <v>14533</v>
      </c>
      <c r="O13" s="26"/>
    </row>
    <row r="14" spans="1:15" ht="15.6" hidden="1" customHeight="1" x14ac:dyDescent="0.3">
      <c r="A14" s="198" t="s">
        <v>24</v>
      </c>
      <c r="B14" s="200">
        <f>'20 Jan - 26 Jan'!D14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'20 Jan - 26 Jan'!D15</f>
        <v>177959.61</v>
      </c>
      <c r="C15" s="73">
        <v>165985.17000000001</v>
      </c>
      <c r="D15" s="145">
        <v>177284.39</v>
      </c>
      <c r="E15" s="163">
        <f t="shared" si="0"/>
        <v>6.8073671882855555E-2</v>
      </c>
      <c r="F15" s="166">
        <v>1489</v>
      </c>
      <c r="G15" s="63">
        <f t="shared" si="3"/>
        <v>119.06271994627268</v>
      </c>
      <c r="H15" s="61">
        <v>8</v>
      </c>
      <c r="I15" s="169">
        <f t="shared" si="1"/>
        <v>5.3727333781061117E-3</v>
      </c>
      <c r="J15" s="46">
        <f>SUM(H15+134+'9 Dec - 15 Dec'!H15+'16 Dec - 22 Dec'!H15+'23 Dec - 29 Dec'!H15+'30 Dec - 5 Jan'!H15+'6 Jan - 12 Jan'!H15+'13 Jan - 19 Jan'!H15+'20 Jan - 26 Jan'!H15)</f>
        <v>174</v>
      </c>
      <c r="K15" s="172">
        <f t="shared" si="2"/>
        <v>0.11685695097380792</v>
      </c>
      <c r="L15" s="188">
        <v>11958.17</v>
      </c>
      <c r="M15" s="89">
        <f t="shared" si="4"/>
        <v>6.7451905946146751E-2</v>
      </c>
      <c r="N15" s="130">
        <v>8300.7000000000007</v>
      </c>
      <c r="O15" s="9"/>
    </row>
    <row r="16" spans="1:15" ht="15.6" customHeight="1" x14ac:dyDescent="0.3">
      <c r="A16" s="198" t="s">
        <v>27</v>
      </c>
      <c r="B16" s="200">
        <f>'20 Jan - 26 Jan'!D16</f>
        <v>127667.08</v>
      </c>
      <c r="C16" s="73">
        <v>126081.73</v>
      </c>
      <c r="D16" s="145">
        <v>129067.81</v>
      </c>
      <c r="E16" s="163">
        <f t="shared" si="0"/>
        <v>2.3683685177860438E-2</v>
      </c>
      <c r="F16" s="166">
        <v>843</v>
      </c>
      <c r="G16" s="63">
        <f t="shared" si="3"/>
        <v>153.10534994068803</v>
      </c>
      <c r="H16" s="61">
        <v>8</v>
      </c>
      <c r="I16" s="169">
        <f t="shared" si="1"/>
        <v>9.4899169632265724E-3</v>
      </c>
      <c r="J16" s="46">
        <f>SUM(H16+67+'9 Dec - 15 Dec'!H16+'16 Dec - 22 Dec'!H16+'23 Dec - 29 Dec'!H16+'30 Dec - 5 Jan'!H16+'6 Jan - 12 Jan'!H16+'13 Jan - 19 Jan'!H16+'20 Jan - 26 Jan'!H16)</f>
        <v>141</v>
      </c>
      <c r="K16" s="172">
        <f t="shared" si="2"/>
        <v>0.16725978647686832</v>
      </c>
      <c r="L16" s="188">
        <v>24395.61</v>
      </c>
      <c r="M16" s="89">
        <f t="shared" si="4"/>
        <v>0.18901389897295073</v>
      </c>
      <c r="N16" s="130">
        <v>10357.200000000001</v>
      </c>
      <c r="O16" s="9"/>
    </row>
    <row r="17" spans="1:15" ht="15.6" customHeight="1" x14ac:dyDescent="0.3">
      <c r="A17" s="198" t="s">
        <v>28</v>
      </c>
      <c r="B17" s="200">
        <f>'20 Jan - 26 Jan'!D17</f>
        <v>217452</v>
      </c>
      <c r="C17" s="73">
        <v>206209.12</v>
      </c>
      <c r="D17" s="145">
        <v>226675.96</v>
      </c>
      <c r="E17" s="163">
        <f t="shared" si="0"/>
        <v>9.9252836150020896E-2</v>
      </c>
      <c r="F17" s="166">
        <v>1532</v>
      </c>
      <c r="G17" s="63">
        <f t="shared" si="3"/>
        <v>147.9608093994778</v>
      </c>
      <c r="H17" s="61">
        <v>6</v>
      </c>
      <c r="I17" s="169">
        <f t="shared" si="1"/>
        <v>3.9164490861618795E-3</v>
      </c>
      <c r="J17" s="46">
        <f>SUM(H17+61+'9 Dec - 15 Dec'!H17+'16 Dec - 22 Dec'!H17+'23 Dec - 29 Dec'!H17+'30 Dec - 5 Jan'!H17+'6 Jan - 12 Jan'!H17+'13 Jan - 19 Jan'!H17+'20 Jan - 26 Jan'!H17)</f>
        <v>152</v>
      </c>
      <c r="K17" s="172">
        <f t="shared" si="2"/>
        <v>9.921671018276762E-2</v>
      </c>
      <c r="L17" s="188">
        <v>28723.87</v>
      </c>
      <c r="M17" s="89">
        <f t="shared" si="4"/>
        <v>0.12671776045417432</v>
      </c>
      <c r="N17" s="130">
        <v>14182.95</v>
      </c>
      <c r="O17" s="9"/>
    </row>
    <row r="18" spans="1:15" ht="15.6" customHeight="1" x14ac:dyDescent="0.3">
      <c r="A18" s="198" t="s">
        <v>33</v>
      </c>
      <c r="B18" s="200">
        <f>'20 Jan - 26 Jan'!D18</f>
        <v>198718.15</v>
      </c>
      <c r="C18" s="73">
        <v>51408.800000000003</v>
      </c>
      <c r="D18" s="145">
        <v>189390.06</v>
      </c>
      <c r="E18" s="163">
        <f t="shared" si="0"/>
        <v>2.6840007936384431</v>
      </c>
      <c r="F18" s="166">
        <v>1510</v>
      </c>
      <c r="G18" s="63">
        <f t="shared" si="3"/>
        <v>125.42388079470199</v>
      </c>
      <c r="H18" s="61">
        <v>29</v>
      </c>
      <c r="I18" s="169">
        <f t="shared" si="1"/>
        <v>1.9205298013245033E-2</v>
      </c>
      <c r="J18" s="46">
        <f>SUM(H18+158+'9 Dec - 15 Dec'!H18+'16 Dec - 22 Dec'!H18+'23 Dec - 29 Dec'!H18+'30 Dec - 5 Jan'!H18+'6 Jan - 12 Jan'!H18+'13 Jan - 19 Jan'!H18+'20 Jan - 26 Jan'!H18)</f>
        <v>323</v>
      </c>
      <c r="K18" s="172">
        <f t="shared" si="2"/>
        <v>0.21390728476821191</v>
      </c>
      <c r="L18" s="188">
        <v>28869.96</v>
      </c>
      <c r="M18" s="89">
        <f t="shared" si="4"/>
        <v>0.15243651118754595</v>
      </c>
      <c r="N18" s="130">
        <v>6832.96</v>
      </c>
      <c r="O18" s="9"/>
    </row>
    <row r="19" spans="1:15" ht="16.2" customHeight="1" thickBot="1" x14ac:dyDescent="0.35">
      <c r="A19" s="203" t="s">
        <v>37</v>
      </c>
      <c r="B19" s="201">
        <f>'20 Jan - 26 Jan'!D19</f>
        <v>126018.06</v>
      </c>
      <c r="C19" s="205"/>
      <c r="D19" s="206">
        <v>126973.02</v>
      </c>
      <c r="E19" s="207">
        <f t="shared" si="0"/>
        <v>0</v>
      </c>
      <c r="F19" s="208">
        <v>1137</v>
      </c>
      <c r="G19" s="209">
        <f t="shared" si="3"/>
        <v>111.67372031662269</v>
      </c>
      <c r="H19" s="210">
        <v>14</v>
      </c>
      <c r="I19" s="211">
        <f t="shared" si="1"/>
        <v>1.2313104661389622E-2</v>
      </c>
      <c r="J19" s="212">
        <f>H19+'23 Dec - 29 Dec'!H19+'30 Dec - 5 Jan'!H19+'6 Jan - 12 Jan'!H19+'13 Jan - 19 Jan'!H19+'20 Jan - 26 Jan'!H19</f>
        <v>44</v>
      </c>
      <c r="K19" s="213">
        <f t="shared" si="2"/>
        <v>3.8698328935795952E-2</v>
      </c>
      <c r="L19" s="214">
        <v>23954.48</v>
      </c>
      <c r="M19" s="215">
        <f t="shared" si="4"/>
        <v>0.18865803144636553</v>
      </c>
      <c r="N19" s="216">
        <v>11334.55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33" priority="5" operator="equal">
      <formula>0</formula>
    </cfRule>
  </conditionalFormatting>
  <conditionalFormatting sqref="D7:D19">
    <cfRule type="cellIs" dxfId="532" priority="4" operator="equal">
      <formula>0</formula>
    </cfRule>
  </conditionalFormatting>
  <conditionalFormatting sqref="E6:K19">
    <cfRule type="cellIs" dxfId="531" priority="3" operator="equal">
      <formula>0</formula>
    </cfRule>
  </conditionalFormatting>
  <conditionalFormatting sqref="L7:L19">
    <cfRule type="cellIs" dxfId="530" priority="2" operator="equal">
      <formula>0</formula>
    </cfRule>
  </conditionalFormatting>
  <conditionalFormatting sqref="M6:N19">
    <cfRule type="cellIs" dxfId="52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-0.13888549883446985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2634075.19</v>
      </c>
      <c r="C4" s="135">
        <f>SUM(C6:C19)-C14</f>
        <v>2400813.6399999997</v>
      </c>
      <c r="D4" s="142">
        <f>SUM(D6:D19)</f>
        <v>2187052.4400000004</v>
      </c>
      <c r="E4" s="217">
        <f t="shared" ref="E4:E19" si="0">IFERROR((SUM(D4-C4)/C4),0)</f>
        <v>-8.9036981645938706E-2</v>
      </c>
      <c r="F4" s="147">
        <f>SUM(F6:F19)</f>
        <v>16362</v>
      </c>
      <c r="G4" s="218">
        <f>AVERAGE(G5:G19)</f>
        <v>115.28581366957462</v>
      </c>
      <c r="H4" s="219">
        <f>SUM(H6:H19)</f>
        <v>161</v>
      </c>
      <c r="I4" s="220">
        <f t="shared" ref="I4:I19" si="1">IFERROR(H4/F4,0)</f>
        <v>9.8398728761765059E-3</v>
      </c>
      <c r="J4" s="221">
        <f>SUM(J6:J19)</f>
        <v>2648</v>
      </c>
      <c r="K4" s="222">
        <f t="shared" ref="K4:K19" si="2">IFERROR(J4/SUM(F4),0)</f>
        <v>0.16183840606282851</v>
      </c>
      <c r="L4" s="223">
        <f>SUM(L6:L19)</f>
        <v>361405.21</v>
      </c>
      <c r="M4" s="222">
        <f>SUM(L4/D4)</f>
        <v>0.16524761975986271</v>
      </c>
      <c r="N4" s="141">
        <f>SUM(N6:N19)</f>
        <v>145102.96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'27 Jan - 2 Feb'!D6</f>
        <v>253886.48</v>
      </c>
      <c r="C6" s="123">
        <v>243896.08</v>
      </c>
      <c r="D6" s="197">
        <v>237293.22</v>
      </c>
      <c r="E6" s="162">
        <f t="shared" si="0"/>
        <v>-2.7072431832442678E-2</v>
      </c>
      <c r="F6" s="165">
        <v>2020</v>
      </c>
      <c r="G6" s="124">
        <f t="shared" ref="G6:G19" si="3">IFERROR(D6/F6,0)</f>
        <v>117.47189108910891</v>
      </c>
      <c r="H6" s="125">
        <v>20</v>
      </c>
      <c r="I6" s="168">
        <f t="shared" si="1"/>
        <v>9.9009900990099011E-3</v>
      </c>
      <c r="J6" s="46">
        <f>SUM(109+H6+'9 Dec - 15 Dec'!H6+'16 Dec - 22 Dec'!H6+'23 Dec - 29 Dec'!H6+'30 Dec - 5 Jan'!H6+'6 Jan - 12 Jan'!H6+'13 Jan - 19 Jan'!H6+'20 Jan - 26 Jan'!H6+'27 Jan - 2 Feb'!H6)</f>
        <v>289</v>
      </c>
      <c r="K6" s="171">
        <f t="shared" si="2"/>
        <v>0.14306930693069306</v>
      </c>
      <c r="L6" s="191">
        <v>37589.910000000003</v>
      </c>
      <c r="M6" s="128">
        <f t="shared" ref="M6:M19" si="4">SUM(L6/D6)</f>
        <v>0.15841122641430716</v>
      </c>
      <c r="N6" s="129">
        <v>12274.4</v>
      </c>
      <c r="O6" s="26"/>
    </row>
    <row r="7" spans="1:15" ht="15.6" customHeight="1" x14ac:dyDescent="0.3">
      <c r="A7" s="409" t="s">
        <v>16</v>
      </c>
      <c r="B7" s="200">
        <f>'27 Jan - 2 Feb'!D7</f>
        <v>219670.06</v>
      </c>
      <c r="C7" s="73">
        <v>203529.46</v>
      </c>
      <c r="D7" s="145">
        <v>220030.82</v>
      </c>
      <c r="E7" s="163">
        <f t="shared" si="0"/>
        <v>8.107602702822489E-2</v>
      </c>
      <c r="F7" s="166">
        <v>1539</v>
      </c>
      <c r="G7" s="63">
        <f t="shared" si="3"/>
        <v>142.96999350227421</v>
      </c>
      <c r="H7" s="61">
        <v>2</v>
      </c>
      <c r="I7" s="169">
        <f t="shared" si="1"/>
        <v>1.2995451591942819E-3</v>
      </c>
      <c r="J7" s="46">
        <f>SUM(H7+153+'9 Dec - 15 Dec'!H7+'16 Dec - 22 Dec'!H7+'23 Dec - 29 Dec'!H7+'30 Dec - 5 Jan'!H7+'6 Jan - 12 Jan'!H7+'13 Jan - 19 Jan'!H7+'20 Jan - 26 Jan'!H7+'27 Jan - 2 Feb'!H7)</f>
        <v>231</v>
      </c>
      <c r="K7" s="172">
        <f t="shared" si="2"/>
        <v>0.15009746588693956</v>
      </c>
      <c r="L7" s="188">
        <v>35456</v>
      </c>
      <c r="M7" s="89">
        <f t="shared" si="4"/>
        <v>0.16114106196577369</v>
      </c>
      <c r="N7" s="130">
        <v>19093.55</v>
      </c>
      <c r="O7" s="26"/>
    </row>
    <row r="8" spans="1:15" ht="15.6" customHeight="1" x14ac:dyDescent="0.3">
      <c r="A8" s="409" t="s">
        <v>17</v>
      </c>
      <c r="B8" s="200">
        <f>'27 Jan - 2 Feb'!D8</f>
        <v>108989.56</v>
      </c>
      <c r="C8" s="73">
        <v>83038.850000000006</v>
      </c>
      <c r="D8" s="145">
        <v>109046.25</v>
      </c>
      <c r="E8" s="163">
        <f t="shared" si="0"/>
        <v>0.31319557050705776</v>
      </c>
      <c r="F8" s="166">
        <v>721</v>
      </c>
      <c r="G8" s="63">
        <f t="shared" si="3"/>
        <v>151.24306518723995</v>
      </c>
      <c r="H8" s="61">
        <v>9</v>
      </c>
      <c r="I8" s="169">
        <f t="shared" si="1"/>
        <v>1.2482662968099861E-2</v>
      </c>
      <c r="J8" s="46">
        <f>SUM(H8+12+'9 Dec - 15 Dec'!H8+'16 Dec - 22 Dec'!H8+'23 Dec - 29 Dec'!H8+'30 Dec - 5 Jan'!H8+'6 Jan - 12 Jan'!H8+'13 Jan - 19 Jan'!H8+'20 Jan - 26 Jan'!H8+'27 Jan - 2 Feb'!H8)</f>
        <v>65</v>
      </c>
      <c r="K8" s="172">
        <f t="shared" si="2"/>
        <v>9.0152565880721222E-2</v>
      </c>
      <c r="L8" s="188">
        <v>31922.47</v>
      </c>
      <c r="M8" s="89">
        <f t="shared" si="4"/>
        <v>0.29274248312069423</v>
      </c>
      <c r="N8" s="130">
        <v>4933.2</v>
      </c>
      <c r="O8" s="26"/>
    </row>
    <row r="9" spans="1:15" ht="15.6" customHeight="1" x14ac:dyDescent="0.3">
      <c r="A9" s="410" t="s">
        <v>18</v>
      </c>
      <c r="B9" s="224">
        <f>'27 Jan - 2 Feb'!D9</f>
        <v>304035.96000000002</v>
      </c>
      <c r="C9" s="224">
        <v>313205.83</v>
      </c>
      <c r="D9" s="225">
        <v>0</v>
      </c>
      <c r="E9" s="226">
        <f t="shared" si="0"/>
        <v>-1</v>
      </c>
      <c r="F9" s="227">
        <v>0</v>
      </c>
      <c r="G9" s="228">
        <f t="shared" si="3"/>
        <v>0</v>
      </c>
      <c r="H9" s="229">
        <v>0</v>
      </c>
      <c r="I9" s="230">
        <f t="shared" si="1"/>
        <v>0</v>
      </c>
      <c r="J9" s="231">
        <f>SUM(H9+79+'9 Dec - 15 Dec'!H9+'16 Dec - 22 Dec'!H9+'23 Dec - 29 Dec'!H9+'30 Dec - 5 Jan'!H9+'6 Jan - 12 Jan'!H9+'13 Jan - 19 Jan'!H9+'20 Jan - 26 Jan'!H9+'27 Jan - 2 Feb'!H9)</f>
        <v>218</v>
      </c>
      <c r="K9" s="232">
        <f t="shared" si="2"/>
        <v>0</v>
      </c>
      <c r="L9" s="233">
        <v>0</v>
      </c>
      <c r="M9" s="234" t="e">
        <f t="shared" si="4"/>
        <v>#DIV/0!</v>
      </c>
      <c r="N9" s="235">
        <v>0</v>
      </c>
      <c r="O9" s="26"/>
    </row>
    <row r="10" spans="1:15" ht="15.6" customHeight="1" x14ac:dyDescent="0.3">
      <c r="A10" s="409" t="s">
        <v>20</v>
      </c>
      <c r="B10" s="200">
        <f>'27 Jan - 2 Feb'!D10</f>
        <v>157218.01</v>
      </c>
      <c r="C10" s="73">
        <v>149072.21</v>
      </c>
      <c r="D10" s="145">
        <v>162465.92000000001</v>
      </c>
      <c r="E10" s="163">
        <f t="shared" si="0"/>
        <v>8.9847128448689542E-2</v>
      </c>
      <c r="F10" s="166">
        <v>1160</v>
      </c>
      <c r="G10" s="63">
        <f t="shared" si="3"/>
        <v>140.05682758620691</v>
      </c>
      <c r="H10" s="61">
        <v>31</v>
      </c>
      <c r="I10" s="169">
        <f t="shared" si="1"/>
        <v>2.6724137931034484E-2</v>
      </c>
      <c r="J10" s="46">
        <f>SUM(H10+130+'9 Dec - 15 Dec'!H10+'16 Dec - 22 Dec'!H10+'23 Dec - 29 Dec'!H10+'30 Dec - 5 Jan'!H10+'6 Jan - 12 Jan'!H10+'13 Jan - 19 Jan'!H10+'20 Jan - 26 Jan'!H10+'27 Jan - 2 Feb'!H10)</f>
        <v>356</v>
      </c>
      <c r="K10" s="172">
        <f t="shared" si="2"/>
        <v>0.30689655172413793</v>
      </c>
      <c r="L10" s="188">
        <v>38840.480000000003</v>
      </c>
      <c r="M10" s="89">
        <f t="shared" si="4"/>
        <v>0.23906847663805431</v>
      </c>
      <c r="N10" s="130">
        <v>13406</v>
      </c>
      <c r="O10" s="26"/>
    </row>
    <row r="11" spans="1:15" ht="15.6" customHeight="1" x14ac:dyDescent="0.3">
      <c r="A11" s="409" t="s">
        <v>21</v>
      </c>
      <c r="B11" s="200">
        <f>'27 Jan - 2 Feb'!D11</f>
        <v>317481.25</v>
      </c>
      <c r="C11" s="73">
        <v>329753.61</v>
      </c>
      <c r="D11" s="145">
        <v>296440.63</v>
      </c>
      <c r="E11" s="163">
        <f t="shared" si="0"/>
        <v>-0.10102385232416404</v>
      </c>
      <c r="F11" s="166">
        <v>1929</v>
      </c>
      <c r="G11" s="63">
        <f t="shared" si="3"/>
        <v>153.67580611715914</v>
      </c>
      <c r="H11" s="61">
        <v>22</v>
      </c>
      <c r="I11" s="169">
        <f t="shared" si="1"/>
        <v>1.1404872991187144E-2</v>
      </c>
      <c r="J11" s="46">
        <f>SUM(H11+123+'9 Dec - 15 Dec'!H11+'16 Dec - 22 Dec'!H11+'23 Dec - 29 Dec'!H11+'30 Dec - 5 Jan'!H11+'6 Jan - 12 Jan'!H11+'13 Jan - 19 Jan'!H11+'20 Jan - 26 Jan'!H11+'27 Jan - 2 Feb'!H11)</f>
        <v>302</v>
      </c>
      <c r="K11" s="172">
        <f t="shared" si="2"/>
        <v>0.1565578019699326</v>
      </c>
      <c r="L11" s="188">
        <v>51882.65</v>
      </c>
      <c r="M11" s="89">
        <f t="shared" si="4"/>
        <v>0.17501868755305236</v>
      </c>
      <c r="N11" s="130">
        <v>18528.2</v>
      </c>
      <c r="O11" s="26"/>
    </row>
    <row r="12" spans="1:15" ht="15.6" customHeight="1" x14ac:dyDescent="0.3">
      <c r="A12" s="198" t="s">
        <v>22</v>
      </c>
      <c r="B12" s="200">
        <f>'27 Jan - 2 Feb'!D12</f>
        <v>171217.16</v>
      </c>
      <c r="C12" s="73">
        <v>144397.12</v>
      </c>
      <c r="D12" s="145">
        <v>153633.79999999999</v>
      </c>
      <c r="E12" s="163">
        <f t="shared" si="0"/>
        <v>6.396720377802545E-2</v>
      </c>
      <c r="F12" s="166">
        <v>1241</v>
      </c>
      <c r="G12" s="63">
        <f t="shared" si="3"/>
        <v>123.79838839645446</v>
      </c>
      <c r="H12" s="61">
        <v>3</v>
      </c>
      <c r="I12" s="169">
        <f t="shared" si="1"/>
        <v>2.4174053182917004E-3</v>
      </c>
      <c r="J12" s="46">
        <f>SUM(H12+55+'9 Dec - 15 Dec'!H12+'16 Dec - 22 Dec'!H12+'23 Dec - 29 Dec'!H12+'30 Dec - 5 Jan'!H12+'6 Jan - 12 Jan'!H12+'13 Jan - 19 Jan'!H12+'20 Jan - 26 Jan'!H12+'27 Jan - 2 Feb'!H12)</f>
        <v>129</v>
      </c>
      <c r="K12" s="172">
        <f t="shared" si="2"/>
        <v>0.10394842868654311</v>
      </c>
      <c r="L12" s="188">
        <v>18238.43</v>
      </c>
      <c r="M12" s="89">
        <f t="shared" si="4"/>
        <v>0.11871365545862955</v>
      </c>
      <c r="N12" s="130">
        <v>9947.5</v>
      </c>
      <c r="O12" s="26"/>
    </row>
    <row r="13" spans="1:15" ht="15.6" customHeight="1" x14ac:dyDescent="0.3">
      <c r="A13" s="198" t="s">
        <v>23</v>
      </c>
      <c r="B13" s="200">
        <f>'27 Jan - 2 Feb'!D13</f>
        <v>252185.47</v>
      </c>
      <c r="C13" s="73">
        <v>219176.66</v>
      </c>
      <c r="D13" s="145">
        <v>206977.96</v>
      </c>
      <c r="E13" s="163">
        <f t="shared" si="0"/>
        <v>-5.5656929893903903E-2</v>
      </c>
      <c r="F13" s="166">
        <v>1576</v>
      </c>
      <c r="G13" s="63">
        <f t="shared" si="3"/>
        <v>131.33119289340101</v>
      </c>
      <c r="H13" s="61">
        <v>10</v>
      </c>
      <c r="I13" s="169">
        <f t="shared" si="1"/>
        <v>6.3451776649746192E-3</v>
      </c>
      <c r="J13" s="46">
        <f>SUM(H13+66+'9 Dec - 15 Dec'!H13+'16 Dec - 22 Dec'!H13+'23 Dec - 29 Dec'!H13+'30 Dec - 5 Jan'!H13+'6 Jan - 12 Jan'!H13+'13 Jan - 19 Jan'!H13+'20 Jan - 26 Jan'!H13+'27 Jan - 2 Feb'!H13)</f>
        <v>160</v>
      </c>
      <c r="K13" s="172">
        <f t="shared" si="2"/>
        <v>0.10152284263959391</v>
      </c>
      <c r="L13" s="188">
        <v>33907.300000000003</v>
      </c>
      <c r="M13" s="89">
        <f t="shared" si="4"/>
        <v>0.163820824207563</v>
      </c>
      <c r="N13" s="130">
        <v>14169</v>
      </c>
      <c r="O13" s="26"/>
    </row>
    <row r="14" spans="1:15" ht="15.6" hidden="1" customHeight="1" x14ac:dyDescent="0.3">
      <c r="A14" s="198" t="s">
        <v>24</v>
      </c>
      <c r="B14" s="200">
        <f>'27 Jan - 2 Feb'!D14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'27 Jan - 2 Feb'!D15</f>
        <v>177284.39</v>
      </c>
      <c r="C15" s="73">
        <v>175807.47</v>
      </c>
      <c r="D15" s="145">
        <v>184245.92</v>
      </c>
      <c r="E15" s="163">
        <f t="shared" si="0"/>
        <v>4.7998244898240172E-2</v>
      </c>
      <c r="F15" s="166">
        <v>1514</v>
      </c>
      <c r="G15" s="63">
        <f t="shared" si="3"/>
        <v>121.69479524438574</v>
      </c>
      <c r="H15" s="61">
        <v>5</v>
      </c>
      <c r="I15" s="169">
        <f t="shared" si="1"/>
        <v>3.3025099075297227E-3</v>
      </c>
      <c r="J15" s="46">
        <f>SUM(H15+134+'9 Dec - 15 Dec'!H15+'16 Dec - 22 Dec'!H15+'23 Dec - 29 Dec'!H15+'30 Dec - 5 Jan'!H15+'6 Jan - 12 Jan'!H15+'13 Jan - 19 Jan'!H15+'20 Jan - 26 Jan'!H15+'27 Jan - 2 Feb'!H15)</f>
        <v>179</v>
      </c>
      <c r="K15" s="172">
        <f t="shared" si="2"/>
        <v>0.11822985468956407</v>
      </c>
      <c r="L15" s="188">
        <v>9886.84</v>
      </c>
      <c r="M15" s="89">
        <f t="shared" si="4"/>
        <v>5.3661106851104215E-2</v>
      </c>
      <c r="N15" s="130">
        <v>6339.8</v>
      </c>
      <c r="O15" s="9"/>
    </row>
    <row r="16" spans="1:15" ht="15.6" customHeight="1" x14ac:dyDescent="0.3">
      <c r="A16" s="198" t="s">
        <v>27</v>
      </c>
      <c r="B16" s="200">
        <f>'27 Jan - 2 Feb'!D16</f>
        <v>129067.81</v>
      </c>
      <c r="C16" s="73">
        <v>146823.91</v>
      </c>
      <c r="D16" s="145">
        <v>136872.09</v>
      </c>
      <c r="E16" s="163">
        <f t="shared" si="0"/>
        <v>-6.7780649623075742E-2</v>
      </c>
      <c r="F16" s="166">
        <v>915</v>
      </c>
      <c r="G16" s="63">
        <f t="shared" si="3"/>
        <v>149.58698360655737</v>
      </c>
      <c r="H16" s="61">
        <v>16</v>
      </c>
      <c r="I16" s="169">
        <f t="shared" si="1"/>
        <v>1.7486338797814208E-2</v>
      </c>
      <c r="J16" s="46">
        <f>SUM(H16+67+'9 Dec - 15 Dec'!H16+'16 Dec - 22 Dec'!H16+'23 Dec - 29 Dec'!H16+'30 Dec - 5 Jan'!H16+'6 Jan - 12 Jan'!H16+'13 Jan - 19 Jan'!H16+'20 Jan - 26 Jan'!H16+'27 Jan - 2 Feb'!H16)</f>
        <v>157</v>
      </c>
      <c r="K16" s="172">
        <f t="shared" si="2"/>
        <v>0.17158469945355193</v>
      </c>
      <c r="L16" s="188">
        <v>23744.3</v>
      </c>
      <c r="M16" s="89">
        <f t="shared" si="4"/>
        <v>0.17347802608990628</v>
      </c>
      <c r="N16" s="130">
        <v>12609</v>
      </c>
      <c r="O16" s="9"/>
    </row>
    <row r="17" spans="1:15" ht="15.6" customHeight="1" x14ac:dyDescent="0.3">
      <c r="A17" s="198" t="s">
        <v>28</v>
      </c>
      <c r="B17" s="200">
        <f>'27 Jan - 2 Feb'!D17</f>
        <v>226675.96</v>
      </c>
      <c r="C17" s="73">
        <v>203176.33</v>
      </c>
      <c r="D17" s="145">
        <v>183593.77</v>
      </c>
      <c r="E17" s="163">
        <f t="shared" si="0"/>
        <v>-9.6382093327505219E-2</v>
      </c>
      <c r="F17" s="166">
        <v>1292</v>
      </c>
      <c r="G17" s="63">
        <f t="shared" si="3"/>
        <v>142.10044117647058</v>
      </c>
      <c r="H17" s="61">
        <v>0</v>
      </c>
      <c r="I17" s="169">
        <f t="shared" si="1"/>
        <v>0</v>
      </c>
      <c r="J17" s="46">
        <f>SUM(H17+61+'9 Dec - 15 Dec'!H17+'16 Dec - 22 Dec'!H17+'23 Dec - 29 Dec'!H17+'30 Dec - 5 Jan'!H17+'6 Jan - 12 Jan'!H17+'13 Jan - 19 Jan'!H17+'20 Jan - 26 Jan'!H17+'27 Jan - 2 Feb'!H17)</f>
        <v>152</v>
      </c>
      <c r="K17" s="172">
        <f t="shared" si="2"/>
        <v>0.11764705882352941</v>
      </c>
      <c r="L17" s="188">
        <v>36777.74</v>
      </c>
      <c r="M17" s="89">
        <f t="shared" si="4"/>
        <v>0.20032128541180891</v>
      </c>
      <c r="N17" s="130">
        <v>10922.5</v>
      </c>
      <c r="O17" s="9"/>
    </row>
    <row r="18" spans="1:15" ht="15.6" customHeight="1" x14ac:dyDescent="0.3">
      <c r="A18" s="198" t="s">
        <v>33</v>
      </c>
      <c r="B18" s="200">
        <f>'27 Jan - 2 Feb'!D18</f>
        <v>189390.06</v>
      </c>
      <c r="C18" s="73">
        <v>188936.11</v>
      </c>
      <c r="D18" s="145">
        <v>176775.06</v>
      </c>
      <c r="E18" s="163">
        <f t="shared" si="0"/>
        <v>-6.436593830581136E-2</v>
      </c>
      <c r="F18" s="166">
        <v>1418</v>
      </c>
      <c r="G18" s="63">
        <f t="shared" si="3"/>
        <v>124.6650634696756</v>
      </c>
      <c r="H18" s="61">
        <v>28</v>
      </c>
      <c r="I18" s="169">
        <f t="shared" si="1"/>
        <v>1.9746121297602257E-2</v>
      </c>
      <c r="J18" s="46">
        <f>SUM(H18+158+'9 Dec - 15 Dec'!H18+'16 Dec - 22 Dec'!H18+'23 Dec - 29 Dec'!H18+'30 Dec - 5 Jan'!H18+'6 Jan - 12 Jan'!H18+'13 Jan - 19 Jan'!H18+'20 Jan - 26 Jan'!H18+'27 Jan - 2 Feb'!H18)</f>
        <v>351</v>
      </c>
      <c r="K18" s="172">
        <f t="shared" si="2"/>
        <v>0.24753173483779972</v>
      </c>
      <c r="L18" s="188">
        <v>23547.13</v>
      </c>
      <c r="M18" s="89">
        <f t="shared" si="4"/>
        <v>0.13320391462460826</v>
      </c>
      <c r="N18" s="130">
        <v>7078.51</v>
      </c>
      <c r="O18" s="9"/>
    </row>
    <row r="19" spans="1:15" ht="16.2" customHeight="1" thickBot="1" x14ac:dyDescent="0.35">
      <c r="A19" s="203" t="s">
        <v>37</v>
      </c>
      <c r="B19" s="201">
        <f>'27 Jan - 2 Feb'!D19</f>
        <v>126973.02</v>
      </c>
      <c r="C19" s="205">
        <v>0</v>
      </c>
      <c r="D19" s="206">
        <v>119677</v>
      </c>
      <c r="E19" s="207">
        <f t="shared" si="0"/>
        <v>0</v>
      </c>
      <c r="F19" s="208">
        <v>1037</v>
      </c>
      <c r="G19" s="209">
        <f t="shared" si="3"/>
        <v>115.4069431051109</v>
      </c>
      <c r="H19" s="210">
        <v>15</v>
      </c>
      <c r="I19" s="211">
        <f t="shared" si="1"/>
        <v>1.446480231436837E-2</v>
      </c>
      <c r="J19" s="212">
        <f>H19+'23 Dec - 29 Dec'!H19+'30 Dec - 5 Jan'!H19+'6 Jan - 12 Jan'!H19+'13 Jan - 19 Jan'!H19+'20 Jan - 26 Jan'!H19+'27 Jan - 2 Feb'!H19</f>
        <v>59</v>
      </c>
      <c r="K19" s="213">
        <f t="shared" si="2"/>
        <v>5.6894889103182258E-2</v>
      </c>
      <c r="L19" s="214">
        <v>19611.96</v>
      </c>
      <c r="M19" s="215">
        <f t="shared" si="4"/>
        <v>0.16387409443752768</v>
      </c>
      <c r="N19" s="216">
        <v>15801.3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28" priority="5" operator="equal">
      <formula>0</formula>
    </cfRule>
  </conditionalFormatting>
  <conditionalFormatting sqref="D7:D19">
    <cfRule type="cellIs" dxfId="527" priority="4" operator="equal">
      <formula>0</formula>
    </cfRule>
  </conditionalFormatting>
  <conditionalFormatting sqref="E6:K19">
    <cfRule type="cellIs" dxfId="526" priority="3" operator="equal">
      <formula>0</formula>
    </cfRule>
  </conditionalFormatting>
  <conditionalFormatting sqref="L7:L19">
    <cfRule type="cellIs" dxfId="525" priority="2" operator="equal">
      <formula>0</formula>
    </cfRule>
  </conditionalFormatting>
  <conditionalFormatting sqref="M6:N19">
    <cfRule type="cellIs" dxfId="52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41"/>
  <sheetViews>
    <sheetView zoomScale="78" workbookViewId="0">
      <pane xSplit="1" topLeftCell="B1" activePane="topRight" state="frozen"/>
      <selection pane="topRight" activeCell="E3" sqref="E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-1.4065100041200063E-2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2187052.4400000004</v>
      </c>
      <c r="C4" s="135">
        <f>SUM(C6:C19)-C14-C9</f>
        <v>2309410.5199999996</v>
      </c>
      <c r="D4" s="142">
        <f>SUM(D6:D19)-D9</f>
        <v>2413763.8299999996</v>
      </c>
      <c r="E4" s="217">
        <f t="shared" ref="E4:E19" si="0">IFERROR((SUM(D4-C4)/C4),0)</f>
        <v>4.518612394646928E-2</v>
      </c>
      <c r="F4" s="147">
        <f>SUM(F6:F19)</f>
        <v>17863</v>
      </c>
      <c r="G4" s="218">
        <f>AVERAGE(G5:G19)</f>
        <v>118.11192359249978</v>
      </c>
      <c r="H4" s="219">
        <f>SUM(H6:H19)</f>
        <v>201</v>
      </c>
      <c r="I4" s="220">
        <f t="shared" ref="I4:I19" si="1">IFERROR(H4/F4,0)</f>
        <v>1.1252309242568438E-2</v>
      </c>
      <c r="J4" s="221">
        <f>SUM(J6:J19)</f>
        <v>2849</v>
      </c>
      <c r="K4" s="222">
        <f t="shared" ref="K4:K19" si="2">IFERROR(J4/SUM(F4),0)</f>
        <v>0.15949168672675362</v>
      </c>
      <c r="L4" s="223">
        <f>SUM(L6:L19)</f>
        <v>353913.73</v>
      </c>
      <c r="M4" s="222">
        <f>SUM(L4/D4)</f>
        <v>0.1466231806116674</v>
      </c>
      <c r="N4" s="141">
        <f>SUM(N6:N19)</f>
        <v>133940.45000000001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'3 Feb - 9 Feb'!D6</f>
        <v>237293.22</v>
      </c>
      <c r="C6" s="123">
        <v>266174.90000000002</v>
      </c>
      <c r="D6" s="197">
        <v>280895.78000000003</v>
      </c>
      <c r="E6" s="162">
        <f t="shared" si="0"/>
        <v>5.5305289867677243E-2</v>
      </c>
      <c r="F6" s="165">
        <v>2565</v>
      </c>
      <c r="G6" s="124">
        <f t="shared" ref="G6:G19" si="3">IFERROR(D6/F6,0)</f>
        <v>109.51102534113062</v>
      </c>
      <c r="H6" s="125">
        <v>19</v>
      </c>
      <c r="I6" s="168">
        <f t="shared" si="1"/>
        <v>7.4074074074074077E-3</v>
      </c>
      <c r="J6" s="46">
        <f>SUM(109+H6+'9 Dec - 15 Dec'!H6+'16 Dec - 22 Dec'!H6+'23 Dec - 29 Dec'!H6+'30 Dec - 5 Jan'!H6+'6 Jan - 12 Jan'!H6+'13 Jan - 19 Jan'!H6+'20 Jan - 26 Jan'!H6+'27 Jan - 2 Feb'!H6+'3 Feb - 9 Feb'!H6)</f>
        <v>308</v>
      </c>
      <c r="K6" s="171">
        <f t="shared" si="2"/>
        <v>0.12007797270955166</v>
      </c>
      <c r="L6" s="191">
        <v>39026.22</v>
      </c>
      <c r="M6" s="128">
        <f t="shared" ref="M6:M19" si="4">SUM(L6/D6)</f>
        <v>0.13893487470691085</v>
      </c>
      <c r="N6" s="129">
        <v>12549.15</v>
      </c>
      <c r="O6" s="26"/>
    </row>
    <row r="7" spans="1:15" ht="15.6" customHeight="1" x14ac:dyDescent="0.3">
      <c r="A7" s="409" t="s">
        <v>16</v>
      </c>
      <c r="B7" s="200">
        <f>'3 Feb - 9 Feb'!D7</f>
        <v>220030.82</v>
      </c>
      <c r="C7" s="73">
        <v>242108.65</v>
      </c>
      <c r="D7" s="145">
        <v>224075.5</v>
      </c>
      <c r="E7" s="163">
        <f t="shared" si="0"/>
        <v>-7.4483708037692969E-2</v>
      </c>
      <c r="F7" s="166">
        <v>1617</v>
      </c>
      <c r="G7" s="63">
        <f t="shared" si="3"/>
        <v>138.5748299319728</v>
      </c>
      <c r="H7" s="61">
        <v>11</v>
      </c>
      <c r="I7" s="169">
        <f t="shared" si="1"/>
        <v>6.8027210884353739E-3</v>
      </c>
      <c r="J7" s="46">
        <f>SUM(H7+153+'9 Dec - 15 Dec'!H7+'16 Dec - 22 Dec'!H7+'23 Dec - 29 Dec'!H7+'30 Dec - 5 Jan'!H7+'6 Jan - 12 Jan'!H7+'13 Jan - 19 Jan'!H7+'20 Jan - 26 Jan'!H7+'27 Jan - 2 Feb'!H7+'3 Feb - 9 Feb'!H7)</f>
        <v>242</v>
      </c>
      <c r="K7" s="172">
        <f t="shared" si="2"/>
        <v>0.14965986394557823</v>
      </c>
      <c r="L7" s="188">
        <v>33761.26</v>
      </c>
      <c r="M7" s="89">
        <f t="shared" si="4"/>
        <v>0.15066912714687683</v>
      </c>
      <c r="N7" s="130">
        <v>16257.95</v>
      </c>
      <c r="O7" s="26"/>
    </row>
    <row r="8" spans="1:15" ht="15.6" customHeight="1" x14ac:dyDescent="0.3">
      <c r="A8" s="409" t="s">
        <v>17</v>
      </c>
      <c r="B8" s="200">
        <f>'3 Feb - 9 Feb'!D8</f>
        <v>109046.25</v>
      </c>
      <c r="C8" s="73">
        <v>118438.43</v>
      </c>
      <c r="D8" s="145">
        <v>133786.9</v>
      </c>
      <c r="E8" s="163">
        <f t="shared" si="0"/>
        <v>0.12959028585569737</v>
      </c>
      <c r="F8" s="166">
        <v>896</v>
      </c>
      <c r="G8" s="63">
        <f t="shared" si="3"/>
        <v>149.31573660714284</v>
      </c>
      <c r="H8" s="61">
        <v>14</v>
      </c>
      <c r="I8" s="169">
        <f t="shared" si="1"/>
        <v>1.5625E-2</v>
      </c>
      <c r="J8" s="46">
        <f>SUM(H8+12+'9 Dec - 15 Dec'!H8+'16 Dec - 22 Dec'!H8+'23 Dec - 29 Dec'!H8+'30 Dec - 5 Jan'!H8+'6 Jan - 12 Jan'!H8+'13 Jan - 19 Jan'!H8+'20 Jan - 26 Jan'!H8+'27 Jan - 2 Feb'!H8+'3 Feb - 9 Feb'!H8)</f>
        <v>79</v>
      </c>
      <c r="K8" s="172">
        <f t="shared" si="2"/>
        <v>8.8169642857142863E-2</v>
      </c>
      <c r="L8" s="188">
        <v>30738.48</v>
      </c>
      <c r="M8" s="89">
        <f t="shared" si="4"/>
        <v>0.22975702404346016</v>
      </c>
      <c r="N8" s="130">
        <v>5201.7</v>
      </c>
      <c r="O8" s="26"/>
    </row>
    <row r="9" spans="1:15" ht="15.6" customHeight="1" x14ac:dyDescent="0.3">
      <c r="A9" s="410" t="s">
        <v>18</v>
      </c>
      <c r="B9" s="224">
        <f>'3 Feb - 9 Feb'!D9</f>
        <v>0</v>
      </c>
      <c r="C9" s="224">
        <v>342968.68</v>
      </c>
      <c r="D9" s="225">
        <v>0</v>
      </c>
      <c r="E9" s="226">
        <f t="shared" si="0"/>
        <v>-1</v>
      </c>
      <c r="F9" s="227">
        <v>0</v>
      </c>
      <c r="G9" s="228">
        <f t="shared" si="3"/>
        <v>0</v>
      </c>
      <c r="H9" s="229">
        <v>0</v>
      </c>
      <c r="I9" s="230">
        <f t="shared" si="1"/>
        <v>0</v>
      </c>
      <c r="J9" s="231">
        <f>SUM(H9+79+'9 Dec - 15 Dec'!H9+'16 Dec - 22 Dec'!H9+'23 Dec - 29 Dec'!H9+'30 Dec - 5 Jan'!H9+'6 Jan - 12 Jan'!H9+'13 Jan - 19 Jan'!H9+'20 Jan - 26 Jan'!H9+'27 Jan - 2 Feb'!H9+'3 Feb - 9 Feb'!H9)</f>
        <v>218</v>
      </c>
      <c r="K9" s="232">
        <f t="shared" si="2"/>
        <v>0</v>
      </c>
      <c r="L9" s="233">
        <v>0</v>
      </c>
      <c r="M9" s="234" t="e">
        <f t="shared" si="4"/>
        <v>#DIV/0!</v>
      </c>
      <c r="N9" s="235">
        <v>0</v>
      </c>
      <c r="O9" s="26"/>
    </row>
    <row r="10" spans="1:15" ht="15.6" customHeight="1" x14ac:dyDescent="0.3">
      <c r="A10" s="409" t="s">
        <v>20</v>
      </c>
      <c r="B10" s="200">
        <f>'3 Feb - 9 Feb'!D10</f>
        <v>162465.92000000001</v>
      </c>
      <c r="C10" s="73">
        <v>165657.87</v>
      </c>
      <c r="D10" s="145">
        <v>182605.54</v>
      </c>
      <c r="E10" s="163">
        <f t="shared" si="0"/>
        <v>0.10230525117822663</v>
      </c>
      <c r="F10" s="166">
        <v>1217</v>
      </c>
      <c r="G10" s="63">
        <f t="shared" si="3"/>
        <v>150.0456368118324</v>
      </c>
      <c r="H10" s="61">
        <v>23</v>
      </c>
      <c r="I10" s="169">
        <f t="shared" si="1"/>
        <v>1.8898931799506986E-2</v>
      </c>
      <c r="J10" s="46">
        <f>SUM(H10+130+'9 Dec - 15 Dec'!H10+'16 Dec - 22 Dec'!H10+'23 Dec - 29 Dec'!H10+'30 Dec - 5 Jan'!H10+'6 Jan - 12 Jan'!H10+'13 Jan - 19 Jan'!H10+'20 Jan - 26 Jan'!H10+'27 Jan - 2 Feb'!H10+'3 Feb - 9 Feb'!H10)</f>
        <v>379</v>
      </c>
      <c r="K10" s="172">
        <f t="shared" si="2"/>
        <v>0.3114215283483977</v>
      </c>
      <c r="L10" s="188">
        <v>37350.21</v>
      </c>
      <c r="M10" s="89">
        <f t="shared" si="4"/>
        <v>0.20454039893860831</v>
      </c>
      <c r="N10" s="130">
        <v>10344.5</v>
      </c>
      <c r="O10" s="26"/>
    </row>
    <row r="11" spans="1:15" ht="15.6" customHeight="1" x14ac:dyDescent="0.3">
      <c r="A11" s="409" t="s">
        <v>21</v>
      </c>
      <c r="B11" s="200">
        <f>'3 Feb - 9 Feb'!D11</f>
        <v>296440.63</v>
      </c>
      <c r="C11" s="73">
        <v>344555.3</v>
      </c>
      <c r="D11" s="145">
        <v>308009.71999999997</v>
      </c>
      <c r="E11" s="163">
        <f t="shared" si="0"/>
        <v>-0.10606593484413102</v>
      </c>
      <c r="F11" s="166">
        <v>1929</v>
      </c>
      <c r="G11" s="63">
        <f t="shared" si="3"/>
        <v>159.67326075686884</v>
      </c>
      <c r="H11" s="61">
        <v>36</v>
      </c>
      <c r="I11" s="169">
        <f t="shared" si="1"/>
        <v>1.8662519440124418E-2</v>
      </c>
      <c r="J11" s="46">
        <f>SUM(H11+123+'9 Dec - 15 Dec'!H11+'16 Dec - 22 Dec'!H11+'23 Dec - 29 Dec'!H11+'30 Dec - 5 Jan'!H11+'6 Jan - 12 Jan'!H11+'13 Jan - 19 Jan'!H11+'20 Jan - 26 Jan'!H11+'27 Jan - 2 Feb'!H11,'3 Feb - 9 Feb'!H11)</f>
        <v>338</v>
      </c>
      <c r="K11" s="172">
        <f t="shared" si="2"/>
        <v>0.17522032141005703</v>
      </c>
      <c r="L11" s="188">
        <v>47814.09</v>
      </c>
      <c r="M11" s="89">
        <f t="shared" si="4"/>
        <v>0.15523565295277045</v>
      </c>
      <c r="N11" s="130">
        <v>16477.7</v>
      </c>
      <c r="O11" s="26"/>
    </row>
    <row r="12" spans="1:15" ht="15.6" customHeight="1" x14ac:dyDescent="0.3">
      <c r="A12" s="198" t="s">
        <v>22</v>
      </c>
      <c r="B12" s="200">
        <f>'3 Feb - 9 Feb'!D12</f>
        <v>153633.79999999999</v>
      </c>
      <c r="C12" s="73">
        <v>150132.07999999999</v>
      </c>
      <c r="D12" s="145">
        <v>160405.70000000001</v>
      </c>
      <c r="E12" s="163">
        <f t="shared" si="0"/>
        <v>6.843054462444019E-2</v>
      </c>
      <c r="F12" s="166">
        <v>1316</v>
      </c>
      <c r="G12" s="63">
        <f t="shared" si="3"/>
        <v>121.88882978723404</v>
      </c>
      <c r="H12" s="61">
        <v>6</v>
      </c>
      <c r="I12" s="169">
        <f t="shared" si="1"/>
        <v>4.559270516717325E-3</v>
      </c>
      <c r="J12" s="46">
        <f>SUM(H12+55+'9 Dec - 15 Dec'!H12+'16 Dec - 22 Dec'!H12+'23 Dec - 29 Dec'!H12+'30 Dec - 5 Jan'!H12+'6 Jan - 12 Jan'!H12+'13 Jan - 19 Jan'!H12+'20 Jan - 26 Jan'!H12+'27 Jan - 2 Feb'!H12+'3 Feb - 9 Feb'!H12)</f>
        <v>135</v>
      </c>
      <c r="K12" s="172">
        <f t="shared" si="2"/>
        <v>0.10258358662613981</v>
      </c>
      <c r="L12" s="188">
        <v>23855.99</v>
      </c>
      <c r="M12" s="89">
        <f t="shared" si="4"/>
        <v>0.14872283216868229</v>
      </c>
      <c r="N12" s="130">
        <v>14025.8</v>
      </c>
      <c r="O12" s="26"/>
    </row>
    <row r="13" spans="1:15" ht="15.6" customHeight="1" x14ac:dyDescent="0.3">
      <c r="A13" s="198" t="s">
        <v>23</v>
      </c>
      <c r="B13" s="200">
        <f>'3 Feb - 9 Feb'!D13</f>
        <v>206977.96</v>
      </c>
      <c r="C13" s="73">
        <v>239264.36</v>
      </c>
      <c r="D13" s="145">
        <v>212599.32</v>
      </c>
      <c r="E13" s="163">
        <f t="shared" si="0"/>
        <v>-0.11144593369442896</v>
      </c>
      <c r="F13" s="166">
        <v>1557</v>
      </c>
      <c r="G13" s="63">
        <f t="shared" si="3"/>
        <v>136.54420038535645</v>
      </c>
      <c r="H13" s="61">
        <v>14</v>
      </c>
      <c r="I13" s="169">
        <f t="shared" si="1"/>
        <v>8.9916506101477191E-3</v>
      </c>
      <c r="J13" s="46">
        <f>SUM(H13+66+'9 Dec - 15 Dec'!H13+'16 Dec - 22 Dec'!H13+'23 Dec - 29 Dec'!H13+'30 Dec - 5 Jan'!H13+'6 Jan - 12 Jan'!H13+'13 Jan - 19 Jan'!H13+'20 Jan - 26 Jan'!H13+'27 Jan - 2 Feb'!H13+'3 Feb - 9 Feb'!H13)</f>
        <v>174</v>
      </c>
      <c r="K13" s="172">
        <f t="shared" si="2"/>
        <v>0.11175337186897881</v>
      </c>
      <c r="L13" s="188">
        <v>35332.26</v>
      </c>
      <c r="M13" s="89">
        <f t="shared" si="4"/>
        <v>0.16619178273947444</v>
      </c>
      <c r="N13" s="130">
        <v>12442.35</v>
      </c>
      <c r="O13" s="26"/>
    </row>
    <row r="14" spans="1:15" ht="15.6" hidden="1" customHeight="1" x14ac:dyDescent="0.3">
      <c r="A14" s="198" t="s">
        <v>24</v>
      </c>
      <c r="B14" s="200">
        <f>'3 Feb - 9 Feb'!D14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'3 Feb - 9 Feb'!D15</f>
        <v>184245.92</v>
      </c>
      <c r="C15" s="73">
        <v>201421.91</v>
      </c>
      <c r="D15" s="145">
        <v>209317.26</v>
      </c>
      <c r="E15" s="163">
        <f t="shared" si="0"/>
        <v>3.9198069365939413E-2</v>
      </c>
      <c r="F15" s="166">
        <v>1825</v>
      </c>
      <c r="G15" s="63">
        <f t="shared" si="3"/>
        <v>114.69438904109589</v>
      </c>
      <c r="H15" s="61">
        <v>24</v>
      </c>
      <c r="I15" s="169">
        <f t="shared" si="1"/>
        <v>1.315068493150685E-2</v>
      </c>
      <c r="J15" s="46">
        <f>SUM(H15+134+'9 Dec - 15 Dec'!H15+'16 Dec - 22 Dec'!H15+'23 Dec - 29 Dec'!H15+'30 Dec - 5 Jan'!H15+'6 Jan - 12 Jan'!H15+'13 Jan - 19 Jan'!H15+'20 Jan - 26 Jan'!H15+'27 Jan - 2 Feb'!H15+'3 Feb - 9 Feb'!H15)</f>
        <v>203</v>
      </c>
      <c r="K15" s="172">
        <f t="shared" si="2"/>
        <v>0.11123287671232877</v>
      </c>
      <c r="L15" s="188">
        <v>13850.87</v>
      </c>
      <c r="M15" s="89">
        <f t="shared" si="4"/>
        <v>6.6171657320566873E-2</v>
      </c>
      <c r="N15" s="130">
        <v>6617.3</v>
      </c>
      <c r="O15" s="9"/>
    </row>
    <row r="16" spans="1:15" ht="15.6" customHeight="1" x14ac:dyDescent="0.3">
      <c r="A16" s="198" t="s">
        <v>27</v>
      </c>
      <c r="B16" s="200">
        <f>'3 Feb - 9 Feb'!D16</f>
        <v>136872.09</v>
      </c>
      <c r="C16" s="73">
        <v>194132.08</v>
      </c>
      <c r="D16" s="145">
        <v>180239.49</v>
      </c>
      <c r="E16" s="163">
        <f t="shared" si="0"/>
        <v>-7.1562567093496329E-2</v>
      </c>
      <c r="F16" s="166">
        <v>1029</v>
      </c>
      <c r="G16" s="63">
        <f t="shared" si="3"/>
        <v>175.15985422740525</v>
      </c>
      <c r="H16" s="61">
        <v>18</v>
      </c>
      <c r="I16" s="169">
        <f t="shared" si="1"/>
        <v>1.7492711370262391E-2</v>
      </c>
      <c r="J16" s="46">
        <f>SUM(H16+67+'9 Dec - 15 Dec'!H16+'16 Dec - 22 Dec'!H16+'23 Dec - 29 Dec'!H16+'30 Dec - 5 Jan'!H16+'6 Jan - 12 Jan'!H16+'13 Jan - 19 Jan'!H16+'20 Jan - 26 Jan'!H16+'27 Jan - 2 Feb'!H16+'3 Feb - 9 Feb'!H16)</f>
        <v>175</v>
      </c>
      <c r="K16" s="172">
        <f t="shared" si="2"/>
        <v>0.17006802721088435</v>
      </c>
      <c r="L16" s="188">
        <v>21877</v>
      </c>
      <c r="M16" s="89">
        <f t="shared" si="4"/>
        <v>0.12137739626316076</v>
      </c>
      <c r="N16" s="130">
        <v>11009</v>
      </c>
      <c r="O16" s="9"/>
    </row>
    <row r="17" spans="1:15" ht="15.6" customHeight="1" x14ac:dyDescent="0.3">
      <c r="A17" s="198" t="s">
        <v>28</v>
      </c>
      <c r="B17" s="200">
        <f>'3 Feb - 9 Feb'!D17</f>
        <v>183593.77</v>
      </c>
      <c r="C17" s="73">
        <v>207863</v>
      </c>
      <c r="D17" s="145">
        <v>209714.26</v>
      </c>
      <c r="E17" s="163">
        <f t="shared" si="0"/>
        <v>8.9061545344770801E-3</v>
      </c>
      <c r="F17" s="166">
        <v>1408</v>
      </c>
      <c r="G17" s="63">
        <f t="shared" si="3"/>
        <v>148.94478693181819</v>
      </c>
      <c r="H17" s="61">
        <v>8</v>
      </c>
      <c r="I17" s="169">
        <f t="shared" si="1"/>
        <v>5.681818181818182E-3</v>
      </c>
      <c r="J17" s="46">
        <f>SUM(H17+61+'9 Dec - 15 Dec'!H17+'16 Dec - 22 Dec'!H17+'23 Dec - 29 Dec'!H17+'30 Dec - 5 Jan'!H17+'6 Jan - 12 Jan'!H17+'13 Jan - 19 Jan'!H17+'20 Jan - 26 Jan'!H17+'27 Jan - 2 Feb'!H17+'3 Feb - 9 Feb'!H17)</f>
        <v>160</v>
      </c>
      <c r="K17" s="172">
        <f t="shared" si="2"/>
        <v>0.11363636363636363</v>
      </c>
      <c r="L17" s="188">
        <v>24186.87</v>
      </c>
      <c r="M17" s="89">
        <f t="shared" si="4"/>
        <v>0.11533250051760904</v>
      </c>
      <c r="N17" s="130">
        <v>10569.1</v>
      </c>
      <c r="O17" s="9"/>
    </row>
    <row r="18" spans="1:15" ht="15.6" customHeight="1" x14ac:dyDescent="0.3">
      <c r="A18" s="198" t="s">
        <v>33</v>
      </c>
      <c r="B18" s="200">
        <f>'3 Feb - 9 Feb'!D18</f>
        <v>176775.06</v>
      </c>
      <c r="C18" s="73">
        <v>179661.94</v>
      </c>
      <c r="D18" s="145">
        <v>175278.96</v>
      </c>
      <c r="E18" s="163">
        <f t="shared" si="0"/>
        <v>-2.4395706736774693E-2</v>
      </c>
      <c r="F18" s="166">
        <v>1403</v>
      </c>
      <c r="G18" s="63">
        <f t="shared" si="3"/>
        <v>124.93154668567355</v>
      </c>
      <c r="H18" s="61">
        <v>11</v>
      </c>
      <c r="I18" s="169">
        <f t="shared" si="1"/>
        <v>7.8403421240199576E-3</v>
      </c>
      <c r="J18" s="46">
        <f>SUM(H18+158+'9 Dec - 15 Dec'!H18+'16 Dec - 22 Dec'!H18+'23 Dec - 29 Dec'!H18+'30 Dec - 5 Jan'!H18+'6 Jan - 12 Jan'!H18+'13 Jan - 19 Jan'!H18+'20 Jan - 26 Jan'!H18+'27 Jan - 2 Feb'!H18+'3 Feb - 9 Feb'!H18)</f>
        <v>362</v>
      </c>
      <c r="K18" s="172">
        <f t="shared" si="2"/>
        <v>0.25801853171774769</v>
      </c>
      <c r="L18" s="188">
        <v>25940.91</v>
      </c>
      <c r="M18" s="89">
        <f t="shared" si="4"/>
        <v>0.14799785439165089</v>
      </c>
      <c r="N18" s="130">
        <v>7578</v>
      </c>
      <c r="O18" s="9"/>
    </row>
    <row r="19" spans="1:15" ht="16.2" customHeight="1" thickBot="1" x14ac:dyDescent="0.35">
      <c r="A19" s="203" t="s">
        <v>37</v>
      </c>
      <c r="B19" s="201">
        <f>'3 Feb - 9 Feb'!D19</f>
        <v>119677</v>
      </c>
      <c r="C19" s="205">
        <v>0</v>
      </c>
      <c r="D19" s="206">
        <v>136835.4</v>
      </c>
      <c r="E19" s="207">
        <f t="shared" si="0"/>
        <v>0</v>
      </c>
      <c r="F19" s="208">
        <v>1101</v>
      </c>
      <c r="G19" s="209">
        <f t="shared" si="3"/>
        <v>124.28283378746593</v>
      </c>
      <c r="H19" s="210">
        <v>17</v>
      </c>
      <c r="I19" s="211">
        <f t="shared" si="1"/>
        <v>1.5440508628519528E-2</v>
      </c>
      <c r="J19" s="212">
        <f>H19+'23 Dec - 29 Dec'!H19+'30 Dec - 5 Jan'!H19+'6 Jan - 12 Jan'!H19+'13 Jan - 19 Jan'!H19+'20 Jan - 26 Jan'!H19+'27 Jan - 2 Feb'!H19+'3 Feb - 9 Feb'!H19</f>
        <v>76</v>
      </c>
      <c r="K19" s="213">
        <f t="shared" si="2"/>
        <v>6.9028156221616718E-2</v>
      </c>
      <c r="L19" s="214">
        <v>20179.57</v>
      </c>
      <c r="M19" s="215">
        <f t="shared" si="4"/>
        <v>0.14747331465395652</v>
      </c>
      <c r="N19" s="216">
        <v>10867.9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23" priority="5" operator="equal">
      <formula>0</formula>
    </cfRule>
  </conditionalFormatting>
  <conditionalFormatting sqref="D7:D19">
    <cfRule type="cellIs" dxfId="522" priority="4" operator="equal">
      <formula>0</formula>
    </cfRule>
  </conditionalFormatting>
  <conditionalFormatting sqref="E6:K19">
    <cfRule type="cellIs" dxfId="521" priority="3" operator="equal">
      <formula>0</formula>
    </cfRule>
  </conditionalFormatting>
  <conditionalFormatting sqref="L7:L19">
    <cfRule type="cellIs" dxfId="520" priority="2" operator="equal">
      <formula>0</formula>
    </cfRule>
  </conditionalFormatting>
  <conditionalFormatting sqref="M6:N19">
    <cfRule type="cellIs" dxfId="51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O41"/>
  <sheetViews>
    <sheetView zoomScale="78" workbookViewId="0">
      <pane xSplit="1" topLeftCell="B1" activePane="topRight" state="frozen"/>
      <selection pane="topRight" activeCell="D19" sqref="D1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-2.2677266807323973E-2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2413763.8299999996</v>
      </c>
      <c r="C4" s="135">
        <f>SUM(C6:C19)-C14-C9</f>
        <v>2090320.69</v>
      </c>
      <c r="D4" s="142">
        <f>SUM(D6:D19)-D9</f>
        <v>2155570.0700000003</v>
      </c>
      <c r="E4" s="217">
        <f t="shared" ref="E4:E19" si="0">IFERROR((SUM(D4-C4)/C4),0)</f>
        <v>3.1215009406044943E-2</v>
      </c>
      <c r="F4" s="147">
        <f>SUM(F6:F19)</f>
        <v>16058</v>
      </c>
      <c r="G4" s="218">
        <f>AVERAGE(G5:G19)</f>
        <v>114.84780489746208</v>
      </c>
      <c r="H4" s="219">
        <f>SUM(H6:H19)</f>
        <v>189</v>
      </c>
      <c r="I4" s="220">
        <f t="shared" ref="I4:I19" si="1">IFERROR(H4/F4,0)</f>
        <v>1.1769834350479512E-2</v>
      </c>
      <c r="J4" s="221">
        <f>SUM(J6:J19)</f>
        <v>3038</v>
      </c>
      <c r="K4" s="222">
        <f t="shared" ref="K4:K19" si="2">IFERROR(J4/SUM(F4),0)</f>
        <v>0.1891891891891892</v>
      </c>
      <c r="L4" s="223">
        <f>SUM(L6:L19)</f>
        <v>340031.80999999994</v>
      </c>
      <c r="M4" s="222">
        <f>SUM(L4/D4)</f>
        <v>0.15774565379820843</v>
      </c>
      <c r="N4" s="141">
        <f>SUM(N6:N19)</f>
        <v>133601.12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'10 Feb - 16 Feb'!D6</f>
        <v>280895.78000000003</v>
      </c>
      <c r="C6" s="123">
        <v>255478.47</v>
      </c>
      <c r="D6" s="197">
        <v>222785.95</v>
      </c>
      <c r="E6" s="162">
        <f t="shared" si="0"/>
        <v>-0.12796585168213975</v>
      </c>
      <c r="F6" s="165">
        <v>1759</v>
      </c>
      <c r="G6" s="124">
        <f t="shared" ref="G6:G19" si="3">IFERROR(D6/F6,0)</f>
        <v>126.6548891415577</v>
      </c>
      <c r="H6" s="125">
        <v>25</v>
      </c>
      <c r="I6" s="168">
        <f t="shared" si="1"/>
        <v>1.4212620807276862E-2</v>
      </c>
      <c r="J6" s="46">
        <f>SUM(109+H6+'9 Dec - 15 Dec'!H6+'16 Dec - 22 Dec'!H6+'23 Dec - 29 Dec'!H6+'30 Dec - 5 Jan'!H6+'6 Jan - 12 Jan'!H6+'13 Jan - 19 Jan'!H6+'20 Jan - 26 Jan'!H6+'27 Jan - 2 Feb'!H6+'3 Feb - 9 Feb'!H6+'10 Feb - 16 Feb'!H6)</f>
        <v>333</v>
      </c>
      <c r="K6" s="171">
        <f t="shared" si="2"/>
        <v>0.18931210915292779</v>
      </c>
      <c r="L6" s="191">
        <v>32716.52</v>
      </c>
      <c r="M6" s="128">
        <f t="shared" ref="M6:M19" si="4">SUM(L6/D6)</f>
        <v>0.14685180999968803</v>
      </c>
      <c r="N6" s="129">
        <v>11700.9</v>
      </c>
      <c r="O6" s="26"/>
    </row>
    <row r="7" spans="1:15" ht="15.6" customHeight="1" x14ac:dyDescent="0.3">
      <c r="A7" s="409" t="s">
        <v>16</v>
      </c>
      <c r="B7" s="200">
        <f>'10 Feb - 16 Feb'!D7</f>
        <v>224075.5</v>
      </c>
      <c r="C7" s="73">
        <v>179311.69</v>
      </c>
      <c r="D7" s="145">
        <v>232321.08</v>
      </c>
      <c r="E7" s="163">
        <f t="shared" si="0"/>
        <v>0.2956270726130571</v>
      </c>
      <c r="F7" s="166">
        <v>1745</v>
      </c>
      <c r="G7" s="63">
        <f t="shared" si="3"/>
        <v>133.1352893982808</v>
      </c>
      <c r="H7" s="61">
        <v>3</v>
      </c>
      <c r="I7" s="169">
        <f t="shared" si="1"/>
        <v>1.7191977077363897E-3</v>
      </c>
      <c r="J7" s="46">
        <f>SUM(H7+153+'9 Dec - 15 Dec'!H7+'16 Dec - 22 Dec'!H7+'23 Dec - 29 Dec'!H7+'30 Dec - 5 Jan'!H7+'6 Jan - 12 Jan'!H7+'13 Jan - 19 Jan'!H7+'20 Jan - 26 Jan'!H7+'27 Jan - 2 Feb'!H7+'3 Feb - 9 Feb'!H7+'10 Feb - 16 Feb'!H7)</f>
        <v>245</v>
      </c>
      <c r="K7" s="172">
        <f t="shared" si="2"/>
        <v>0.14040114613180515</v>
      </c>
      <c r="L7" s="188">
        <v>34262.959999999999</v>
      </c>
      <c r="M7" s="89">
        <f t="shared" si="4"/>
        <v>0.14748106370717629</v>
      </c>
      <c r="N7" s="130">
        <v>19824.28</v>
      </c>
      <c r="O7" s="26"/>
    </row>
    <row r="8" spans="1:15" ht="15.6" customHeight="1" x14ac:dyDescent="0.3">
      <c r="A8" s="409" t="s">
        <v>17</v>
      </c>
      <c r="B8" s="200">
        <f>'10 Feb - 16 Feb'!D8</f>
        <v>133786.9</v>
      </c>
      <c r="C8" s="73">
        <v>106132.06</v>
      </c>
      <c r="D8" s="145">
        <v>89875.17</v>
      </c>
      <c r="E8" s="163">
        <f t="shared" si="0"/>
        <v>-0.15317605255188677</v>
      </c>
      <c r="F8" s="166">
        <v>679</v>
      </c>
      <c r="G8" s="63">
        <f t="shared" si="3"/>
        <v>132.36402061855671</v>
      </c>
      <c r="H8" s="61">
        <v>2</v>
      </c>
      <c r="I8" s="169">
        <f t="shared" si="1"/>
        <v>2.9455081001472753E-3</v>
      </c>
      <c r="J8" s="46">
        <f>SUM(H8+12+'9 Dec - 15 Dec'!H8+'16 Dec - 22 Dec'!H8+'23 Dec - 29 Dec'!H8+'30 Dec - 5 Jan'!H8+'6 Jan - 12 Jan'!H8+'13 Jan - 19 Jan'!H8+'20 Jan - 26 Jan'!H8+'27 Jan - 2 Feb'!H8+'3 Feb - 9 Feb'!H8+'10 Feb - 16 Feb'!H8)</f>
        <v>81</v>
      </c>
      <c r="K8" s="172">
        <f t="shared" si="2"/>
        <v>0.11929307805596466</v>
      </c>
      <c r="L8" s="188">
        <v>29520.17</v>
      </c>
      <c r="M8" s="89">
        <f t="shared" si="4"/>
        <v>0.32845745938505594</v>
      </c>
      <c r="N8" s="130">
        <v>4559.55</v>
      </c>
      <c r="O8" s="26"/>
    </row>
    <row r="9" spans="1:15" ht="15.6" customHeight="1" x14ac:dyDescent="0.3">
      <c r="A9" s="410" t="s">
        <v>18</v>
      </c>
      <c r="B9" s="224">
        <f>'10 Feb - 16 Feb'!D9</f>
        <v>0</v>
      </c>
      <c r="C9" s="224">
        <v>325053.89</v>
      </c>
      <c r="D9" s="225">
        <v>0</v>
      </c>
      <c r="E9" s="226">
        <f t="shared" si="0"/>
        <v>-1</v>
      </c>
      <c r="F9" s="227">
        <v>0</v>
      </c>
      <c r="G9" s="228">
        <f t="shared" si="3"/>
        <v>0</v>
      </c>
      <c r="H9" s="229">
        <v>0</v>
      </c>
      <c r="I9" s="230">
        <f t="shared" si="1"/>
        <v>0</v>
      </c>
      <c r="J9" s="231">
        <f>SUM(H9+79+'9 Dec - 15 Dec'!H9+'16 Dec - 22 Dec'!H9+'23 Dec - 29 Dec'!H9+'30 Dec - 5 Jan'!H9+'6 Jan - 12 Jan'!H9+'13 Jan - 19 Jan'!H9+'20 Jan - 26 Jan'!H9+'27 Jan - 2 Feb'!H9+'3 Feb - 9 Feb'!H9+'10 Feb - 16 Feb'!H9)</f>
        <v>218</v>
      </c>
      <c r="K9" s="232">
        <f t="shared" si="2"/>
        <v>0</v>
      </c>
      <c r="L9" s="233">
        <v>0</v>
      </c>
      <c r="M9" s="234" t="e">
        <f t="shared" si="4"/>
        <v>#DIV/0!</v>
      </c>
      <c r="N9" s="235">
        <v>0</v>
      </c>
      <c r="O9" s="26"/>
    </row>
    <row r="10" spans="1:15" ht="15.6" customHeight="1" x14ac:dyDescent="0.3">
      <c r="A10" s="409" t="s">
        <v>20</v>
      </c>
      <c r="B10" s="200">
        <f>'10 Feb - 16 Feb'!D10</f>
        <v>182605.54</v>
      </c>
      <c r="C10" s="73">
        <v>146907.45000000001</v>
      </c>
      <c r="D10" s="145">
        <v>172889.65</v>
      </c>
      <c r="E10" s="163">
        <f t="shared" si="0"/>
        <v>0.17686101011214872</v>
      </c>
      <c r="F10" s="166">
        <v>1171</v>
      </c>
      <c r="G10" s="63">
        <f t="shared" si="3"/>
        <v>147.64274124679761</v>
      </c>
      <c r="H10" s="61">
        <v>38</v>
      </c>
      <c r="I10" s="169">
        <f t="shared" si="1"/>
        <v>3.2450896669513236E-2</v>
      </c>
      <c r="J10" s="46">
        <f>SUM(H10+130+'9 Dec - 15 Dec'!H10+'16 Dec - 22 Dec'!H10+'23 Dec - 29 Dec'!H10+'30 Dec - 5 Jan'!H10+'6 Jan - 12 Jan'!H10+'13 Jan - 19 Jan'!H10+'20 Jan - 26 Jan'!H10+'27 Jan - 2 Feb'!H10+'3 Feb - 9 Feb'!H10+'10 Feb - 16 Feb'!H10)</f>
        <v>417</v>
      </c>
      <c r="K10" s="172">
        <f t="shared" si="2"/>
        <v>0.3561058923996584</v>
      </c>
      <c r="L10" s="188">
        <v>39395</v>
      </c>
      <c r="M10" s="89">
        <f t="shared" si="4"/>
        <v>0.22786210741938573</v>
      </c>
      <c r="N10" s="130">
        <v>8030.15</v>
      </c>
      <c r="O10" s="26"/>
    </row>
    <row r="11" spans="1:15" ht="15.6" customHeight="1" x14ac:dyDescent="0.3">
      <c r="A11" s="409" t="s">
        <v>21</v>
      </c>
      <c r="B11" s="200">
        <f>'10 Feb - 16 Feb'!D11</f>
        <v>308009.71999999997</v>
      </c>
      <c r="C11" s="73">
        <v>346076.98</v>
      </c>
      <c r="D11" s="145">
        <v>295782.3</v>
      </c>
      <c r="E11" s="163">
        <f t="shared" si="0"/>
        <v>-0.14532801343793508</v>
      </c>
      <c r="F11" s="166">
        <v>1948</v>
      </c>
      <c r="G11" s="63">
        <f t="shared" si="3"/>
        <v>151.83896303901437</v>
      </c>
      <c r="H11" s="61">
        <v>17</v>
      </c>
      <c r="I11" s="169">
        <f t="shared" si="1"/>
        <v>8.7268993839835721E-3</v>
      </c>
      <c r="J11" s="46">
        <f>SUM(H11+123+'9 Dec - 15 Dec'!H11+'16 Dec - 22 Dec'!H11+'23 Dec - 29 Dec'!H11+'30 Dec - 5 Jan'!H11+'6 Jan - 12 Jan'!H11+'13 Jan - 19 Jan'!H11+'20 Jan - 26 Jan'!H11+'27 Jan - 2 Feb'!H11,'3 Feb - 9 Feb'!H11+'10 Feb - 16 Feb'!H11)</f>
        <v>355</v>
      </c>
      <c r="K11" s="172">
        <f t="shared" si="2"/>
        <v>0.18223819301848049</v>
      </c>
      <c r="L11" s="188">
        <v>50240.29</v>
      </c>
      <c r="M11" s="89">
        <f t="shared" si="4"/>
        <v>0.16985563368734372</v>
      </c>
      <c r="N11" s="130">
        <v>19210.25</v>
      </c>
      <c r="O11" s="26"/>
    </row>
    <row r="12" spans="1:15" ht="15.6" customHeight="1" x14ac:dyDescent="0.3">
      <c r="A12" s="198" t="s">
        <v>22</v>
      </c>
      <c r="B12" s="200">
        <f>'10 Feb - 16 Feb'!D12</f>
        <v>160405.70000000001</v>
      </c>
      <c r="C12" s="73">
        <v>148820.94</v>
      </c>
      <c r="D12" s="145">
        <v>155166.48000000001</v>
      </c>
      <c r="E12" s="163">
        <f t="shared" si="0"/>
        <v>4.2638757690954029E-2</v>
      </c>
      <c r="F12" s="166">
        <v>1221</v>
      </c>
      <c r="G12" s="63">
        <f t="shared" si="3"/>
        <v>127.08147420147421</v>
      </c>
      <c r="H12" s="61">
        <v>3</v>
      </c>
      <c r="I12" s="169">
        <f t="shared" si="1"/>
        <v>2.4570024570024569E-3</v>
      </c>
      <c r="J12" s="46">
        <f>SUM(H12+55+'9 Dec - 15 Dec'!H12+'16 Dec - 22 Dec'!H12+'23 Dec - 29 Dec'!H12+'30 Dec - 5 Jan'!H12+'6 Jan - 12 Jan'!H12+'13 Jan - 19 Jan'!H12+'20 Jan - 26 Jan'!H12+'27 Jan - 2 Feb'!H12+'3 Feb - 9 Feb'!H12+'10 Feb - 16 Feb'!H12)</f>
        <v>138</v>
      </c>
      <c r="K12" s="172">
        <f t="shared" si="2"/>
        <v>0.11302211302211303</v>
      </c>
      <c r="L12" s="188">
        <v>20960.61</v>
      </c>
      <c r="M12" s="89">
        <f t="shared" si="4"/>
        <v>0.13508465230377076</v>
      </c>
      <c r="N12" s="130">
        <v>13703.5</v>
      </c>
      <c r="O12" s="26"/>
    </row>
    <row r="13" spans="1:15" ht="15.6" customHeight="1" x14ac:dyDescent="0.3">
      <c r="A13" s="198" t="s">
        <v>23</v>
      </c>
      <c r="B13" s="200">
        <f>'10 Feb - 16 Feb'!D13</f>
        <v>212599.32</v>
      </c>
      <c r="C13" s="73">
        <v>227627.23</v>
      </c>
      <c r="D13" s="145">
        <v>207016.53</v>
      </c>
      <c r="E13" s="163">
        <f t="shared" si="0"/>
        <v>-9.0545845503633329E-2</v>
      </c>
      <c r="F13" s="166">
        <v>1529</v>
      </c>
      <c r="G13" s="63">
        <f t="shared" si="3"/>
        <v>135.39341399607588</v>
      </c>
      <c r="H13" s="61">
        <v>10</v>
      </c>
      <c r="I13" s="169">
        <f t="shared" si="1"/>
        <v>6.5402223675604968E-3</v>
      </c>
      <c r="J13" s="46">
        <f>SUM(H13+66+'9 Dec - 15 Dec'!H13+'16 Dec - 22 Dec'!H13+'23 Dec - 29 Dec'!H13+'30 Dec - 5 Jan'!H13+'6 Jan - 12 Jan'!H13+'13 Jan - 19 Jan'!H13+'20 Jan - 26 Jan'!H13+'27 Jan - 2 Feb'!H13+'3 Feb - 9 Feb'!H13+'10 Feb - 16 Feb'!H13)</f>
        <v>184</v>
      </c>
      <c r="K13" s="172">
        <f t="shared" si="2"/>
        <v>0.12034009156311315</v>
      </c>
      <c r="L13" s="188">
        <v>32837.519999999997</v>
      </c>
      <c r="M13" s="89">
        <f t="shared" si="4"/>
        <v>0.15862269549199765</v>
      </c>
      <c r="N13" s="130">
        <v>10771.1</v>
      </c>
      <c r="O13" s="26"/>
    </row>
    <row r="14" spans="1:15" ht="15.6" hidden="1" customHeight="1" x14ac:dyDescent="0.3">
      <c r="A14" s="198" t="s">
        <v>24</v>
      </c>
      <c r="B14" s="200">
        <f>'10 Feb - 16 Feb'!D14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'10 Feb - 16 Feb'!D15</f>
        <v>209317.26</v>
      </c>
      <c r="C15" s="73">
        <v>159531.37</v>
      </c>
      <c r="D15" s="145">
        <v>186665.69</v>
      </c>
      <c r="E15" s="163">
        <f t="shared" si="0"/>
        <v>0.17008767617303108</v>
      </c>
      <c r="F15" s="166">
        <v>1592</v>
      </c>
      <c r="G15" s="63">
        <f t="shared" si="3"/>
        <v>117.25231783919598</v>
      </c>
      <c r="H15" s="61">
        <v>3</v>
      </c>
      <c r="I15" s="169">
        <f t="shared" si="1"/>
        <v>1.8844221105527637E-3</v>
      </c>
      <c r="J15" s="46">
        <f>SUM(H15+134+'9 Dec - 15 Dec'!H15+'16 Dec - 22 Dec'!H15+'23 Dec - 29 Dec'!H15+'30 Dec - 5 Jan'!H15+'6 Jan - 12 Jan'!H15+'13 Jan - 19 Jan'!H15+'20 Jan - 26 Jan'!H15+'27 Jan - 2 Feb'!H15+'3 Feb - 9 Feb'!H15+'10 Feb - 16 Feb'!H15)</f>
        <v>206</v>
      </c>
      <c r="K15" s="172">
        <f t="shared" si="2"/>
        <v>0.12939698492462312</v>
      </c>
      <c r="L15" s="188">
        <v>8853.0400000000009</v>
      </c>
      <c r="M15" s="89">
        <f t="shared" si="4"/>
        <v>4.7427248146137628E-2</v>
      </c>
      <c r="N15" s="130">
        <v>5610.3</v>
      </c>
      <c r="O15" s="9"/>
    </row>
    <row r="16" spans="1:15" ht="15.6" customHeight="1" x14ac:dyDescent="0.3">
      <c r="A16" s="198" t="s">
        <v>27</v>
      </c>
      <c r="B16" s="200">
        <f>'10 Feb - 16 Feb'!D16</f>
        <v>180239.49</v>
      </c>
      <c r="C16" s="73">
        <v>135434.34</v>
      </c>
      <c r="D16" s="145">
        <v>120536.7</v>
      </c>
      <c r="E16" s="163">
        <f t="shared" si="0"/>
        <v>-0.10999898548625112</v>
      </c>
      <c r="F16" s="166">
        <v>844</v>
      </c>
      <c r="G16" s="63">
        <f t="shared" si="3"/>
        <v>142.8159952606635</v>
      </c>
      <c r="H16" s="61">
        <v>4</v>
      </c>
      <c r="I16" s="169">
        <f t="shared" si="1"/>
        <v>4.7393364928909956E-3</v>
      </c>
      <c r="J16" s="46">
        <f>SUM(H16+67+'9 Dec - 15 Dec'!H16+'16 Dec - 22 Dec'!H16+'23 Dec - 29 Dec'!H16+'30 Dec - 5 Jan'!H16+'6 Jan - 12 Jan'!H16+'13 Jan - 19 Jan'!H16+'20 Jan - 26 Jan'!H16+'27 Jan - 2 Feb'!H16+'3 Feb - 9 Feb'!H16+'10 Feb - 16 Feb'!H16)</f>
        <v>179</v>
      </c>
      <c r="K16" s="172">
        <f t="shared" si="2"/>
        <v>0.21208530805687204</v>
      </c>
      <c r="L16" s="188">
        <v>22726.22</v>
      </c>
      <c r="M16" s="89">
        <f t="shared" si="4"/>
        <v>0.18854191296094883</v>
      </c>
      <c r="N16" s="130">
        <v>11150</v>
      </c>
      <c r="O16" s="9"/>
    </row>
    <row r="17" spans="1:15" ht="15.6" customHeight="1" x14ac:dyDescent="0.3">
      <c r="A17" s="198" t="s">
        <v>28</v>
      </c>
      <c r="B17" s="200">
        <f>'10 Feb - 16 Feb'!D17</f>
        <v>209714.26</v>
      </c>
      <c r="C17" s="73">
        <v>215582.54</v>
      </c>
      <c r="D17" s="145">
        <v>194445.82</v>
      </c>
      <c r="E17" s="163">
        <f t="shared" si="0"/>
        <v>-9.8044674675416665E-2</v>
      </c>
      <c r="F17" s="166">
        <v>1277</v>
      </c>
      <c r="G17" s="63">
        <f t="shared" si="3"/>
        <v>152.26767423649179</v>
      </c>
      <c r="H17" s="61">
        <v>17</v>
      </c>
      <c r="I17" s="169">
        <f t="shared" si="1"/>
        <v>1.331245105716523E-2</v>
      </c>
      <c r="J17" s="46">
        <f>SUM(H17+61+'9 Dec - 15 Dec'!H17+'16 Dec - 22 Dec'!H17+'23 Dec - 29 Dec'!H17+'30 Dec - 5 Jan'!H17+'6 Jan - 12 Jan'!H17+'13 Jan - 19 Jan'!H17+'20 Jan - 26 Jan'!H17+'27 Jan - 2 Feb'!H17+'3 Feb - 9 Feb'!H17+'10 Feb - 16 Feb'!H17)</f>
        <v>177</v>
      </c>
      <c r="K17" s="172">
        <f t="shared" si="2"/>
        <v>0.13860610806577917</v>
      </c>
      <c r="L17" s="188">
        <v>31420.74</v>
      </c>
      <c r="M17" s="89">
        <f t="shared" si="4"/>
        <v>0.1615912340002989</v>
      </c>
      <c r="N17" s="130">
        <v>11191.75</v>
      </c>
      <c r="O17" s="9"/>
    </row>
    <row r="18" spans="1:15" ht="15.6" customHeight="1" x14ac:dyDescent="0.3">
      <c r="A18" s="198" t="s">
        <v>33</v>
      </c>
      <c r="B18" s="200">
        <f>'10 Feb - 16 Feb'!D18</f>
        <v>175278.96</v>
      </c>
      <c r="C18" s="73">
        <v>169417.62</v>
      </c>
      <c r="D18" s="145">
        <v>165432.56</v>
      </c>
      <c r="E18" s="163">
        <f t="shared" si="0"/>
        <v>-2.352211062816251E-2</v>
      </c>
      <c r="F18" s="166">
        <v>1332</v>
      </c>
      <c r="G18" s="63">
        <f t="shared" si="3"/>
        <v>124.19861861861861</v>
      </c>
      <c r="H18" s="61">
        <v>19</v>
      </c>
      <c r="I18" s="169">
        <f t="shared" si="1"/>
        <v>1.4264264264264264E-2</v>
      </c>
      <c r="J18" s="46">
        <f>SUM(H18+158+'9 Dec - 15 Dec'!H18+'16 Dec - 22 Dec'!H18+'23 Dec - 29 Dec'!H18+'30 Dec - 5 Jan'!H18+'6 Jan - 12 Jan'!H18+'13 Jan - 19 Jan'!H18+'20 Jan - 26 Jan'!H18+'27 Jan - 2 Feb'!H18+'3 Feb - 9 Feb'!H18+'10 Feb - 16 Feb'!H18)</f>
        <v>381</v>
      </c>
      <c r="K18" s="172">
        <f t="shared" si="2"/>
        <v>0.28603603603603606</v>
      </c>
      <c r="L18" s="188">
        <v>21947.48</v>
      </c>
      <c r="M18" s="89">
        <f t="shared" si="4"/>
        <v>0.13266723310090831</v>
      </c>
      <c r="N18" s="130">
        <v>6781.04</v>
      </c>
      <c r="O18" s="9"/>
    </row>
    <row r="19" spans="1:15" ht="16.2" customHeight="1" thickBot="1" x14ac:dyDescent="0.35">
      <c r="A19" s="203" t="s">
        <v>37</v>
      </c>
      <c r="B19" s="201">
        <f>'10 Feb - 16 Feb'!D19</f>
        <v>136835.4</v>
      </c>
      <c r="C19" s="205">
        <v>0</v>
      </c>
      <c r="D19" s="206">
        <v>112652.14</v>
      </c>
      <c r="E19" s="207">
        <f t="shared" si="0"/>
        <v>0</v>
      </c>
      <c r="F19" s="208">
        <v>961</v>
      </c>
      <c r="G19" s="209">
        <f t="shared" si="3"/>
        <v>117.22387096774193</v>
      </c>
      <c r="H19" s="210">
        <v>48</v>
      </c>
      <c r="I19" s="211">
        <f t="shared" si="1"/>
        <v>4.9947970863683661E-2</v>
      </c>
      <c r="J19" s="212">
        <f>H19+'23 Dec - 29 Dec'!H19+'30 Dec - 5 Jan'!H19+'6 Jan - 12 Jan'!H19+'13 Jan - 19 Jan'!H19+'20 Jan - 26 Jan'!H19+'27 Jan - 2 Feb'!H19+'3 Feb - 9 Feb'!H19+'10 Feb - 16 Feb'!H19</f>
        <v>124</v>
      </c>
      <c r="K19" s="213">
        <f t="shared" si="2"/>
        <v>0.12903225806451613</v>
      </c>
      <c r="L19" s="214">
        <v>15151.26</v>
      </c>
      <c r="M19" s="215">
        <f t="shared" si="4"/>
        <v>0.13449598028053439</v>
      </c>
      <c r="N19" s="216">
        <v>11068.3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18" priority="5" operator="equal">
      <formula>0</formula>
    </cfRule>
  </conditionalFormatting>
  <conditionalFormatting sqref="D7:D19">
    <cfRule type="cellIs" dxfId="517" priority="4" operator="equal">
      <formula>0</formula>
    </cfRule>
  </conditionalFormatting>
  <conditionalFormatting sqref="E6:K19">
    <cfRule type="cellIs" dxfId="516" priority="3" operator="equal">
      <formula>0</formula>
    </cfRule>
  </conditionalFormatting>
  <conditionalFormatting sqref="L7:L19">
    <cfRule type="cellIs" dxfId="515" priority="2" operator="equal">
      <formula>0</formula>
    </cfRule>
  </conditionalFormatting>
  <conditionalFormatting sqref="M6:N19">
    <cfRule type="cellIs" dxfId="51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O41"/>
  <sheetViews>
    <sheetView zoomScale="78" workbookViewId="0">
      <pane xSplit="1" topLeftCell="B1" activePane="topRight" state="frozen"/>
      <selection pane="topRight" activeCell="G10" sqref="G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-4.4996077879559497E-2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2155570.0700000003</v>
      </c>
      <c r="C4" s="135">
        <f>SUM(C6:C19)-C14-C9</f>
        <v>2253959.3400000003</v>
      </c>
      <c r="D4" s="142">
        <f>SUM(D6:D19)-D9</f>
        <v>2281634.1599999997</v>
      </c>
      <c r="E4" s="217">
        <f t="shared" ref="E4:E19" si="0">IFERROR((SUM(D4-C4)/C4),0)</f>
        <v>1.227831376940427E-2</v>
      </c>
      <c r="F4" s="147">
        <f>SUM(F6:F19)</f>
        <v>16814</v>
      </c>
      <c r="G4" s="218">
        <f>AVERAGE(G5:G19)</f>
        <v>116.11713022853291</v>
      </c>
      <c r="H4" s="219">
        <f>SUM(H6:H19)</f>
        <v>273</v>
      </c>
      <c r="I4" s="220">
        <f t="shared" ref="I4:I19" si="1">IFERROR(H4/F4,0)</f>
        <v>1.6236469608659449E-2</v>
      </c>
      <c r="J4" s="221">
        <f>SUM(J6:J19)</f>
        <v>3336</v>
      </c>
      <c r="K4" s="222">
        <f t="shared" ref="K4:K19" si="2">IFERROR(J4/SUM(F4),0)</f>
        <v>0.19840609016295943</v>
      </c>
      <c r="L4" s="223">
        <f>SUM(L6:L19)</f>
        <v>391948.4</v>
      </c>
      <c r="M4" s="222">
        <f>SUM(L4/D4)</f>
        <v>0.17178406901130902</v>
      </c>
      <c r="N4" s="141">
        <f>SUM(N6:N19)</f>
        <v>145111.78999999998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'17 Feb - 23 Feb'!D6</f>
        <v>222785.95</v>
      </c>
      <c r="C6" s="123">
        <v>251748.71</v>
      </c>
      <c r="D6" s="197">
        <v>230798.84</v>
      </c>
      <c r="E6" s="162">
        <f t="shared" si="0"/>
        <v>-8.3217387687905112E-2</v>
      </c>
      <c r="F6" s="165">
        <v>1745</v>
      </c>
      <c r="G6" s="124">
        <f t="shared" ref="G6:G19" si="3">IFERROR(D6/F6,0)</f>
        <v>132.26294555873926</v>
      </c>
      <c r="H6" s="125">
        <v>9</v>
      </c>
      <c r="I6" s="168">
        <f t="shared" si="1"/>
        <v>5.1575931232091688E-3</v>
      </c>
      <c r="J6" s="46">
        <f>SUM(358+H6)</f>
        <v>367</v>
      </c>
      <c r="K6" s="171">
        <f t="shared" si="2"/>
        <v>0.21031518624641835</v>
      </c>
      <c r="L6" s="191">
        <v>41165.699999999997</v>
      </c>
      <c r="M6" s="128">
        <f t="shared" ref="M6:M19" si="4">SUM(L6/D6)</f>
        <v>0.17836181499005799</v>
      </c>
      <c r="N6" s="129">
        <v>13389.8</v>
      </c>
      <c r="O6" s="26"/>
    </row>
    <row r="7" spans="1:15" ht="15.6" customHeight="1" x14ac:dyDescent="0.3">
      <c r="A7" s="409" t="s">
        <v>16</v>
      </c>
      <c r="B7" s="200">
        <f>'17 Feb - 23 Feb'!D7</f>
        <v>232321.08</v>
      </c>
      <c r="C7" s="73">
        <v>224533.36</v>
      </c>
      <c r="D7" s="145">
        <v>228520.15</v>
      </c>
      <c r="E7" s="163">
        <f t="shared" si="0"/>
        <v>1.7755891596687497E-2</v>
      </c>
      <c r="F7" s="166">
        <v>1697</v>
      </c>
      <c r="G7" s="63">
        <f t="shared" si="3"/>
        <v>134.66125515615792</v>
      </c>
      <c r="H7" s="61">
        <v>18</v>
      </c>
      <c r="I7" s="169">
        <f t="shared" si="1"/>
        <v>1.060695344725987E-2</v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Feb'!H7)</f>
        <v>263</v>
      </c>
      <c r="K7" s="172">
        <f t="shared" si="2"/>
        <v>0.15497937536829701</v>
      </c>
      <c r="L7" s="188">
        <v>33442.699999999997</v>
      </c>
      <c r="M7" s="89">
        <f t="shared" si="4"/>
        <v>0.14634464400622876</v>
      </c>
      <c r="N7" s="130">
        <v>19744.849999999999</v>
      </c>
      <c r="O7" s="26"/>
    </row>
    <row r="8" spans="1:15" ht="15.6" customHeight="1" x14ac:dyDescent="0.3">
      <c r="A8" s="409" t="s">
        <v>17</v>
      </c>
      <c r="B8" s="200">
        <f>'17 Feb - 23 Feb'!D8</f>
        <v>89875.17</v>
      </c>
      <c r="C8" s="73">
        <v>118837.36</v>
      </c>
      <c r="D8" s="145">
        <v>118987.48</v>
      </c>
      <c r="E8" s="163">
        <f t="shared" si="0"/>
        <v>1.2632391025852083E-3</v>
      </c>
      <c r="F8" s="166">
        <v>861</v>
      </c>
      <c r="G8" s="63">
        <f t="shared" si="3"/>
        <v>138.19684088269454</v>
      </c>
      <c r="H8" s="61">
        <v>6</v>
      </c>
      <c r="I8" s="169">
        <f t="shared" si="1"/>
        <v>6.9686411149825784E-3</v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Feb'!H8)</f>
        <v>87</v>
      </c>
      <c r="K8" s="172">
        <f t="shared" si="2"/>
        <v>0.10104529616724739</v>
      </c>
      <c r="L8" s="188">
        <v>31760.78</v>
      </c>
      <c r="M8" s="89">
        <f t="shared" si="4"/>
        <v>0.26692539416752081</v>
      </c>
      <c r="N8" s="130">
        <v>5519.5</v>
      </c>
      <c r="O8" s="26"/>
    </row>
    <row r="9" spans="1:15" ht="15.6" customHeight="1" x14ac:dyDescent="0.3">
      <c r="A9" s="410" t="s">
        <v>18</v>
      </c>
      <c r="B9" s="224">
        <f>'17 Feb - 23 Feb'!D9</f>
        <v>0</v>
      </c>
      <c r="C9" s="224">
        <v>354530.54</v>
      </c>
      <c r="D9" s="225">
        <v>0</v>
      </c>
      <c r="E9" s="226">
        <f t="shared" si="0"/>
        <v>-1</v>
      </c>
      <c r="F9" s="227">
        <v>0</v>
      </c>
      <c r="G9" s="228">
        <f t="shared" si="3"/>
        <v>0</v>
      </c>
      <c r="H9" s="229">
        <v>0</v>
      </c>
      <c r="I9" s="230">
        <f t="shared" si="1"/>
        <v>0</v>
      </c>
      <c r="J9" s="231">
        <f>SUM(H9+79+'9 Dec - 15 Dec'!H9+'16 Dec - 22 Dec'!H9+'23 Dec - 29 Dec'!H9+'30 Dec - 5 Jan'!H9+'6 Jan - 12 Jan'!H9+'13 Jan - 19 Jan'!H9+'20 Jan - 26 Jan'!H9+'27 Jan - 2 Feb'!H9+'3 Feb - 9 Feb'!H9+'10 Feb - 16 Feb'!H9+'17 Feb - 23 Feb'!H9)</f>
        <v>218</v>
      </c>
      <c r="K9" s="232">
        <f t="shared" si="2"/>
        <v>0</v>
      </c>
      <c r="L9" s="233">
        <v>0</v>
      </c>
      <c r="M9" s="234" t="e">
        <f t="shared" si="4"/>
        <v>#DIV/0!</v>
      </c>
      <c r="N9" s="235">
        <v>0</v>
      </c>
      <c r="O9" s="26"/>
    </row>
    <row r="10" spans="1:15" ht="15.6" customHeight="1" x14ac:dyDescent="0.3">
      <c r="A10" s="409" t="s">
        <v>20</v>
      </c>
      <c r="B10" s="200">
        <f>'17 Feb - 23 Feb'!D10</f>
        <v>172889.65</v>
      </c>
      <c r="C10" s="73">
        <v>162768.13</v>
      </c>
      <c r="D10" s="145">
        <v>180376.85</v>
      </c>
      <c r="E10" s="163">
        <f t="shared" si="0"/>
        <v>0.10818284881690292</v>
      </c>
      <c r="F10" s="166">
        <v>1230</v>
      </c>
      <c r="G10" s="63">
        <f t="shared" si="3"/>
        <v>146.64784552845529</v>
      </c>
      <c r="H10" s="61">
        <v>34</v>
      </c>
      <c r="I10" s="169">
        <f t="shared" si="1"/>
        <v>2.7642276422764227E-2</v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Feb'!H10)</f>
        <v>451</v>
      </c>
      <c r="K10" s="172">
        <f t="shared" si="2"/>
        <v>0.36666666666666664</v>
      </c>
      <c r="L10" s="188">
        <v>43358.57</v>
      </c>
      <c r="M10" s="89">
        <f t="shared" si="4"/>
        <v>0.2403776870479776</v>
      </c>
      <c r="N10" s="130">
        <v>10709.2</v>
      </c>
      <c r="O10" s="26"/>
    </row>
    <row r="11" spans="1:15" ht="15.6" customHeight="1" x14ac:dyDescent="0.3">
      <c r="A11" s="409" t="s">
        <v>21</v>
      </c>
      <c r="B11" s="200">
        <f>'17 Feb - 23 Feb'!D11</f>
        <v>295782.3</v>
      </c>
      <c r="C11" s="73">
        <v>337802.42</v>
      </c>
      <c r="D11" s="145">
        <v>300655.83</v>
      </c>
      <c r="E11" s="163">
        <f t="shared" si="0"/>
        <v>-0.10996543482429749</v>
      </c>
      <c r="F11" s="166">
        <v>1915</v>
      </c>
      <c r="G11" s="63">
        <f t="shared" si="3"/>
        <v>157.00043342036554</v>
      </c>
      <c r="H11" s="61">
        <v>10</v>
      </c>
      <c r="I11" s="169">
        <f t="shared" si="1"/>
        <v>5.2219321148825066E-3</v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Feb'!H11)</f>
        <v>365</v>
      </c>
      <c r="K11" s="172">
        <f t="shared" si="2"/>
        <v>0.1906005221932115</v>
      </c>
      <c r="L11" s="188">
        <v>54613.52</v>
      </c>
      <c r="M11" s="89">
        <f t="shared" si="4"/>
        <v>0.18164796604808892</v>
      </c>
      <c r="N11" s="130">
        <v>19523.8</v>
      </c>
      <c r="O11" s="26"/>
    </row>
    <row r="12" spans="1:15" ht="15.6" customHeight="1" x14ac:dyDescent="0.3">
      <c r="A12" s="198" t="s">
        <v>22</v>
      </c>
      <c r="B12" s="200">
        <f>'17 Feb - 23 Feb'!D12</f>
        <v>155166.48000000001</v>
      </c>
      <c r="C12" s="73">
        <v>176295.37</v>
      </c>
      <c r="D12" s="145">
        <v>152782.65</v>
      </c>
      <c r="E12" s="163">
        <f t="shared" si="0"/>
        <v>-0.13337117134726795</v>
      </c>
      <c r="F12" s="166">
        <v>1205</v>
      </c>
      <c r="G12" s="63">
        <f t="shared" si="3"/>
        <v>126.79058091286306</v>
      </c>
      <c r="H12" s="61">
        <v>11</v>
      </c>
      <c r="I12" s="169">
        <f t="shared" si="1"/>
        <v>9.1286307053941914E-3</v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Feb'!H12)</f>
        <v>149</v>
      </c>
      <c r="K12" s="172">
        <f t="shared" si="2"/>
        <v>0.12365145228215768</v>
      </c>
      <c r="L12" s="188">
        <v>21659.57</v>
      </c>
      <c r="M12" s="89">
        <f t="shared" si="4"/>
        <v>0.14176720982389035</v>
      </c>
      <c r="N12" s="130">
        <v>14110.91</v>
      </c>
      <c r="O12" s="26"/>
    </row>
    <row r="13" spans="1:15" ht="15.6" customHeight="1" x14ac:dyDescent="0.3">
      <c r="A13" s="198" t="s">
        <v>23</v>
      </c>
      <c r="B13" s="200">
        <f>'17 Feb - 23 Feb'!D13</f>
        <v>207016.53</v>
      </c>
      <c r="C13" s="73">
        <v>222836.31</v>
      </c>
      <c r="D13" s="145">
        <v>243304.13</v>
      </c>
      <c r="E13" s="163">
        <f t="shared" si="0"/>
        <v>9.1851368387853877E-2</v>
      </c>
      <c r="F13" s="166">
        <v>1827</v>
      </c>
      <c r="G13" s="63">
        <f t="shared" si="3"/>
        <v>133.17139025725234</v>
      </c>
      <c r="H13" s="61">
        <v>69</v>
      </c>
      <c r="I13" s="169">
        <f t="shared" si="1"/>
        <v>3.7766830870279149E-2</v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Feb'!H13)</f>
        <v>253</v>
      </c>
      <c r="K13" s="172">
        <f t="shared" si="2"/>
        <v>0.13847837985769021</v>
      </c>
      <c r="L13" s="188">
        <v>41969.3</v>
      </c>
      <c r="M13" s="89">
        <f t="shared" si="4"/>
        <v>0.17249727737872761</v>
      </c>
      <c r="N13" s="130">
        <v>16814.55</v>
      </c>
      <c r="O13" s="26"/>
    </row>
    <row r="14" spans="1:15" ht="15.6" hidden="1" customHeight="1" x14ac:dyDescent="0.3">
      <c r="A14" s="198" t="s">
        <v>24</v>
      </c>
      <c r="B14" s="200">
        <f>'17 Feb - 23 Feb'!D14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'17 Feb - 23 Feb'!D15</f>
        <v>186665.69</v>
      </c>
      <c r="C15" s="73">
        <v>167255.37</v>
      </c>
      <c r="D15" s="145">
        <v>176302.74</v>
      </c>
      <c r="E15" s="163">
        <f t="shared" si="0"/>
        <v>5.4093151089857357E-2</v>
      </c>
      <c r="F15" s="166">
        <v>1485</v>
      </c>
      <c r="G15" s="63">
        <f t="shared" si="3"/>
        <v>118.72238383838383</v>
      </c>
      <c r="H15" s="61">
        <v>10</v>
      </c>
      <c r="I15" s="169">
        <f t="shared" si="1"/>
        <v>6.7340067340067337E-3</v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Feb'!H15)</f>
        <v>216</v>
      </c>
      <c r="K15" s="172">
        <f t="shared" si="2"/>
        <v>0.14545454545454545</v>
      </c>
      <c r="L15" s="188">
        <v>11983.91</v>
      </c>
      <c r="M15" s="89">
        <f t="shared" si="4"/>
        <v>6.7973475624939245E-2</v>
      </c>
      <c r="N15" s="130">
        <v>6171.58</v>
      </c>
      <c r="O15" s="9"/>
    </row>
    <row r="16" spans="1:15" ht="15.6" customHeight="1" x14ac:dyDescent="0.3">
      <c r="A16" s="198" t="s">
        <v>27</v>
      </c>
      <c r="B16" s="200">
        <f>'17 Feb - 23 Feb'!D16</f>
        <v>120536.7</v>
      </c>
      <c r="C16" s="73">
        <v>151388.79999999999</v>
      </c>
      <c r="D16" s="145">
        <v>133954.56</v>
      </c>
      <c r="E16" s="163">
        <f t="shared" si="0"/>
        <v>-0.11516201991164467</v>
      </c>
      <c r="F16" s="166">
        <v>913</v>
      </c>
      <c r="G16" s="63">
        <f t="shared" si="3"/>
        <v>146.71912376779846</v>
      </c>
      <c r="H16" s="61">
        <v>27</v>
      </c>
      <c r="I16" s="169">
        <f t="shared" si="1"/>
        <v>2.9572836801752465E-2</v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Feb'!H16)</f>
        <v>206</v>
      </c>
      <c r="K16" s="172">
        <f t="shared" si="2"/>
        <v>0.22562979189485213</v>
      </c>
      <c r="L16" s="188">
        <v>26421.29</v>
      </c>
      <c r="M16" s="89">
        <f t="shared" si="4"/>
        <v>0.19724069117169285</v>
      </c>
      <c r="N16" s="130">
        <v>8464.6</v>
      </c>
      <c r="O16" s="9"/>
    </row>
    <row r="17" spans="1:15" ht="15.6" customHeight="1" x14ac:dyDescent="0.3">
      <c r="A17" s="198" t="s">
        <v>28</v>
      </c>
      <c r="B17" s="200">
        <f>'17 Feb - 23 Feb'!D17</f>
        <v>194445.82</v>
      </c>
      <c r="C17" s="73">
        <v>250174.74</v>
      </c>
      <c r="D17" s="145">
        <v>200596.96</v>
      </c>
      <c r="E17" s="163">
        <f t="shared" si="0"/>
        <v>-0.19817260527581643</v>
      </c>
      <c r="F17" s="166">
        <v>1376</v>
      </c>
      <c r="G17" s="63">
        <f t="shared" si="3"/>
        <v>145.78267441860464</v>
      </c>
      <c r="H17" s="61">
        <v>6</v>
      </c>
      <c r="I17" s="169">
        <f t="shared" si="1"/>
        <v>4.3604651162790697E-3</v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Feb'!H17)</f>
        <v>183</v>
      </c>
      <c r="K17" s="172">
        <f t="shared" si="2"/>
        <v>0.13299418604651161</v>
      </c>
      <c r="L17" s="188">
        <v>32690.65</v>
      </c>
      <c r="M17" s="89">
        <f t="shared" si="4"/>
        <v>0.16296682661591683</v>
      </c>
      <c r="N17" s="130">
        <v>12858.7</v>
      </c>
      <c r="O17" s="9"/>
    </row>
    <row r="18" spans="1:15" ht="15.6" customHeight="1" x14ac:dyDescent="0.3">
      <c r="A18" s="198" t="s">
        <v>33</v>
      </c>
      <c r="B18" s="200">
        <f>'17 Feb - 23 Feb'!D18</f>
        <v>165432.56</v>
      </c>
      <c r="C18" s="73">
        <v>190318.77</v>
      </c>
      <c r="D18" s="145">
        <v>186259.82</v>
      </c>
      <c r="E18" s="163">
        <f t="shared" si="0"/>
        <v>-2.1327113452866382E-2</v>
      </c>
      <c r="F18" s="166">
        <v>1491</v>
      </c>
      <c r="G18" s="63">
        <f t="shared" si="3"/>
        <v>124.9227498323273</v>
      </c>
      <c r="H18" s="61">
        <v>41</v>
      </c>
      <c r="I18" s="169">
        <f t="shared" si="1"/>
        <v>2.7498323272971161E-2</v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Feb'!H18)</f>
        <v>422</v>
      </c>
      <c r="K18" s="172">
        <f t="shared" si="2"/>
        <v>0.28303152246814217</v>
      </c>
      <c r="L18" s="188">
        <v>27412.52</v>
      </c>
      <c r="M18" s="89">
        <f t="shared" si="4"/>
        <v>0.14717355573520902</v>
      </c>
      <c r="N18" s="130">
        <v>8329</v>
      </c>
      <c r="O18" s="9"/>
    </row>
    <row r="19" spans="1:15" ht="16.2" customHeight="1" thickBot="1" x14ac:dyDescent="0.35">
      <c r="A19" s="203" t="s">
        <v>37</v>
      </c>
      <c r="B19" s="201">
        <f>'17 Feb - 23 Feb'!D19</f>
        <v>112652.14</v>
      </c>
      <c r="C19" s="205">
        <v>0</v>
      </c>
      <c r="D19" s="206">
        <v>129094.15</v>
      </c>
      <c r="E19" s="207">
        <f t="shared" si="0"/>
        <v>0</v>
      </c>
      <c r="F19" s="208">
        <v>1069</v>
      </c>
      <c r="G19" s="209">
        <f t="shared" si="3"/>
        <v>120.76159962581852</v>
      </c>
      <c r="H19" s="210">
        <v>32</v>
      </c>
      <c r="I19" s="211">
        <f t="shared" si="1"/>
        <v>2.9934518241347054E-2</v>
      </c>
      <c r="J19" s="212">
        <f>H19+'23 Dec - 29 Dec'!H19+'30 Dec - 5 Jan'!H19+'6 Jan - 12 Jan'!H19+'13 Jan - 19 Jan'!H19+'20 Jan - 26 Jan'!H19+'27 Jan - 2 Feb'!H19+'3 Feb - 9 Feb'!H19+'10 Feb - 16 Feb'!H19+'17 Feb - 23 Feb'!H19</f>
        <v>156</v>
      </c>
      <c r="K19" s="213">
        <f t="shared" si="2"/>
        <v>0.14593077642656688</v>
      </c>
      <c r="L19" s="214">
        <v>25469.89</v>
      </c>
      <c r="M19" s="215">
        <f t="shared" si="4"/>
        <v>0.19729701152221074</v>
      </c>
      <c r="N19" s="216">
        <v>9475.2999999999993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 t="s">
        <v>31</v>
      </c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13" priority="5" operator="equal">
      <formula>0</formula>
    </cfRule>
  </conditionalFormatting>
  <conditionalFormatting sqref="D7:D19">
    <cfRule type="cellIs" dxfId="512" priority="4" operator="equal">
      <formula>0</formula>
    </cfRule>
  </conditionalFormatting>
  <conditionalFormatting sqref="E6:K19">
    <cfRule type="cellIs" dxfId="511" priority="3" operator="equal">
      <formula>0</formula>
    </cfRule>
  </conditionalFormatting>
  <conditionalFormatting sqref="L7:L19">
    <cfRule type="cellIs" dxfId="510" priority="2" operator="equal">
      <formula>0</formula>
    </cfRule>
  </conditionalFormatting>
  <conditionalFormatting sqref="M6:N19">
    <cfRule type="cellIs" dxfId="50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-0.1070440808846667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2281634.1599999997</v>
      </c>
      <c r="C4" s="135">
        <f>SUM(C6:C19)-C14</f>
        <v>2558477.0100000007</v>
      </c>
      <c r="D4" s="142">
        <f>SUM(D6:D19)</f>
        <v>2401300.4300000006</v>
      </c>
      <c r="E4" s="217">
        <f t="shared" ref="E4:E19" si="0">IFERROR((SUM(D4-C4)/C4),0)</f>
        <v>-6.1433649544499924E-2</v>
      </c>
      <c r="F4" s="147">
        <f>SUM(F6:F19)</f>
        <v>17936</v>
      </c>
      <c r="G4" s="218">
        <f>AVERAGE(G5:G19)</f>
        <v>123.75862349153958</v>
      </c>
      <c r="H4" s="219">
        <f>SUM(H6:H19)</f>
        <v>242</v>
      </c>
      <c r="I4" s="220">
        <f t="shared" ref="I4:I19" si="1">IFERROR(H4/F4,0)</f>
        <v>1.3492417484388938E-2</v>
      </c>
      <c r="J4" s="221">
        <f>SUM(J6:J19)</f>
        <v>3578</v>
      </c>
      <c r="K4" s="222">
        <f t="shared" ref="K4:K19" si="2">IFERROR(J4/SUM(F4),0)</f>
        <v>0.19948706512042819</v>
      </c>
      <c r="L4" s="223">
        <f>SUM(L6:L19)</f>
        <v>348406</v>
      </c>
      <c r="M4" s="222">
        <f>SUM(L4/D4)</f>
        <v>0.14509054995671655</v>
      </c>
      <c r="N4" s="141">
        <f>SUM(N6:N19)</f>
        <v>144003.33000000002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'24 Feb - 1 March'!D6</f>
        <v>230798.84</v>
      </c>
      <c r="C6" s="123">
        <v>237319.79</v>
      </c>
      <c r="D6" s="197">
        <v>224764.48</v>
      </c>
      <c r="E6" s="162">
        <f t="shared" si="0"/>
        <v>-5.2904606059191256E-2</v>
      </c>
      <c r="F6" s="165">
        <v>1699</v>
      </c>
      <c r="G6" s="124">
        <f t="shared" ref="G6:G19" si="3">IFERROR(D6/F6,0)</f>
        <v>132.2922189523249</v>
      </c>
      <c r="H6" s="125">
        <v>10</v>
      </c>
      <c r="I6" s="168">
        <f t="shared" si="1"/>
        <v>5.885815185403178E-3</v>
      </c>
      <c r="J6" s="46">
        <f>SUM(358+H6+'24 Feb - 1 March'!H6)</f>
        <v>377</v>
      </c>
      <c r="K6" s="171">
        <f t="shared" si="2"/>
        <v>0.22189523248969983</v>
      </c>
      <c r="L6" s="191">
        <v>36454.480000000003</v>
      </c>
      <c r="M6" s="128">
        <f t="shared" ref="M6:M19" si="4">SUM(L6/D6)</f>
        <v>0.16218968406395887</v>
      </c>
      <c r="N6" s="129">
        <v>12362.7</v>
      </c>
      <c r="O6" s="26"/>
    </row>
    <row r="7" spans="1:15" ht="15.6" customHeight="1" x14ac:dyDescent="0.3">
      <c r="A7" s="409" t="s">
        <v>16</v>
      </c>
      <c r="B7" s="200">
        <f>'24 Feb - 1 March'!D7</f>
        <v>228520.15</v>
      </c>
      <c r="C7" s="73">
        <v>233007.56</v>
      </c>
      <c r="D7" s="145">
        <v>216682.01</v>
      </c>
      <c r="E7" s="163">
        <f t="shared" si="0"/>
        <v>-7.0064464861140083E-2</v>
      </c>
      <c r="F7" s="166">
        <v>1570</v>
      </c>
      <c r="G7" s="63">
        <f t="shared" si="3"/>
        <v>138.01401910828025</v>
      </c>
      <c r="H7" s="61">
        <v>3</v>
      </c>
      <c r="I7" s="169">
        <f t="shared" si="1"/>
        <v>1.910828025477707E-3</v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March'!H7)</f>
        <v>266</v>
      </c>
      <c r="K7" s="172">
        <f t="shared" si="2"/>
        <v>0.16942675159235668</v>
      </c>
      <c r="L7" s="188">
        <v>40909.61</v>
      </c>
      <c r="M7" s="89">
        <f t="shared" si="4"/>
        <v>0.18880021465556832</v>
      </c>
      <c r="N7" s="130">
        <v>14387.46</v>
      </c>
      <c r="O7" s="26"/>
    </row>
    <row r="8" spans="1:15" ht="15.6" customHeight="1" x14ac:dyDescent="0.3">
      <c r="A8" s="409" t="s">
        <v>17</v>
      </c>
      <c r="B8" s="200">
        <f>'24 Feb - 1 March'!D8</f>
        <v>118987.48</v>
      </c>
      <c r="C8" s="73">
        <v>127072.32000000001</v>
      </c>
      <c r="D8" s="145">
        <v>106995.52</v>
      </c>
      <c r="E8" s="163">
        <f t="shared" si="0"/>
        <v>-0.15799506926449444</v>
      </c>
      <c r="F8" s="166">
        <v>815</v>
      </c>
      <c r="G8" s="63">
        <f t="shared" si="3"/>
        <v>131.28284662576687</v>
      </c>
      <c r="H8" s="61">
        <v>18</v>
      </c>
      <c r="I8" s="169">
        <f t="shared" si="1"/>
        <v>2.2085889570552148E-2</v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March'!H8)</f>
        <v>105</v>
      </c>
      <c r="K8" s="172">
        <f t="shared" si="2"/>
        <v>0.12883435582822086</v>
      </c>
      <c r="L8" s="188">
        <v>31879.13</v>
      </c>
      <c r="M8" s="89">
        <f t="shared" si="4"/>
        <v>0.29794826923594558</v>
      </c>
      <c r="N8" s="130">
        <v>5412.9</v>
      </c>
      <c r="O8" s="26"/>
    </row>
    <row r="9" spans="1:15" ht="15.6" customHeight="1" x14ac:dyDescent="0.3">
      <c r="A9" s="409" t="s">
        <v>18</v>
      </c>
      <c r="B9" s="200">
        <f>'24 Feb - 1 March'!D9</f>
        <v>0</v>
      </c>
      <c r="C9" s="73">
        <v>354792.07</v>
      </c>
      <c r="D9" s="145">
        <v>242061.31</v>
      </c>
      <c r="E9" s="163">
        <f t="shared" si="0"/>
        <v>-0.31773754131539639</v>
      </c>
      <c r="F9" s="166">
        <v>1790</v>
      </c>
      <c r="G9" s="63">
        <f t="shared" si="3"/>
        <v>135.22978212290502</v>
      </c>
      <c r="H9" s="61">
        <v>19</v>
      </c>
      <c r="I9" s="169">
        <f t="shared" si="1"/>
        <v>1.0614525139664804E-2</v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March'!H9)</f>
        <v>237</v>
      </c>
      <c r="K9" s="172">
        <f t="shared" si="2"/>
        <v>0.13240223463687151</v>
      </c>
      <c r="L9" s="188">
        <v>3190.43</v>
      </c>
      <c r="M9" s="89">
        <f t="shared" si="4"/>
        <v>1.3180255861624478E-2</v>
      </c>
      <c r="N9" s="130">
        <v>13307.3</v>
      </c>
      <c r="O9" s="26"/>
    </row>
    <row r="10" spans="1:15" ht="15.6" customHeight="1" x14ac:dyDescent="0.3">
      <c r="A10" s="409" t="s">
        <v>20</v>
      </c>
      <c r="B10" s="200">
        <f>'24 Feb - 1 March'!D10</f>
        <v>180376.85</v>
      </c>
      <c r="C10" s="73">
        <v>162214.98000000001</v>
      </c>
      <c r="D10" s="145">
        <v>159016.18</v>
      </c>
      <c r="E10" s="163">
        <f t="shared" si="0"/>
        <v>-1.9719510491571231E-2</v>
      </c>
      <c r="F10" s="166">
        <v>1107</v>
      </c>
      <c r="G10" s="63">
        <f t="shared" si="3"/>
        <v>143.64605239385727</v>
      </c>
      <c r="H10" s="61">
        <v>24</v>
      </c>
      <c r="I10" s="169">
        <f t="shared" si="1"/>
        <v>2.1680216802168022E-2</v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March'!H10)</f>
        <v>475</v>
      </c>
      <c r="K10" s="172">
        <f t="shared" si="2"/>
        <v>0.42908762420957541</v>
      </c>
      <c r="L10" s="188">
        <v>34807.040000000001</v>
      </c>
      <c r="M10" s="89">
        <f t="shared" si="4"/>
        <v>0.21888992679864402</v>
      </c>
      <c r="N10" s="130">
        <v>8389.1</v>
      </c>
      <c r="O10" s="26"/>
    </row>
    <row r="11" spans="1:15" ht="15.6" customHeight="1" x14ac:dyDescent="0.3">
      <c r="A11" s="409" t="s">
        <v>21</v>
      </c>
      <c r="B11" s="200">
        <f>'24 Feb - 1 March'!D11</f>
        <v>300655.83</v>
      </c>
      <c r="C11" s="73">
        <v>339050.03</v>
      </c>
      <c r="D11" s="145">
        <v>270331.87</v>
      </c>
      <c r="E11" s="163">
        <f t="shared" si="0"/>
        <v>-0.20267852505425241</v>
      </c>
      <c r="F11" s="166">
        <v>1836</v>
      </c>
      <c r="G11" s="63">
        <f t="shared" si="3"/>
        <v>147.23958061002179</v>
      </c>
      <c r="H11" s="61">
        <v>55</v>
      </c>
      <c r="I11" s="169">
        <f t="shared" si="1"/>
        <v>2.9956427015250545E-2</v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March'!H11)</f>
        <v>420</v>
      </c>
      <c r="K11" s="172">
        <f t="shared" si="2"/>
        <v>0.22875816993464052</v>
      </c>
      <c r="L11" s="188">
        <v>39946.43</v>
      </c>
      <c r="M11" s="89">
        <f t="shared" si="4"/>
        <v>0.14776811183971761</v>
      </c>
      <c r="N11" s="130">
        <v>19053.7</v>
      </c>
      <c r="O11" s="26"/>
    </row>
    <row r="12" spans="1:15" ht="15.6" customHeight="1" x14ac:dyDescent="0.3">
      <c r="A12" s="198" t="s">
        <v>22</v>
      </c>
      <c r="B12" s="200">
        <f>'24 Feb - 1 March'!D12</f>
        <v>152782.65</v>
      </c>
      <c r="C12" s="73">
        <v>164881.56</v>
      </c>
      <c r="D12" s="145">
        <v>157839.24</v>
      </c>
      <c r="E12" s="163">
        <f t="shared" si="0"/>
        <v>-4.2711386282371464E-2</v>
      </c>
      <c r="F12" s="166">
        <v>1300</v>
      </c>
      <c r="G12" s="63">
        <f t="shared" si="3"/>
        <v>121.4148</v>
      </c>
      <c r="H12" s="61">
        <v>14</v>
      </c>
      <c r="I12" s="169">
        <f t="shared" si="1"/>
        <v>1.0769230769230769E-2</v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March'!H12)</f>
        <v>163</v>
      </c>
      <c r="K12" s="172">
        <f t="shared" si="2"/>
        <v>0.12538461538461537</v>
      </c>
      <c r="L12" s="188">
        <v>18211.650000000001</v>
      </c>
      <c r="M12" s="89">
        <f t="shared" si="4"/>
        <v>0.11538100411532647</v>
      </c>
      <c r="N12" s="130">
        <v>16848.5</v>
      </c>
      <c r="O12" s="26"/>
    </row>
    <row r="13" spans="1:15" ht="15.6" customHeight="1" x14ac:dyDescent="0.3">
      <c r="A13" s="198" t="s">
        <v>23</v>
      </c>
      <c r="B13" s="200">
        <f>'24 Feb - 1 March'!D13</f>
        <v>243304.13</v>
      </c>
      <c r="C13" s="73">
        <v>220450.34</v>
      </c>
      <c r="D13" s="145">
        <v>217934.76</v>
      </c>
      <c r="E13" s="163">
        <f t="shared" si="0"/>
        <v>-1.1411096031877234E-2</v>
      </c>
      <c r="F13" s="166">
        <v>1565</v>
      </c>
      <c r="G13" s="63">
        <f t="shared" si="3"/>
        <v>139.25543769968053</v>
      </c>
      <c r="H13" s="61">
        <v>14</v>
      </c>
      <c r="I13" s="169">
        <f t="shared" si="1"/>
        <v>8.9456869009584671E-3</v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March'!H13)</f>
        <v>267</v>
      </c>
      <c r="K13" s="172">
        <f t="shared" si="2"/>
        <v>0.17060702875399361</v>
      </c>
      <c r="L13" s="188">
        <v>38626.22</v>
      </c>
      <c r="M13" s="89">
        <f t="shared" si="4"/>
        <v>0.17723753659122574</v>
      </c>
      <c r="N13" s="130">
        <v>12785</v>
      </c>
      <c r="O13" s="26"/>
    </row>
    <row r="14" spans="1:15" ht="15.6" hidden="1" customHeight="1" x14ac:dyDescent="0.3">
      <c r="A14" s="198" t="s">
        <v>24</v>
      </c>
      <c r="B14" s="200">
        <f>'24 Feb - 1 March'!D14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'24 Feb - 1 March'!D15</f>
        <v>176302.74</v>
      </c>
      <c r="C15" s="73">
        <v>156695.26999999999</v>
      </c>
      <c r="D15" s="145">
        <v>183776.76</v>
      </c>
      <c r="E15" s="163">
        <f t="shared" si="0"/>
        <v>0.172829020301634</v>
      </c>
      <c r="F15" s="166">
        <v>1523</v>
      </c>
      <c r="G15" s="63">
        <f t="shared" si="3"/>
        <v>120.66760341431386</v>
      </c>
      <c r="H15" s="61">
        <v>13</v>
      </c>
      <c r="I15" s="169">
        <f t="shared" si="1"/>
        <v>8.5357846355876565E-3</v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March'!H15)</f>
        <v>229</v>
      </c>
      <c r="K15" s="172">
        <f t="shared" si="2"/>
        <v>0.15036112934996718</v>
      </c>
      <c r="L15" s="188">
        <v>9342.17</v>
      </c>
      <c r="M15" s="89">
        <f t="shared" si="4"/>
        <v>5.0834338357037087E-2</v>
      </c>
      <c r="N15" s="130">
        <v>7110.65</v>
      </c>
      <c r="O15" s="9"/>
    </row>
    <row r="16" spans="1:15" ht="15.6" customHeight="1" x14ac:dyDescent="0.3">
      <c r="A16" s="198" t="s">
        <v>27</v>
      </c>
      <c r="B16" s="200">
        <f>'24 Feb - 1 March'!D16</f>
        <v>133954.56</v>
      </c>
      <c r="C16" s="73">
        <v>139497.94</v>
      </c>
      <c r="D16" s="145">
        <v>127255.26</v>
      </c>
      <c r="E16" s="163">
        <f t="shared" si="0"/>
        <v>-8.7762442943601943E-2</v>
      </c>
      <c r="F16" s="166">
        <v>923</v>
      </c>
      <c r="G16" s="63">
        <f t="shared" si="3"/>
        <v>137.87135427952327</v>
      </c>
      <c r="H16" s="61">
        <v>17</v>
      </c>
      <c r="I16" s="169">
        <f t="shared" si="1"/>
        <v>1.8418201516793065E-2</v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March'!H16)</f>
        <v>223</v>
      </c>
      <c r="K16" s="172">
        <f t="shared" si="2"/>
        <v>0.24160346695557963</v>
      </c>
      <c r="L16" s="188">
        <v>24858.48</v>
      </c>
      <c r="M16" s="89">
        <f t="shared" si="4"/>
        <v>0.19534343806299245</v>
      </c>
      <c r="N16" s="130">
        <v>8866.4</v>
      </c>
      <c r="O16" s="9"/>
    </row>
    <row r="17" spans="1:15" ht="15.6" customHeight="1" x14ac:dyDescent="0.3">
      <c r="A17" s="198" t="s">
        <v>28</v>
      </c>
      <c r="B17" s="200">
        <f>'24 Feb - 1 March'!D17</f>
        <v>200596.96</v>
      </c>
      <c r="C17" s="73">
        <v>227810.49</v>
      </c>
      <c r="D17" s="145">
        <v>208721.29</v>
      </c>
      <c r="E17" s="163">
        <f t="shared" si="0"/>
        <v>-8.379420982765097E-2</v>
      </c>
      <c r="F17" s="166">
        <v>1412</v>
      </c>
      <c r="G17" s="63">
        <f t="shared" si="3"/>
        <v>147.81961048158641</v>
      </c>
      <c r="H17" s="61">
        <v>11</v>
      </c>
      <c r="I17" s="169">
        <f t="shared" si="1"/>
        <v>7.7903682719546738E-3</v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March'!H17)</f>
        <v>194</v>
      </c>
      <c r="K17" s="172">
        <f t="shared" si="2"/>
        <v>0.13739376770538245</v>
      </c>
      <c r="L17" s="188">
        <v>26752.71</v>
      </c>
      <c r="M17" s="89">
        <f t="shared" si="4"/>
        <v>0.12817432280147367</v>
      </c>
      <c r="N17" s="130">
        <v>10019.42</v>
      </c>
      <c r="O17" s="9"/>
    </row>
    <row r="18" spans="1:15" ht="15.6" customHeight="1" x14ac:dyDescent="0.3">
      <c r="A18" s="198" t="s">
        <v>33</v>
      </c>
      <c r="B18" s="200">
        <f>'24 Feb - 1 March'!D18</f>
        <v>186259.82</v>
      </c>
      <c r="C18" s="73">
        <v>195684.66</v>
      </c>
      <c r="D18" s="145">
        <v>169228.51</v>
      </c>
      <c r="E18" s="163">
        <f t="shared" si="0"/>
        <v>-0.13519787396722868</v>
      </c>
      <c r="F18" s="166">
        <v>1395</v>
      </c>
      <c r="G18" s="63">
        <f t="shared" si="3"/>
        <v>121.31075985663082</v>
      </c>
      <c r="H18" s="61">
        <v>23</v>
      </c>
      <c r="I18" s="169">
        <f t="shared" si="1"/>
        <v>1.6487455197132617E-2</v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March'!H18)</f>
        <v>445</v>
      </c>
      <c r="K18" s="172">
        <f t="shared" si="2"/>
        <v>0.31899641577060933</v>
      </c>
      <c r="L18" s="188">
        <v>22910.17</v>
      </c>
      <c r="M18" s="89">
        <f t="shared" si="4"/>
        <v>0.13538008459685663</v>
      </c>
      <c r="N18" s="130">
        <v>6225</v>
      </c>
      <c r="O18" s="9"/>
    </row>
    <row r="19" spans="1:15" ht="16.2" customHeight="1" thickBot="1" x14ac:dyDescent="0.35">
      <c r="A19" s="203" t="s">
        <v>37</v>
      </c>
      <c r="B19" s="201">
        <f>'24 Feb - 1 March'!D19</f>
        <v>129094.15</v>
      </c>
      <c r="C19" s="205">
        <v>0</v>
      </c>
      <c r="D19" s="206">
        <v>116693.24</v>
      </c>
      <c r="E19" s="207">
        <f t="shared" si="0"/>
        <v>0</v>
      </c>
      <c r="F19" s="208">
        <v>1001</v>
      </c>
      <c r="G19" s="209">
        <f t="shared" si="3"/>
        <v>116.57666333666334</v>
      </c>
      <c r="H19" s="210">
        <v>21</v>
      </c>
      <c r="I19" s="211">
        <f t="shared" si="1"/>
        <v>2.097902097902098E-2</v>
      </c>
      <c r="J19" s="212">
        <f>H19+'23 Dec - 29 Dec'!H19+'30 Dec - 5 Jan'!H19+'6 Jan - 12 Jan'!H19+'13 Jan - 19 Jan'!H19+'20 Jan - 26 Jan'!H19+'27 Jan - 2 Feb'!H19+'3 Feb - 9 Feb'!H19+'10 Feb - 16 Feb'!H19+'17 Feb - 23 Feb'!H19+'24 Feb - 1 March'!H19</f>
        <v>177</v>
      </c>
      <c r="K19" s="213">
        <f t="shared" si="2"/>
        <v>0.17682317682317683</v>
      </c>
      <c r="L19" s="214">
        <v>20517.48</v>
      </c>
      <c r="M19" s="215">
        <f t="shared" si="4"/>
        <v>0.17582406658689054</v>
      </c>
      <c r="N19" s="216">
        <v>9235.2000000000007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08" priority="5" operator="equal">
      <formula>0</formula>
    </cfRule>
  </conditionalFormatting>
  <conditionalFormatting sqref="D7:D19">
    <cfRule type="cellIs" dxfId="507" priority="4" operator="equal">
      <formula>0</formula>
    </cfRule>
  </conditionalFormatting>
  <conditionalFormatting sqref="E6:K19">
    <cfRule type="cellIs" dxfId="506" priority="3" operator="equal">
      <formula>0</formula>
    </cfRule>
  </conditionalFormatting>
  <conditionalFormatting sqref="L7:L19">
    <cfRule type="cellIs" dxfId="505" priority="2" operator="equal">
      <formula>0</formula>
    </cfRule>
  </conditionalFormatting>
  <conditionalFormatting sqref="M6:N19">
    <cfRule type="cellIs" dxfId="50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O41"/>
  <sheetViews>
    <sheetView zoomScale="78" workbookViewId="0">
      <pane xSplit="1" topLeftCell="B1" activePane="topRight" state="frozen"/>
      <selection pane="topRight" activeCell="D17" sqref="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-0.10249373590688034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2401300.4300000006</v>
      </c>
      <c r="C4" s="135">
        <f>SUM(C6:C19)-C14</f>
        <v>2643315.59</v>
      </c>
      <c r="D4" s="142">
        <f>SUM(D6:D19)</f>
        <v>2484723.8400000003</v>
      </c>
      <c r="E4" s="217">
        <f t="shared" ref="E4:E19" si="0">IFERROR((SUM(D4-C4)/C4),0)</f>
        <v>-5.9997281671538713E-2</v>
      </c>
      <c r="F4" s="147">
        <f>SUM(F6:F19)</f>
        <v>18443</v>
      </c>
      <c r="G4" s="218">
        <f>AVERAGE(G5:G19)</f>
        <v>125.06727743742253</v>
      </c>
      <c r="H4" s="219">
        <f>SUM(H6:H19)</f>
        <v>272</v>
      </c>
      <c r="I4" s="220">
        <f t="shared" ref="I4:I19" si="1">IFERROR(H4/F4,0)</f>
        <v>1.4748142926855718E-2</v>
      </c>
      <c r="J4" s="221">
        <f>SUM(J6:J19)</f>
        <v>3850</v>
      </c>
      <c r="K4" s="222">
        <f t="shared" ref="K4:K19" si="2">IFERROR(J4/SUM(F4),0)</f>
        <v>0.20875128775145041</v>
      </c>
      <c r="L4" s="223">
        <f>SUM(L6:L19)</f>
        <v>174301.87000000002</v>
      </c>
      <c r="M4" s="222">
        <f>SUM(L4/D4)</f>
        <v>7.0149393342642058E-2</v>
      </c>
      <c r="N4" s="141">
        <f>SUM(N6:N19)</f>
        <v>166505.16000000003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'2 March - 8 March'!D6</f>
        <v>224764.48</v>
      </c>
      <c r="C6" s="123">
        <v>268849.73</v>
      </c>
      <c r="D6" s="197">
        <v>228544.88</v>
      </c>
      <c r="E6" s="162">
        <f t="shared" si="0"/>
        <v>-0.14991590283538681</v>
      </c>
      <c r="F6" s="165">
        <v>1731</v>
      </c>
      <c r="G6" s="124">
        <f t="shared" ref="G6:G19" si="3">IFERROR(D6/F6,0)</f>
        <v>132.03054881571347</v>
      </c>
      <c r="H6" s="125">
        <v>19</v>
      </c>
      <c r="I6" s="168">
        <f t="shared" si="1"/>
        <v>1.097631426920855E-2</v>
      </c>
      <c r="J6" s="46">
        <f>SUM(358+H6+'24 Feb - 1 March'!H6+'2 March - 8 March'!H6)</f>
        <v>396</v>
      </c>
      <c r="K6" s="171">
        <f t="shared" si="2"/>
        <v>0.22876949740034663</v>
      </c>
      <c r="L6" s="191">
        <v>17675.96</v>
      </c>
      <c r="M6" s="128">
        <f t="shared" ref="M6:M19" si="4">SUM(L6/D6)</f>
        <v>7.7341308192946601E-2</v>
      </c>
      <c r="N6" s="129">
        <v>14320.65</v>
      </c>
      <c r="O6" s="26"/>
    </row>
    <row r="7" spans="1:15" ht="15.6" customHeight="1" x14ac:dyDescent="0.3">
      <c r="A7" s="409" t="s">
        <v>16</v>
      </c>
      <c r="B7" s="200">
        <f>'2 March - 8 March'!D7</f>
        <v>216682.01</v>
      </c>
      <c r="C7" s="73">
        <v>247782.44</v>
      </c>
      <c r="D7" s="145">
        <v>171162.7</v>
      </c>
      <c r="E7" s="163">
        <f t="shared" si="0"/>
        <v>-0.30922183186185426</v>
      </c>
      <c r="F7" s="166">
        <v>1458</v>
      </c>
      <c r="G7" s="63">
        <f t="shared" si="3"/>
        <v>117.39554183813443</v>
      </c>
      <c r="H7" s="61">
        <v>8</v>
      </c>
      <c r="I7" s="169">
        <f t="shared" si="1"/>
        <v>5.4869684499314125E-3</v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March'!H7)</f>
        <v>274</v>
      </c>
      <c r="K7" s="172">
        <f t="shared" si="2"/>
        <v>0.18792866941015088</v>
      </c>
      <c r="L7" s="188">
        <v>16744.78</v>
      </c>
      <c r="M7" s="89">
        <f t="shared" si="4"/>
        <v>9.7829608904276444E-2</v>
      </c>
      <c r="N7" s="130">
        <v>16025.56</v>
      </c>
      <c r="O7" s="26"/>
    </row>
    <row r="8" spans="1:15" ht="15.6" customHeight="1" x14ac:dyDescent="0.3">
      <c r="A8" s="409" t="s">
        <v>17</v>
      </c>
      <c r="B8" s="200">
        <f>'2 March - 8 March'!D8</f>
        <v>106995.52</v>
      </c>
      <c r="C8" s="73">
        <v>112508.16</v>
      </c>
      <c r="D8" s="145">
        <v>111287.99</v>
      </c>
      <c r="E8" s="163">
        <f t="shared" si="0"/>
        <v>-1.0845168919303259E-2</v>
      </c>
      <c r="F8" s="166">
        <v>771</v>
      </c>
      <c r="G8" s="63">
        <f t="shared" si="3"/>
        <v>144.34239948119327</v>
      </c>
      <c r="H8" s="61">
        <v>9</v>
      </c>
      <c r="I8" s="169">
        <f t="shared" si="1"/>
        <v>1.1673151750972763E-2</v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March'!H8)</f>
        <v>114</v>
      </c>
      <c r="K8" s="172">
        <f t="shared" si="2"/>
        <v>0.14785992217898833</v>
      </c>
      <c r="L8" s="188">
        <v>18796.650000000001</v>
      </c>
      <c r="M8" s="89">
        <f t="shared" si="4"/>
        <v>0.16890097484912792</v>
      </c>
      <c r="N8" s="130">
        <v>4521</v>
      </c>
      <c r="O8" s="26"/>
    </row>
    <row r="9" spans="1:15" ht="15.6" customHeight="1" x14ac:dyDescent="0.3">
      <c r="A9" s="409" t="s">
        <v>18</v>
      </c>
      <c r="B9" s="200">
        <f>'2 March - 8 March'!D9</f>
        <v>242061.31</v>
      </c>
      <c r="C9" s="73">
        <v>355321</v>
      </c>
      <c r="D9" s="145">
        <v>273777</v>
      </c>
      <c r="E9" s="163">
        <f t="shared" si="0"/>
        <v>-0.22949389425336528</v>
      </c>
      <c r="F9" s="166">
        <v>2030</v>
      </c>
      <c r="G9" s="63">
        <f t="shared" si="3"/>
        <v>134.86551724137931</v>
      </c>
      <c r="H9" s="61">
        <v>20</v>
      </c>
      <c r="I9" s="169">
        <f t="shared" si="1"/>
        <v>9.852216748768473E-3</v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March'!H9)</f>
        <v>257</v>
      </c>
      <c r="K9" s="172">
        <f t="shared" si="2"/>
        <v>0.12660098522167487</v>
      </c>
      <c r="L9" s="188">
        <v>3615.13</v>
      </c>
      <c r="M9" s="89">
        <f t="shared" si="4"/>
        <v>1.3204651961267747E-2</v>
      </c>
      <c r="N9" s="130">
        <v>21746.1</v>
      </c>
      <c r="O9" s="26"/>
    </row>
    <row r="10" spans="1:15" ht="15.6" customHeight="1" x14ac:dyDescent="0.3">
      <c r="A10" s="409" t="s">
        <v>20</v>
      </c>
      <c r="B10" s="200">
        <f>'2 March - 8 March'!D10</f>
        <v>159016.18</v>
      </c>
      <c r="C10" s="73">
        <v>153600.97</v>
      </c>
      <c r="D10" s="145">
        <v>157896.94</v>
      </c>
      <c r="E10" s="163">
        <f t="shared" si="0"/>
        <v>2.796837806427916E-2</v>
      </c>
      <c r="F10" s="166">
        <v>1137</v>
      </c>
      <c r="G10" s="63">
        <f t="shared" si="3"/>
        <v>138.87153913808268</v>
      </c>
      <c r="H10" s="61">
        <v>38</v>
      </c>
      <c r="I10" s="169">
        <f t="shared" si="1"/>
        <v>3.3421284080914687E-2</v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March'!H10)</f>
        <v>513</v>
      </c>
      <c r="K10" s="172">
        <f t="shared" si="2"/>
        <v>0.45118733509234826</v>
      </c>
      <c r="L10" s="188">
        <v>20331.61</v>
      </c>
      <c r="M10" s="89">
        <f t="shared" si="4"/>
        <v>0.12876506663143694</v>
      </c>
      <c r="N10" s="130">
        <v>8248.6</v>
      </c>
      <c r="O10" s="26"/>
    </row>
    <row r="11" spans="1:15" ht="15.6" customHeight="1" x14ac:dyDescent="0.3">
      <c r="A11" s="409" t="s">
        <v>21</v>
      </c>
      <c r="B11" s="200">
        <f>'2 March - 8 March'!D11</f>
        <v>270331.87</v>
      </c>
      <c r="C11" s="73">
        <v>339268.89</v>
      </c>
      <c r="D11" s="145">
        <v>316971.75</v>
      </c>
      <c r="E11" s="163">
        <f t="shared" si="0"/>
        <v>-6.5721145254432303E-2</v>
      </c>
      <c r="F11" s="166">
        <v>2077</v>
      </c>
      <c r="G11" s="63">
        <f t="shared" si="3"/>
        <v>152.61037554164662</v>
      </c>
      <c r="H11" s="61">
        <v>53</v>
      </c>
      <c r="I11" s="169">
        <f t="shared" si="1"/>
        <v>2.5517573423206548E-2</v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March'!H11)</f>
        <v>473</v>
      </c>
      <c r="K11" s="172">
        <f t="shared" si="2"/>
        <v>0.22773230621088109</v>
      </c>
      <c r="L11" s="188">
        <v>12941.48</v>
      </c>
      <c r="M11" s="89">
        <f t="shared" si="4"/>
        <v>4.0828496545827819E-2</v>
      </c>
      <c r="N11" s="130">
        <v>21631.95</v>
      </c>
      <c r="O11" s="26"/>
    </row>
    <row r="12" spans="1:15" ht="15.6" customHeight="1" x14ac:dyDescent="0.3">
      <c r="A12" s="198" t="s">
        <v>22</v>
      </c>
      <c r="B12" s="200">
        <f>'2 March - 8 March'!D12</f>
        <v>157839.24</v>
      </c>
      <c r="C12" s="73">
        <v>151174.76</v>
      </c>
      <c r="D12" s="145">
        <v>142886.70000000001</v>
      </c>
      <c r="E12" s="163">
        <f t="shared" si="0"/>
        <v>-5.482436353793449E-2</v>
      </c>
      <c r="F12" s="166">
        <v>1153</v>
      </c>
      <c r="G12" s="63">
        <f t="shared" si="3"/>
        <v>123.92601908065916</v>
      </c>
      <c r="H12" s="61">
        <v>17</v>
      </c>
      <c r="I12" s="169">
        <f t="shared" si="1"/>
        <v>1.4744145706851692E-2</v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March'!H12)</f>
        <v>180</v>
      </c>
      <c r="K12" s="172">
        <f t="shared" si="2"/>
        <v>0.15611448395490027</v>
      </c>
      <c r="L12" s="188">
        <v>1253.17</v>
      </c>
      <c r="M12" s="89">
        <f t="shared" si="4"/>
        <v>8.7703754093278099E-3</v>
      </c>
      <c r="N12" s="130">
        <v>14386.5</v>
      </c>
      <c r="O12" s="26"/>
    </row>
    <row r="13" spans="1:15" ht="15.6" customHeight="1" x14ac:dyDescent="0.3">
      <c r="A13" s="198" t="s">
        <v>23</v>
      </c>
      <c r="B13" s="200">
        <f>'2 March - 8 March'!D13</f>
        <v>217934.76</v>
      </c>
      <c r="C13" s="73">
        <v>230113.69</v>
      </c>
      <c r="D13" s="145">
        <v>227804.08</v>
      </c>
      <c r="E13" s="163">
        <f t="shared" si="0"/>
        <v>-1.0036821364257011E-2</v>
      </c>
      <c r="F13" s="166">
        <v>1695</v>
      </c>
      <c r="G13" s="63">
        <f t="shared" si="3"/>
        <v>134.39768731563422</v>
      </c>
      <c r="H13" s="61">
        <v>22</v>
      </c>
      <c r="I13" s="169">
        <f t="shared" si="1"/>
        <v>1.2979351032448377E-2</v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March'!H13)</f>
        <v>289</v>
      </c>
      <c r="K13" s="172">
        <f t="shared" si="2"/>
        <v>0.1705014749262537</v>
      </c>
      <c r="L13" s="188">
        <v>17856.740000000002</v>
      </c>
      <c r="M13" s="89">
        <f t="shared" si="4"/>
        <v>7.8386392377169031E-2</v>
      </c>
      <c r="N13" s="130">
        <v>11379.6</v>
      </c>
      <c r="O13" s="26"/>
    </row>
    <row r="14" spans="1:15" ht="15.6" hidden="1" customHeight="1" x14ac:dyDescent="0.3">
      <c r="A14" s="198" t="s">
        <v>24</v>
      </c>
      <c r="B14" s="200">
        <f>'2 March - 8 March'!D14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'2 March - 8 March'!D15</f>
        <v>183776.76</v>
      </c>
      <c r="C15" s="73">
        <v>223622.64</v>
      </c>
      <c r="D15" s="145">
        <v>199136.28</v>
      </c>
      <c r="E15" s="163">
        <f t="shared" si="0"/>
        <v>-0.10949857313195129</v>
      </c>
      <c r="F15" s="166">
        <v>1628</v>
      </c>
      <c r="G15" s="63">
        <f t="shared" si="3"/>
        <v>122.31958230958232</v>
      </c>
      <c r="H15" s="61">
        <v>6</v>
      </c>
      <c r="I15" s="169">
        <f t="shared" si="1"/>
        <v>3.6855036855036856E-3</v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March'!H15)</f>
        <v>235</v>
      </c>
      <c r="K15" s="172">
        <f t="shared" si="2"/>
        <v>0.14434889434889434</v>
      </c>
      <c r="L15" s="188"/>
      <c r="M15" s="89">
        <f t="shared" si="4"/>
        <v>0</v>
      </c>
      <c r="N15" s="130">
        <v>6902</v>
      </c>
      <c r="O15" s="9"/>
    </row>
    <row r="16" spans="1:15" ht="15.6" customHeight="1" x14ac:dyDescent="0.3">
      <c r="A16" s="198" t="s">
        <v>27</v>
      </c>
      <c r="B16" s="200">
        <f>'2 March - 8 March'!D16</f>
        <v>127255.26</v>
      </c>
      <c r="C16" s="73">
        <v>152677.41</v>
      </c>
      <c r="D16" s="145">
        <v>138626.42000000001</v>
      </c>
      <c r="E16" s="163">
        <f t="shared" si="0"/>
        <v>-9.2030576101598732E-2</v>
      </c>
      <c r="F16" s="166">
        <v>921</v>
      </c>
      <c r="G16" s="63">
        <f t="shared" si="3"/>
        <v>150.51728555917484</v>
      </c>
      <c r="H16" s="61">
        <v>15</v>
      </c>
      <c r="I16" s="169">
        <f t="shared" si="1"/>
        <v>1.6286644951140065E-2</v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March'!H16)</f>
        <v>238</v>
      </c>
      <c r="K16" s="172">
        <f t="shared" si="2"/>
        <v>0.25841476655808904</v>
      </c>
      <c r="L16" s="188">
        <v>14067.35</v>
      </c>
      <c r="M16" s="89">
        <f t="shared" si="4"/>
        <v>0.10147668820993862</v>
      </c>
      <c r="N16" s="130">
        <v>11749.1</v>
      </c>
      <c r="O16" s="9"/>
    </row>
    <row r="17" spans="1:15" ht="15.6" customHeight="1" x14ac:dyDescent="0.3">
      <c r="A17" s="198" t="s">
        <v>28</v>
      </c>
      <c r="B17" s="200">
        <f>'2 March - 8 March'!D17</f>
        <v>208721.29</v>
      </c>
      <c r="C17" s="73">
        <v>218932.85</v>
      </c>
      <c r="D17" s="145">
        <v>218588.98</v>
      </c>
      <c r="E17" s="163">
        <f t="shared" si="0"/>
        <v>-1.5706642470510721E-3</v>
      </c>
      <c r="F17" s="166">
        <v>1435</v>
      </c>
      <c r="G17" s="63">
        <f t="shared" si="3"/>
        <v>152.32681533101047</v>
      </c>
      <c r="H17" s="61">
        <v>32</v>
      </c>
      <c r="I17" s="169">
        <f t="shared" si="1"/>
        <v>2.2299651567944251E-2</v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March'!H17)</f>
        <v>226</v>
      </c>
      <c r="K17" s="172">
        <f t="shared" si="2"/>
        <v>0.15749128919860628</v>
      </c>
      <c r="L17" s="188">
        <v>23629.52</v>
      </c>
      <c r="M17" s="89">
        <f t="shared" si="4"/>
        <v>0.10810023451319457</v>
      </c>
      <c r="N17" s="130">
        <v>13262.4</v>
      </c>
      <c r="O17" s="9"/>
    </row>
    <row r="18" spans="1:15" ht="15.6" customHeight="1" x14ac:dyDescent="0.3">
      <c r="A18" s="198" t="s">
        <v>33</v>
      </c>
      <c r="B18" s="200">
        <f>'2 March - 8 March'!D18</f>
        <v>169228.51</v>
      </c>
      <c r="C18" s="73">
        <v>189463.05</v>
      </c>
      <c r="D18" s="145">
        <v>185708.58</v>
      </c>
      <c r="E18" s="163">
        <f t="shared" si="0"/>
        <v>-1.9816370527129177E-2</v>
      </c>
      <c r="F18" s="166">
        <v>1494</v>
      </c>
      <c r="G18" s="63">
        <f t="shared" si="3"/>
        <v>124.30293172690762</v>
      </c>
      <c r="H18" s="61">
        <v>16</v>
      </c>
      <c r="I18" s="169">
        <f t="shared" si="1"/>
        <v>1.0709504685408299E-2</v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March'!H18)</f>
        <v>461</v>
      </c>
      <c r="K18" s="172">
        <f t="shared" si="2"/>
        <v>0.30856760374832665</v>
      </c>
      <c r="L18" s="188">
        <v>15980.35</v>
      </c>
      <c r="M18" s="89">
        <f t="shared" si="4"/>
        <v>8.6050682203267087E-2</v>
      </c>
      <c r="N18" s="130">
        <v>9487</v>
      </c>
      <c r="O18" s="9"/>
    </row>
    <row r="19" spans="1:15" ht="16.2" customHeight="1" thickBot="1" x14ac:dyDescent="0.35">
      <c r="A19" s="203" t="s">
        <v>37</v>
      </c>
      <c r="B19" s="201">
        <f>'2 March - 8 March'!D19</f>
        <v>116693.24</v>
      </c>
      <c r="C19" s="205">
        <v>0</v>
      </c>
      <c r="D19" s="206">
        <v>112331.54</v>
      </c>
      <c r="E19" s="207">
        <f t="shared" si="0"/>
        <v>0</v>
      </c>
      <c r="F19" s="208">
        <v>913</v>
      </c>
      <c r="G19" s="209">
        <f t="shared" si="3"/>
        <v>123.03564074479736</v>
      </c>
      <c r="H19" s="210">
        <v>17</v>
      </c>
      <c r="I19" s="211">
        <f t="shared" si="1"/>
        <v>1.8619934282584884E-2</v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</f>
        <v>194</v>
      </c>
      <c r="K19" s="213">
        <f t="shared" si="2"/>
        <v>0.21248630887185105</v>
      </c>
      <c r="L19" s="214">
        <v>11409.13</v>
      </c>
      <c r="M19" s="215">
        <f t="shared" si="4"/>
        <v>0.10156657693823123</v>
      </c>
      <c r="N19" s="216">
        <v>12844.7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503" priority="5" operator="equal">
      <formula>0</formula>
    </cfRule>
  </conditionalFormatting>
  <conditionalFormatting sqref="D7:D19">
    <cfRule type="cellIs" dxfId="502" priority="4" operator="equal">
      <formula>0</formula>
    </cfRule>
  </conditionalFormatting>
  <conditionalFormatting sqref="E6:K19">
    <cfRule type="cellIs" dxfId="501" priority="3" operator="equal">
      <formula>0</formula>
    </cfRule>
  </conditionalFormatting>
  <conditionalFormatting sqref="L7:L19">
    <cfRule type="cellIs" dxfId="500" priority="2" operator="equal">
      <formula>0</formula>
    </cfRule>
  </conditionalFormatting>
  <conditionalFormatting sqref="M6:N19">
    <cfRule type="cellIs" dxfId="49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O41"/>
  <sheetViews>
    <sheetView zoomScale="78" workbookViewId="0">
      <pane xSplit="1" topLeftCell="B1" activePane="topRight" state="frozen"/>
      <selection pane="topRight" activeCell="D16" sqref="D16: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9.44140625" customWidth="1"/>
    <col min="11" max="11" width="10.5546875" bestFit="1" customWidth="1"/>
    <col min="12" max="12" width="12.33203125" bestFit="1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-0.62188258383018435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6</v>
      </c>
      <c r="G3" s="250" t="s">
        <v>7</v>
      </c>
      <c r="H3" s="113" t="s">
        <v>32</v>
      </c>
      <c r="I3" s="113" t="s">
        <v>29</v>
      </c>
      <c r="J3" s="113" t="s">
        <v>9</v>
      </c>
      <c r="K3" s="113" t="s">
        <v>11</v>
      </c>
      <c r="L3" s="177" t="s">
        <v>35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2484723.8400000003</v>
      </c>
      <c r="C4" s="135">
        <f>SUM(C6:C19)-C14</f>
        <v>3021609.72</v>
      </c>
      <c r="D4" s="142">
        <f>SUM(D6:D19)</f>
        <v>1196942.8700000003</v>
      </c>
      <c r="E4" s="217">
        <f t="shared" ref="E4:E19" si="0">IFERROR((SUM(D4-C4)/C4),0)</f>
        <v>-0.60387244518130545</v>
      </c>
      <c r="F4" s="147">
        <f>SUM(F6:F19)</f>
        <v>8550</v>
      </c>
      <c r="G4" s="218">
        <f>AVERAGE(G5:G19)</f>
        <v>129.68568449431916</v>
      </c>
      <c r="H4" s="219">
        <f>SUM(H6:H19)</f>
        <v>60</v>
      </c>
      <c r="I4" s="220">
        <f t="shared" ref="I4:I19" si="1">IFERROR(H4/F4,0)</f>
        <v>7.0175438596491229E-3</v>
      </c>
      <c r="J4" s="221">
        <f>SUM(J6:J19)</f>
        <v>3910</v>
      </c>
      <c r="K4" s="222">
        <f t="shared" ref="K4:K19" si="2">IFERROR(J4/SUM(F4),0)</f>
        <v>0.45730994152046783</v>
      </c>
      <c r="L4" s="223">
        <f>SUM(L6:L19)</f>
        <v>366710.24999999994</v>
      </c>
      <c r="M4" s="222">
        <f>SUM(L4/D4)</f>
        <v>0.3063723918586021</v>
      </c>
      <c r="N4" s="141">
        <f>SUM(N6:N19)</f>
        <v>71942.23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 t="shared" si="2"/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f>'9 March - 15 March'!D6</f>
        <v>228544.88</v>
      </c>
      <c r="C6" s="123">
        <v>339552.82</v>
      </c>
      <c r="D6" s="197">
        <v>111844.41</v>
      </c>
      <c r="E6" s="162">
        <f t="shared" si="0"/>
        <v>-0.67061263104809432</v>
      </c>
      <c r="F6" s="165">
        <v>788</v>
      </c>
      <c r="G6" s="124">
        <f t="shared" ref="G6:G19" si="3">IFERROR(D6/F6,0)</f>
        <v>141.9345304568528</v>
      </c>
      <c r="H6" s="125">
        <v>2</v>
      </c>
      <c r="I6" s="168">
        <f t="shared" si="1"/>
        <v>2.5380710659898475E-3</v>
      </c>
      <c r="J6" s="46">
        <f>SUM(358+H6+'24 Feb - 1 March'!H6+'2 March - 8 March'!H6+'9 March - 15 March'!H6)</f>
        <v>398</v>
      </c>
      <c r="K6" s="171">
        <f t="shared" si="2"/>
        <v>0.50507614213197971</v>
      </c>
      <c r="L6" s="191">
        <v>37445.300000000003</v>
      </c>
      <c r="M6" s="128">
        <f t="shared" ref="M6:M19" si="4">SUM(L6/D6)</f>
        <v>0.33479813608923326</v>
      </c>
      <c r="N6" s="129">
        <v>5407.8</v>
      </c>
      <c r="O6" s="26"/>
    </row>
    <row r="7" spans="1:15" ht="15.6" customHeight="1" x14ac:dyDescent="0.3">
      <c r="A7" s="409" t="s">
        <v>16</v>
      </c>
      <c r="B7" s="200">
        <f>'9 March - 15 March'!D7</f>
        <v>171162.7</v>
      </c>
      <c r="C7" s="73">
        <v>237354.06</v>
      </c>
      <c r="D7" s="145">
        <v>25855.03</v>
      </c>
      <c r="E7" s="163">
        <f t="shared" si="0"/>
        <v>-0.89106977988916647</v>
      </c>
      <c r="F7" s="166">
        <v>213</v>
      </c>
      <c r="G7" s="63">
        <f t="shared" si="3"/>
        <v>121.38511737089202</v>
      </c>
      <c r="H7" s="61">
        <v>0</v>
      </c>
      <c r="I7" s="169">
        <f t="shared" si="1"/>
        <v>0</v>
      </c>
      <c r="J7" s="46">
        <f>SUM(H7+153+'9 Dec - 15 Dec'!H7+'16 Dec - 22 Dec'!H7+'23 Dec - 29 Dec'!H7+'30 Dec - 5 Jan'!H7+'6 Jan - 12 Jan'!H7+'13 Jan - 19 Jan'!H7+'20 Jan - 26 Jan'!H7+'27 Jan - 2 Feb'!H7+'3 Feb - 9 Feb'!H7+'10 Feb - 16 Feb'!H7+'17 Feb - 23 Feb'!H7+'24 Feb - 1 March'!H7+'2 March - 8 March'!H7+'9 March - 15 March'!H7)</f>
        <v>274</v>
      </c>
      <c r="K7" s="172">
        <f t="shared" si="2"/>
        <v>1.2863849765258215</v>
      </c>
      <c r="L7" s="188">
        <v>9393.7800000000007</v>
      </c>
      <c r="M7" s="89">
        <f t="shared" si="4"/>
        <v>0.36332504738923144</v>
      </c>
      <c r="N7" s="130">
        <v>2994.03</v>
      </c>
      <c r="O7" s="26"/>
    </row>
    <row r="8" spans="1:15" ht="15.6" customHeight="1" x14ac:dyDescent="0.3">
      <c r="A8" s="409" t="s">
        <v>17</v>
      </c>
      <c r="B8" s="200">
        <f>'9 March - 15 March'!D8</f>
        <v>111287.99</v>
      </c>
      <c r="C8" s="73">
        <v>127846.77</v>
      </c>
      <c r="D8" s="145">
        <v>63417.32</v>
      </c>
      <c r="E8" s="163">
        <f t="shared" si="0"/>
        <v>-0.50395837141603184</v>
      </c>
      <c r="F8" s="166">
        <v>442</v>
      </c>
      <c r="G8" s="63">
        <f t="shared" si="3"/>
        <v>143.47809954751131</v>
      </c>
      <c r="H8" s="61">
        <v>11</v>
      </c>
      <c r="I8" s="169">
        <f t="shared" si="1"/>
        <v>2.4886877828054297E-2</v>
      </c>
      <c r="J8" s="46">
        <f>SUM(H8+12+'9 Dec - 15 Dec'!H8+'16 Dec - 22 Dec'!H8+'23 Dec - 29 Dec'!H8+'30 Dec - 5 Jan'!H8+'6 Jan - 12 Jan'!H8+'13 Jan - 19 Jan'!H8+'20 Jan - 26 Jan'!H8+'27 Jan - 2 Feb'!H8+'3 Feb - 9 Feb'!H8+'10 Feb - 16 Feb'!H8+'17 Feb - 23 Feb'!H8+'24 Feb - 1 March'!H8+'2 March - 8 March'!H8+'9 March - 15 March'!H8)</f>
        <v>125</v>
      </c>
      <c r="K8" s="172">
        <f t="shared" si="2"/>
        <v>0.28280542986425339</v>
      </c>
      <c r="L8" s="188">
        <v>29041.78</v>
      </c>
      <c r="M8" s="89">
        <f t="shared" si="4"/>
        <v>0.45794713494673062</v>
      </c>
      <c r="N8" s="130">
        <v>4694.5</v>
      </c>
      <c r="O8" s="26"/>
    </row>
    <row r="9" spans="1:15" ht="15.6" customHeight="1" x14ac:dyDescent="0.3">
      <c r="A9" s="409" t="s">
        <v>18</v>
      </c>
      <c r="B9" s="200">
        <f>'9 March - 15 March'!D9</f>
        <v>273777</v>
      </c>
      <c r="C9" s="73">
        <v>394259.89</v>
      </c>
      <c r="D9" s="145">
        <v>100528.78</v>
      </c>
      <c r="E9" s="163">
        <f t="shared" si="0"/>
        <v>-0.74501900256706299</v>
      </c>
      <c r="F9" s="166">
        <v>691</v>
      </c>
      <c r="G9" s="63">
        <f t="shared" si="3"/>
        <v>145.48303907380608</v>
      </c>
      <c r="H9" s="61">
        <v>4</v>
      </c>
      <c r="I9" s="169">
        <f t="shared" si="1"/>
        <v>5.7887120115774236E-3</v>
      </c>
      <c r="J9" s="46">
        <f>SUM(H9+79+'9 Dec - 15 Dec'!H9+'16 Dec - 22 Dec'!H9+'23 Dec - 29 Dec'!H9+'30 Dec - 5 Jan'!H9+'6 Jan - 12 Jan'!H9+'13 Jan - 19 Jan'!H9+'20 Jan - 26 Jan'!H9+'27 Jan - 2 Feb'!H9+'3 Feb - 9 Feb'!H9+'10 Feb - 16 Feb'!H9+'17 Feb - 23 Feb'!H9+'24 Feb - 1 March'!H9+'2 March - 8 March'!H9+'9 March - 15 March'!H9)</f>
        <v>261</v>
      </c>
      <c r="K9" s="172">
        <f t="shared" si="2"/>
        <v>0.37771345875542695</v>
      </c>
      <c r="L9" s="188">
        <v>20956.78</v>
      </c>
      <c r="M9" s="89">
        <f t="shared" si="4"/>
        <v>0.20846547625466061</v>
      </c>
      <c r="N9" s="130">
        <v>5399.5</v>
      </c>
      <c r="O9" s="26"/>
    </row>
    <row r="10" spans="1:15" ht="15.6" customHeight="1" x14ac:dyDescent="0.3">
      <c r="A10" s="409" t="s">
        <v>20</v>
      </c>
      <c r="B10" s="200">
        <f>'9 March - 15 March'!D10</f>
        <v>157896.94</v>
      </c>
      <c r="C10" s="73">
        <v>134544.66</v>
      </c>
      <c r="D10" s="145">
        <v>92887.66</v>
      </c>
      <c r="E10" s="163">
        <f t="shared" si="0"/>
        <v>-0.30961466623796141</v>
      </c>
      <c r="F10" s="166">
        <v>628</v>
      </c>
      <c r="G10" s="63">
        <f t="shared" si="3"/>
        <v>147.91028662420382</v>
      </c>
      <c r="H10" s="61">
        <v>10</v>
      </c>
      <c r="I10" s="169">
        <f t="shared" si="1"/>
        <v>1.5923566878980892E-2</v>
      </c>
      <c r="J10" s="46">
        <f>SUM(H10+130+'9 Dec - 15 Dec'!H10+'16 Dec - 22 Dec'!H10+'23 Dec - 29 Dec'!H10+'30 Dec - 5 Jan'!H10+'6 Jan - 12 Jan'!H10+'13 Jan - 19 Jan'!H10+'20 Jan - 26 Jan'!H10+'27 Jan - 2 Feb'!H10+'3 Feb - 9 Feb'!H10+'10 Feb - 16 Feb'!H10+'17 Feb - 23 Feb'!H10+'24 Feb - 1 March'!H10+'2 March - 8 March'!H10+'9 March - 15 March'!H10)</f>
        <v>523</v>
      </c>
      <c r="K10" s="172">
        <f t="shared" si="2"/>
        <v>0.83280254777070062</v>
      </c>
      <c r="L10" s="188">
        <v>41966.52</v>
      </c>
      <c r="M10" s="89">
        <f t="shared" si="4"/>
        <v>0.45179865657074358</v>
      </c>
      <c r="N10" s="130">
        <v>7227.2</v>
      </c>
      <c r="O10" s="26"/>
    </row>
    <row r="11" spans="1:15" ht="15.6" customHeight="1" x14ac:dyDescent="0.3">
      <c r="A11" s="409" t="s">
        <v>21</v>
      </c>
      <c r="B11" s="200">
        <f>'9 March - 15 March'!D11</f>
        <v>316971.75</v>
      </c>
      <c r="C11" s="73">
        <v>369279.11</v>
      </c>
      <c r="D11" s="145">
        <v>136221.63</v>
      </c>
      <c r="E11" s="163">
        <f t="shared" si="0"/>
        <v>-0.63111471428752086</v>
      </c>
      <c r="F11" s="166">
        <v>925</v>
      </c>
      <c r="G11" s="63">
        <f t="shared" si="3"/>
        <v>147.26662702702703</v>
      </c>
      <c r="H11" s="61">
        <v>0</v>
      </c>
      <c r="I11" s="169">
        <f t="shared" si="1"/>
        <v>0</v>
      </c>
      <c r="J11" s="46">
        <f>SUM(H11+123+'9 Dec - 15 Dec'!H11+'16 Dec - 22 Dec'!H11+'23 Dec - 29 Dec'!H11+'30 Dec - 5 Jan'!H11+'6 Jan - 12 Jan'!H11+'13 Jan - 19 Jan'!H11+'20 Jan - 26 Jan'!H11+'27 Jan - 2 Feb'!H11,'3 Feb - 9 Feb'!H11+'10 Feb - 16 Feb'!H11+'17 Feb - 23 Feb'!H11+'24 Feb - 1 March'!H11+'2 March - 8 March'!H11+'9 March - 15 March'!H11)</f>
        <v>473</v>
      </c>
      <c r="K11" s="172">
        <f t="shared" si="2"/>
        <v>0.51135135135135135</v>
      </c>
      <c r="L11" s="188">
        <v>48279.27</v>
      </c>
      <c r="M11" s="89">
        <f t="shared" si="4"/>
        <v>0.35441706284090124</v>
      </c>
      <c r="N11" s="130">
        <v>9909.75</v>
      </c>
      <c r="O11" s="26"/>
    </row>
    <row r="12" spans="1:15" ht="15.6" customHeight="1" x14ac:dyDescent="0.3">
      <c r="A12" s="198" t="s">
        <v>22</v>
      </c>
      <c r="B12" s="200">
        <f>'9 March - 15 March'!D12</f>
        <v>142886.70000000001</v>
      </c>
      <c r="C12" s="73">
        <v>166773.71</v>
      </c>
      <c r="D12" s="145">
        <v>70519.100000000006</v>
      </c>
      <c r="E12" s="163">
        <f t="shared" si="0"/>
        <v>-0.57715697516113296</v>
      </c>
      <c r="F12" s="166">
        <v>535</v>
      </c>
      <c r="G12" s="63">
        <f t="shared" si="3"/>
        <v>131.81140186915889</v>
      </c>
      <c r="H12" s="61">
        <v>9</v>
      </c>
      <c r="I12" s="169">
        <f t="shared" si="1"/>
        <v>1.6822429906542057E-2</v>
      </c>
      <c r="J12" s="46">
        <f>SUM(H12+55+'9 Dec - 15 Dec'!H12+'16 Dec - 22 Dec'!H12+'23 Dec - 29 Dec'!H12+'30 Dec - 5 Jan'!H12+'6 Jan - 12 Jan'!H12+'13 Jan - 19 Jan'!H12+'20 Jan - 26 Jan'!H12+'27 Jan - 2 Feb'!H12+'3 Feb - 9 Feb'!H12+'10 Feb - 16 Feb'!H12+'17 Feb - 23 Feb'!H12+'24 Feb - 1 March'!H12+'2 March - 8 March'!H12+'9 March - 15 March'!H12)</f>
        <v>189</v>
      </c>
      <c r="K12" s="172">
        <f t="shared" si="2"/>
        <v>0.35327102803738319</v>
      </c>
      <c r="L12" s="188">
        <v>24933.22</v>
      </c>
      <c r="M12" s="89">
        <f t="shared" si="4"/>
        <v>0.35356690598717228</v>
      </c>
      <c r="N12" s="130">
        <v>6280</v>
      </c>
      <c r="O12" s="26"/>
    </row>
    <row r="13" spans="1:15" ht="15.6" customHeight="1" x14ac:dyDescent="0.3">
      <c r="A13" s="198" t="s">
        <v>23</v>
      </c>
      <c r="B13" s="200">
        <f>'9 March - 15 March'!D13</f>
        <v>227804.08</v>
      </c>
      <c r="C13" s="73">
        <v>231068.59</v>
      </c>
      <c r="D13" s="145">
        <v>128530.38</v>
      </c>
      <c r="E13" s="163">
        <f t="shared" si="0"/>
        <v>-0.44375659192796385</v>
      </c>
      <c r="F13" s="166">
        <v>918</v>
      </c>
      <c r="G13" s="63">
        <f t="shared" si="3"/>
        <v>140.01130718954249</v>
      </c>
      <c r="H13" s="61">
        <v>12</v>
      </c>
      <c r="I13" s="169">
        <f t="shared" si="1"/>
        <v>1.3071895424836602E-2</v>
      </c>
      <c r="J13" s="46">
        <f>SUM(H13+66+'9 Dec - 15 Dec'!H13+'16 Dec - 22 Dec'!H13+'23 Dec - 29 Dec'!H13+'30 Dec - 5 Jan'!H13+'6 Jan - 12 Jan'!H13+'13 Jan - 19 Jan'!H13+'20 Jan - 26 Jan'!H13+'27 Jan - 2 Feb'!H13+'3 Feb - 9 Feb'!H13+'10 Feb - 16 Feb'!H13+'17 Feb - 23 Feb'!H13+'24 Feb - 1 March'!H13+'2 March - 8 March'!H13+'9 March - 15 March'!H13)</f>
        <v>301</v>
      </c>
      <c r="K13" s="172">
        <f t="shared" si="2"/>
        <v>0.32788671023965144</v>
      </c>
      <c r="L13" s="188">
        <v>38197.39</v>
      </c>
      <c r="M13" s="89">
        <f t="shared" si="4"/>
        <v>0.29718569259656741</v>
      </c>
      <c r="N13" s="130">
        <v>5526</v>
      </c>
      <c r="O13" s="26"/>
    </row>
    <row r="14" spans="1:15" ht="15.6" hidden="1" customHeight="1" x14ac:dyDescent="0.3">
      <c r="A14" s="198" t="s">
        <v>24</v>
      </c>
      <c r="B14" s="200">
        <f>'9 March - 15 March'!D14</f>
        <v>0</v>
      </c>
      <c r="C14" s="73"/>
      <c r="D14" s="145"/>
      <c r="E14" s="163">
        <f t="shared" si="0"/>
        <v>0</v>
      </c>
      <c r="F14" s="166"/>
      <c r="G14" s="63">
        <f t="shared" si="3"/>
        <v>0</v>
      </c>
      <c r="H14" s="61"/>
      <c r="I14" s="169">
        <f t="shared" si="1"/>
        <v>0</v>
      </c>
      <c r="J14" s="46">
        <f>SUM(H14)</f>
        <v>0</v>
      </c>
      <c r="K14" s="172">
        <f t="shared" si="2"/>
        <v>0</v>
      </c>
      <c r="L14" s="188"/>
      <c r="M14" s="89" t="e">
        <f t="shared" si="4"/>
        <v>#DIV/0!</v>
      </c>
      <c r="N14" s="130"/>
      <c r="O14" s="26"/>
    </row>
    <row r="15" spans="1:15" ht="15.6" customHeight="1" x14ac:dyDescent="0.3">
      <c r="A15" s="198" t="s">
        <v>26</v>
      </c>
      <c r="B15" s="200">
        <f>'9 March - 15 March'!D15</f>
        <v>199136.28</v>
      </c>
      <c r="C15" s="73">
        <v>407133.91</v>
      </c>
      <c r="D15" s="145">
        <v>137714.01999999999</v>
      </c>
      <c r="E15" s="163">
        <f t="shared" si="0"/>
        <v>-0.66174760535176258</v>
      </c>
      <c r="F15" s="166">
        <v>1028</v>
      </c>
      <c r="G15" s="63">
        <f t="shared" si="3"/>
        <v>133.96305447470817</v>
      </c>
      <c r="H15" s="61">
        <v>0</v>
      </c>
      <c r="I15" s="169">
        <f t="shared" si="1"/>
        <v>0</v>
      </c>
      <c r="J15" s="46">
        <f>SUM(H15+134+'9 Dec - 15 Dec'!H15+'16 Dec - 22 Dec'!H15+'23 Dec - 29 Dec'!H15+'30 Dec - 5 Jan'!H15+'6 Jan - 12 Jan'!H15+'13 Jan - 19 Jan'!H15+'20 Jan - 26 Jan'!H15+'27 Jan - 2 Feb'!H15+'3 Feb - 9 Feb'!H15+'10 Feb - 16 Feb'!H15+'17 Feb - 23 Feb'!H15+'24 Feb - 1 March'!H15+'2 March - 8 March'!H15+'9 March - 15 March'!H15)</f>
        <v>235</v>
      </c>
      <c r="K15" s="172">
        <f t="shared" si="2"/>
        <v>0.22859922178988326</v>
      </c>
      <c r="L15" s="188">
        <v>16962.61</v>
      </c>
      <c r="M15" s="89">
        <f t="shared" si="4"/>
        <v>0.12317271691001397</v>
      </c>
      <c r="N15" s="130">
        <v>3027.4</v>
      </c>
      <c r="O15" s="9"/>
    </row>
    <row r="16" spans="1:15" ht="15.6" customHeight="1" x14ac:dyDescent="0.3">
      <c r="A16" s="198" t="s">
        <v>27</v>
      </c>
      <c r="B16" s="200">
        <f>'9 March - 15 March'!D16</f>
        <v>138626.42000000001</v>
      </c>
      <c r="C16" s="73">
        <v>164652.97</v>
      </c>
      <c r="D16" s="145">
        <v>63130.559999999998</v>
      </c>
      <c r="E16" s="163">
        <f t="shared" si="0"/>
        <v>-0.61658414057153055</v>
      </c>
      <c r="F16" s="166">
        <v>397</v>
      </c>
      <c r="G16" s="63">
        <f t="shared" si="3"/>
        <v>159.01904282115868</v>
      </c>
      <c r="H16" s="61">
        <v>0</v>
      </c>
      <c r="I16" s="169">
        <f t="shared" si="1"/>
        <v>0</v>
      </c>
      <c r="J16" s="46">
        <f>SUM(H16+67+'9 Dec - 15 Dec'!H16+'16 Dec - 22 Dec'!H16+'23 Dec - 29 Dec'!H16+'30 Dec - 5 Jan'!H16+'6 Jan - 12 Jan'!H16+'13 Jan - 19 Jan'!H16+'20 Jan - 26 Jan'!H16+'27 Jan - 2 Feb'!H16+'3 Feb - 9 Feb'!H16+'10 Feb - 16 Feb'!H16+'17 Feb - 23 Feb'!H16+'24 Feb - 1 March'!H16+'2 March - 8 March'!H16+'9 March - 15 March'!H16)</f>
        <v>238</v>
      </c>
      <c r="K16" s="172">
        <f t="shared" si="2"/>
        <v>0.59949622166246852</v>
      </c>
      <c r="L16" s="188">
        <v>28954.16</v>
      </c>
      <c r="M16" s="89">
        <f t="shared" si="4"/>
        <v>0.45863936578417808</v>
      </c>
      <c r="N16" s="130">
        <v>3918</v>
      </c>
      <c r="O16" s="9"/>
    </row>
    <row r="17" spans="1:15" ht="15.6" customHeight="1" x14ac:dyDescent="0.3">
      <c r="A17" s="198" t="s">
        <v>28</v>
      </c>
      <c r="B17" s="200">
        <f>'9 March - 15 March'!D17</f>
        <v>218588.98</v>
      </c>
      <c r="C17" s="73">
        <v>250243.46</v>
      </c>
      <c r="D17" s="145">
        <v>99672.75</v>
      </c>
      <c r="E17" s="163">
        <f t="shared" si="0"/>
        <v>-0.6016968835069656</v>
      </c>
      <c r="F17" s="166">
        <v>679</v>
      </c>
      <c r="G17" s="63">
        <f t="shared" si="3"/>
        <v>146.79344624447717</v>
      </c>
      <c r="H17" s="61">
        <v>0</v>
      </c>
      <c r="I17" s="169">
        <f t="shared" si="1"/>
        <v>0</v>
      </c>
      <c r="J17" s="46">
        <f>SUM(H17+61+'9 Dec - 15 Dec'!H17+'16 Dec - 22 Dec'!H17+'23 Dec - 29 Dec'!H17+'30 Dec - 5 Jan'!H17+'6 Jan - 12 Jan'!H17+'13 Jan - 19 Jan'!H17+'20 Jan - 26 Jan'!H17+'27 Jan - 2 Feb'!H17+'3 Feb - 9 Feb'!H17+'10 Feb - 16 Feb'!H17+'17 Feb - 23 Feb'!H17+'24 Feb - 1 March'!H17+'2 March - 8 March'!H17+'9 March - 15 March'!H17)</f>
        <v>226</v>
      </c>
      <c r="K17" s="172">
        <f t="shared" si="2"/>
        <v>0.3328424153166421</v>
      </c>
      <c r="L17" s="188">
        <v>23448.09</v>
      </c>
      <c r="M17" s="89">
        <f t="shared" si="4"/>
        <v>0.23525075810590157</v>
      </c>
      <c r="N17" s="130">
        <v>6814.55</v>
      </c>
      <c r="O17" s="9"/>
    </row>
    <row r="18" spans="1:15" ht="15.6" customHeight="1" x14ac:dyDescent="0.3">
      <c r="A18" s="198" t="s">
        <v>33</v>
      </c>
      <c r="B18" s="200">
        <f>'9 March - 15 March'!D18</f>
        <v>185708.58</v>
      </c>
      <c r="C18" s="73">
        <v>198899.77</v>
      </c>
      <c r="D18" s="145">
        <v>112201.62</v>
      </c>
      <c r="E18" s="163">
        <f t="shared" si="0"/>
        <v>-0.43588863878525347</v>
      </c>
      <c r="F18" s="166">
        <v>888</v>
      </c>
      <c r="G18" s="63">
        <f t="shared" si="3"/>
        <v>126.35317567567567</v>
      </c>
      <c r="H18" s="61">
        <v>12</v>
      </c>
      <c r="I18" s="169">
        <f t="shared" si="1"/>
        <v>1.3513513513513514E-2</v>
      </c>
      <c r="J18" s="46">
        <f>SUM(H18+158+'9 Dec - 15 Dec'!H18+'16 Dec - 22 Dec'!H18+'23 Dec - 29 Dec'!H18+'30 Dec - 5 Jan'!H18+'6 Jan - 12 Jan'!H18+'13 Jan - 19 Jan'!H18+'20 Jan - 26 Jan'!H18+'27 Jan - 2 Feb'!H18+'3 Feb - 9 Feb'!H18+'10 Feb - 16 Feb'!H18+'17 Feb - 23 Feb'!H18+'24 Feb - 1 March'!H18+'2 March - 8 March'!H18+'9 March - 15 March'!H18)</f>
        <v>473</v>
      </c>
      <c r="K18" s="172">
        <f t="shared" si="2"/>
        <v>0.53265765765765771</v>
      </c>
      <c r="L18" s="188">
        <v>31982.87</v>
      </c>
      <c r="M18" s="89">
        <f t="shared" si="4"/>
        <v>0.28504820162133132</v>
      </c>
      <c r="N18" s="130">
        <v>5233.6000000000004</v>
      </c>
      <c r="O18" s="9"/>
    </row>
    <row r="19" spans="1:15" ht="16.2" customHeight="1" thickBot="1" x14ac:dyDescent="0.35">
      <c r="A19" s="203" t="s">
        <v>37</v>
      </c>
      <c r="B19" s="201">
        <f>'9 March - 15 March'!D19</f>
        <v>112331.54</v>
      </c>
      <c r="C19" s="205">
        <v>0</v>
      </c>
      <c r="D19" s="206">
        <v>54419.61</v>
      </c>
      <c r="E19" s="207">
        <f t="shared" si="0"/>
        <v>0</v>
      </c>
      <c r="F19" s="208">
        <v>418</v>
      </c>
      <c r="G19" s="209">
        <f t="shared" si="3"/>
        <v>130.19045454545454</v>
      </c>
      <c r="H19" s="210">
        <v>0</v>
      </c>
      <c r="I19" s="211">
        <f t="shared" si="1"/>
        <v>0</v>
      </c>
      <c r="J19" s="212">
        <f>H19+'23 Dec - 29 Dec'!H19+'30 Dec - 5 Jan'!H19+'6 Jan - 12 Jan'!H19+'13 Jan - 19 Jan'!H19+'20 Jan - 26 Jan'!H19+'27 Jan - 2 Feb'!H19+'3 Feb - 9 Feb'!H19+'10 Feb - 16 Feb'!H19+'17 Feb - 23 Feb'!H19+'24 Feb - 1 March'!H19+'2 March - 8 March'!H19+'9 March - 15 March'!H19</f>
        <v>194</v>
      </c>
      <c r="K19" s="213">
        <f t="shared" si="2"/>
        <v>0.46411483253588515</v>
      </c>
      <c r="L19" s="214">
        <v>15148.48</v>
      </c>
      <c r="M19" s="215">
        <f t="shared" si="4"/>
        <v>0.2783643616703611</v>
      </c>
      <c r="N19" s="216">
        <v>5509.9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98" priority="5" operator="equal">
      <formula>0</formula>
    </cfRule>
  </conditionalFormatting>
  <conditionalFormatting sqref="D7:D19">
    <cfRule type="cellIs" dxfId="497" priority="4" operator="equal">
      <formula>0</formula>
    </cfRule>
  </conditionalFormatting>
  <conditionalFormatting sqref="E6:K19">
    <cfRule type="cellIs" dxfId="496" priority="3" operator="equal">
      <formula>0</formula>
    </cfRule>
  </conditionalFormatting>
  <conditionalFormatting sqref="L7:L19">
    <cfRule type="cellIs" dxfId="495" priority="2" operator="equal">
      <formula>0</formula>
    </cfRule>
  </conditionalFormatting>
  <conditionalFormatting sqref="M6:N19">
    <cfRule type="cellIs" dxfId="49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41"/>
  <sheetViews>
    <sheetView zoomScale="78" workbookViewId="0">
      <pane xSplit="1" topLeftCell="B1" activePane="topRight" state="frozen"/>
      <selection pane="topRight" activeCell="R13" sqref="R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5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5" ht="15" customHeight="1" thickBot="1" x14ac:dyDescent="0.35">
      <c r="A2" s="1"/>
      <c r="B2" s="1"/>
      <c r="C2" s="1"/>
      <c r="D2" s="1"/>
      <c r="E2" s="400">
        <f>(((D4-D19)-C4)/C4)</f>
        <v>-0.4105040414325361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5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5" ht="16.2" customHeight="1" thickBot="1" x14ac:dyDescent="0.35">
      <c r="A4" s="398" t="s">
        <v>13</v>
      </c>
      <c r="B4" s="135">
        <f>SUM(B6:B19)</f>
        <v>0</v>
      </c>
      <c r="C4" s="135">
        <f>SUM(C6:C19)-C14</f>
        <v>501742.88</v>
      </c>
      <c r="D4" s="142">
        <f>SUM(D6:D19)</f>
        <v>295775.40000000002</v>
      </c>
      <c r="E4" s="217">
        <f t="shared" ref="E4:E19" si="0">IFERROR((SUM(D4-C4)/C4),0)</f>
        <v>-0.4105040414325361</v>
      </c>
      <c r="F4" s="147">
        <f>SUM(F6:F19)</f>
        <v>1170</v>
      </c>
      <c r="G4" s="218">
        <f>AVERAGE(G5:G19)</f>
        <v>107.11750097560189</v>
      </c>
      <c r="H4" s="219">
        <f>SUM(H6:H19)</f>
        <v>0</v>
      </c>
      <c r="I4" s="220">
        <f t="shared" ref="I4:I19" si="1">IFERROR(H4/F4,0)</f>
        <v>0</v>
      </c>
      <c r="J4" s="221">
        <f>SUM(J6:J19)</f>
        <v>195231.56</v>
      </c>
      <c r="K4" s="222">
        <f>SUM(J4/D4)</f>
        <v>0.66006692916314202</v>
      </c>
      <c r="L4" s="223">
        <f>SUM(L6:L19)</f>
        <v>100543.84</v>
      </c>
      <c r="M4" s="222">
        <f>SUM(L4/D4)</f>
        <v>0.33993307083685792</v>
      </c>
      <c r="N4" s="141">
        <f>SUM(N6:N19)</f>
        <v>0</v>
      </c>
      <c r="O4" s="24"/>
    </row>
    <row r="5" spans="1:15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187"/>
      <c r="M5" s="122"/>
      <c r="N5" s="71"/>
      <c r="O5" s="25"/>
    </row>
    <row r="6" spans="1:15" ht="16.5" customHeight="1" x14ac:dyDescent="0.3">
      <c r="A6" s="408" t="s">
        <v>15</v>
      </c>
      <c r="B6" s="200">
        <v>0</v>
      </c>
      <c r="C6" s="123">
        <v>156678.20000000001</v>
      </c>
      <c r="D6" s="197">
        <v>84130.96</v>
      </c>
      <c r="E6" s="162">
        <f t="shared" si="0"/>
        <v>-0.463033402221879</v>
      </c>
      <c r="F6" s="165">
        <v>303</v>
      </c>
      <c r="G6" s="124">
        <f t="shared" ref="G6:G19" si="2">IFERROR(D6/F6,0)</f>
        <v>277.65993399339936</v>
      </c>
      <c r="H6" s="125">
        <v>0</v>
      </c>
      <c r="I6" s="126">
        <f t="shared" si="1"/>
        <v>0</v>
      </c>
      <c r="J6" s="127">
        <v>57299.37</v>
      </c>
      <c r="K6" s="128">
        <f t="shared" ref="K6:K19" si="3">SUM(J6/D6)</f>
        <v>0.68107353107583701</v>
      </c>
      <c r="L6" s="237">
        <f t="shared" ref="L6:L14" si="4">SUM(D6-J6)</f>
        <v>26831.590000000004</v>
      </c>
      <c r="M6" s="128">
        <f t="shared" ref="M6:M19" si="5">SUM(L6/D6)</f>
        <v>0.31892646892416304</v>
      </c>
      <c r="N6" s="129">
        <v>0</v>
      </c>
      <c r="O6" s="26"/>
    </row>
    <row r="7" spans="1:15" ht="15.6" customHeight="1" x14ac:dyDescent="0.3">
      <c r="A7" s="409" t="s">
        <v>16</v>
      </c>
      <c r="B7" s="200">
        <v>0</v>
      </c>
      <c r="C7" s="73">
        <v>0</v>
      </c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46">
        <v>0</v>
      </c>
      <c r="K7" s="89" t="e">
        <f t="shared" si="3"/>
        <v>#DIV/0!</v>
      </c>
      <c r="L7" s="188">
        <f t="shared" si="4"/>
        <v>0</v>
      </c>
      <c r="M7" s="89" t="e">
        <f t="shared" si="5"/>
        <v>#DIV/0!</v>
      </c>
      <c r="N7" s="130">
        <v>0</v>
      </c>
      <c r="O7" s="26"/>
    </row>
    <row r="8" spans="1:15" ht="15.6" customHeight="1" x14ac:dyDescent="0.3">
      <c r="A8" s="409" t="s">
        <v>17</v>
      </c>
      <c r="B8" s="200">
        <v>0</v>
      </c>
      <c r="C8" s="73">
        <v>35394.35</v>
      </c>
      <c r="D8" s="145">
        <v>18197.53</v>
      </c>
      <c r="E8" s="163">
        <f t="shared" si="0"/>
        <v>-0.48586342170431157</v>
      </c>
      <c r="F8" s="166">
        <v>82</v>
      </c>
      <c r="G8" s="63">
        <f t="shared" si="2"/>
        <v>221.9210975609756</v>
      </c>
      <c r="H8" s="61">
        <v>0</v>
      </c>
      <c r="I8" s="28">
        <f t="shared" si="1"/>
        <v>0</v>
      </c>
      <c r="J8" s="46">
        <f>6797.95+876</f>
        <v>7673.95</v>
      </c>
      <c r="K8" s="89">
        <f t="shared" si="3"/>
        <v>0.42170283549470727</v>
      </c>
      <c r="L8" s="188">
        <f t="shared" si="4"/>
        <v>10523.579999999998</v>
      </c>
      <c r="M8" s="89">
        <f t="shared" si="5"/>
        <v>0.57829716450529267</v>
      </c>
      <c r="N8" s="130">
        <v>0</v>
      </c>
      <c r="O8" s="26"/>
    </row>
    <row r="9" spans="1:15" ht="15.6" customHeight="1" x14ac:dyDescent="0.3">
      <c r="A9" s="409" t="s">
        <v>18</v>
      </c>
      <c r="B9" s="200">
        <v>0</v>
      </c>
      <c r="C9" s="73">
        <v>0</v>
      </c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46">
        <v>0</v>
      </c>
      <c r="K9" s="89" t="e">
        <f t="shared" si="3"/>
        <v>#DIV/0!</v>
      </c>
      <c r="L9" s="188">
        <f t="shared" si="4"/>
        <v>0</v>
      </c>
      <c r="M9" s="89" t="e">
        <f t="shared" si="5"/>
        <v>#DIV/0!</v>
      </c>
      <c r="N9" s="130">
        <v>0</v>
      </c>
      <c r="O9" s="26"/>
    </row>
    <row r="10" spans="1:15" ht="15.6" customHeight="1" x14ac:dyDescent="0.3">
      <c r="A10" s="409" t="s">
        <v>20</v>
      </c>
      <c r="B10" s="200">
        <v>0</v>
      </c>
      <c r="C10" s="73">
        <v>36702.57</v>
      </c>
      <c r="D10" s="145">
        <v>43503.64</v>
      </c>
      <c r="E10" s="163">
        <f t="shared" si="0"/>
        <v>0.18530228264669205</v>
      </c>
      <c r="F10" s="166">
        <v>167</v>
      </c>
      <c r="G10" s="63">
        <f t="shared" si="2"/>
        <v>260.50083832335326</v>
      </c>
      <c r="H10" s="61">
        <v>0</v>
      </c>
      <c r="I10" s="28">
        <f t="shared" si="1"/>
        <v>0</v>
      </c>
      <c r="J10" s="46">
        <f>6977.8+15640.9</f>
        <v>22618.7</v>
      </c>
      <c r="K10" s="89">
        <f t="shared" si="3"/>
        <v>0.5199266084401214</v>
      </c>
      <c r="L10" s="188">
        <f t="shared" si="4"/>
        <v>20884.939999999999</v>
      </c>
      <c r="M10" s="89">
        <f t="shared" si="5"/>
        <v>0.48007339155987866</v>
      </c>
      <c r="N10" s="130">
        <v>0</v>
      </c>
      <c r="O10" s="26"/>
    </row>
    <row r="11" spans="1:15" ht="15.6" customHeight="1" x14ac:dyDescent="0.3">
      <c r="A11" s="409" t="s">
        <v>21</v>
      </c>
      <c r="B11" s="200">
        <v>0</v>
      </c>
      <c r="C11" s="73">
        <v>0</v>
      </c>
      <c r="D11" s="145">
        <v>0</v>
      </c>
      <c r="E11" s="163">
        <f t="shared" si="0"/>
        <v>0</v>
      </c>
      <c r="F11" s="166">
        <v>0</v>
      </c>
      <c r="G11" s="63">
        <f t="shared" si="2"/>
        <v>0</v>
      </c>
      <c r="H11" s="61">
        <v>0</v>
      </c>
      <c r="I11" s="28">
        <f t="shared" si="1"/>
        <v>0</v>
      </c>
      <c r="J11" s="46">
        <v>0</v>
      </c>
      <c r="K11" s="89" t="e">
        <f t="shared" si="3"/>
        <v>#DIV/0!</v>
      </c>
      <c r="L11" s="188">
        <f t="shared" si="4"/>
        <v>0</v>
      </c>
      <c r="M11" s="89" t="e">
        <f t="shared" si="5"/>
        <v>#DIV/0!</v>
      </c>
      <c r="N11" s="130">
        <v>0</v>
      </c>
      <c r="O11" s="26"/>
    </row>
    <row r="12" spans="1:15" ht="15.6" customHeight="1" x14ac:dyDescent="0.3">
      <c r="A12" s="198" t="s">
        <v>22</v>
      </c>
      <c r="B12" s="200">
        <v>0</v>
      </c>
      <c r="C12" s="73">
        <v>0</v>
      </c>
      <c r="D12" s="145">
        <v>0</v>
      </c>
      <c r="E12" s="163">
        <f t="shared" si="0"/>
        <v>0</v>
      </c>
      <c r="F12" s="166">
        <v>0</v>
      </c>
      <c r="G12" s="63">
        <f t="shared" si="2"/>
        <v>0</v>
      </c>
      <c r="H12" s="61">
        <v>0</v>
      </c>
      <c r="I12" s="28">
        <f t="shared" si="1"/>
        <v>0</v>
      </c>
      <c r="J12" s="46">
        <v>0</v>
      </c>
      <c r="K12" s="89" t="e">
        <f t="shared" si="3"/>
        <v>#DIV/0!</v>
      </c>
      <c r="L12" s="188">
        <f t="shared" si="4"/>
        <v>0</v>
      </c>
      <c r="M12" s="89" t="e">
        <f t="shared" si="5"/>
        <v>#DIV/0!</v>
      </c>
      <c r="N12" s="130">
        <v>0</v>
      </c>
      <c r="O12" s="26"/>
    </row>
    <row r="13" spans="1:15" ht="15.6" customHeight="1" x14ac:dyDescent="0.3">
      <c r="A13" s="198" t="s">
        <v>23</v>
      </c>
      <c r="B13" s="200">
        <v>0</v>
      </c>
      <c r="C13" s="73">
        <v>107741.9</v>
      </c>
      <c r="D13" s="145">
        <v>67555.83</v>
      </c>
      <c r="E13" s="163">
        <f t="shared" si="0"/>
        <v>-0.37298460487516921</v>
      </c>
      <c r="F13" s="166">
        <v>290</v>
      </c>
      <c r="G13" s="63">
        <f t="shared" si="2"/>
        <v>232.95113793103448</v>
      </c>
      <c r="H13" s="61">
        <v>0</v>
      </c>
      <c r="I13" s="28">
        <f t="shared" si="1"/>
        <v>0</v>
      </c>
      <c r="J13" s="46">
        <v>58535.59</v>
      </c>
      <c r="K13" s="89">
        <f t="shared" si="3"/>
        <v>0.86647725296247557</v>
      </c>
      <c r="L13" s="188">
        <f t="shared" si="4"/>
        <v>9020.2400000000052</v>
      </c>
      <c r="M13" s="89">
        <f t="shared" si="5"/>
        <v>0.13352274703752445</v>
      </c>
      <c r="N13" s="130">
        <v>0</v>
      </c>
      <c r="O13" s="26"/>
    </row>
    <row r="14" spans="1:15" ht="15.6" hidden="1" customHeight="1" x14ac:dyDescent="0.3">
      <c r="A14" s="198" t="s">
        <v>24</v>
      </c>
      <c r="B14" s="200">
        <f>'16 March - 22 March'!D14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46">
        <f>SUM(H14)</f>
        <v>0</v>
      </c>
      <c r="K14" s="89" t="e">
        <f t="shared" si="3"/>
        <v>#DIV/0!</v>
      </c>
      <c r="L14" s="188">
        <f t="shared" si="4"/>
        <v>0</v>
      </c>
      <c r="M14" s="89" t="e">
        <f t="shared" si="5"/>
        <v>#DIV/0!</v>
      </c>
      <c r="N14" s="130"/>
      <c r="O14" s="26"/>
    </row>
    <row r="15" spans="1:15" ht="15.6" customHeight="1" x14ac:dyDescent="0.3">
      <c r="A15" s="198" t="s">
        <v>26</v>
      </c>
      <c r="B15" s="200">
        <v>0</v>
      </c>
      <c r="C15" s="73">
        <v>74337.429999999993</v>
      </c>
      <c r="D15" s="145">
        <v>16693.68</v>
      </c>
      <c r="E15" s="163">
        <f t="shared" si="0"/>
        <v>-0.77543372161238289</v>
      </c>
      <c r="F15" s="166">
        <v>65</v>
      </c>
      <c r="G15" s="63">
        <f t="shared" si="2"/>
        <v>256.82584615384616</v>
      </c>
      <c r="H15" s="61">
        <v>0</v>
      </c>
      <c r="I15" s="28">
        <f t="shared" si="1"/>
        <v>0</v>
      </c>
      <c r="J15" s="46">
        <v>0</v>
      </c>
      <c r="K15" s="89">
        <f t="shared" si="3"/>
        <v>0</v>
      </c>
      <c r="L15" s="188">
        <v>16693.68</v>
      </c>
      <c r="M15" s="89">
        <f t="shared" si="5"/>
        <v>1</v>
      </c>
      <c r="N15" s="130">
        <v>0</v>
      </c>
      <c r="O15" s="9"/>
    </row>
    <row r="16" spans="1:15" ht="15.6" customHeight="1" x14ac:dyDescent="0.3">
      <c r="A16" s="198" t="s">
        <v>27</v>
      </c>
      <c r="B16" s="200">
        <v>0</v>
      </c>
      <c r="C16" s="73">
        <v>0</v>
      </c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46">
        <v>0</v>
      </c>
      <c r="K16" s="89" t="e">
        <f t="shared" si="3"/>
        <v>#DIV/0!</v>
      </c>
      <c r="L16" s="188">
        <f>SUM(D16-J16)</f>
        <v>0</v>
      </c>
      <c r="M16" s="89" t="e">
        <f t="shared" si="5"/>
        <v>#DIV/0!</v>
      </c>
      <c r="N16" s="130">
        <v>0</v>
      </c>
      <c r="O16" s="9"/>
    </row>
    <row r="17" spans="1:15" ht="15.6" customHeight="1" x14ac:dyDescent="0.3">
      <c r="A17" s="198" t="s">
        <v>28</v>
      </c>
      <c r="B17" s="200">
        <v>0</v>
      </c>
      <c r="C17" s="73">
        <v>0</v>
      </c>
      <c r="D17" s="145">
        <v>0</v>
      </c>
      <c r="E17" s="163">
        <f t="shared" si="0"/>
        <v>0</v>
      </c>
      <c r="F17" s="166">
        <v>0</v>
      </c>
      <c r="G17" s="63">
        <f t="shared" si="2"/>
        <v>0</v>
      </c>
      <c r="H17" s="61">
        <v>0</v>
      </c>
      <c r="I17" s="28">
        <f t="shared" si="1"/>
        <v>0</v>
      </c>
      <c r="J17" s="46">
        <v>0</v>
      </c>
      <c r="K17" s="89" t="e">
        <f t="shared" si="3"/>
        <v>#DIV/0!</v>
      </c>
      <c r="L17" s="188">
        <f>SUM(D17-J17)</f>
        <v>0</v>
      </c>
      <c r="M17" s="89" t="e">
        <f t="shared" si="5"/>
        <v>#DIV/0!</v>
      </c>
      <c r="N17" s="130">
        <v>0</v>
      </c>
      <c r="O17" s="9"/>
    </row>
    <row r="18" spans="1:15" ht="15.6" customHeight="1" x14ac:dyDescent="0.3">
      <c r="A18" s="198" t="s">
        <v>33</v>
      </c>
      <c r="B18" s="200">
        <v>0</v>
      </c>
      <c r="C18" s="73">
        <v>90888.43</v>
      </c>
      <c r="D18" s="145">
        <v>65693.759999999995</v>
      </c>
      <c r="E18" s="163">
        <f t="shared" si="0"/>
        <v>-0.27720437023722383</v>
      </c>
      <c r="F18" s="166">
        <v>263</v>
      </c>
      <c r="G18" s="63">
        <f t="shared" si="2"/>
        <v>249.78615969581747</v>
      </c>
      <c r="H18" s="61">
        <v>0</v>
      </c>
      <c r="I18" s="28">
        <f t="shared" si="1"/>
        <v>0</v>
      </c>
      <c r="J18" s="46">
        <v>49103.95</v>
      </c>
      <c r="K18" s="89">
        <f t="shared" si="3"/>
        <v>0.74746749158519776</v>
      </c>
      <c r="L18" s="188">
        <f>SUM(D18-J18)</f>
        <v>16589.809999999998</v>
      </c>
      <c r="M18" s="89">
        <f t="shared" si="5"/>
        <v>0.25253250841480224</v>
      </c>
      <c r="N18" s="130">
        <v>0</v>
      </c>
      <c r="O18" s="9"/>
    </row>
    <row r="19" spans="1:15" ht="16.2" customHeight="1" thickBot="1" x14ac:dyDescent="0.35">
      <c r="A19" s="203" t="s">
        <v>37</v>
      </c>
      <c r="B19" s="201">
        <v>0</v>
      </c>
      <c r="C19" s="205">
        <v>0</v>
      </c>
      <c r="D19" s="206">
        <v>0</v>
      </c>
      <c r="E19" s="207">
        <f t="shared" si="0"/>
        <v>0</v>
      </c>
      <c r="F19" s="167">
        <v>0</v>
      </c>
      <c r="G19" s="132">
        <f t="shared" si="2"/>
        <v>0</v>
      </c>
      <c r="H19" s="133">
        <v>0</v>
      </c>
      <c r="I19" s="114">
        <f t="shared" si="1"/>
        <v>0</v>
      </c>
      <c r="J19" s="115">
        <v>0</v>
      </c>
      <c r="K19" s="116" t="e">
        <f t="shared" si="3"/>
        <v>#DIV/0!</v>
      </c>
      <c r="L19" s="189">
        <f>SUM(D19-J19)</f>
        <v>0</v>
      </c>
      <c r="M19" s="116" t="e">
        <f t="shared" si="5"/>
        <v>#DIV/0!</v>
      </c>
      <c r="N19" s="134">
        <v>0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93" priority="5" operator="equal">
      <formula>0</formula>
    </cfRule>
  </conditionalFormatting>
  <conditionalFormatting sqref="D7:D19">
    <cfRule type="cellIs" dxfId="492" priority="4" operator="equal">
      <formula>0</formula>
    </cfRule>
  </conditionalFormatting>
  <conditionalFormatting sqref="E6:N19">
    <cfRule type="cellIs" dxfId="49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R41"/>
  <sheetViews>
    <sheetView zoomScale="78" workbookViewId="0">
      <pane xSplit="1" topLeftCell="B1" activePane="topRight" state="frozen"/>
      <selection pane="topRight" activeCell="L6" sqref="L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-0.71103747802348405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295775.40000000002</v>
      </c>
      <c r="C4" s="135">
        <f>SUM(C6:C19)-C14</f>
        <v>1696788.52</v>
      </c>
      <c r="D4" s="142">
        <f>SUM(D6:D19)</f>
        <v>514811.56999999995</v>
      </c>
      <c r="E4" s="217">
        <f t="shared" ref="E4:E19" si="0">IFERROR((SUM(D4-C4)/C4),0)</f>
        <v>-0.69659650337568302</v>
      </c>
      <c r="F4" s="147">
        <f>SUM(F6:F19)</f>
        <v>2060</v>
      </c>
      <c r="G4" s="218">
        <f>AVERAGE(G5:G19)</f>
        <v>159.54844503543933</v>
      </c>
      <c r="H4" s="219">
        <f>SUM(H6:H19)</f>
        <v>0</v>
      </c>
      <c r="I4" s="220">
        <f t="shared" ref="I4:I19" si="1">IFERROR(H4/F4,0)</f>
        <v>0</v>
      </c>
      <c r="J4" s="221">
        <f>SUM(J6:J19)</f>
        <v>269401.88000000006</v>
      </c>
      <c r="K4" s="222">
        <f>SUM(J4/D4)</f>
        <v>0.52330191413530214</v>
      </c>
      <c r="L4" s="239">
        <f>SUM(L6:L19)</f>
        <v>245409.69</v>
      </c>
      <c r="M4" s="222">
        <f>SUM(L4/D4)</f>
        <v>0.47669808586469808</v>
      </c>
      <c r="N4" s="141">
        <f>SUM(N6:N19)</f>
        <v>0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121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0"/>
      <c r="M5" s="122"/>
      <c r="N5" s="71"/>
      <c r="O5" s="25"/>
    </row>
    <row r="6" spans="1:18" ht="16.5" customHeight="1" x14ac:dyDescent="0.3">
      <c r="A6" s="408" t="s">
        <v>15</v>
      </c>
      <c r="B6" s="200">
        <v>84130.96</v>
      </c>
      <c r="C6" s="123">
        <v>277850.46999999997</v>
      </c>
      <c r="D6" s="197">
        <v>78719.350000000006</v>
      </c>
      <c r="E6" s="162">
        <f t="shared" si="0"/>
        <v>-0.71668448140469221</v>
      </c>
      <c r="F6" s="165">
        <v>315</v>
      </c>
      <c r="G6" s="124">
        <f t="shared" ref="G6:G19" si="2">IFERROR(D6/F6,0)</f>
        <v>249.90269841269844</v>
      </c>
      <c r="H6" s="125">
        <v>0</v>
      </c>
      <c r="I6" s="126">
        <f t="shared" si="1"/>
        <v>0</v>
      </c>
      <c r="J6" s="127">
        <v>53300.2</v>
      </c>
      <c r="K6" s="128">
        <f t="shared" ref="K6:K19" si="3">SUM(J6/D6)</f>
        <v>0.67709146480503202</v>
      </c>
      <c r="L6" s="241">
        <f t="shared" ref="L6:L14" si="4">SUM(D6-J6)</f>
        <v>25419.150000000009</v>
      </c>
      <c r="M6" s="128">
        <f t="shared" ref="M6:M19" si="5">SUM(L6/D6)</f>
        <v>0.32290853519496804</v>
      </c>
      <c r="N6" s="129">
        <v>0</v>
      </c>
      <c r="O6" s="26"/>
    </row>
    <row r="7" spans="1:18" ht="15.6" customHeight="1" x14ac:dyDescent="0.3">
      <c r="A7" s="409" t="s">
        <v>16</v>
      </c>
      <c r="B7" s="200">
        <v>0</v>
      </c>
      <c r="C7" s="73">
        <v>0</v>
      </c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46">
        <v>0</v>
      </c>
      <c r="K7" s="89" t="e">
        <f t="shared" si="3"/>
        <v>#DIV/0!</v>
      </c>
      <c r="L7" s="242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v>18197.53</v>
      </c>
      <c r="C8" s="73">
        <v>149467.35999999999</v>
      </c>
      <c r="D8" s="145">
        <v>38542.589999999997</v>
      </c>
      <c r="E8" s="163">
        <f t="shared" si="0"/>
        <v>-0.7421337340808053</v>
      </c>
      <c r="F8" s="166">
        <v>176</v>
      </c>
      <c r="G8" s="63">
        <f t="shared" si="2"/>
        <v>218.99198863636363</v>
      </c>
      <c r="H8" s="61">
        <v>0</v>
      </c>
      <c r="I8" s="28">
        <f t="shared" si="1"/>
        <v>0</v>
      </c>
      <c r="J8" s="46">
        <v>26268.799999999999</v>
      </c>
      <c r="K8" s="89">
        <f t="shared" si="3"/>
        <v>0.6815525370765172</v>
      </c>
      <c r="L8" s="242">
        <f t="shared" si="4"/>
        <v>12273.789999999997</v>
      </c>
      <c r="M8" s="89">
        <f t="shared" si="5"/>
        <v>0.3184474629234828</v>
      </c>
      <c r="N8" s="130">
        <v>0</v>
      </c>
      <c r="O8" s="26"/>
    </row>
    <row r="9" spans="1:18" ht="15.6" customHeight="1" x14ac:dyDescent="0.3">
      <c r="A9" s="409" t="s">
        <v>18</v>
      </c>
      <c r="B9" s="200">
        <v>0</v>
      </c>
      <c r="C9" s="73">
        <v>0</v>
      </c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46">
        <v>0</v>
      </c>
      <c r="K9" s="89" t="e">
        <f t="shared" si="3"/>
        <v>#DIV/0!</v>
      </c>
      <c r="L9" s="242">
        <f t="shared" si="4"/>
        <v>0</v>
      </c>
      <c r="M9" s="89" t="e">
        <f t="shared" si="5"/>
        <v>#DIV/0!</v>
      </c>
      <c r="N9" s="130">
        <v>0</v>
      </c>
      <c r="O9" s="26"/>
    </row>
    <row r="10" spans="1:18" ht="15.6" customHeight="1" x14ac:dyDescent="0.3">
      <c r="A10" s="409" t="s">
        <v>20</v>
      </c>
      <c r="B10" s="200">
        <v>43503.64</v>
      </c>
      <c r="C10" s="73">
        <v>146819.43</v>
      </c>
      <c r="D10" s="145">
        <v>89492.23</v>
      </c>
      <c r="E10" s="163">
        <f t="shared" si="0"/>
        <v>-0.39046058140942247</v>
      </c>
      <c r="F10" s="166">
        <v>354</v>
      </c>
      <c r="G10" s="63">
        <f t="shared" si="2"/>
        <v>252.80290960451975</v>
      </c>
      <c r="H10" s="61">
        <v>0</v>
      </c>
      <c r="I10" s="28">
        <f t="shared" si="1"/>
        <v>0</v>
      </c>
      <c r="J10" s="46">
        <v>46212.32</v>
      </c>
      <c r="K10" s="89">
        <f t="shared" si="3"/>
        <v>0.5163836011238071</v>
      </c>
      <c r="L10" s="242">
        <f t="shared" si="4"/>
        <v>43279.909999999996</v>
      </c>
      <c r="M10" s="89">
        <f t="shared" si="5"/>
        <v>0.4836163988761929</v>
      </c>
      <c r="N10" s="130">
        <v>0</v>
      </c>
      <c r="O10" s="26"/>
    </row>
    <row r="11" spans="1:18" ht="15.6" customHeight="1" x14ac:dyDescent="0.3">
      <c r="A11" s="409" t="s">
        <v>21</v>
      </c>
      <c r="B11" s="200">
        <v>0</v>
      </c>
      <c r="C11" s="73">
        <v>382519.5</v>
      </c>
      <c r="D11" s="145">
        <v>57987.75</v>
      </c>
      <c r="E11" s="163">
        <f t="shared" si="0"/>
        <v>-0.84840576754910535</v>
      </c>
      <c r="F11" s="166">
        <v>175</v>
      </c>
      <c r="G11" s="63">
        <f t="shared" si="2"/>
        <v>331.35857142857145</v>
      </c>
      <c r="H11" s="61">
        <v>0</v>
      </c>
      <c r="I11" s="28">
        <f t="shared" si="1"/>
        <v>0</v>
      </c>
      <c r="J11" s="46">
        <v>21284.79</v>
      </c>
      <c r="K11" s="89">
        <f t="shared" si="3"/>
        <v>0.36705666282964938</v>
      </c>
      <c r="L11" s="242">
        <f t="shared" si="4"/>
        <v>36702.959999999999</v>
      </c>
      <c r="M11" s="89">
        <f t="shared" si="5"/>
        <v>0.63294333717035067</v>
      </c>
      <c r="N11" s="130">
        <v>0</v>
      </c>
      <c r="O11" s="26"/>
    </row>
    <row r="12" spans="1:18" ht="15.6" customHeight="1" x14ac:dyDescent="0.3">
      <c r="A12" s="198" t="s">
        <v>22</v>
      </c>
      <c r="B12" s="200">
        <v>0</v>
      </c>
      <c r="C12" s="73">
        <v>144817.99</v>
      </c>
      <c r="D12" s="145">
        <v>19321.62</v>
      </c>
      <c r="E12" s="163">
        <f t="shared" si="0"/>
        <v>-0.86657997393832076</v>
      </c>
      <c r="F12" s="166">
        <v>88</v>
      </c>
      <c r="G12" s="63">
        <f t="shared" si="2"/>
        <v>219.56386363636364</v>
      </c>
      <c r="H12" s="61">
        <v>0</v>
      </c>
      <c r="I12" s="28">
        <f t="shared" si="1"/>
        <v>0</v>
      </c>
      <c r="J12" s="46">
        <v>1472</v>
      </c>
      <c r="K12" s="89">
        <f t="shared" si="3"/>
        <v>7.618408808371141E-2</v>
      </c>
      <c r="L12" s="242">
        <f t="shared" si="4"/>
        <v>17849.62</v>
      </c>
      <c r="M12" s="89">
        <f t="shared" si="5"/>
        <v>0.92381591191628853</v>
      </c>
      <c r="N12" s="130">
        <v>0</v>
      </c>
      <c r="O12" s="26"/>
    </row>
    <row r="13" spans="1:18" ht="15.6" customHeight="1" x14ac:dyDescent="0.3">
      <c r="A13" s="198" t="s">
        <v>23</v>
      </c>
      <c r="B13" s="200">
        <v>67555.83</v>
      </c>
      <c r="C13" s="73">
        <v>233865.68</v>
      </c>
      <c r="D13" s="145">
        <v>107050.12</v>
      </c>
      <c r="E13" s="163">
        <f t="shared" si="0"/>
        <v>-0.54225810302734456</v>
      </c>
      <c r="F13" s="166">
        <v>412</v>
      </c>
      <c r="G13" s="63">
        <f t="shared" si="2"/>
        <v>259.83038834951458</v>
      </c>
      <c r="H13" s="61">
        <v>0</v>
      </c>
      <c r="I13" s="28">
        <f t="shared" si="1"/>
        <v>0</v>
      </c>
      <c r="J13" s="46">
        <v>60797.54</v>
      </c>
      <c r="K13" s="89">
        <f t="shared" si="3"/>
        <v>0.56793528115615377</v>
      </c>
      <c r="L13" s="242">
        <f t="shared" si="4"/>
        <v>46252.579999999994</v>
      </c>
      <c r="M13" s="89">
        <f t="shared" si="5"/>
        <v>0.43206471884384617</v>
      </c>
      <c r="N13" s="130">
        <v>0</v>
      </c>
      <c r="O13" s="26"/>
    </row>
    <row r="14" spans="1:18" ht="15.6" hidden="1" customHeight="1" x14ac:dyDescent="0.3">
      <c r="A14" s="198" t="s">
        <v>24</v>
      </c>
      <c r="B14" s="200">
        <f>'16 March - 22 March'!D14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46">
        <f>SUM(H14)</f>
        <v>0</v>
      </c>
      <c r="K14" s="89" t="e">
        <f t="shared" si="3"/>
        <v>#DIV/0!</v>
      </c>
      <c r="L14" s="242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v>16693.68</v>
      </c>
      <c r="C15" s="73">
        <v>163941.60999999999</v>
      </c>
      <c r="D15" s="145">
        <v>21734.69</v>
      </c>
      <c r="E15" s="163">
        <f t="shared" si="0"/>
        <v>-0.8674242006041053</v>
      </c>
      <c r="F15" s="166">
        <v>87</v>
      </c>
      <c r="G15" s="63">
        <f t="shared" si="2"/>
        <v>249.82402298850573</v>
      </c>
      <c r="H15" s="61">
        <v>0</v>
      </c>
      <c r="I15" s="28">
        <f t="shared" si="1"/>
        <v>0</v>
      </c>
      <c r="J15" s="46">
        <v>0</v>
      </c>
      <c r="K15" s="89">
        <f t="shared" si="3"/>
        <v>0</v>
      </c>
      <c r="L15" s="242">
        <v>21734.69</v>
      </c>
      <c r="M15" s="89">
        <f t="shared" si="5"/>
        <v>1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v>0</v>
      </c>
      <c r="C16" s="73">
        <v>0</v>
      </c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46">
        <v>0</v>
      </c>
      <c r="K16" s="89" t="e">
        <f t="shared" si="3"/>
        <v>#DIV/0!</v>
      </c>
      <c r="L16" s="242">
        <f>SUM(D16-J16)</f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v>0</v>
      </c>
      <c r="C17" s="73">
        <v>0</v>
      </c>
      <c r="D17" s="145">
        <v>0</v>
      </c>
      <c r="E17" s="163">
        <f t="shared" si="0"/>
        <v>0</v>
      </c>
      <c r="F17" s="166">
        <v>0</v>
      </c>
      <c r="G17" s="63">
        <f t="shared" si="2"/>
        <v>0</v>
      </c>
      <c r="H17" s="61">
        <v>0</v>
      </c>
      <c r="I17" s="28">
        <f t="shared" si="1"/>
        <v>0</v>
      </c>
      <c r="J17" s="46">
        <v>0</v>
      </c>
      <c r="K17" s="89" t="e">
        <f t="shared" si="3"/>
        <v>#DIV/0!</v>
      </c>
      <c r="L17" s="242">
        <f>SUM(D17-J17)</f>
        <v>0</v>
      </c>
      <c r="M17" s="89" t="e">
        <f t="shared" si="5"/>
        <v>#DIV/0!</v>
      </c>
      <c r="N17" s="130">
        <v>0</v>
      </c>
      <c r="O17" s="9"/>
    </row>
    <row r="18" spans="1:15" ht="15.6" customHeight="1" x14ac:dyDescent="0.3">
      <c r="A18" s="198" t="s">
        <v>33</v>
      </c>
      <c r="B18" s="200">
        <v>65693.759999999995</v>
      </c>
      <c r="C18" s="73">
        <v>197506.48</v>
      </c>
      <c r="D18" s="145">
        <v>77459.94</v>
      </c>
      <c r="E18" s="163">
        <f t="shared" si="0"/>
        <v>-0.60781063993444673</v>
      </c>
      <c r="F18" s="166">
        <v>345</v>
      </c>
      <c r="G18" s="63">
        <f t="shared" si="2"/>
        <v>224.5215652173913</v>
      </c>
      <c r="H18" s="61">
        <v>0</v>
      </c>
      <c r="I18" s="28">
        <f t="shared" si="1"/>
        <v>0</v>
      </c>
      <c r="J18" s="46">
        <v>45313.83</v>
      </c>
      <c r="K18" s="89">
        <f t="shared" si="3"/>
        <v>0.58499696746473084</v>
      </c>
      <c r="L18" s="242">
        <f>SUM(D18-J18)</f>
        <v>32146.11</v>
      </c>
      <c r="M18" s="89">
        <f t="shared" si="5"/>
        <v>0.41500303253526921</v>
      </c>
      <c r="N18" s="130">
        <v>0</v>
      </c>
      <c r="O18" s="9"/>
    </row>
    <row r="19" spans="1:15" ht="16.2" customHeight="1" thickBot="1" x14ac:dyDescent="0.35">
      <c r="A19" s="203" t="s">
        <v>37</v>
      </c>
      <c r="B19" s="201">
        <v>0</v>
      </c>
      <c r="C19" s="205">
        <v>0</v>
      </c>
      <c r="D19" s="206">
        <v>24503.279999999999</v>
      </c>
      <c r="E19" s="207">
        <f t="shared" si="0"/>
        <v>0</v>
      </c>
      <c r="F19" s="167">
        <v>108</v>
      </c>
      <c r="G19" s="132">
        <f t="shared" si="2"/>
        <v>226.88222222222223</v>
      </c>
      <c r="H19" s="133">
        <v>0</v>
      </c>
      <c r="I19" s="114">
        <f t="shared" si="1"/>
        <v>0</v>
      </c>
      <c r="J19" s="115">
        <v>14752.4</v>
      </c>
      <c r="K19" s="116">
        <f t="shared" si="3"/>
        <v>0.60205817343637258</v>
      </c>
      <c r="L19" s="243">
        <f>SUM(D19-J19)</f>
        <v>9750.8799999999992</v>
      </c>
      <c r="M19" s="116">
        <f t="shared" si="5"/>
        <v>0.39794182656362737</v>
      </c>
      <c r="N19" s="134">
        <v>0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90" priority="4" operator="equal">
      <formula>0</formula>
    </cfRule>
  </conditionalFormatting>
  <conditionalFormatting sqref="D7:D19">
    <cfRule type="cellIs" dxfId="489" priority="3" operator="equal">
      <formula>0</formula>
    </cfRule>
  </conditionalFormatting>
  <conditionalFormatting sqref="E6:N19">
    <cfRule type="cellIs" dxfId="48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-0.70519840693327318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514811.56999999995</v>
      </c>
      <c r="C4" s="135">
        <f>SUM(C6:C19)-C14</f>
        <v>1240969.99</v>
      </c>
      <c r="D4" s="142">
        <f>SUM(D6:D19)</f>
        <v>399367.31000000006</v>
      </c>
      <c r="E4" s="217">
        <f t="shared" ref="E4:E19" si="0">IFERROR((SUM(D4-C4)/C4),0)</f>
        <v>-0.67818133136321845</v>
      </c>
      <c r="F4" s="147">
        <f>SUM(F6:F19)</f>
        <v>1731</v>
      </c>
      <c r="G4" s="218">
        <f>AVERAGE(G5:G19)</f>
        <v>130.01077278470123</v>
      </c>
      <c r="H4" s="219">
        <f>SUM(H6:H19)</f>
        <v>0</v>
      </c>
      <c r="I4" s="220">
        <f t="shared" ref="I4:I19" si="1">IFERROR(H4/F4,0)</f>
        <v>0</v>
      </c>
      <c r="J4" s="249">
        <f>SUM(J6:J19)</f>
        <v>169625.19</v>
      </c>
      <c r="K4" s="222">
        <f>SUM(J4/D4)</f>
        <v>0.42473478863355135</v>
      </c>
      <c r="L4" s="244">
        <f>SUM(L6:L19)</f>
        <v>229742.12</v>
      </c>
      <c r="M4" s="222">
        <f>SUM(L4/D4)</f>
        <v>0.57526521136644848</v>
      </c>
      <c r="N4" s="141">
        <f>SUM(N6:N19)</f>
        <v>8709.2000000000007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'4 May - 10 May 2020'!D6</f>
        <v>78719.350000000006</v>
      </c>
      <c r="C6" s="123">
        <v>217085.03</v>
      </c>
      <c r="D6" s="197">
        <v>47094.04</v>
      </c>
      <c r="E6" s="162">
        <f t="shared" si="0"/>
        <v>-0.78306177998547388</v>
      </c>
      <c r="F6" s="165">
        <v>195</v>
      </c>
      <c r="G6" s="124">
        <f t="shared" ref="G6:G19" si="2">IFERROR(D6/F6,0)</f>
        <v>241.50789743589743</v>
      </c>
      <c r="H6" s="125">
        <v>0</v>
      </c>
      <c r="I6" s="126">
        <f t="shared" si="1"/>
        <v>0</v>
      </c>
      <c r="J6" s="246">
        <v>26448</v>
      </c>
      <c r="K6" s="128">
        <f t="shared" ref="K6:K19" si="3">SUM(J6/D6)</f>
        <v>0.56159972684441595</v>
      </c>
      <c r="L6" s="247">
        <f t="shared" ref="L6:L19" si="4">SUM(D6-J6)</f>
        <v>20646.04</v>
      </c>
      <c r="M6" s="128">
        <f t="shared" ref="M6:M19" si="5">SUM(L6/D6)</f>
        <v>0.43840027315558405</v>
      </c>
      <c r="N6" s="129">
        <v>1033</v>
      </c>
      <c r="O6" s="26"/>
    </row>
    <row r="7" spans="1:18" ht="15.6" customHeight="1" x14ac:dyDescent="0.3">
      <c r="A7" s="409" t="s">
        <v>16</v>
      </c>
      <c r="B7" s="200">
        <f>'4 May - 10 May 2020'!D7</f>
        <v>0</v>
      </c>
      <c r="C7" s="73">
        <v>0</v>
      </c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'4 May - 10 May 2020'!D8</f>
        <v>38542.589999999997</v>
      </c>
      <c r="C8" s="73">
        <v>98960.8</v>
      </c>
      <c r="D8" s="145">
        <v>32529.48</v>
      </c>
      <c r="E8" s="163">
        <f t="shared" si="0"/>
        <v>-0.67128923775878935</v>
      </c>
      <c r="F8" s="166">
        <v>162</v>
      </c>
      <c r="G8" s="63">
        <f t="shared" si="2"/>
        <v>200.79925925925926</v>
      </c>
      <c r="H8" s="61">
        <v>0</v>
      </c>
      <c r="I8" s="28">
        <f t="shared" si="1"/>
        <v>0</v>
      </c>
      <c r="J8" s="247">
        <v>11378.17</v>
      </c>
      <c r="K8" s="89">
        <f t="shared" si="3"/>
        <v>0.34978026085876568</v>
      </c>
      <c r="L8" s="247">
        <f t="shared" si="4"/>
        <v>21151.309999999998</v>
      </c>
      <c r="M8" s="89">
        <f t="shared" si="5"/>
        <v>0.65021973914123432</v>
      </c>
      <c r="N8" s="130">
        <v>489</v>
      </c>
      <c r="O8" s="26"/>
    </row>
    <row r="9" spans="1:18" ht="15.6" customHeight="1" x14ac:dyDescent="0.3">
      <c r="A9" s="409" t="s">
        <v>18</v>
      </c>
      <c r="B9" s="200">
        <f>'4 May - 10 May 2020'!D9</f>
        <v>0</v>
      </c>
      <c r="C9" s="73">
        <v>0</v>
      </c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247">
        <v>0</v>
      </c>
      <c r="K9" s="89" t="e">
        <f t="shared" si="3"/>
        <v>#DIV/0!</v>
      </c>
      <c r="L9" s="247">
        <f t="shared" si="4"/>
        <v>0</v>
      </c>
      <c r="M9" s="89" t="e">
        <f t="shared" si="5"/>
        <v>#DIV/0!</v>
      </c>
      <c r="N9" s="130">
        <v>0</v>
      </c>
      <c r="O9" s="26"/>
    </row>
    <row r="10" spans="1:18" ht="15.6" customHeight="1" x14ac:dyDescent="0.3">
      <c r="A10" s="409" t="s">
        <v>20</v>
      </c>
      <c r="B10" s="200">
        <f>'4 May - 10 May 2020'!D10</f>
        <v>89492.23</v>
      </c>
      <c r="C10" s="73">
        <v>130423.4</v>
      </c>
      <c r="D10" s="145">
        <v>65139.06</v>
      </c>
      <c r="E10" s="163">
        <f t="shared" si="0"/>
        <v>-0.50055695527029653</v>
      </c>
      <c r="F10" s="166">
        <v>273</v>
      </c>
      <c r="G10" s="63">
        <f t="shared" si="2"/>
        <v>238.60461538461539</v>
      </c>
      <c r="H10" s="61">
        <v>0</v>
      </c>
      <c r="I10" s="28">
        <f t="shared" si="1"/>
        <v>0</v>
      </c>
      <c r="J10" s="247">
        <v>31094.94</v>
      </c>
      <c r="K10" s="89">
        <f t="shared" si="3"/>
        <v>0.47736243046798649</v>
      </c>
      <c r="L10" s="247">
        <f t="shared" si="4"/>
        <v>34044.119999999995</v>
      </c>
      <c r="M10" s="89">
        <f t="shared" si="5"/>
        <v>0.52263756953201346</v>
      </c>
      <c r="N10" s="130">
        <v>2704</v>
      </c>
      <c r="O10" s="26"/>
    </row>
    <row r="11" spans="1:18" ht="15.6" customHeight="1" x14ac:dyDescent="0.3">
      <c r="A11" s="409" t="s">
        <v>21</v>
      </c>
      <c r="B11" s="200">
        <f>'4 May - 10 May 2020'!D11</f>
        <v>57987.75</v>
      </c>
      <c r="C11" s="73">
        <v>321781.94</v>
      </c>
      <c r="D11" s="145">
        <v>73753.5</v>
      </c>
      <c r="E11" s="163">
        <f t="shared" si="0"/>
        <v>-0.77079664570360906</v>
      </c>
      <c r="F11" s="166">
        <v>288</v>
      </c>
      <c r="G11" s="63">
        <f t="shared" si="2"/>
        <v>256.08854166666669</v>
      </c>
      <c r="H11" s="61">
        <v>0</v>
      </c>
      <c r="I11" s="28">
        <f t="shared" si="1"/>
        <v>0</v>
      </c>
      <c r="J11" s="247">
        <v>19487.39</v>
      </c>
      <c r="K11" s="89">
        <f t="shared" si="3"/>
        <v>0.26422325720135315</v>
      </c>
      <c r="L11" s="247">
        <f t="shared" si="4"/>
        <v>54266.11</v>
      </c>
      <c r="M11" s="89">
        <f t="shared" si="5"/>
        <v>0.7357767427986468</v>
      </c>
      <c r="N11" s="130">
        <v>643.70000000000005</v>
      </c>
      <c r="O11" s="26"/>
    </row>
    <row r="12" spans="1:18" ht="15.6" customHeight="1" x14ac:dyDescent="0.3">
      <c r="A12" s="198" t="s">
        <v>22</v>
      </c>
      <c r="B12" s="200">
        <f>'4 May - 10 May 2020'!D12</f>
        <v>19321.62</v>
      </c>
      <c r="C12" s="73">
        <v>126268.32</v>
      </c>
      <c r="D12" s="145">
        <v>26049.29</v>
      </c>
      <c r="E12" s="163">
        <f t="shared" si="0"/>
        <v>-0.79369892622314131</v>
      </c>
      <c r="F12" s="166">
        <v>113</v>
      </c>
      <c r="G12" s="63">
        <f t="shared" si="2"/>
        <v>230.52469026548673</v>
      </c>
      <c r="H12" s="61">
        <v>0</v>
      </c>
      <c r="I12" s="28">
        <f t="shared" si="1"/>
        <v>0</v>
      </c>
      <c r="J12" s="247">
        <v>3145</v>
      </c>
      <c r="K12" s="89">
        <f t="shared" si="3"/>
        <v>0.12073265720486047</v>
      </c>
      <c r="L12" s="247">
        <f t="shared" si="4"/>
        <v>22904.29</v>
      </c>
      <c r="M12" s="89">
        <f t="shared" si="5"/>
        <v>0.87926734279513952</v>
      </c>
      <c r="N12" s="130">
        <v>251.5</v>
      </c>
      <c r="O12" s="26"/>
    </row>
    <row r="13" spans="1:18" ht="15.6" customHeight="1" x14ac:dyDescent="0.3">
      <c r="A13" s="198" t="s">
        <v>23</v>
      </c>
      <c r="B13" s="200">
        <f>'4 May - 10 May 2020'!D13</f>
        <v>107050.12</v>
      </c>
      <c r="C13" s="73">
        <v>195027.05</v>
      </c>
      <c r="D13" s="145">
        <v>63028.93</v>
      </c>
      <c r="E13" s="163">
        <f t="shared" si="0"/>
        <v>-0.67681954887796336</v>
      </c>
      <c r="F13" s="166">
        <v>269</v>
      </c>
      <c r="G13" s="63">
        <f t="shared" si="2"/>
        <v>234.30828996282528</v>
      </c>
      <c r="H13" s="61">
        <v>0</v>
      </c>
      <c r="I13" s="28">
        <f t="shared" si="1"/>
        <v>0</v>
      </c>
      <c r="J13" s="247">
        <v>32615.99</v>
      </c>
      <c r="K13" s="89">
        <f t="shared" si="3"/>
        <v>0.51747649849045507</v>
      </c>
      <c r="L13" s="247">
        <f t="shared" si="4"/>
        <v>30412.94</v>
      </c>
      <c r="M13" s="89">
        <f t="shared" si="5"/>
        <v>0.48252350150954487</v>
      </c>
      <c r="N13" s="130">
        <v>766</v>
      </c>
      <c r="O13" s="26"/>
    </row>
    <row r="14" spans="1:18" ht="15.6" hidden="1" customHeight="1" x14ac:dyDescent="0.3">
      <c r="A14" s="198" t="s">
        <v>24</v>
      </c>
      <c r="B14" s="200">
        <f>'4 May - 10 May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'4 May - 10 May 2020'!D15</f>
        <v>21734.69</v>
      </c>
      <c r="C15" s="73">
        <v>0</v>
      </c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'4 May - 10 May 2020'!D16</f>
        <v>0</v>
      </c>
      <c r="C16" s="73">
        <v>0</v>
      </c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>
        <v>0</v>
      </c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f>'4 May - 10 May 2020'!D17</f>
        <v>0</v>
      </c>
      <c r="C17" s="73">
        <v>0</v>
      </c>
      <c r="D17" s="145">
        <v>0</v>
      </c>
      <c r="E17" s="163">
        <f t="shared" si="0"/>
        <v>0</v>
      </c>
      <c r="F17" s="166">
        <v>0</v>
      </c>
      <c r="G17" s="63">
        <f t="shared" si="2"/>
        <v>0</v>
      </c>
      <c r="H17" s="61">
        <v>0</v>
      </c>
      <c r="I17" s="28">
        <f t="shared" si="1"/>
        <v>0</v>
      </c>
      <c r="J17" s="247">
        <v>0</v>
      </c>
      <c r="K17" s="89" t="e">
        <f t="shared" si="3"/>
        <v>#DIV/0!</v>
      </c>
      <c r="L17" s="247">
        <f t="shared" si="4"/>
        <v>0</v>
      </c>
      <c r="M17" s="89" t="e">
        <f t="shared" si="5"/>
        <v>#DIV/0!</v>
      </c>
      <c r="N17" s="130">
        <v>0</v>
      </c>
      <c r="O17" s="9"/>
    </row>
    <row r="18" spans="1:15" ht="15.6" customHeight="1" x14ac:dyDescent="0.3">
      <c r="A18" s="198" t="s">
        <v>33</v>
      </c>
      <c r="B18" s="200">
        <f>'4 May - 10 May 2020'!D18</f>
        <v>77459.94</v>
      </c>
      <c r="C18" s="73">
        <v>151423.45000000001</v>
      </c>
      <c r="D18" s="145">
        <v>58245.63</v>
      </c>
      <c r="E18" s="163">
        <f t="shared" si="0"/>
        <v>-0.61534603788250763</v>
      </c>
      <c r="F18" s="166">
        <v>251</v>
      </c>
      <c r="G18" s="63">
        <f t="shared" si="2"/>
        <v>232.05430278884461</v>
      </c>
      <c r="H18" s="61">
        <v>0</v>
      </c>
      <c r="I18" s="28">
        <f t="shared" si="1"/>
        <v>0</v>
      </c>
      <c r="J18" s="247">
        <v>27282.48</v>
      </c>
      <c r="K18" s="89">
        <f t="shared" si="3"/>
        <v>0.46840389570857077</v>
      </c>
      <c r="L18" s="247">
        <f t="shared" si="4"/>
        <v>30963.149999999998</v>
      </c>
      <c r="M18" s="89">
        <f t="shared" si="5"/>
        <v>0.53159610429142923</v>
      </c>
      <c r="N18" s="130">
        <v>1361</v>
      </c>
      <c r="O18" s="9"/>
    </row>
    <row r="19" spans="1:15" ht="16.2" customHeight="1" thickBot="1" x14ac:dyDescent="0.35">
      <c r="A19" s="203" t="s">
        <v>37</v>
      </c>
      <c r="B19" s="201">
        <f>'4 May - 10 May 2020'!D19</f>
        <v>24503.279999999999</v>
      </c>
      <c r="C19" s="205"/>
      <c r="D19" s="206">
        <v>33527.379999999997</v>
      </c>
      <c r="E19" s="207">
        <f t="shared" si="0"/>
        <v>0</v>
      </c>
      <c r="F19" s="167">
        <v>180</v>
      </c>
      <c r="G19" s="132">
        <f t="shared" si="2"/>
        <v>186.2632222222222</v>
      </c>
      <c r="H19" s="133">
        <v>0</v>
      </c>
      <c r="I19" s="114">
        <f t="shared" si="1"/>
        <v>0</v>
      </c>
      <c r="J19" s="248">
        <v>18173.22</v>
      </c>
      <c r="K19" s="116">
        <f t="shared" si="3"/>
        <v>0.5420411615819668</v>
      </c>
      <c r="L19" s="248">
        <f t="shared" si="4"/>
        <v>15354.159999999996</v>
      </c>
      <c r="M19" s="116">
        <f t="shared" si="5"/>
        <v>0.4579588384180332</v>
      </c>
      <c r="N19" s="134">
        <v>1461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87" priority="5" operator="equal">
      <formula>0</formula>
    </cfRule>
  </conditionalFormatting>
  <conditionalFormatting sqref="D7:D19">
    <cfRule type="cellIs" dxfId="486" priority="4" operator="equal">
      <formula>0</formula>
    </cfRule>
  </conditionalFormatting>
  <conditionalFormatting sqref="E6:N19">
    <cfRule type="cellIs" dxfId="48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R41"/>
  <sheetViews>
    <sheetView zoomScale="78" workbookViewId="0">
      <pane xSplit="1" topLeftCell="B1" activePane="topRight" state="frozen"/>
      <selection pane="topRight" activeCell="J12" sqref="J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-0.7470613138137564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399367.31000000006</v>
      </c>
      <c r="C4" s="135">
        <f>SUM(C6:C19)-C14</f>
        <v>1613493.99</v>
      </c>
      <c r="D4" s="142">
        <f>SUM(D6:D19)</f>
        <v>441892.36</v>
      </c>
      <c r="E4" s="217">
        <f t="shared" ref="E4:E19" si="0">IFERROR((SUM(D4-C4)/C4),0)</f>
        <v>-0.72612704928637506</v>
      </c>
      <c r="F4" s="147">
        <f>SUM(F6:F19)</f>
        <v>1885</v>
      </c>
      <c r="G4" s="218">
        <f>AVERAGE(G5:G19)</f>
        <v>149.09495960743672</v>
      </c>
      <c r="H4" s="219">
        <f>SUM(H6:H19)</f>
        <v>0</v>
      </c>
      <c r="I4" s="220">
        <f t="shared" ref="I4:I19" si="1">IFERROR(H4/F4,0)</f>
        <v>0</v>
      </c>
      <c r="J4" s="249">
        <f>SUM(J6:J19)</f>
        <v>188261.18</v>
      </c>
      <c r="K4" s="222">
        <f>SUM(J4/D4)</f>
        <v>0.4260340233083007</v>
      </c>
      <c r="L4" s="244">
        <f>SUM(L6:L19)</f>
        <v>253631.18</v>
      </c>
      <c r="M4" s="222">
        <f>SUM(L4/D4)</f>
        <v>0.57396597669169935</v>
      </c>
      <c r="N4" s="141">
        <f>SUM(N6:N19)</f>
        <v>9817.6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'11 May - 17 May 2020'!D6</f>
        <v>47094.04</v>
      </c>
      <c r="C6" s="123">
        <v>221316.49</v>
      </c>
      <c r="D6" s="197">
        <v>52335.75</v>
      </c>
      <c r="E6" s="162">
        <f t="shared" si="0"/>
        <v>-0.76352530261075435</v>
      </c>
      <c r="F6" s="165">
        <v>206</v>
      </c>
      <c r="G6" s="124">
        <f t="shared" ref="G6:G19" si="2">IFERROR(D6/F6,0)</f>
        <v>254.05703883495147</v>
      </c>
      <c r="H6" s="125">
        <v>0</v>
      </c>
      <c r="I6" s="126">
        <f t="shared" si="1"/>
        <v>0</v>
      </c>
      <c r="J6" s="246">
        <v>32104.35</v>
      </c>
      <c r="K6" s="128">
        <f t="shared" ref="K6:K19" si="3">SUM(J6/D6)</f>
        <v>0.61343058998867883</v>
      </c>
      <c r="L6" s="247">
        <f t="shared" ref="L6:L19" si="4">SUM(D6-J6)</f>
        <v>20231.400000000001</v>
      </c>
      <c r="M6" s="128">
        <f t="shared" ref="M6:M19" si="5">SUM(L6/D6)</f>
        <v>0.38656941001132117</v>
      </c>
      <c r="N6" s="129">
        <v>335</v>
      </c>
      <c r="O6" s="26"/>
    </row>
    <row r="7" spans="1:18" ht="15.6" customHeight="1" x14ac:dyDescent="0.3">
      <c r="A7" s="409" t="s">
        <v>16</v>
      </c>
      <c r="B7" s="200">
        <f>'11 May - 17 May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/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'11 May - 17 May 2020'!D8</f>
        <v>32529.48</v>
      </c>
      <c r="C8" s="73">
        <v>105221.78</v>
      </c>
      <c r="D8" s="145">
        <v>27845.47</v>
      </c>
      <c r="E8" s="163">
        <f t="shared" si="0"/>
        <v>-0.73536400923839151</v>
      </c>
      <c r="F8" s="166">
        <v>141</v>
      </c>
      <c r="G8" s="63">
        <f t="shared" si="2"/>
        <v>197.48560283687945</v>
      </c>
      <c r="H8" s="61">
        <v>0</v>
      </c>
      <c r="I8" s="28">
        <f t="shared" si="1"/>
        <v>0</v>
      </c>
      <c r="J8" s="247">
        <v>13552.47</v>
      </c>
      <c r="K8" s="89">
        <f t="shared" si="3"/>
        <v>0.48670286405652335</v>
      </c>
      <c r="L8" s="247">
        <f t="shared" si="4"/>
        <v>14293.000000000002</v>
      </c>
      <c r="M8" s="89">
        <f t="shared" si="5"/>
        <v>0.5132971359434767</v>
      </c>
      <c r="N8" s="130">
        <v>121.6</v>
      </c>
      <c r="O8" s="26"/>
    </row>
    <row r="9" spans="1:18" ht="15.6" customHeight="1" x14ac:dyDescent="0.3">
      <c r="A9" s="409" t="s">
        <v>18</v>
      </c>
      <c r="B9" s="200">
        <f>'11 May - 17 May 2020'!D9</f>
        <v>0</v>
      </c>
      <c r="C9" s="73">
        <v>287415.07</v>
      </c>
      <c r="D9" s="145">
        <v>23884.54</v>
      </c>
      <c r="E9" s="163">
        <f t="shared" si="0"/>
        <v>-0.91689879031047339</v>
      </c>
      <c r="F9" s="166">
        <v>102</v>
      </c>
      <c r="G9" s="63">
        <f t="shared" si="2"/>
        <v>234.16215686274509</v>
      </c>
      <c r="H9" s="61">
        <v>0</v>
      </c>
      <c r="I9" s="28">
        <f t="shared" si="1"/>
        <v>0</v>
      </c>
      <c r="J9" s="247">
        <v>14664.62</v>
      </c>
      <c r="K9" s="89">
        <f t="shared" si="3"/>
        <v>0.61397958679547526</v>
      </c>
      <c r="L9" s="247">
        <f t="shared" si="4"/>
        <v>9219.92</v>
      </c>
      <c r="M9" s="89">
        <f t="shared" si="5"/>
        <v>0.38602041320452474</v>
      </c>
      <c r="N9" s="130">
        <v>332</v>
      </c>
      <c r="O9" s="26"/>
    </row>
    <row r="10" spans="1:18" ht="15.6" customHeight="1" x14ac:dyDescent="0.3">
      <c r="A10" s="409" t="s">
        <v>20</v>
      </c>
      <c r="B10" s="200">
        <f>'11 May - 17 May 2020'!D10</f>
        <v>65139.06</v>
      </c>
      <c r="C10" s="73">
        <v>144417.04</v>
      </c>
      <c r="D10" s="145">
        <v>59348.93</v>
      </c>
      <c r="E10" s="163">
        <f t="shared" si="0"/>
        <v>-0.5890448246273432</v>
      </c>
      <c r="F10" s="166">
        <v>267</v>
      </c>
      <c r="G10" s="63">
        <f t="shared" si="2"/>
        <v>222.28063670411984</v>
      </c>
      <c r="H10" s="61">
        <v>0</v>
      </c>
      <c r="I10" s="28">
        <f t="shared" si="1"/>
        <v>0</v>
      </c>
      <c r="J10" s="247">
        <v>24759.51</v>
      </c>
      <c r="K10" s="89">
        <f t="shared" si="3"/>
        <v>0.41718544883623004</v>
      </c>
      <c r="L10" s="247">
        <f t="shared" si="4"/>
        <v>34589.42</v>
      </c>
      <c r="M10" s="89">
        <f t="shared" si="5"/>
        <v>0.5828145511637699</v>
      </c>
      <c r="N10" s="130">
        <v>2612</v>
      </c>
      <c r="O10" s="26"/>
    </row>
    <row r="11" spans="1:18" ht="15.6" customHeight="1" x14ac:dyDescent="0.3">
      <c r="A11" s="409" t="s">
        <v>21</v>
      </c>
      <c r="B11" s="200">
        <f>'11 May - 17 May 2020'!D11</f>
        <v>73753.5</v>
      </c>
      <c r="C11" s="73">
        <v>330106.03000000003</v>
      </c>
      <c r="D11" s="145">
        <v>84377.53</v>
      </c>
      <c r="E11" s="163">
        <f t="shared" si="0"/>
        <v>-0.74439264257002513</v>
      </c>
      <c r="F11" s="166">
        <v>326</v>
      </c>
      <c r="G11" s="63">
        <f t="shared" si="2"/>
        <v>258.82677914110428</v>
      </c>
      <c r="H11" s="61">
        <v>0</v>
      </c>
      <c r="I11" s="28">
        <f t="shared" si="1"/>
        <v>0</v>
      </c>
      <c r="J11" s="247">
        <v>27690.12</v>
      </c>
      <c r="K11" s="89">
        <f t="shared" si="3"/>
        <v>0.32816935978097483</v>
      </c>
      <c r="L11" s="247">
        <f t="shared" si="4"/>
        <v>56687.41</v>
      </c>
      <c r="M11" s="89">
        <f t="shared" si="5"/>
        <v>0.67183064021902517</v>
      </c>
      <c r="N11" s="130">
        <v>2388.5</v>
      </c>
      <c r="O11" s="26"/>
    </row>
    <row r="12" spans="1:18" ht="15.6" customHeight="1" x14ac:dyDescent="0.3">
      <c r="A12" s="198" t="s">
        <v>22</v>
      </c>
      <c r="B12" s="200">
        <f>'11 May - 17 May 2020'!D12</f>
        <v>26049.29</v>
      </c>
      <c r="C12" s="73">
        <v>129133.4</v>
      </c>
      <c r="D12" s="145">
        <v>28728.92</v>
      </c>
      <c r="E12" s="163">
        <f t="shared" si="0"/>
        <v>-0.77752525682743578</v>
      </c>
      <c r="F12" s="166">
        <v>115</v>
      </c>
      <c r="G12" s="63">
        <f t="shared" si="2"/>
        <v>249.81669565217391</v>
      </c>
      <c r="H12" s="61">
        <v>0</v>
      </c>
      <c r="I12" s="28">
        <f t="shared" si="1"/>
        <v>0</v>
      </c>
      <c r="J12" s="247">
        <v>4085.04</v>
      </c>
      <c r="K12" s="89">
        <f t="shared" si="3"/>
        <v>0.14219260591766067</v>
      </c>
      <c r="L12" s="247">
        <f t="shared" si="4"/>
        <v>24643.879999999997</v>
      </c>
      <c r="M12" s="89">
        <f t="shared" si="5"/>
        <v>0.8578073940823393</v>
      </c>
      <c r="N12" s="130">
        <v>132.5</v>
      </c>
      <c r="O12" s="26"/>
    </row>
    <row r="13" spans="1:18" ht="15.6" customHeight="1" x14ac:dyDescent="0.3">
      <c r="A13" s="198" t="s">
        <v>23</v>
      </c>
      <c r="B13" s="200">
        <f>'11 May - 17 May 2020'!D13</f>
        <v>63028.93</v>
      </c>
      <c r="C13" s="73">
        <v>222565.67</v>
      </c>
      <c r="D13" s="145">
        <v>75291.31</v>
      </c>
      <c r="E13" s="163">
        <f t="shared" si="0"/>
        <v>-0.66171193427989139</v>
      </c>
      <c r="F13" s="166">
        <v>312</v>
      </c>
      <c r="G13" s="63">
        <f t="shared" si="2"/>
        <v>241.31830128205127</v>
      </c>
      <c r="H13" s="61">
        <v>0</v>
      </c>
      <c r="I13" s="28">
        <f t="shared" si="1"/>
        <v>0</v>
      </c>
      <c r="J13" s="247">
        <v>31606.639999999999</v>
      </c>
      <c r="K13" s="89">
        <f t="shared" si="3"/>
        <v>0.41979134112555622</v>
      </c>
      <c r="L13" s="247">
        <f t="shared" si="4"/>
        <v>43684.67</v>
      </c>
      <c r="M13" s="89">
        <f t="shared" si="5"/>
        <v>0.58020865887444384</v>
      </c>
      <c r="N13" s="130">
        <v>891</v>
      </c>
      <c r="O13" s="26"/>
    </row>
    <row r="14" spans="1:18" ht="15.6" hidden="1" customHeight="1" x14ac:dyDescent="0.3">
      <c r="A14" s="198" t="s">
        <v>24</v>
      </c>
      <c r="B14" s="200">
        <f>'11 May - 17 May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'11 May - 17 May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/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'11 May - 17 May 2020'!D16</f>
        <v>0</v>
      </c>
      <c r="C16" s="73"/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/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f>'11 May - 17 May 2020'!D17</f>
        <v>0</v>
      </c>
      <c r="C17" s="73"/>
      <c r="D17" s="145">
        <v>0</v>
      </c>
      <c r="E17" s="163">
        <f t="shared" si="0"/>
        <v>0</v>
      </c>
      <c r="F17" s="166">
        <v>0</v>
      </c>
      <c r="G17" s="63">
        <f t="shared" si="2"/>
        <v>0</v>
      </c>
      <c r="H17" s="61">
        <v>0</v>
      </c>
      <c r="I17" s="28">
        <f t="shared" si="1"/>
        <v>0</v>
      </c>
      <c r="J17" s="247"/>
      <c r="K17" s="89" t="e">
        <f t="shared" si="3"/>
        <v>#DIV/0!</v>
      </c>
      <c r="L17" s="247">
        <f t="shared" si="4"/>
        <v>0</v>
      </c>
      <c r="M17" s="89" t="e">
        <f t="shared" si="5"/>
        <v>#DIV/0!</v>
      </c>
      <c r="N17" s="130">
        <v>0</v>
      </c>
      <c r="O17" s="9"/>
    </row>
    <row r="18" spans="1:15" ht="15.6" customHeight="1" x14ac:dyDescent="0.3">
      <c r="A18" s="198" t="s">
        <v>33</v>
      </c>
      <c r="B18" s="200">
        <f>'11 May - 17 May 2020'!D18</f>
        <v>58245.63</v>
      </c>
      <c r="C18" s="73">
        <v>173318.51</v>
      </c>
      <c r="D18" s="145">
        <v>56302.6</v>
      </c>
      <c r="E18" s="163">
        <f t="shared" si="0"/>
        <v>-0.67514952672971862</v>
      </c>
      <c r="F18" s="166">
        <v>252</v>
      </c>
      <c r="G18" s="63">
        <f t="shared" si="2"/>
        <v>223.42301587301586</v>
      </c>
      <c r="H18" s="61">
        <v>0</v>
      </c>
      <c r="I18" s="28">
        <f t="shared" si="1"/>
        <v>0</v>
      </c>
      <c r="J18" s="247">
        <v>24455.43</v>
      </c>
      <c r="K18" s="89">
        <f t="shared" si="3"/>
        <v>0.43435702791700564</v>
      </c>
      <c r="L18" s="247">
        <f t="shared" si="4"/>
        <v>31847.17</v>
      </c>
      <c r="M18" s="89">
        <f t="shared" si="5"/>
        <v>0.56564297208299441</v>
      </c>
      <c r="N18" s="130">
        <v>1751</v>
      </c>
      <c r="O18" s="9"/>
    </row>
    <row r="19" spans="1:15" ht="16.2" customHeight="1" thickBot="1" x14ac:dyDescent="0.35">
      <c r="A19" s="203" t="s">
        <v>37</v>
      </c>
      <c r="B19" s="201">
        <f>'11 May - 17 May 2020'!D19</f>
        <v>33527.379999999997</v>
      </c>
      <c r="C19" s="205"/>
      <c r="D19" s="206">
        <v>33777.31</v>
      </c>
      <c r="E19" s="207">
        <f t="shared" si="0"/>
        <v>0</v>
      </c>
      <c r="F19" s="167">
        <v>164</v>
      </c>
      <c r="G19" s="132">
        <f t="shared" si="2"/>
        <v>205.95920731707315</v>
      </c>
      <c r="H19" s="133">
        <v>0</v>
      </c>
      <c r="I19" s="114">
        <f t="shared" si="1"/>
        <v>0</v>
      </c>
      <c r="J19" s="248">
        <v>15343</v>
      </c>
      <c r="K19" s="116">
        <f t="shared" si="3"/>
        <v>0.45423984325572409</v>
      </c>
      <c r="L19" s="248">
        <f t="shared" si="4"/>
        <v>18434.309999999998</v>
      </c>
      <c r="M19" s="116">
        <f t="shared" si="5"/>
        <v>0.54576015674427591</v>
      </c>
      <c r="N19" s="134">
        <v>1254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84" priority="5" operator="equal">
      <formula>0</formula>
    </cfRule>
  </conditionalFormatting>
  <conditionalFormatting sqref="D7:D19">
    <cfRule type="cellIs" dxfId="483" priority="4" operator="equal">
      <formula>0</formula>
    </cfRule>
  </conditionalFormatting>
  <conditionalFormatting sqref="E6:N19">
    <cfRule type="cellIs" dxfId="48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R41"/>
  <sheetViews>
    <sheetView zoomScale="78" workbookViewId="0">
      <pane xSplit="1" topLeftCell="B1" activePane="topRight" state="frozen"/>
      <selection pane="topRight" activeCell="C10" sqref="C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-0.7622162330587211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441892.36</v>
      </c>
      <c r="C4" s="135">
        <f>SUM(C6:C19)-C14</f>
        <v>1918216.31</v>
      </c>
      <c r="D4" s="142">
        <f>SUM(D6:D19)</f>
        <v>489194.44</v>
      </c>
      <c r="E4" s="217">
        <f t="shared" ref="E4:E19" si="0">IFERROR((SUM(D4-C4)/C4),0)</f>
        <v>-0.74497430897144234</v>
      </c>
      <c r="F4" s="147">
        <f>SUM(F6:F19)</f>
        <v>2182</v>
      </c>
      <c r="G4" s="218">
        <f>AVERAGE(G5:G19)</f>
        <v>158.28366106126418</v>
      </c>
      <c r="H4" s="219">
        <f>SUM(H6:H19)</f>
        <v>0</v>
      </c>
      <c r="I4" s="220">
        <f t="shared" ref="I4:I19" si="1">IFERROR(H4/F4,0)</f>
        <v>0</v>
      </c>
      <c r="J4" s="249">
        <f>SUM(J6:J19)</f>
        <v>217575.38999999998</v>
      </c>
      <c r="K4" s="222">
        <f>SUM(J4/D4)</f>
        <v>0.44476259787417038</v>
      </c>
      <c r="L4" s="244">
        <f>SUM(L6:L19)</f>
        <v>271619.04999999993</v>
      </c>
      <c r="M4" s="222">
        <f>SUM(L4/D4)</f>
        <v>0.55523740212582939</v>
      </c>
      <c r="N4" s="141">
        <f>SUM(N6:N19)</f>
        <v>10359.799999999999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'18 May - 24 May 2020'!D6</f>
        <v>52335.75</v>
      </c>
      <c r="C6" s="123">
        <v>228906.34</v>
      </c>
      <c r="D6" s="197">
        <v>47618.63</v>
      </c>
      <c r="E6" s="162">
        <f t="shared" si="0"/>
        <v>-0.79197330226851737</v>
      </c>
      <c r="F6" s="165">
        <v>212</v>
      </c>
      <c r="G6" s="124">
        <f t="shared" ref="G6:G19" si="2">IFERROR(D6/F6,0)</f>
        <v>224.61617924528301</v>
      </c>
      <c r="H6" s="125">
        <v>0</v>
      </c>
      <c r="I6" s="126">
        <f t="shared" si="1"/>
        <v>0</v>
      </c>
      <c r="J6" s="246">
        <v>29256</v>
      </c>
      <c r="K6" s="128">
        <f t="shared" ref="K6:K19" si="3">SUM(J6/D6)</f>
        <v>0.61438138812477394</v>
      </c>
      <c r="L6" s="247">
        <f t="shared" ref="L6:L19" si="4">SUM(D6-J6)</f>
        <v>18362.629999999997</v>
      </c>
      <c r="M6" s="128">
        <f t="shared" ref="M6:M19" si="5">SUM(L6/D6)</f>
        <v>0.38561861187522611</v>
      </c>
      <c r="N6" s="129">
        <v>2262</v>
      </c>
      <c r="O6" s="26"/>
    </row>
    <row r="7" spans="1:18" ht="15.6" customHeight="1" x14ac:dyDescent="0.3">
      <c r="A7" s="409" t="s">
        <v>16</v>
      </c>
      <c r="B7" s="200">
        <f>'18 May - 24 May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'18 May - 24 May 2020'!D8</f>
        <v>27845.47</v>
      </c>
      <c r="C8" s="73">
        <v>129833.28</v>
      </c>
      <c r="D8" s="145">
        <v>29007.919999999998</v>
      </c>
      <c r="E8" s="163">
        <f t="shared" si="0"/>
        <v>-0.77657562067291219</v>
      </c>
      <c r="F8" s="166">
        <v>145</v>
      </c>
      <c r="G8" s="63">
        <f t="shared" si="2"/>
        <v>200.05462068965517</v>
      </c>
      <c r="H8" s="61">
        <v>0</v>
      </c>
      <c r="I8" s="28">
        <f t="shared" si="1"/>
        <v>0</v>
      </c>
      <c r="J8" s="247">
        <v>12561.12</v>
      </c>
      <c r="K8" s="89">
        <f t="shared" si="3"/>
        <v>0.43302380867018392</v>
      </c>
      <c r="L8" s="247">
        <f t="shared" si="4"/>
        <v>16446.799999999996</v>
      </c>
      <c r="M8" s="89">
        <f t="shared" si="5"/>
        <v>0.56697619132981603</v>
      </c>
      <c r="N8" s="130">
        <v>433.6</v>
      </c>
      <c r="O8" s="26"/>
    </row>
    <row r="9" spans="1:18" ht="15.6" customHeight="1" x14ac:dyDescent="0.3">
      <c r="A9" s="409" t="s">
        <v>18</v>
      </c>
      <c r="B9" s="200">
        <f>'18 May - 24 May 2020'!D9</f>
        <v>23884.54</v>
      </c>
      <c r="C9" s="73">
        <v>300962.43</v>
      </c>
      <c r="D9" s="145">
        <v>37946.370000000003</v>
      </c>
      <c r="E9" s="163">
        <f t="shared" si="0"/>
        <v>-0.87391658819341667</v>
      </c>
      <c r="F9" s="166">
        <v>172</v>
      </c>
      <c r="G9" s="63">
        <f t="shared" si="2"/>
        <v>220.61843023255815</v>
      </c>
      <c r="H9" s="61">
        <v>0</v>
      </c>
      <c r="I9" s="28">
        <f t="shared" si="1"/>
        <v>0</v>
      </c>
      <c r="J9" s="247">
        <v>24091.22</v>
      </c>
      <c r="K9" s="89">
        <f t="shared" si="3"/>
        <v>0.63487548347839329</v>
      </c>
      <c r="L9" s="247">
        <f t="shared" si="4"/>
        <v>13855.150000000001</v>
      </c>
      <c r="M9" s="89">
        <f t="shared" si="5"/>
        <v>0.36512451652160671</v>
      </c>
      <c r="N9" s="130">
        <v>387</v>
      </c>
      <c r="O9" s="26"/>
    </row>
    <row r="10" spans="1:18" ht="15.6" customHeight="1" x14ac:dyDescent="0.3">
      <c r="A10" s="409" t="s">
        <v>20</v>
      </c>
      <c r="B10" s="200">
        <f>'18 May - 24 May 2020'!D10</f>
        <v>59348.93</v>
      </c>
      <c r="C10" s="73">
        <v>163214.69</v>
      </c>
      <c r="D10" s="145">
        <v>62349.08</v>
      </c>
      <c r="E10" s="163">
        <f t="shared" si="0"/>
        <v>-0.61799345389805294</v>
      </c>
      <c r="F10" s="166">
        <v>272</v>
      </c>
      <c r="G10" s="63">
        <f t="shared" si="2"/>
        <v>229.22455882352941</v>
      </c>
      <c r="H10" s="61">
        <v>0</v>
      </c>
      <c r="I10" s="28">
        <f t="shared" si="1"/>
        <v>0</v>
      </c>
      <c r="J10" s="247">
        <v>26294.7</v>
      </c>
      <c r="K10" s="89">
        <f t="shared" si="3"/>
        <v>0.42173356848248605</v>
      </c>
      <c r="L10" s="247">
        <f t="shared" si="4"/>
        <v>36054.380000000005</v>
      </c>
      <c r="M10" s="89">
        <f t="shared" si="5"/>
        <v>0.578266431517514</v>
      </c>
      <c r="N10" s="130">
        <v>2991.2</v>
      </c>
      <c r="O10" s="26"/>
    </row>
    <row r="11" spans="1:18" ht="15.6" customHeight="1" x14ac:dyDescent="0.3">
      <c r="A11" s="409" t="s">
        <v>21</v>
      </c>
      <c r="B11" s="200">
        <f>'18 May - 24 May 2020'!D11</f>
        <v>84377.53</v>
      </c>
      <c r="C11" s="73">
        <v>346283.66</v>
      </c>
      <c r="D11" s="145">
        <v>70295.8</v>
      </c>
      <c r="E11" s="163">
        <f t="shared" si="0"/>
        <v>-0.79699937328836135</v>
      </c>
      <c r="F11" s="166">
        <v>281</v>
      </c>
      <c r="G11" s="63">
        <f t="shared" si="2"/>
        <v>250.16298932384342</v>
      </c>
      <c r="H11" s="61">
        <v>0</v>
      </c>
      <c r="I11" s="28">
        <f t="shared" si="1"/>
        <v>0</v>
      </c>
      <c r="J11" s="247">
        <v>19650.78</v>
      </c>
      <c r="K11" s="89">
        <f t="shared" si="3"/>
        <v>0.2795441548428213</v>
      </c>
      <c r="L11" s="247">
        <f t="shared" si="4"/>
        <v>50645.020000000004</v>
      </c>
      <c r="M11" s="89">
        <f t="shared" si="5"/>
        <v>0.72045584515717864</v>
      </c>
      <c r="N11" s="130">
        <v>1047</v>
      </c>
      <c r="O11" s="26"/>
    </row>
    <row r="12" spans="1:18" ht="15.6" customHeight="1" x14ac:dyDescent="0.3">
      <c r="A12" s="198" t="s">
        <v>22</v>
      </c>
      <c r="B12" s="200">
        <f>'18 May - 24 May 2020'!D12</f>
        <v>28728.92</v>
      </c>
      <c r="C12" s="73">
        <v>146968.32999999999</v>
      </c>
      <c r="D12" s="145">
        <v>26701.09</v>
      </c>
      <c r="E12" s="163">
        <f t="shared" si="0"/>
        <v>-0.81832079060842566</v>
      </c>
      <c r="F12" s="166">
        <v>117</v>
      </c>
      <c r="G12" s="63">
        <f t="shared" si="2"/>
        <v>228.21444444444444</v>
      </c>
      <c r="H12" s="61">
        <v>0</v>
      </c>
      <c r="I12" s="28">
        <f t="shared" si="1"/>
        <v>0</v>
      </c>
      <c r="J12" s="247">
        <v>3351.57</v>
      </c>
      <c r="K12" s="89">
        <f t="shared" si="3"/>
        <v>0.1255218419922183</v>
      </c>
      <c r="L12" s="247">
        <f t="shared" si="4"/>
        <v>23349.52</v>
      </c>
      <c r="M12" s="89">
        <f t="shared" si="5"/>
        <v>0.87447815800778173</v>
      </c>
      <c r="N12" s="130">
        <v>378</v>
      </c>
      <c r="O12" s="26"/>
    </row>
    <row r="13" spans="1:18" ht="15.6" customHeight="1" x14ac:dyDescent="0.3">
      <c r="A13" s="198" t="s">
        <v>23</v>
      </c>
      <c r="B13" s="200">
        <f>'18 May - 24 May 2020'!D13</f>
        <v>75291.31</v>
      </c>
      <c r="C13" s="73">
        <v>236376.68</v>
      </c>
      <c r="D13" s="145">
        <v>70380.06</v>
      </c>
      <c r="E13" s="163">
        <f t="shared" si="0"/>
        <v>-0.70225463865555604</v>
      </c>
      <c r="F13" s="166">
        <v>305</v>
      </c>
      <c r="G13" s="63">
        <f t="shared" si="2"/>
        <v>230.7542950819672</v>
      </c>
      <c r="H13" s="61">
        <v>0</v>
      </c>
      <c r="I13" s="28">
        <f t="shared" si="1"/>
        <v>0</v>
      </c>
      <c r="J13" s="247">
        <v>31400.23</v>
      </c>
      <c r="K13" s="89">
        <f t="shared" si="3"/>
        <v>0.44615236190477814</v>
      </c>
      <c r="L13" s="247">
        <f t="shared" si="4"/>
        <v>38979.83</v>
      </c>
      <c r="M13" s="89">
        <f t="shared" si="5"/>
        <v>0.55384763809522186</v>
      </c>
      <c r="N13" s="130">
        <v>851</v>
      </c>
      <c r="O13" s="26"/>
    </row>
    <row r="14" spans="1:18" ht="15.6" hidden="1" customHeight="1" x14ac:dyDescent="0.3">
      <c r="A14" s="198" t="s">
        <v>24</v>
      </c>
      <c r="B14" s="200">
        <f>'18 May - 24 May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'18 May - 24 May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'18 May - 24 May 2020'!D16</f>
        <v>0</v>
      </c>
      <c r="C16" s="73"/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>
        <v>0</v>
      </c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f>'18 May - 24 May 2020'!D17</f>
        <v>0</v>
      </c>
      <c r="C17" s="73">
        <v>191675.07</v>
      </c>
      <c r="D17" s="145">
        <v>46544.63</v>
      </c>
      <c r="E17" s="163">
        <f t="shared" si="0"/>
        <v>-0.75716909872525417</v>
      </c>
      <c r="F17" s="166">
        <v>217</v>
      </c>
      <c r="G17" s="63">
        <f t="shared" si="2"/>
        <v>214.49138248847925</v>
      </c>
      <c r="H17" s="61">
        <v>0</v>
      </c>
      <c r="I17" s="28">
        <f t="shared" si="1"/>
        <v>0</v>
      </c>
      <c r="J17" s="247">
        <v>24353.17</v>
      </c>
      <c r="K17" s="89">
        <f t="shared" si="3"/>
        <v>0.5232219055130527</v>
      </c>
      <c r="L17" s="247">
        <f t="shared" si="4"/>
        <v>22191.46</v>
      </c>
      <c r="M17" s="89">
        <f t="shared" si="5"/>
        <v>0.47677809448694725</v>
      </c>
      <c r="N17" s="130">
        <v>543</v>
      </c>
      <c r="O17" s="9"/>
    </row>
    <row r="18" spans="1:15" ht="15.6" customHeight="1" x14ac:dyDescent="0.3">
      <c r="A18" s="198" t="s">
        <v>33</v>
      </c>
      <c r="B18" s="200">
        <f>'18 May - 24 May 2020'!D18</f>
        <v>56302.6</v>
      </c>
      <c r="C18" s="73">
        <v>173995.83</v>
      </c>
      <c r="D18" s="145">
        <v>65277.120000000003</v>
      </c>
      <c r="E18" s="163">
        <f t="shared" si="0"/>
        <v>-0.62483514691127939</v>
      </c>
      <c r="F18" s="166">
        <v>288</v>
      </c>
      <c r="G18" s="63">
        <f t="shared" si="2"/>
        <v>226.65666666666667</v>
      </c>
      <c r="H18" s="61">
        <v>0</v>
      </c>
      <c r="I18" s="28">
        <f t="shared" si="1"/>
        <v>0</v>
      </c>
      <c r="J18" s="247">
        <v>31510.6</v>
      </c>
      <c r="K18" s="89">
        <f t="shared" si="3"/>
        <v>0.48272043864680303</v>
      </c>
      <c r="L18" s="247">
        <f t="shared" si="4"/>
        <v>33766.520000000004</v>
      </c>
      <c r="M18" s="89">
        <f t="shared" si="5"/>
        <v>0.51727956135319697</v>
      </c>
      <c r="N18" s="130">
        <v>454</v>
      </c>
      <c r="O18" s="9"/>
    </row>
    <row r="19" spans="1:15" ht="16.2" customHeight="1" thickBot="1" x14ac:dyDescent="0.35">
      <c r="A19" s="203" t="s">
        <v>37</v>
      </c>
      <c r="B19" s="201">
        <f>'18 May - 24 May 2020'!D19</f>
        <v>33777.31</v>
      </c>
      <c r="C19" s="205"/>
      <c r="D19" s="206">
        <v>33073.74</v>
      </c>
      <c r="E19" s="207">
        <f t="shared" si="0"/>
        <v>0</v>
      </c>
      <c r="F19" s="167">
        <v>173</v>
      </c>
      <c r="G19" s="132">
        <f t="shared" si="2"/>
        <v>191.17768786127166</v>
      </c>
      <c r="H19" s="133">
        <v>0</v>
      </c>
      <c r="I19" s="114">
        <f t="shared" si="1"/>
        <v>0</v>
      </c>
      <c r="J19" s="248">
        <v>15106</v>
      </c>
      <c r="K19" s="116">
        <f t="shared" si="3"/>
        <v>0.4567369762234329</v>
      </c>
      <c r="L19" s="248">
        <f t="shared" si="4"/>
        <v>17967.739999999998</v>
      </c>
      <c r="M19" s="116">
        <f t="shared" si="5"/>
        <v>0.5432630237765671</v>
      </c>
      <c r="N19" s="134">
        <v>1013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81" priority="5" operator="equal">
      <formula>0</formula>
    </cfRule>
  </conditionalFormatting>
  <conditionalFormatting sqref="D7:D19">
    <cfRule type="cellIs" dxfId="480" priority="4" operator="equal">
      <formula>0</formula>
    </cfRule>
  </conditionalFormatting>
  <conditionalFormatting sqref="E6:N19">
    <cfRule type="cellIs" dxfId="47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R41"/>
  <sheetViews>
    <sheetView zoomScale="78" workbookViewId="0">
      <pane xSplit="1" topLeftCell="B1" activePane="topRight" state="frozen"/>
      <selection pane="topRight" activeCell="J18" sqref="J1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-0.71799447236454195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489194.44</v>
      </c>
      <c r="C4" s="135">
        <f>SUM(C6:C19)-C14</f>
        <v>1801927.8</v>
      </c>
      <c r="D4" s="142">
        <f>SUM(D6:D19)</f>
        <v>542486.20000000007</v>
      </c>
      <c r="E4" s="217">
        <f t="shared" ref="E4:E19" si="0">IFERROR((SUM(D4-C4)/C4),0)</f>
        <v>-0.69894121174000423</v>
      </c>
      <c r="F4" s="147">
        <f>SUM(F6:F19)</f>
        <v>2386</v>
      </c>
      <c r="G4" s="218">
        <f>AVERAGE(G5:G19)</f>
        <v>160.96899370270219</v>
      </c>
      <c r="H4" s="219">
        <f>SUM(H6:H19)</f>
        <v>0</v>
      </c>
      <c r="I4" s="220">
        <f t="shared" ref="I4:I19" si="1">IFERROR(H4/F4,0)</f>
        <v>0</v>
      </c>
      <c r="J4" s="249">
        <f>SUM(J6:J19)</f>
        <v>227728.41</v>
      </c>
      <c r="K4" s="222">
        <f>SUM(J4/D4)</f>
        <v>0.41978654940899873</v>
      </c>
      <c r="L4" s="244">
        <f>SUM(L6:L19)</f>
        <v>314757.79000000004</v>
      </c>
      <c r="M4" s="222">
        <f>SUM(L4/D4)</f>
        <v>0.58021345059100116</v>
      </c>
      <c r="N4" s="141">
        <f>SUM(N6:N19)</f>
        <v>12347.15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'25 May - 31 May 2020'!D6</f>
        <v>47618.63</v>
      </c>
      <c r="C6" s="123">
        <v>245133.38</v>
      </c>
      <c r="D6" s="197">
        <v>65734.070000000007</v>
      </c>
      <c r="E6" s="162">
        <f t="shared" si="0"/>
        <v>-0.73184365996993139</v>
      </c>
      <c r="F6" s="165">
        <v>276</v>
      </c>
      <c r="G6" s="124">
        <f t="shared" ref="G6:G19" si="2">IFERROR(D6/F6,0)</f>
        <v>238.16692028985509</v>
      </c>
      <c r="H6" s="125">
        <v>0</v>
      </c>
      <c r="I6" s="126">
        <f t="shared" si="1"/>
        <v>0</v>
      </c>
      <c r="J6" s="246">
        <v>35105</v>
      </c>
      <c r="K6" s="128">
        <f t="shared" ref="K6:K19" si="3">SUM(J6/D6)</f>
        <v>0.53404573914257847</v>
      </c>
      <c r="L6" s="247">
        <f t="shared" ref="L6:L19" si="4">SUM(D6-J6)</f>
        <v>30629.070000000007</v>
      </c>
      <c r="M6" s="128">
        <f t="shared" ref="M6:M19" si="5">SUM(L6/D6)</f>
        <v>0.46595426085742148</v>
      </c>
      <c r="N6" s="129">
        <v>1801</v>
      </c>
      <c r="O6" s="26"/>
    </row>
    <row r="7" spans="1:18" ht="15.6" customHeight="1" x14ac:dyDescent="0.3">
      <c r="A7" s="409" t="s">
        <v>16</v>
      </c>
      <c r="B7" s="200">
        <f>'25 May - 31 May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'25 May - 31 May 2020'!D8</f>
        <v>29007.919999999998</v>
      </c>
      <c r="C8" s="73">
        <v>109274.66</v>
      </c>
      <c r="D8" s="145">
        <v>34958.22</v>
      </c>
      <c r="E8" s="163">
        <f t="shared" si="0"/>
        <v>-0.68008850359269024</v>
      </c>
      <c r="F8" s="166">
        <v>161</v>
      </c>
      <c r="G8" s="63">
        <f t="shared" si="2"/>
        <v>217.13180124223604</v>
      </c>
      <c r="H8" s="61">
        <v>0</v>
      </c>
      <c r="I8" s="28">
        <f t="shared" si="1"/>
        <v>0</v>
      </c>
      <c r="J8" s="247">
        <v>14785.19</v>
      </c>
      <c r="K8" s="89">
        <f t="shared" si="3"/>
        <v>0.42293886816891707</v>
      </c>
      <c r="L8" s="247">
        <f t="shared" si="4"/>
        <v>20173.03</v>
      </c>
      <c r="M8" s="89">
        <f t="shared" si="5"/>
        <v>0.57706113183108287</v>
      </c>
      <c r="N8" s="130">
        <v>261</v>
      </c>
      <c r="O8" s="26"/>
    </row>
    <row r="9" spans="1:18" ht="15.6" customHeight="1" x14ac:dyDescent="0.3">
      <c r="A9" s="409" t="s">
        <v>18</v>
      </c>
      <c r="B9" s="200">
        <f>'25 May - 31 May 2020'!D9</f>
        <v>37946.370000000003</v>
      </c>
      <c r="C9" s="73">
        <v>308917.94</v>
      </c>
      <c r="D9" s="145">
        <v>44040.15</v>
      </c>
      <c r="E9" s="163">
        <f t="shared" si="0"/>
        <v>-0.85743738288556492</v>
      </c>
      <c r="F9" s="166">
        <v>199</v>
      </c>
      <c r="G9" s="63">
        <f t="shared" si="2"/>
        <v>221.30728643216082</v>
      </c>
      <c r="H9" s="61">
        <v>0</v>
      </c>
      <c r="I9" s="28">
        <f t="shared" si="1"/>
        <v>0</v>
      </c>
      <c r="J9" s="247">
        <v>27268.82</v>
      </c>
      <c r="K9" s="89">
        <f t="shared" si="3"/>
        <v>0.61918090651371527</v>
      </c>
      <c r="L9" s="247">
        <f t="shared" si="4"/>
        <v>16771.330000000002</v>
      </c>
      <c r="M9" s="89">
        <f t="shared" si="5"/>
        <v>0.38081909348628468</v>
      </c>
      <c r="N9" s="130">
        <v>947</v>
      </c>
      <c r="O9" s="26"/>
    </row>
    <row r="10" spans="1:18" ht="15.6" customHeight="1" x14ac:dyDescent="0.3">
      <c r="A10" s="409" t="s">
        <v>20</v>
      </c>
      <c r="B10" s="200">
        <f>'25 May - 31 May 2020'!D10</f>
        <v>62349.08</v>
      </c>
      <c r="C10" s="73">
        <v>137777</v>
      </c>
      <c r="D10" s="145">
        <v>56514.59</v>
      </c>
      <c r="E10" s="163">
        <f t="shared" si="0"/>
        <v>-0.58981114409516833</v>
      </c>
      <c r="F10" s="166">
        <v>258</v>
      </c>
      <c r="G10" s="63">
        <f t="shared" si="2"/>
        <v>219.04879844961238</v>
      </c>
      <c r="H10" s="61">
        <v>0</v>
      </c>
      <c r="I10" s="28">
        <f t="shared" si="1"/>
        <v>0</v>
      </c>
      <c r="J10" s="247">
        <v>26483.83</v>
      </c>
      <c r="K10" s="89">
        <f t="shared" si="3"/>
        <v>0.46861934236805053</v>
      </c>
      <c r="L10" s="247">
        <f t="shared" si="4"/>
        <v>30030.759999999995</v>
      </c>
      <c r="M10" s="89">
        <f t="shared" si="5"/>
        <v>0.53138065763194953</v>
      </c>
      <c r="N10" s="130">
        <v>2825</v>
      </c>
      <c r="O10" s="26"/>
    </row>
    <row r="11" spans="1:18" ht="15.6" customHeight="1" x14ac:dyDescent="0.3">
      <c r="A11" s="409" t="s">
        <v>21</v>
      </c>
      <c r="B11" s="200">
        <f>'25 May - 31 May 2020'!D11</f>
        <v>70295.8</v>
      </c>
      <c r="C11" s="73">
        <v>317888.62</v>
      </c>
      <c r="D11" s="145">
        <v>83837.66</v>
      </c>
      <c r="E11" s="163">
        <f t="shared" si="0"/>
        <v>-0.73626718691597071</v>
      </c>
      <c r="F11" s="166">
        <v>344</v>
      </c>
      <c r="G11" s="63">
        <f t="shared" si="2"/>
        <v>243.71412790697676</v>
      </c>
      <c r="H11" s="61">
        <v>0</v>
      </c>
      <c r="I11" s="28">
        <f t="shared" si="1"/>
        <v>0</v>
      </c>
      <c r="J11" s="247">
        <v>21759.23</v>
      </c>
      <c r="K11" s="89">
        <f t="shared" si="3"/>
        <v>0.25954004441440753</v>
      </c>
      <c r="L11" s="247">
        <f t="shared" si="4"/>
        <v>62078.430000000008</v>
      </c>
      <c r="M11" s="89">
        <f t="shared" si="5"/>
        <v>0.74045995558559252</v>
      </c>
      <c r="N11" s="130">
        <v>1198.5</v>
      </c>
      <c r="O11" s="26"/>
    </row>
    <row r="12" spans="1:18" ht="15.6" customHeight="1" x14ac:dyDescent="0.3">
      <c r="A12" s="198" t="s">
        <v>22</v>
      </c>
      <c r="B12" s="200">
        <f>'25 May - 31 May 2020'!D12</f>
        <v>26701.09</v>
      </c>
      <c r="C12" s="73">
        <v>132072.19</v>
      </c>
      <c r="D12" s="145">
        <v>26524.1</v>
      </c>
      <c r="E12" s="163">
        <f t="shared" si="0"/>
        <v>-0.79916968136895428</v>
      </c>
      <c r="F12" s="166">
        <v>121</v>
      </c>
      <c r="G12" s="63">
        <f t="shared" si="2"/>
        <v>219.20743801652893</v>
      </c>
      <c r="H12" s="61">
        <v>0</v>
      </c>
      <c r="I12" s="28">
        <f t="shared" si="1"/>
        <v>0</v>
      </c>
      <c r="J12" s="247">
        <v>3102.04</v>
      </c>
      <c r="K12" s="89">
        <f t="shared" si="3"/>
        <v>0.11695175331113969</v>
      </c>
      <c r="L12" s="247">
        <f t="shared" si="4"/>
        <v>23422.059999999998</v>
      </c>
      <c r="M12" s="89">
        <f t="shared" si="5"/>
        <v>0.88304824668886028</v>
      </c>
      <c r="N12" s="130">
        <v>142.5</v>
      </c>
      <c r="O12" s="26"/>
    </row>
    <row r="13" spans="1:18" ht="15.6" customHeight="1" x14ac:dyDescent="0.3">
      <c r="A13" s="198" t="s">
        <v>23</v>
      </c>
      <c r="B13" s="200">
        <f>'25 May - 31 May 2020'!D13</f>
        <v>70380.06</v>
      </c>
      <c r="C13" s="73">
        <v>205934.81</v>
      </c>
      <c r="D13" s="145">
        <v>82779.45</v>
      </c>
      <c r="E13" s="163">
        <f t="shared" si="0"/>
        <v>-0.59803080401997122</v>
      </c>
      <c r="F13" s="166">
        <v>364</v>
      </c>
      <c r="G13" s="63">
        <f t="shared" si="2"/>
        <v>227.41607142857143</v>
      </c>
      <c r="H13" s="61">
        <v>0</v>
      </c>
      <c r="I13" s="28">
        <f t="shared" si="1"/>
        <v>0</v>
      </c>
      <c r="J13" s="247">
        <v>30096.959999999999</v>
      </c>
      <c r="K13" s="89">
        <f t="shared" si="3"/>
        <v>0.36358009143573677</v>
      </c>
      <c r="L13" s="247">
        <f t="shared" si="4"/>
        <v>52682.49</v>
      </c>
      <c r="M13" s="89">
        <f t="shared" si="5"/>
        <v>0.63641990856426323</v>
      </c>
      <c r="N13" s="130">
        <v>935</v>
      </c>
      <c r="O13" s="26"/>
    </row>
    <row r="14" spans="1:18" ht="15.6" hidden="1" customHeight="1" x14ac:dyDescent="0.3">
      <c r="A14" s="198" t="s">
        <v>24</v>
      </c>
      <c r="B14" s="200">
        <f>'25 May - 31 May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'25 May - 31 May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'25 May - 31 May 2020'!D16</f>
        <v>0</v>
      </c>
      <c r="C16" s="73"/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>
        <v>0</v>
      </c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f>'25 May - 31 May 2020'!D17</f>
        <v>46544.63</v>
      </c>
      <c r="C17" s="73">
        <v>192169.17</v>
      </c>
      <c r="D17" s="145">
        <v>59929.96</v>
      </c>
      <c r="E17" s="163">
        <f t="shared" si="0"/>
        <v>-0.68813956994246273</v>
      </c>
      <c r="F17" s="166">
        <v>273</v>
      </c>
      <c r="G17" s="63">
        <f t="shared" si="2"/>
        <v>219.52366300366299</v>
      </c>
      <c r="H17" s="61">
        <v>0</v>
      </c>
      <c r="I17" s="28">
        <f t="shared" si="1"/>
        <v>0</v>
      </c>
      <c r="J17" s="247">
        <v>30536.25</v>
      </c>
      <c r="K17" s="89">
        <f t="shared" si="3"/>
        <v>0.50953229403123246</v>
      </c>
      <c r="L17" s="247">
        <f t="shared" si="4"/>
        <v>29393.71</v>
      </c>
      <c r="M17" s="89">
        <f t="shared" si="5"/>
        <v>0.49046770596876754</v>
      </c>
      <c r="N17" s="130">
        <v>969.05</v>
      </c>
      <c r="O17" s="9"/>
    </row>
    <row r="18" spans="1:15" ht="15.6" customHeight="1" x14ac:dyDescent="0.3">
      <c r="A18" s="198" t="s">
        <v>33</v>
      </c>
      <c r="B18" s="200">
        <f>'25 May - 31 May 2020'!D18</f>
        <v>65277.120000000003</v>
      </c>
      <c r="C18" s="73">
        <v>152760.03</v>
      </c>
      <c r="D18" s="145">
        <v>53835.4</v>
      </c>
      <c r="E18" s="163">
        <f t="shared" si="0"/>
        <v>-0.64758189691374113</v>
      </c>
      <c r="F18" s="166">
        <v>228</v>
      </c>
      <c r="G18" s="63">
        <f t="shared" si="2"/>
        <v>236.1201754385965</v>
      </c>
      <c r="H18" s="61">
        <v>0</v>
      </c>
      <c r="I18" s="28">
        <f t="shared" si="1"/>
        <v>0</v>
      </c>
      <c r="J18" s="247">
        <v>22806.19</v>
      </c>
      <c r="K18" s="89">
        <f t="shared" si="3"/>
        <v>0.42362813316145137</v>
      </c>
      <c r="L18" s="247">
        <f t="shared" si="4"/>
        <v>31029.210000000003</v>
      </c>
      <c r="M18" s="89">
        <f t="shared" si="5"/>
        <v>0.57637186683854869</v>
      </c>
      <c r="N18" s="130">
        <v>578</v>
      </c>
      <c r="O18" s="9"/>
    </row>
    <row r="19" spans="1:15" ht="16.2" customHeight="1" thickBot="1" x14ac:dyDescent="0.35">
      <c r="A19" s="203" t="s">
        <v>37</v>
      </c>
      <c r="B19" s="201">
        <f>'25 May - 31 May 2020'!D19</f>
        <v>33073.74</v>
      </c>
      <c r="C19" s="205">
        <v>0</v>
      </c>
      <c r="D19" s="206">
        <v>34332.6</v>
      </c>
      <c r="E19" s="207">
        <f t="shared" si="0"/>
        <v>0</v>
      </c>
      <c r="F19" s="167">
        <v>162</v>
      </c>
      <c r="G19" s="132">
        <f t="shared" si="2"/>
        <v>211.92962962962963</v>
      </c>
      <c r="H19" s="133">
        <v>0</v>
      </c>
      <c r="I19" s="114">
        <f t="shared" si="1"/>
        <v>0</v>
      </c>
      <c r="J19" s="248">
        <v>15784.9</v>
      </c>
      <c r="K19" s="116">
        <f t="shared" si="3"/>
        <v>0.45976418913802042</v>
      </c>
      <c r="L19" s="248">
        <f t="shared" si="4"/>
        <v>18547.699999999997</v>
      </c>
      <c r="M19" s="116">
        <f t="shared" si="5"/>
        <v>0.54023581086197947</v>
      </c>
      <c r="N19" s="134">
        <v>2690.1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78" priority="5" operator="equal">
      <formula>0</formula>
    </cfRule>
  </conditionalFormatting>
  <conditionalFormatting sqref="D7:D19">
    <cfRule type="cellIs" dxfId="477" priority="4" operator="equal">
      <formula>0</formula>
    </cfRule>
  </conditionalFormatting>
  <conditionalFormatting sqref="E6:N19">
    <cfRule type="cellIs" dxfId="47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R41"/>
  <sheetViews>
    <sheetView zoomScale="78" workbookViewId="0">
      <pane xSplit="1" topLeftCell="B1" activePane="topRight" state="frozen"/>
      <selection pane="topRight" activeCell="D17" sqref="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-0.73993057780836458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542486.20000000007</v>
      </c>
      <c r="C4" s="135">
        <f>SUM(C6:C19)-C14</f>
        <v>1536791.01</v>
      </c>
      <c r="D4" s="142">
        <f>SUM(D6:D19)</f>
        <v>432149.91</v>
      </c>
      <c r="E4" s="217">
        <f t="shared" ref="E4:E19" si="0">IFERROR((SUM(D4-C4)/C4),0)</f>
        <v>-0.71879721628512139</v>
      </c>
      <c r="F4" s="147">
        <f>SUM(F6:F19)</f>
        <v>1919</v>
      </c>
      <c r="G4" s="218">
        <f>AVERAGE(G5:G19)</f>
        <v>126.46546215811577</v>
      </c>
      <c r="H4" s="219">
        <f>SUM(H6:H19)</f>
        <v>0</v>
      </c>
      <c r="I4" s="220">
        <f t="shared" ref="I4:I19" si="1">IFERROR(H4/F4,0)</f>
        <v>0</v>
      </c>
      <c r="J4" s="249">
        <f>SUM(J6:J19)</f>
        <v>179331.93</v>
      </c>
      <c r="K4" s="222">
        <f>SUM(J4/D4)</f>
        <v>0.41497620582635319</v>
      </c>
      <c r="L4" s="244">
        <f>SUM(L6:L19)</f>
        <v>252817.98</v>
      </c>
      <c r="M4" s="222">
        <f>SUM(L4/D4)</f>
        <v>0.58502379417364692</v>
      </c>
      <c r="N4" s="141">
        <f>SUM(N6:N19)</f>
        <v>10596.6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'1 June - 7 June 2020'!D6</f>
        <v>65734.070000000007</v>
      </c>
      <c r="C6" s="123">
        <v>236155.67</v>
      </c>
      <c r="D6" s="197">
        <v>54499.07</v>
      </c>
      <c r="E6" s="162">
        <f t="shared" si="0"/>
        <v>-0.76922396146575689</v>
      </c>
      <c r="F6" s="165">
        <v>223</v>
      </c>
      <c r="G6" s="124">
        <f t="shared" ref="G6:G19" si="2">IFERROR(D6/F6,0)</f>
        <v>244.39044843049328</v>
      </c>
      <c r="H6" s="125">
        <v>0</v>
      </c>
      <c r="I6" s="126">
        <f t="shared" si="1"/>
        <v>0</v>
      </c>
      <c r="J6" s="246">
        <v>24083.5</v>
      </c>
      <c r="K6" s="128">
        <f t="shared" ref="K6:K19" si="3">SUM(J6/D6)</f>
        <v>0.44190662336072889</v>
      </c>
      <c r="L6" s="247">
        <f t="shared" ref="L6:L19" si="4">SUM(D6-J6)</f>
        <v>30415.57</v>
      </c>
      <c r="M6" s="128">
        <f t="shared" ref="M6:M19" si="5">SUM(L6/D6)</f>
        <v>0.55809337663927105</v>
      </c>
      <c r="N6" s="129">
        <v>609</v>
      </c>
      <c r="O6" s="26"/>
    </row>
    <row r="7" spans="1:18" ht="15.6" customHeight="1" x14ac:dyDescent="0.3">
      <c r="A7" s="409" t="s">
        <v>16</v>
      </c>
      <c r="B7" s="200">
        <f>'1 June - 7 June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'1 June - 7 June 2020'!D8</f>
        <v>34958.22</v>
      </c>
      <c r="C8" s="73">
        <v>110836.84</v>
      </c>
      <c r="D8" s="145">
        <v>41408.870000000003</v>
      </c>
      <c r="E8" s="163">
        <f t="shared" si="0"/>
        <v>-0.62639795576994073</v>
      </c>
      <c r="F8" s="166">
        <v>191</v>
      </c>
      <c r="G8" s="63">
        <f t="shared" si="2"/>
        <v>216.80036649214662</v>
      </c>
      <c r="H8" s="61">
        <v>0</v>
      </c>
      <c r="I8" s="28">
        <f t="shared" si="1"/>
        <v>0</v>
      </c>
      <c r="J8" s="247">
        <v>21278.04</v>
      </c>
      <c r="K8" s="89">
        <f t="shared" si="3"/>
        <v>0.51385222538069741</v>
      </c>
      <c r="L8" s="247">
        <f t="shared" si="4"/>
        <v>20130.830000000002</v>
      </c>
      <c r="M8" s="89">
        <f t="shared" si="5"/>
        <v>0.48614777461930259</v>
      </c>
      <c r="N8" s="130">
        <v>249</v>
      </c>
      <c r="O8" s="26"/>
    </row>
    <row r="9" spans="1:18" ht="15.6" customHeight="1" x14ac:dyDescent="0.3">
      <c r="A9" s="409" t="s">
        <v>18</v>
      </c>
      <c r="B9" s="200">
        <f>'1 June - 7 June 2020'!D9</f>
        <v>44040.15</v>
      </c>
      <c r="C9" s="73"/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247">
        <v>0</v>
      </c>
      <c r="K9" s="89" t="e">
        <f t="shared" si="3"/>
        <v>#DIV/0!</v>
      </c>
      <c r="L9" s="247">
        <f t="shared" si="4"/>
        <v>0</v>
      </c>
      <c r="M9" s="89" t="e">
        <f t="shared" si="5"/>
        <v>#DIV/0!</v>
      </c>
      <c r="N9" s="130">
        <v>0</v>
      </c>
      <c r="O9" s="26"/>
    </row>
    <row r="10" spans="1:18" ht="15.6" customHeight="1" x14ac:dyDescent="0.3">
      <c r="A10" s="409" t="s">
        <v>20</v>
      </c>
      <c r="B10" s="200">
        <f>'1 June - 7 June 2020'!D10</f>
        <v>56514.59</v>
      </c>
      <c r="C10" s="73">
        <v>143400.20000000001</v>
      </c>
      <c r="D10" s="145">
        <v>71904.740000000005</v>
      </c>
      <c r="E10" s="163">
        <f t="shared" si="0"/>
        <v>-0.49857294480760839</v>
      </c>
      <c r="F10" s="166">
        <v>309</v>
      </c>
      <c r="G10" s="63">
        <f t="shared" si="2"/>
        <v>232.70142394822008</v>
      </c>
      <c r="H10" s="61">
        <v>0</v>
      </c>
      <c r="I10" s="28">
        <f t="shared" si="1"/>
        <v>0</v>
      </c>
      <c r="J10" s="247">
        <v>26835.78</v>
      </c>
      <c r="K10" s="89">
        <f t="shared" si="3"/>
        <v>0.37321294813109673</v>
      </c>
      <c r="L10" s="247">
        <f t="shared" si="4"/>
        <v>45068.960000000006</v>
      </c>
      <c r="M10" s="89">
        <f t="shared" si="5"/>
        <v>0.62678705186890327</v>
      </c>
      <c r="N10" s="130">
        <v>2707</v>
      </c>
      <c r="O10" s="26"/>
    </row>
    <row r="11" spans="1:18" ht="15.6" customHeight="1" x14ac:dyDescent="0.3">
      <c r="A11" s="409" t="s">
        <v>21</v>
      </c>
      <c r="B11" s="200">
        <f>'1 June - 7 June 2020'!D11</f>
        <v>83837.66</v>
      </c>
      <c r="C11" s="73">
        <v>345738.87</v>
      </c>
      <c r="D11" s="145">
        <v>76161.41</v>
      </c>
      <c r="E11" s="163">
        <f t="shared" si="0"/>
        <v>-0.77971406570513746</v>
      </c>
      <c r="F11" s="166">
        <v>328</v>
      </c>
      <c r="G11" s="63">
        <f t="shared" si="2"/>
        <v>232.19942073170733</v>
      </c>
      <c r="H11" s="61">
        <v>0</v>
      </c>
      <c r="I11" s="28">
        <f t="shared" si="1"/>
        <v>0</v>
      </c>
      <c r="J11" s="247">
        <v>19167.23</v>
      </c>
      <c r="K11" s="89">
        <f t="shared" si="3"/>
        <v>0.25166590271897538</v>
      </c>
      <c r="L11" s="247">
        <f t="shared" si="4"/>
        <v>56994.180000000008</v>
      </c>
      <c r="M11" s="89">
        <f t="shared" si="5"/>
        <v>0.74833409728102462</v>
      </c>
      <c r="N11" s="130">
        <v>2136</v>
      </c>
      <c r="O11" s="26"/>
    </row>
    <row r="12" spans="1:18" ht="15.6" customHeight="1" x14ac:dyDescent="0.3">
      <c r="A12" s="198" t="s">
        <v>22</v>
      </c>
      <c r="B12" s="200">
        <f>'1 June - 7 June 2020'!D12</f>
        <v>26524.1</v>
      </c>
      <c r="C12" s="73">
        <v>139419.04999999999</v>
      </c>
      <c r="D12" s="145">
        <v>3660.53</v>
      </c>
      <c r="E12" s="163">
        <f t="shared" si="0"/>
        <v>-0.97374440580394139</v>
      </c>
      <c r="F12" s="166"/>
      <c r="G12" s="63">
        <f t="shared" si="2"/>
        <v>0</v>
      </c>
      <c r="H12" s="61">
        <v>0</v>
      </c>
      <c r="I12" s="28">
        <f t="shared" si="1"/>
        <v>0</v>
      </c>
      <c r="J12" s="247">
        <v>782.26</v>
      </c>
      <c r="K12" s="89">
        <f t="shared" si="3"/>
        <v>0.21370129462127069</v>
      </c>
      <c r="L12" s="247">
        <f t="shared" si="4"/>
        <v>2878.2700000000004</v>
      </c>
      <c r="M12" s="89">
        <f t="shared" si="5"/>
        <v>0.78629870537872937</v>
      </c>
      <c r="N12" s="130">
        <v>455</v>
      </c>
      <c r="O12" s="26"/>
    </row>
    <row r="13" spans="1:18" ht="15.6" customHeight="1" x14ac:dyDescent="0.3">
      <c r="A13" s="198" t="s">
        <v>23</v>
      </c>
      <c r="B13" s="200">
        <f>'1 June - 7 June 2020'!D13</f>
        <v>82779.45</v>
      </c>
      <c r="C13" s="73">
        <v>208358.17</v>
      </c>
      <c r="D13" s="145">
        <v>63627.839999999997</v>
      </c>
      <c r="E13" s="163">
        <f t="shared" si="0"/>
        <v>-0.69462277385139259</v>
      </c>
      <c r="F13" s="166">
        <v>285</v>
      </c>
      <c r="G13" s="63">
        <f t="shared" si="2"/>
        <v>223.25557894736841</v>
      </c>
      <c r="H13" s="61">
        <v>0</v>
      </c>
      <c r="I13" s="28">
        <f t="shared" si="1"/>
        <v>0</v>
      </c>
      <c r="J13" s="247">
        <v>28109.77</v>
      </c>
      <c r="K13" s="89">
        <f t="shared" si="3"/>
        <v>0.44178413097159991</v>
      </c>
      <c r="L13" s="247">
        <f t="shared" si="4"/>
        <v>35518.069999999992</v>
      </c>
      <c r="M13" s="89">
        <f t="shared" si="5"/>
        <v>0.55821586902840004</v>
      </c>
      <c r="N13" s="130">
        <v>636</v>
      </c>
      <c r="O13" s="26"/>
    </row>
    <row r="14" spans="1:18" ht="15.6" hidden="1" customHeight="1" x14ac:dyDescent="0.3">
      <c r="A14" s="198" t="s">
        <v>24</v>
      </c>
      <c r="B14" s="200">
        <f>'1 June - 7 June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'1 June - 7 June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'1 June - 7 June 2020'!D16</f>
        <v>0</v>
      </c>
      <c r="C16" s="73"/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>
        <v>0</v>
      </c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>
        <v>0</v>
      </c>
      <c r="O16" s="9"/>
      <c r="R16" s="238"/>
    </row>
    <row r="17" spans="1:15" ht="15.6" customHeight="1" x14ac:dyDescent="0.3">
      <c r="A17" s="198" t="s">
        <v>28</v>
      </c>
      <c r="B17" s="200">
        <f>'1 June - 7 June 2020'!D17</f>
        <v>59929.96</v>
      </c>
      <c r="C17" s="73">
        <v>183813.79</v>
      </c>
      <c r="D17" s="145">
        <v>44564.7</v>
      </c>
      <c r="E17" s="163">
        <f t="shared" si="0"/>
        <v>-0.75755518669192345</v>
      </c>
      <c r="F17" s="166">
        <v>208</v>
      </c>
      <c r="G17" s="63">
        <f t="shared" si="2"/>
        <v>214.25336538461536</v>
      </c>
      <c r="H17" s="61">
        <v>0</v>
      </c>
      <c r="I17" s="28">
        <f t="shared" si="1"/>
        <v>0</v>
      </c>
      <c r="J17" s="247">
        <v>23195.88</v>
      </c>
      <c r="K17" s="89">
        <f t="shared" si="3"/>
        <v>0.52049895993914475</v>
      </c>
      <c r="L17" s="247">
        <f t="shared" si="4"/>
        <v>21368.819999999996</v>
      </c>
      <c r="M17" s="89">
        <f t="shared" si="5"/>
        <v>0.47950104006085531</v>
      </c>
      <c r="N17" s="130">
        <v>362</v>
      </c>
      <c r="O17" s="9"/>
    </row>
    <row r="18" spans="1:15" ht="15.6" customHeight="1" x14ac:dyDescent="0.3">
      <c r="A18" s="198" t="s">
        <v>33</v>
      </c>
      <c r="B18" s="200">
        <f>'1 June - 7 June 2020'!D18</f>
        <v>53835.4</v>
      </c>
      <c r="C18" s="73">
        <v>169068.42</v>
      </c>
      <c r="D18" s="145">
        <v>43845.19</v>
      </c>
      <c r="E18" s="163">
        <f t="shared" si="0"/>
        <v>-0.74066599782502252</v>
      </c>
      <c r="F18" s="166">
        <v>215</v>
      </c>
      <c r="G18" s="63">
        <f t="shared" si="2"/>
        <v>203.93111627906978</v>
      </c>
      <c r="H18" s="61">
        <v>0</v>
      </c>
      <c r="I18" s="28">
        <f t="shared" si="1"/>
        <v>0</v>
      </c>
      <c r="J18" s="247">
        <v>19009.22</v>
      </c>
      <c r="K18" s="89">
        <f t="shared" si="3"/>
        <v>0.43355314459807337</v>
      </c>
      <c r="L18" s="247">
        <f t="shared" si="4"/>
        <v>24835.97</v>
      </c>
      <c r="M18" s="89">
        <f t="shared" si="5"/>
        <v>0.56644685540192663</v>
      </c>
      <c r="N18" s="130">
        <v>1179</v>
      </c>
      <c r="O18" s="9"/>
    </row>
    <row r="19" spans="1:15" ht="16.2" customHeight="1" thickBot="1" x14ac:dyDescent="0.35">
      <c r="A19" s="203" t="s">
        <v>37</v>
      </c>
      <c r="B19" s="201">
        <f>'1 June - 7 June 2020'!D19</f>
        <v>34332.6</v>
      </c>
      <c r="C19" s="205">
        <v>0</v>
      </c>
      <c r="D19" s="206">
        <v>32477.56</v>
      </c>
      <c r="E19" s="207">
        <f t="shared" si="0"/>
        <v>0</v>
      </c>
      <c r="F19" s="167">
        <v>160</v>
      </c>
      <c r="G19" s="132">
        <f t="shared" si="2"/>
        <v>202.98475000000002</v>
      </c>
      <c r="H19" s="133">
        <v>0</v>
      </c>
      <c r="I19" s="114">
        <f t="shared" si="1"/>
        <v>0</v>
      </c>
      <c r="J19" s="248">
        <v>16870.25</v>
      </c>
      <c r="K19" s="116">
        <f t="shared" si="3"/>
        <v>0.51944327098464294</v>
      </c>
      <c r="L19" s="248">
        <f t="shared" si="4"/>
        <v>15607.310000000001</v>
      </c>
      <c r="M19" s="116">
        <f t="shared" si="5"/>
        <v>0.48055672901535706</v>
      </c>
      <c r="N19" s="134">
        <v>2263.6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75" priority="5" operator="equal">
      <formula>0</formula>
    </cfRule>
  </conditionalFormatting>
  <conditionalFormatting sqref="D7:D19">
    <cfRule type="cellIs" dxfId="474" priority="4" operator="equal">
      <formula>0</formula>
    </cfRule>
  </conditionalFormatting>
  <conditionalFormatting sqref="E6:N19">
    <cfRule type="cellIs" dxfId="47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R41"/>
  <sheetViews>
    <sheetView zoomScale="78" workbookViewId="0">
      <pane xSplit="1" topLeftCell="B1" activePane="topRight" state="frozen"/>
      <selection pane="topRight" activeCell="I8" sqref="I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-0.69154580627022488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432149.91</v>
      </c>
      <c r="C4" s="135">
        <f>SUM(C6:C19)-C14</f>
        <v>1528002.6</v>
      </c>
      <c r="D4" s="142">
        <f>SUM(D6:D19)</f>
        <v>509146.65</v>
      </c>
      <c r="E4" s="217">
        <f t="shared" ref="E4:E19" si="0">IFERROR((SUM(D4-C4)/C4),0)</f>
        <v>-0.66678940860440949</v>
      </c>
      <c r="F4" s="147">
        <f>SUM(F6:F19)</f>
        <v>2217</v>
      </c>
      <c r="G4" s="218">
        <f>AVERAGE(G5:G19)</f>
        <v>145.44104990095235</v>
      </c>
      <c r="H4" s="219">
        <f>SUM(H6:H19)</f>
        <v>0</v>
      </c>
      <c r="I4" s="220">
        <f t="shared" ref="I4:I19" si="1">IFERROR(H4/F4,0)</f>
        <v>0</v>
      </c>
      <c r="J4" s="249">
        <f>SUM(J6:J19)</f>
        <v>195325.94000000003</v>
      </c>
      <c r="K4" s="222">
        <f>SUM(J4/D4)</f>
        <v>0.38363394907930753</v>
      </c>
      <c r="L4" s="244">
        <f>SUM(L6:L19)</f>
        <v>313820.71000000002</v>
      </c>
      <c r="M4" s="222">
        <f>SUM(L4/D4)</f>
        <v>0.61636605092069252</v>
      </c>
      <c r="N4" s="141">
        <f>SUM(N6:N19)</f>
        <v>10656.74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'8 June - 14 June 2020'!D6</f>
        <v>54499.07</v>
      </c>
      <c r="C6" s="123">
        <v>250573.07</v>
      </c>
      <c r="D6" s="197">
        <v>56336.17</v>
      </c>
      <c r="E6" s="162">
        <f t="shared" si="0"/>
        <v>-0.77517069172676867</v>
      </c>
      <c r="F6" s="165">
        <v>224</v>
      </c>
      <c r="G6" s="124">
        <f t="shared" ref="G6:G19" si="2">IFERROR(D6/F6,0)</f>
        <v>251.50075892857143</v>
      </c>
      <c r="H6" s="125">
        <v>0</v>
      </c>
      <c r="I6" s="126">
        <f t="shared" si="1"/>
        <v>0</v>
      </c>
      <c r="J6" s="246">
        <v>29437.97</v>
      </c>
      <c r="K6" s="128">
        <f t="shared" ref="K6:K19" si="3">SUM(J6/D6)</f>
        <v>0.52254120221520206</v>
      </c>
      <c r="L6" s="247">
        <f t="shared" ref="L6:L19" si="4">SUM(D6-J6)</f>
        <v>26898.199999999997</v>
      </c>
      <c r="M6" s="128">
        <f t="shared" ref="M6:M19" si="5">SUM(L6/D6)</f>
        <v>0.47745879778479788</v>
      </c>
      <c r="N6" s="129">
        <v>340</v>
      </c>
      <c r="O6" s="26"/>
    </row>
    <row r="7" spans="1:18" ht="15.6" customHeight="1" x14ac:dyDescent="0.3">
      <c r="A7" s="409" t="s">
        <v>16</v>
      </c>
      <c r="B7" s="200">
        <f>'8 June - 14 June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/>
      <c r="O7" s="26"/>
    </row>
    <row r="8" spans="1:18" ht="15.6" customHeight="1" x14ac:dyDescent="0.3">
      <c r="A8" s="409" t="s">
        <v>17</v>
      </c>
      <c r="B8" s="200">
        <f>'8 June - 14 June 2020'!D8</f>
        <v>41408.870000000003</v>
      </c>
      <c r="C8" s="73">
        <v>99413.99</v>
      </c>
      <c r="D8" s="145">
        <v>43799.66</v>
      </c>
      <c r="E8" s="163">
        <f t="shared" si="0"/>
        <v>-0.55942156632079654</v>
      </c>
      <c r="F8" s="166">
        <v>176</v>
      </c>
      <c r="G8" s="63">
        <f t="shared" si="2"/>
        <v>248.86170454545456</v>
      </c>
      <c r="H8" s="61">
        <v>0</v>
      </c>
      <c r="I8" s="28">
        <f t="shared" si="1"/>
        <v>0</v>
      </c>
      <c r="J8" s="247">
        <v>18802.740000000002</v>
      </c>
      <c r="K8" s="89">
        <f t="shared" si="3"/>
        <v>0.42928963375514789</v>
      </c>
      <c r="L8" s="247">
        <f t="shared" si="4"/>
        <v>24996.920000000002</v>
      </c>
      <c r="M8" s="89">
        <f t="shared" si="5"/>
        <v>0.57071036624485216</v>
      </c>
      <c r="N8" s="130">
        <v>709.5</v>
      </c>
      <c r="O8" s="26"/>
    </row>
    <row r="9" spans="1:18" ht="15.6" customHeight="1" x14ac:dyDescent="0.3">
      <c r="A9" s="409" t="s">
        <v>18</v>
      </c>
      <c r="B9" s="200">
        <f>'8 June - 14 June 2020'!D9</f>
        <v>0</v>
      </c>
      <c r="C9" s="73"/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247">
        <v>0</v>
      </c>
      <c r="K9" s="89" t="e">
        <f t="shared" si="3"/>
        <v>#DIV/0!</v>
      </c>
      <c r="L9" s="247">
        <f t="shared" si="4"/>
        <v>0</v>
      </c>
      <c r="M9" s="89" t="e">
        <f t="shared" si="5"/>
        <v>#DIV/0!</v>
      </c>
      <c r="N9" s="130"/>
      <c r="O9" s="26"/>
    </row>
    <row r="10" spans="1:18" ht="15.6" customHeight="1" x14ac:dyDescent="0.3">
      <c r="A10" s="409" t="s">
        <v>20</v>
      </c>
      <c r="B10" s="200">
        <f>'8 June - 14 June 2020'!D10</f>
        <v>71904.740000000005</v>
      </c>
      <c r="C10" s="73">
        <v>148386.35999999999</v>
      </c>
      <c r="D10" s="145">
        <v>92601.51</v>
      </c>
      <c r="E10" s="163">
        <f t="shared" si="0"/>
        <v>-0.37594324707473109</v>
      </c>
      <c r="F10" s="166">
        <v>397</v>
      </c>
      <c r="G10" s="63">
        <f t="shared" si="2"/>
        <v>233.25317380352644</v>
      </c>
      <c r="H10" s="61">
        <v>0</v>
      </c>
      <c r="I10" s="28">
        <f t="shared" si="1"/>
        <v>0</v>
      </c>
      <c r="J10" s="247">
        <v>35243.47</v>
      </c>
      <c r="K10" s="89">
        <f t="shared" si="3"/>
        <v>0.38059282186651172</v>
      </c>
      <c r="L10" s="247">
        <f t="shared" si="4"/>
        <v>57358.039999999994</v>
      </c>
      <c r="M10" s="89">
        <f t="shared" si="5"/>
        <v>0.61940717813348833</v>
      </c>
      <c r="N10" s="130">
        <v>3209</v>
      </c>
      <c r="O10" s="26"/>
    </row>
    <row r="11" spans="1:18" ht="15.6" customHeight="1" x14ac:dyDescent="0.3">
      <c r="A11" s="409" t="s">
        <v>21</v>
      </c>
      <c r="B11" s="200">
        <f>'8 June - 14 June 2020'!D11</f>
        <v>76161.41</v>
      </c>
      <c r="C11" s="73">
        <v>350406.82</v>
      </c>
      <c r="D11" s="145">
        <v>91590.78</v>
      </c>
      <c r="E11" s="163">
        <f t="shared" si="0"/>
        <v>-0.73861587511338966</v>
      </c>
      <c r="F11" s="166">
        <v>379</v>
      </c>
      <c r="G11" s="63">
        <f t="shared" si="2"/>
        <v>241.664327176781</v>
      </c>
      <c r="H11" s="61">
        <v>0</v>
      </c>
      <c r="I11" s="28">
        <f t="shared" si="1"/>
        <v>0</v>
      </c>
      <c r="J11" s="247">
        <v>21414.51</v>
      </c>
      <c r="K11" s="89">
        <f t="shared" si="3"/>
        <v>0.23380639404970674</v>
      </c>
      <c r="L11" s="247">
        <f t="shared" si="4"/>
        <v>70176.27</v>
      </c>
      <c r="M11" s="89">
        <f t="shared" si="5"/>
        <v>0.76619360595029329</v>
      </c>
      <c r="N11" s="130">
        <v>897</v>
      </c>
      <c r="O11" s="26"/>
    </row>
    <row r="12" spans="1:18" ht="15.6" customHeight="1" x14ac:dyDescent="0.3">
      <c r="A12" s="198" t="s">
        <v>22</v>
      </c>
      <c r="B12" s="200">
        <f>'8 June - 14 June 2020'!D12</f>
        <v>3660.53</v>
      </c>
      <c r="C12" s="73">
        <v>137174.82</v>
      </c>
      <c r="D12" s="145">
        <v>19728.52</v>
      </c>
      <c r="E12" s="163">
        <f t="shared" si="0"/>
        <v>-0.85617972744560555</v>
      </c>
      <c r="F12" s="166">
        <v>101</v>
      </c>
      <c r="G12" s="63">
        <f t="shared" si="2"/>
        <v>195.33188118811881</v>
      </c>
      <c r="H12" s="61">
        <v>0</v>
      </c>
      <c r="I12" s="28">
        <f t="shared" si="1"/>
        <v>0</v>
      </c>
      <c r="J12" s="247">
        <v>2416.87</v>
      </c>
      <c r="K12" s="89">
        <f t="shared" si="3"/>
        <v>0.12250640189938221</v>
      </c>
      <c r="L12" s="247">
        <f t="shared" si="4"/>
        <v>17311.650000000001</v>
      </c>
      <c r="M12" s="89">
        <f t="shared" si="5"/>
        <v>0.87749359810061789</v>
      </c>
      <c r="N12" s="130">
        <v>975.5</v>
      </c>
      <c r="O12" s="26"/>
    </row>
    <row r="13" spans="1:18" ht="15.6" customHeight="1" x14ac:dyDescent="0.3">
      <c r="A13" s="198" t="s">
        <v>23</v>
      </c>
      <c r="B13" s="200">
        <f>'8 June - 14 June 2020'!D13</f>
        <v>63627.839999999997</v>
      </c>
      <c r="C13" s="73">
        <v>203275.18</v>
      </c>
      <c r="D13" s="145">
        <v>70875.87</v>
      </c>
      <c r="E13" s="163">
        <f t="shared" si="0"/>
        <v>-0.65133042804340402</v>
      </c>
      <c r="F13" s="166">
        <v>305</v>
      </c>
      <c r="G13" s="63">
        <f t="shared" si="2"/>
        <v>232.37990163934424</v>
      </c>
      <c r="H13" s="61">
        <v>0</v>
      </c>
      <c r="I13" s="28">
        <f t="shared" si="1"/>
        <v>0</v>
      </c>
      <c r="J13" s="247">
        <v>25540.26</v>
      </c>
      <c r="K13" s="89">
        <f t="shared" si="3"/>
        <v>0.36035197874819735</v>
      </c>
      <c r="L13" s="247">
        <f t="shared" si="4"/>
        <v>45335.61</v>
      </c>
      <c r="M13" s="89">
        <f t="shared" si="5"/>
        <v>0.63964802125180265</v>
      </c>
      <c r="N13" s="130">
        <v>1170</v>
      </c>
      <c r="O13" s="26"/>
    </row>
    <row r="14" spans="1:18" ht="15.6" hidden="1" customHeight="1" x14ac:dyDescent="0.3">
      <c r="A14" s="198" t="s">
        <v>24</v>
      </c>
      <c r="B14" s="200">
        <f>'8 June - 14 June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'8 June - 14 June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/>
      <c r="O15" s="9"/>
    </row>
    <row r="16" spans="1:18" ht="15.6" customHeight="1" x14ac:dyDescent="0.3">
      <c r="A16" s="198" t="s">
        <v>27</v>
      </c>
      <c r="B16" s="200">
        <f>'8 June - 14 June 2020'!D16</f>
        <v>0</v>
      </c>
      <c r="C16" s="73"/>
      <c r="D16" s="145">
        <v>0</v>
      </c>
      <c r="E16" s="163">
        <f t="shared" si="0"/>
        <v>0</v>
      </c>
      <c r="F16" s="166">
        <v>0</v>
      </c>
      <c r="G16" s="63">
        <f t="shared" si="2"/>
        <v>0</v>
      </c>
      <c r="H16" s="61">
        <v>0</v>
      </c>
      <c r="I16" s="28">
        <f t="shared" si="1"/>
        <v>0</v>
      </c>
      <c r="J16" s="247">
        <v>0</v>
      </c>
      <c r="K16" s="89" t="e">
        <f t="shared" si="3"/>
        <v>#DIV/0!</v>
      </c>
      <c r="L16" s="247">
        <f t="shared" si="4"/>
        <v>0</v>
      </c>
      <c r="M16" s="89" t="e">
        <f t="shared" si="5"/>
        <v>#DIV/0!</v>
      </c>
      <c r="N16" s="130"/>
      <c r="O16" s="9"/>
      <c r="R16" s="238"/>
    </row>
    <row r="17" spans="1:15" ht="15.6" customHeight="1" x14ac:dyDescent="0.3">
      <c r="A17" s="198" t="s">
        <v>28</v>
      </c>
      <c r="B17" s="200">
        <f>'8 June - 14 June 2020'!D17</f>
        <v>44564.7</v>
      </c>
      <c r="C17" s="73">
        <v>193070.24</v>
      </c>
      <c r="D17" s="145">
        <v>56047.11</v>
      </c>
      <c r="E17" s="163">
        <f t="shared" si="0"/>
        <v>-0.7097061152459333</v>
      </c>
      <c r="F17" s="166">
        <v>262</v>
      </c>
      <c r="G17" s="63">
        <f t="shared" si="2"/>
        <v>213.92026717557252</v>
      </c>
      <c r="H17" s="61">
        <v>0</v>
      </c>
      <c r="I17" s="28">
        <f t="shared" si="1"/>
        <v>0</v>
      </c>
      <c r="J17" s="247">
        <v>25752.48</v>
      </c>
      <c r="K17" s="89">
        <f t="shared" si="3"/>
        <v>0.45947917742770322</v>
      </c>
      <c r="L17" s="247">
        <f t="shared" si="4"/>
        <v>30294.63</v>
      </c>
      <c r="M17" s="89">
        <f t="shared" si="5"/>
        <v>0.54052082257229683</v>
      </c>
      <c r="N17" s="130">
        <v>982.74</v>
      </c>
      <c r="O17" s="9"/>
    </row>
    <row r="18" spans="1:15" ht="15.6" customHeight="1" x14ac:dyDescent="0.3">
      <c r="A18" s="198" t="s">
        <v>33</v>
      </c>
      <c r="B18" s="200">
        <f>'8 June - 14 June 2020'!D18</f>
        <v>43845.19</v>
      </c>
      <c r="C18" s="73">
        <v>145702.12</v>
      </c>
      <c r="D18" s="145">
        <v>40339.19</v>
      </c>
      <c r="E18" s="163">
        <f t="shared" si="0"/>
        <v>-0.72313930641503366</v>
      </c>
      <c r="F18" s="166">
        <v>194</v>
      </c>
      <c r="G18" s="63">
        <f t="shared" si="2"/>
        <v>207.93396907216496</v>
      </c>
      <c r="H18" s="61">
        <v>0</v>
      </c>
      <c r="I18" s="28">
        <f t="shared" si="1"/>
        <v>0</v>
      </c>
      <c r="J18" s="247">
        <v>19584.91</v>
      </c>
      <c r="K18" s="89">
        <f t="shared" si="3"/>
        <v>0.48550578234218383</v>
      </c>
      <c r="L18" s="247">
        <f t="shared" si="4"/>
        <v>20754.280000000002</v>
      </c>
      <c r="M18" s="89">
        <f t="shared" si="5"/>
        <v>0.51449421765781611</v>
      </c>
      <c r="N18" s="130">
        <v>982</v>
      </c>
      <c r="O18" s="9"/>
    </row>
    <row r="19" spans="1:15" ht="16.2" customHeight="1" thickBot="1" x14ac:dyDescent="0.35">
      <c r="A19" s="203" t="s">
        <v>37</v>
      </c>
      <c r="B19" s="201">
        <f>'8 June - 14 June 2020'!D19</f>
        <v>32477.56</v>
      </c>
      <c r="C19" s="205">
        <v>0</v>
      </c>
      <c r="D19" s="206">
        <v>37827.839999999997</v>
      </c>
      <c r="E19" s="207">
        <f t="shared" si="0"/>
        <v>0</v>
      </c>
      <c r="F19" s="167">
        <v>179</v>
      </c>
      <c r="G19" s="132">
        <f t="shared" si="2"/>
        <v>211.32871508379887</v>
      </c>
      <c r="H19" s="133">
        <v>0</v>
      </c>
      <c r="I19" s="114">
        <f t="shared" si="1"/>
        <v>0</v>
      </c>
      <c r="J19" s="248">
        <v>17132.73</v>
      </c>
      <c r="K19" s="116">
        <f t="shared" si="3"/>
        <v>0.45291325119277231</v>
      </c>
      <c r="L19" s="248">
        <f t="shared" si="4"/>
        <v>20695.109999999997</v>
      </c>
      <c r="M19" s="116">
        <f t="shared" si="5"/>
        <v>0.54708674880722763</v>
      </c>
      <c r="N19" s="134">
        <v>1391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72" priority="5" operator="equal">
      <formula>0</formula>
    </cfRule>
  </conditionalFormatting>
  <conditionalFormatting sqref="D7:D19">
    <cfRule type="cellIs" dxfId="471" priority="4" operator="equal">
      <formula>0</formula>
    </cfRule>
  </conditionalFormatting>
  <conditionalFormatting sqref="E6:N19">
    <cfRule type="cellIs" dxfId="47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R41"/>
  <sheetViews>
    <sheetView zoomScale="78" workbookViewId="0">
      <pane xSplit="1" topLeftCell="B1" activePane="topRight" state="frozen"/>
      <selection pane="topRight" activeCell="E6" sqref="E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1.44140625" bestFit="1" customWidth="1"/>
    <col min="7" max="7" width="13.44140625" bestFit="1" customWidth="1"/>
    <col min="10" max="10" width="14.5546875" customWidth="1"/>
    <col min="11" max="11" width="11.6640625" bestFit="1" customWidth="1"/>
    <col min="12" max="12" width="13.6640625" customWidth="1"/>
    <col min="13" max="13" width="11.6640625" customWidth="1"/>
    <col min="14" max="14" width="12.6640625" bestFit="1" customWidth="1"/>
  </cols>
  <sheetData>
    <row r="1" spans="1:18" ht="15.6" customHeight="1" x14ac:dyDescent="0.3">
      <c r="A1" s="7"/>
      <c r="B1" s="7"/>
      <c r="C1" s="7"/>
      <c r="D1" s="7"/>
      <c r="E1" s="14" t="s">
        <v>0</v>
      </c>
      <c r="F1" s="7"/>
      <c r="G1" s="7"/>
      <c r="H1" s="7"/>
      <c r="I1" s="7"/>
      <c r="J1" s="7" t="s">
        <v>31</v>
      </c>
      <c r="K1" s="7"/>
      <c r="L1" s="7"/>
      <c r="M1" s="7"/>
      <c r="N1" s="81"/>
      <c r="O1" s="9"/>
    </row>
    <row r="2" spans="1:18" ht="15" customHeight="1" thickBot="1" x14ac:dyDescent="0.35">
      <c r="A2" s="1"/>
      <c r="B2" s="1"/>
      <c r="C2" s="1"/>
      <c r="D2" s="1"/>
      <c r="E2" s="400">
        <f>(((D4-D19)-C4)/C4)</f>
        <v>-0.70458611534997295</v>
      </c>
      <c r="F2" s="34"/>
      <c r="G2" s="1"/>
      <c r="H2" s="1"/>
      <c r="I2" s="1"/>
      <c r="J2" s="1"/>
      <c r="K2" s="1"/>
      <c r="L2" s="1"/>
      <c r="M2" s="1"/>
      <c r="N2" s="81"/>
      <c r="O2" s="17"/>
    </row>
    <row r="3" spans="1:18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36" t="s">
        <v>38</v>
      </c>
      <c r="G3" s="250" t="s">
        <v>7</v>
      </c>
      <c r="H3" s="113" t="s">
        <v>32</v>
      </c>
      <c r="I3" s="113" t="s">
        <v>29</v>
      </c>
      <c r="J3" s="113" t="s">
        <v>39</v>
      </c>
      <c r="K3" s="113" t="s">
        <v>11</v>
      </c>
      <c r="L3" s="177" t="s">
        <v>40</v>
      </c>
      <c r="M3" s="177" t="s">
        <v>36</v>
      </c>
      <c r="N3" s="402" t="s">
        <v>12</v>
      </c>
      <c r="O3" s="407"/>
    </row>
    <row r="4" spans="1:18" ht="16.2" customHeight="1" thickBot="1" x14ac:dyDescent="0.35">
      <c r="A4" s="398" t="s">
        <v>13</v>
      </c>
      <c r="B4" s="135">
        <f>SUM(B6:B19)</f>
        <v>509146.65</v>
      </c>
      <c r="C4" s="135">
        <f>SUM(C6:C19)-C14</f>
        <v>1782540.86</v>
      </c>
      <c r="D4" s="142">
        <f>SUM(D6:D19)</f>
        <v>562437.66999999993</v>
      </c>
      <c r="E4" s="217">
        <f t="shared" ref="E4:E19" si="0">IFERROR((SUM(D4-C4)/C4),0)</f>
        <v>-0.68447417805614852</v>
      </c>
      <c r="F4" s="147">
        <f>SUM(F6:F19)</f>
        <v>2554</v>
      </c>
      <c r="G4" s="218">
        <f>AVERAGE(G5:G19)</f>
        <v>157.76065167775272</v>
      </c>
      <c r="H4" s="219">
        <f>SUM(H6:H19)</f>
        <v>0</v>
      </c>
      <c r="I4" s="220">
        <f t="shared" ref="I4:I19" si="1">IFERROR(H4/F4,0)</f>
        <v>0</v>
      </c>
      <c r="J4" s="249">
        <f>SUM(J6:J19)</f>
        <v>203836.38999999998</v>
      </c>
      <c r="K4" s="222">
        <f>SUM(J4/D4)</f>
        <v>0.36241596335465937</v>
      </c>
      <c r="L4" s="244">
        <f>SUM(L6:L19)</f>
        <v>358601.28</v>
      </c>
      <c r="M4" s="222">
        <f>SUM(L4/D4)</f>
        <v>0.6375840366453408</v>
      </c>
      <c r="N4" s="141">
        <f>SUM(N6:N19)</f>
        <v>12096.5</v>
      </c>
      <c r="O4" s="24"/>
    </row>
    <row r="5" spans="1:18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48"/>
      <c r="G5" s="119"/>
      <c r="H5" s="118"/>
      <c r="I5" s="120">
        <f t="shared" si="1"/>
        <v>0</v>
      </c>
      <c r="J5" s="245">
        <f>H5+'Nov 19 - Nov 25'!I5+'Nov 26 - Dec 2'!I5+'Dec 3 - Dec 9'!I5+'Dec 10 - Dec 16'!I5+'Dec 17 - Dec 23'!I5+'Dec 24 - Dec 30'!I5</f>
        <v>0</v>
      </c>
      <c r="K5" s="122">
        <f>IFERROR(J5/SUM(F5),0)</f>
        <v>0</v>
      </c>
      <c r="L5" s="245"/>
      <c r="M5" s="122"/>
      <c r="N5" s="71"/>
      <c r="O5" s="25"/>
    </row>
    <row r="6" spans="1:18" ht="16.5" customHeight="1" x14ac:dyDescent="0.3">
      <c r="A6" s="408" t="s">
        <v>15</v>
      </c>
      <c r="B6" s="200">
        <f>'15 June - 21 June 2020'!D6</f>
        <v>56336.17</v>
      </c>
      <c r="C6" s="123">
        <v>271223.01</v>
      </c>
      <c r="D6" s="197">
        <v>52216.160000000003</v>
      </c>
      <c r="E6" s="162">
        <f t="shared" si="0"/>
        <v>-0.8074788713538722</v>
      </c>
      <c r="F6" s="165">
        <v>250</v>
      </c>
      <c r="G6" s="124">
        <f t="shared" ref="G6:G19" si="2">IFERROR(D6/F6,0)</f>
        <v>208.86464000000001</v>
      </c>
      <c r="H6" s="125">
        <v>0</v>
      </c>
      <c r="I6" s="126">
        <f t="shared" si="1"/>
        <v>0</v>
      </c>
      <c r="J6" s="246">
        <v>21355.32</v>
      </c>
      <c r="K6" s="128">
        <f t="shared" ref="K6:K19" si="3">SUM(J6/D6)</f>
        <v>0.40897913596097452</v>
      </c>
      <c r="L6" s="247">
        <f t="shared" ref="L6:L19" si="4">SUM(D6-J6)</f>
        <v>30860.840000000004</v>
      </c>
      <c r="M6" s="128">
        <f t="shared" ref="M6:M19" si="5">SUM(L6/D6)</f>
        <v>0.59102086403902554</v>
      </c>
      <c r="N6" s="129">
        <v>1957</v>
      </c>
      <c r="O6" s="26"/>
    </row>
    <row r="7" spans="1:18" ht="15.6" customHeight="1" x14ac:dyDescent="0.3">
      <c r="A7" s="409" t="s">
        <v>16</v>
      </c>
      <c r="B7" s="200">
        <f>'15 June - 21 June 2020'!D7</f>
        <v>0</v>
      </c>
      <c r="C7" s="73"/>
      <c r="D7" s="145">
        <v>0</v>
      </c>
      <c r="E7" s="163">
        <f t="shared" si="0"/>
        <v>0</v>
      </c>
      <c r="F7" s="166">
        <v>0</v>
      </c>
      <c r="G7" s="63">
        <f t="shared" si="2"/>
        <v>0</v>
      </c>
      <c r="H7" s="61">
        <v>0</v>
      </c>
      <c r="I7" s="28">
        <f t="shared" si="1"/>
        <v>0</v>
      </c>
      <c r="J7" s="247">
        <v>0</v>
      </c>
      <c r="K7" s="89" t="e">
        <f t="shared" si="3"/>
        <v>#DIV/0!</v>
      </c>
      <c r="L7" s="247">
        <f t="shared" si="4"/>
        <v>0</v>
      </c>
      <c r="M7" s="89" t="e">
        <f t="shared" si="5"/>
        <v>#DIV/0!</v>
      </c>
      <c r="N7" s="130">
        <v>0</v>
      </c>
      <c r="O7" s="26"/>
    </row>
    <row r="8" spans="1:18" ht="15.6" customHeight="1" x14ac:dyDescent="0.3">
      <c r="A8" s="409" t="s">
        <v>17</v>
      </c>
      <c r="B8" s="200">
        <f>'15 June - 21 June 2020'!D8</f>
        <v>43799.66</v>
      </c>
      <c r="C8" s="73">
        <v>110389.7</v>
      </c>
      <c r="D8" s="145">
        <v>40317.99</v>
      </c>
      <c r="E8" s="163">
        <f t="shared" si="0"/>
        <v>-0.63476674001288158</v>
      </c>
      <c r="F8" s="166">
        <v>191</v>
      </c>
      <c r="G8" s="63">
        <f t="shared" si="2"/>
        <v>211.08895287958114</v>
      </c>
      <c r="H8" s="61">
        <v>0</v>
      </c>
      <c r="I8" s="28">
        <f t="shared" si="1"/>
        <v>0</v>
      </c>
      <c r="J8" s="247">
        <v>1647.32</v>
      </c>
      <c r="K8" s="89">
        <f t="shared" si="3"/>
        <v>4.0858187622944499E-2</v>
      </c>
      <c r="L8" s="247">
        <f t="shared" si="4"/>
        <v>38670.67</v>
      </c>
      <c r="M8" s="89">
        <f t="shared" si="5"/>
        <v>0.95914181237705554</v>
      </c>
      <c r="N8" s="130">
        <v>371</v>
      </c>
      <c r="O8" s="26"/>
    </row>
    <row r="9" spans="1:18" ht="15.6" customHeight="1" x14ac:dyDescent="0.3">
      <c r="A9" s="409" t="s">
        <v>18</v>
      </c>
      <c r="B9" s="200">
        <f>'15 June - 21 June 2020'!D9</f>
        <v>0</v>
      </c>
      <c r="C9" s="73"/>
      <c r="D9" s="145">
        <v>0</v>
      </c>
      <c r="E9" s="163">
        <f t="shared" si="0"/>
        <v>0</v>
      </c>
      <c r="F9" s="166">
        <v>0</v>
      </c>
      <c r="G9" s="63">
        <f t="shared" si="2"/>
        <v>0</v>
      </c>
      <c r="H9" s="61">
        <v>0</v>
      </c>
      <c r="I9" s="28">
        <f t="shared" si="1"/>
        <v>0</v>
      </c>
      <c r="J9" s="247">
        <v>0</v>
      </c>
      <c r="K9" s="89" t="e">
        <f t="shared" si="3"/>
        <v>#DIV/0!</v>
      </c>
      <c r="L9" s="247">
        <f t="shared" si="4"/>
        <v>0</v>
      </c>
      <c r="M9" s="89" t="e">
        <f t="shared" si="5"/>
        <v>#DIV/0!</v>
      </c>
      <c r="N9" s="130">
        <v>0</v>
      </c>
      <c r="O9" s="26"/>
    </row>
    <row r="10" spans="1:18" ht="15.6" customHeight="1" x14ac:dyDescent="0.3">
      <c r="A10" s="409" t="s">
        <v>20</v>
      </c>
      <c r="B10" s="200">
        <f>'15 June - 21 June 2020'!D10</f>
        <v>92601.51</v>
      </c>
      <c r="C10" s="73">
        <v>153229.93</v>
      </c>
      <c r="D10" s="145">
        <v>88545.89</v>
      </c>
      <c r="E10" s="163">
        <f t="shared" si="0"/>
        <v>-0.4221371112027526</v>
      </c>
      <c r="F10" s="166">
        <v>393</v>
      </c>
      <c r="G10" s="63">
        <f t="shared" si="2"/>
        <v>225.30760814249365</v>
      </c>
      <c r="H10" s="61">
        <v>0</v>
      </c>
      <c r="I10" s="28">
        <f t="shared" si="1"/>
        <v>0</v>
      </c>
      <c r="J10" s="247">
        <v>39542.11</v>
      </c>
      <c r="K10" s="89">
        <f t="shared" si="3"/>
        <v>0.4465719413967153</v>
      </c>
      <c r="L10" s="247">
        <f t="shared" si="4"/>
        <v>49003.78</v>
      </c>
      <c r="M10" s="89">
        <f t="shared" si="5"/>
        <v>0.5534280586032847</v>
      </c>
      <c r="N10" s="130">
        <v>3125</v>
      </c>
      <c r="O10" s="26"/>
    </row>
    <row r="11" spans="1:18" ht="15.6" customHeight="1" x14ac:dyDescent="0.3">
      <c r="A11" s="409" t="s">
        <v>21</v>
      </c>
      <c r="B11" s="200">
        <f>'15 June - 21 June 2020'!D11</f>
        <v>91590.78</v>
      </c>
      <c r="C11" s="73">
        <v>385707.8</v>
      </c>
      <c r="D11" s="145">
        <v>102239.35</v>
      </c>
      <c r="E11" s="163">
        <f t="shared" si="0"/>
        <v>-0.73493056142499569</v>
      </c>
      <c r="F11" s="166">
        <v>442</v>
      </c>
      <c r="G11" s="63">
        <f t="shared" si="2"/>
        <v>231.31074660633485</v>
      </c>
      <c r="H11" s="61">
        <v>0</v>
      </c>
      <c r="I11" s="28">
        <f t="shared" si="1"/>
        <v>0</v>
      </c>
      <c r="J11" s="247">
        <v>30671.66</v>
      </c>
      <c r="K11" s="89">
        <f t="shared" si="3"/>
        <v>0.2999985817593715</v>
      </c>
      <c r="L11" s="247">
        <f t="shared" si="4"/>
        <v>71567.69</v>
      </c>
      <c r="M11" s="89">
        <f t="shared" si="5"/>
        <v>0.70000141824062845</v>
      </c>
      <c r="N11" s="130">
        <v>408.5</v>
      </c>
      <c r="O11" s="26"/>
    </row>
    <row r="12" spans="1:18" ht="15.6" customHeight="1" x14ac:dyDescent="0.3">
      <c r="A12" s="198" t="s">
        <v>22</v>
      </c>
      <c r="B12" s="200">
        <f>'15 June - 21 June 2020'!D12</f>
        <v>19728.52</v>
      </c>
      <c r="C12" s="73">
        <v>124310.04</v>
      </c>
      <c r="D12" s="145">
        <v>33440.19</v>
      </c>
      <c r="E12" s="163">
        <f t="shared" si="0"/>
        <v>-0.73099365103574898</v>
      </c>
      <c r="F12" s="166">
        <v>132</v>
      </c>
      <c r="G12" s="63">
        <f t="shared" si="2"/>
        <v>253.33477272727274</v>
      </c>
      <c r="H12" s="61">
        <v>0</v>
      </c>
      <c r="I12" s="28">
        <f t="shared" si="1"/>
        <v>0</v>
      </c>
      <c r="J12" s="247">
        <v>4327.7</v>
      </c>
      <c r="K12" s="89">
        <f t="shared" si="3"/>
        <v>0.12941613070978364</v>
      </c>
      <c r="L12" s="247">
        <f t="shared" si="4"/>
        <v>29112.49</v>
      </c>
      <c r="M12" s="89">
        <f t="shared" si="5"/>
        <v>0.87058386929021636</v>
      </c>
      <c r="N12" s="130">
        <v>361</v>
      </c>
      <c r="O12" s="26"/>
    </row>
    <row r="13" spans="1:18" ht="15.6" customHeight="1" x14ac:dyDescent="0.3">
      <c r="A13" s="198" t="s">
        <v>23</v>
      </c>
      <c r="B13" s="200">
        <f>'15 June - 21 June 2020'!D13</f>
        <v>70875.87</v>
      </c>
      <c r="C13" s="73">
        <v>223653.62</v>
      </c>
      <c r="D13" s="145">
        <v>76478.66</v>
      </c>
      <c r="E13" s="163">
        <f t="shared" si="0"/>
        <v>-0.65804863788925028</v>
      </c>
      <c r="F13" s="166">
        <v>337</v>
      </c>
      <c r="G13" s="63">
        <f t="shared" si="2"/>
        <v>226.93964391691395</v>
      </c>
      <c r="H13" s="61">
        <v>0</v>
      </c>
      <c r="I13" s="28">
        <f t="shared" si="1"/>
        <v>0</v>
      </c>
      <c r="J13" s="247">
        <v>33486.04</v>
      </c>
      <c r="K13" s="89">
        <f t="shared" si="3"/>
        <v>0.43784815267422311</v>
      </c>
      <c r="L13" s="247">
        <f t="shared" si="4"/>
        <v>42992.62</v>
      </c>
      <c r="M13" s="89">
        <f t="shared" si="5"/>
        <v>0.56215184732577694</v>
      </c>
      <c r="N13" s="130">
        <v>940</v>
      </c>
      <c r="O13" s="26"/>
    </row>
    <row r="14" spans="1:18" ht="15.6" hidden="1" customHeight="1" x14ac:dyDescent="0.3">
      <c r="A14" s="198" t="s">
        <v>24</v>
      </c>
      <c r="B14" s="200">
        <f>'15 June - 21 June 2020'!D14</f>
        <v>0</v>
      </c>
      <c r="C14" s="73"/>
      <c r="D14" s="145"/>
      <c r="E14" s="163">
        <f t="shared" si="0"/>
        <v>0</v>
      </c>
      <c r="F14" s="166"/>
      <c r="G14" s="63">
        <f t="shared" si="2"/>
        <v>0</v>
      </c>
      <c r="H14" s="61"/>
      <c r="I14" s="28">
        <f t="shared" si="1"/>
        <v>0</v>
      </c>
      <c r="J14" s="247"/>
      <c r="K14" s="89" t="e">
        <f t="shared" si="3"/>
        <v>#DIV/0!</v>
      </c>
      <c r="L14" s="247">
        <f t="shared" si="4"/>
        <v>0</v>
      </c>
      <c r="M14" s="89" t="e">
        <f t="shared" si="5"/>
        <v>#DIV/0!</v>
      </c>
      <c r="N14" s="130"/>
      <c r="O14" s="26"/>
    </row>
    <row r="15" spans="1:18" ht="15.6" customHeight="1" x14ac:dyDescent="0.3">
      <c r="A15" s="198" t="s">
        <v>26</v>
      </c>
      <c r="B15" s="200">
        <f>'15 June - 21 June 2020'!D15</f>
        <v>0</v>
      </c>
      <c r="C15" s="73"/>
      <c r="D15" s="145">
        <v>0</v>
      </c>
      <c r="E15" s="163">
        <f t="shared" si="0"/>
        <v>0</v>
      </c>
      <c r="F15" s="166">
        <v>0</v>
      </c>
      <c r="G15" s="63">
        <f t="shared" si="2"/>
        <v>0</v>
      </c>
      <c r="H15" s="61">
        <v>0</v>
      </c>
      <c r="I15" s="28">
        <f t="shared" si="1"/>
        <v>0</v>
      </c>
      <c r="J15" s="247">
        <v>0</v>
      </c>
      <c r="K15" s="89" t="e">
        <f t="shared" si="3"/>
        <v>#DIV/0!</v>
      </c>
      <c r="L15" s="247">
        <f t="shared" si="4"/>
        <v>0</v>
      </c>
      <c r="M15" s="89" t="e">
        <f t="shared" si="5"/>
        <v>#DIV/0!</v>
      </c>
      <c r="N15" s="130">
        <v>0</v>
      </c>
      <c r="O15" s="9"/>
    </row>
    <row r="16" spans="1:18" ht="15.6" customHeight="1" x14ac:dyDescent="0.3">
      <c r="A16" s="198" t="s">
        <v>27</v>
      </c>
      <c r="B16" s="200">
        <f>'15 June - 21 June 2020'!D16</f>
        <v>0</v>
      </c>
      <c r="C16" s="73">
        <v>126934.85</v>
      </c>
      <c r="D16" s="145">
        <v>27768.3</v>
      </c>
      <c r="E16" s="163">
        <f t="shared" si="0"/>
        <v>-0.78123974621626757</v>
      </c>
      <c r="F16" s="166">
        <v>120</v>
      </c>
      <c r="G16" s="63">
        <f t="shared" si="2"/>
        <v>231.4025</v>
      </c>
      <c r="H16" s="61">
        <v>0</v>
      </c>
      <c r="I16" s="28">
        <f t="shared" si="1"/>
        <v>0</v>
      </c>
      <c r="J16" s="247">
        <v>12256.17</v>
      </c>
      <c r="K16" s="89">
        <f t="shared" si="3"/>
        <v>0.44137271637082576</v>
      </c>
      <c r="L16" s="247">
        <f t="shared" si="4"/>
        <v>15512.13</v>
      </c>
      <c r="M16" s="89">
        <f t="shared" si="5"/>
        <v>0.55862728362917424</v>
      </c>
      <c r="N16" s="130">
        <v>389</v>
      </c>
      <c r="O16" s="9"/>
      <c r="R16" s="238"/>
    </row>
    <row r="17" spans="1:15" ht="15.6" customHeight="1" x14ac:dyDescent="0.3">
      <c r="A17" s="198" t="s">
        <v>28</v>
      </c>
      <c r="B17" s="200">
        <f>'15 June - 21 June 2020'!D17</f>
        <v>56047.11</v>
      </c>
      <c r="C17" s="73">
        <v>212563.92</v>
      </c>
      <c r="D17" s="145">
        <v>57267.01</v>
      </c>
      <c r="E17" s="163">
        <f t="shared" si="0"/>
        <v>-0.73058922699581375</v>
      </c>
      <c r="F17" s="166">
        <v>288</v>
      </c>
      <c r="G17" s="63">
        <f t="shared" si="2"/>
        <v>198.84378472222224</v>
      </c>
      <c r="H17" s="61">
        <v>0</v>
      </c>
      <c r="I17" s="28">
        <f t="shared" si="1"/>
        <v>0</v>
      </c>
      <c r="J17" s="247">
        <v>22022.12</v>
      </c>
      <c r="K17" s="89">
        <f t="shared" si="3"/>
        <v>0.38455159436471359</v>
      </c>
      <c r="L17" s="247">
        <f t="shared" si="4"/>
        <v>35244.89</v>
      </c>
      <c r="M17" s="89">
        <f t="shared" si="5"/>
        <v>0.61544840563528636</v>
      </c>
      <c r="N17" s="130">
        <v>1645</v>
      </c>
      <c r="O17" s="9"/>
    </row>
    <row r="18" spans="1:15" ht="15.6" customHeight="1" x14ac:dyDescent="0.3">
      <c r="A18" s="198" t="s">
        <v>33</v>
      </c>
      <c r="B18" s="200">
        <f>'15 June - 21 June 2020'!D18</f>
        <v>40339.19</v>
      </c>
      <c r="C18" s="73">
        <v>174527.99</v>
      </c>
      <c r="D18" s="145">
        <v>48313.77</v>
      </c>
      <c r="E18" s="163">
        <f t="shared" si="0"/>
        <v>-0.72317466098131311</v>
      </c>
      <c r="F18" s="166">
        <v>235</v>
      </c>
      <c r="G18" s="63">
        <f t="shared" si="2"/>
        <v>205.59051063829787</v>
      </c>
      <c r="H18" s="61">
        <v>0</v>
      </c>
      <c r="I18" s="28">
        <f t="shared" si="1"/>
        <v>0</v>
      </c>
      <c r="J18" s="247">
        <v>20801.46</v>
      </c>
      <c r="K18" s="89">
        <f t="shared" si="3"/>
        <v>0.43054930302478983</v>
      </c>
      <c r="L18" s="247">
        <f t="shared" si="4"/>
        <v>27512.309999999998</v>
      </c>
      <c r="M18" s="89">
        <f t="shared" si="5"/>
        <v>0.56945069697521011</v>
      </c>
      <c r="N18" s="130">
        <v>1293</v>
      </c>
      <c r="O18" s="9"/>
    </row>
    <row r="19" spans="1:15" ht="16.2" customHeight="1" thickBot="1" x14ac:dyDescent="0.35">
      <c r="A19" s="203" t="s">
        <v>37</v>
      </c>
      <c r="B19" s="201">
        <f>'15 June - 21 June 2020'!D19</f>
        <v>37827.839999999997</v>
      </c>
      <c r="C19" s="205">
        <v>0</v>
      </c>
      <c r="D19" s="206">
        <v>35850.35</v>
      </c>
      <c r="E19" s="207">
        <f t="shared" si="0"/>
        <v>0</v>
      </c>
      <c r="F19" s="167">
        <v>166</v>
      </c>
      <c r="G19" s="132">
        <f t="shared" si="2"/>
        <v>215.96596385542168</v>
      </c>
      <c r="H19" s="133">
        <v>0</v>
      </c>
      <c r="I19" s="114">
        <f t="shared" si="1"/>
        <v>0</v>
      </c>
      <c r="J19" s="248">
        <v>17726.490000000002</v>
      </c>
      <c r="K19" s="116">
        <f t="shared" si="3"/>
        <v>0.49445793416242806</v>
      </c>
      <c r="L19" s="248">
        <f t="shared" si="4"/>
        <v>18123.859999999997</v>
      </c>
      <c r="M19" s="116">
        <f t="shared" si="5"/>
        <v>0.505542065837572</v>
      </c>
      <c r="N19" s="134">
        <v>1607</v>
      </c>
      <c r="O19" s="9"/>
    </row>
    <row r="20" spans="1:15" x14ac:dyDescent="0.3">
      <c r="A20" s="81"/>
      <c r="B20" s="81"/>
      <c r="C20" s="81"/>
      <c r="D20" s="395"/>
      <c r="E20" s="81"/>
      <c r="F20" s="396"/>
      <c r="G20" s="397"/>
      <c r="H20" s="91"/>
      <c r="I20" s="397"/>
      <c r="J20" s="397"/>
      <c r="K20" s="397"/>
      <c r="L20" s="397"/>
      <c r="M20" s="397"/>
      <c r="N20" s="397"/>
      <c r="O20" s="9"/>
    </row>
    <row r="21" spans="1:15" x14ac:dyDescent="0.3">
      <c r="A21" s="81"/>
      <c r="B21" s="81"/>
      <c r="C21" s="81"/>
      <c r="D21" s="83"/>
      <c r="E21" s="81"/>
      <c r="F21" s="82"/>
      <c r="G21" s="81"/>
      <c r="H21" s="81"/>
      <c r="I21" s="81"/>
      <c r="J21" s="81"/>
      <c r="K21" s="81"/>
      <c r="L21" s="81"/>
      <c r="M21" s="81"/>
      <c r="N21" s="81"/>
      <c r="O21" s="9"/>
    </row>
    <row r="22" spans="1:15" x14ac:dyDescent="0.3">
      <c r="A22" s="81"/>
      <c r="B22" s="81"/>
      <c r="C22" s="81"/>
      <c r="D22" s="83"/>
      <c r="E22" s="81"/>
      <c r="F22" s="82"/>
      <c r="G22" s="81"/>
      <c r="H22" s="81"/>
      <c r="I22" s="81"/>
      <c r="J22" s="81"/>
      <c r="K22" s="81"/>
      <c r="L22" s="81"/>
      <c r="M22" s="81"/>
      <c r="N22" s="81"/>
      <c r="O22" s="9"/>
    </row>
    <row r="23" spans="1:15" ht="15" customHeight="1" x14ac:dyDescent="0.3">
      <c r="A23" s="81"/>
      <c r="B23" s="81"/>
      <c r="C23" s="81"/>
      <c r="D23" s="83"/>
      <c r="E23" s="81"/>
      <c r="F23" s="82"/>
      <c r="G23" s="81"/>
      <c r="H23" s="81"/>
      <c r="I23" s="81"/>
      <c r="J23" s="81"/>
      <c r="K23" s="81"/>
      <c r="L23" s="81"/>
      <c r="M23" s="81"/>
      <c r="N23" s="27"/>
      <c r="O23" s="9"/>
    </row>
    <row r="24" spans="1:15" x14ac:dyDescent="0.3">
      <c r="A24" s="81"/>
      <c r="B24" s="81"/>
      <c r="C24" s="81"/>
      <c r="D24" s="83"/>
      <c r="E24" s="81"/>
      <c r="F24" s="82"/>
      <c r="G24" s="81"/>
      <c r="H24" s="81"/>
      <c r="I24" s="81"/>
      <c r="J24" s="81"/>
      <c r="K24" s="81"/>
      <c r="L24" s="81"/>
      <c r="M24" s="81"/>
      <c r="N24" s="81"/>
      <c r="O24" s="9"/>
    </row>
    <row r="25" spans="1:15" x14ac:dyDescent="0.3">
      <c r="A25" s="81"/>
      <c r="B25" s="81"/>
      <c r="C25" s="81"/>
      <c r="D25" s="83"/>
      <c r="E25" s="81"/>
      <c r="F25" s="82"/>
      <c r="G25" s="81"/>
      <c r="H25" s="81"/>
      <c r="I25" s="81"/>
      <c r="J25" s="81"/>
      <c r="K25" s="81"/>
      <c r="L25" s="81"/>
      <c r="M25" s="81"/>
      <c r="N25" s="81"/>
      <c r="O25" s="9"/>
    </row>
    <row r="26" spans="1:15" x14ac:dyDescent="0.3">
      <c r="A26" s="81"/>
      <c r="B26" s="81"/>
      <c r="C26" s="81"/>
      <c r="D26" s="83"/>
      <c r="E26" s="81"/>
      <c r="F26" s="82"/>
      <c r="G26" s="81"/>
      <c r="H26" s="81"/>
      <c r="I26" s="81"/>
      <c r="J26" s="81"/>
      <c r="K26" s="81"/>
      <c r="L26" s="81"/>
      <c r="M26" s="81"/>
      <c r="N26" s="81"/>
      <c r="O26" s="9"/>
    </row>
    <row r="27" spans="1:15" x14ac:dyDescent="0.3">
      <c r="A27" s="81"/>
      <c r="B27" s="81"/>
      <c r="C27" s="81"/>
      <c r="D27" s="83"/>
      <c r="E27" s="81"/>
      <c r="F27" s="82"/>
      <c r="G27" s="81"/>
      <c r="H27" s="81"/>
      <c r="I27" s="81"/>
      <c r="J27" s="81"/>
      <c r="K27" s="81"/>
      <c r="L27" s="81"/>
      <c r="M27" s="81"/>
      <c r="N27" s="81"/>
      <c r="O27" s="9"/>
    </row>
    <row r="28" spans="1:15" x14ac:dyDescent="0.3">
      <c r="A28" s="81"/>
      <c r="B28" s="81"/>
      <c r="C28" s="81"/>
      <c r="D28" s="83"/>
      <c r="E28" s="81"/>
      <c r="F28" s="82"/>
      <c r="G28" s="81"/>
      <c r="H28" s="81"/>
      <c r="I28" s="81"/>
      <c r="J28" s="81"/>
      <c r="K28" s="81"/>
      <c r="L28" s="81"/>
      <c r="M28" s="81"/>
      <c r="N28" s="81"/>
      <c r="O28" s="9"/>
    </row>
    <row r="29" spans="1:15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9"/>
    </row>
    <row r="30" spans="1:15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9"/>
    </row>
    <row r="31" spans="1:15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9"/>
    </row>
    <row r="32" spans="1:15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9"/>
    </row>
    <row r="33" spans="1:15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9"/>
    </row>
    <row r="34" spans="1:15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9"/>
    </row>
    <row r="35" spans="1:15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9"/>
    </row>
    <row r="36" spans="1:15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9"/>
    </row>
    <row r="37" spans="1:15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9"/>
    </row>
    <row r="38" spans="1:15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9"/>
    </row>
    <row r="39" spans="1:15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9"/>
    </row>
    <row r="40" spans="1:15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9"/>
    </row>
    <row r="41" spans="1:15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9"/>
    </row>
  </sheetData>
  <conditionalFormatting sqref="C6:C19">
    <cfRule type="cellIs" dxfId="469" priority="5" operator="equal">
      <formula>0</formula>
    </cfRule>
  </conditionalFormatting>
  <conditionalFormatting sqref="D7:D19">
    <cfRule type="cellIs" dxfId="468" priority="4" operator="equal">
      <formula>0</formula>
    </cfRule>
  </conditionalFormatting>
  <conditionalFormatting sqref="E6:N19">
    <cfRule type="cellIs" dxfId="46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S41"/>
  <sheetViews>
    <sheetView zoomScale="78" workbookViewId="0">
      <pane xSplit="1" topLeftCell="B1" activePane="topRight" state="frozen"/>
      <selection pane="topRight" activeCell="D19" sqref="D1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1.66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-0.67450911923008106</v>
      </c>
      <c r="F2" s="400">
        <f>(((D4-D19)-B4)/D4)</f>
        <v>0.20815600706053206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40</v>
      </c>
      <c r="N3" s="177" t="s">
        <v>36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562437.66999999993</v>
      </c>
      <c r="C4" s="135">
        <f>SUM(C6:C19)-C14</f>
        <v>2214765.9200000004</v>
      </c>
      <c r="D4" s="142">
        <f>SUM(D6:D19)</f>
        <v>761200.41999999993</v>
      </c>
      <c r="E4" s="217">
        <f t="shared" ref="E4:E19" si="0">IFERROR((SUM(D4-C4)/C4),0)</f>
        <v>-0.65630660417602971</v>
      </c>
      <c r="F4" s="217">
        <f>IFERROR((SUM(D4-B4)/D4),0)</f>
        <v>0.26111749912066523</v>
      </c>
      <c r="G4" s="147">
        <f>SUM(G6:G19)</f>
        <v>4756</v>
      </c>
      <c r="H4" s="218">
        <f>AVERAGE(H5:H19)</f>
        <v>137.25291859297312</v>
      </c>
      <c r="I4" s="219">
        <f>SUM(I6:I19)</f>
        <v>0</v>
      </c>
      <c r="J4" s="220">
        <f t="shared" ref="J4:J19" si="1">IFERROR(I4/G4,0)</f>
        <v>0</v>
      </c>
      <c r="K4" s="249">
        <f>SUM(K6:K19)</f>
        <v>215527.44999999995</v>
      </c>
      <c r="L4" s="222">
        <f>SUM(K4/D4)</f>
        <v>0.28314152795659253</v>
      </c>
      <c r="M4" s="244">
        <f>SUM(M6:M19)</f>
        <v>545672.97</v>
      </c>
      <c r="N4" s="222">
        <f>SUM(M4/D4)</f>
        <v>0.71685847204340747</v>
      </c>
      <c r="O4" s="141">
        <f>SUM(O6:O19)</f>
        <v>15879.7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'22 June - 28 June 2020'!D6</f>
        <v>52216.160000000003</v>
      </c>
      <c r="C6" s="123">
        <v>289905.34999999998</v>
      </c>
      <c r="D6" s="197">
        <v>76842.63</v>
      </c>
      <c r="E6" s="162">
        <f t="shared" si="0"/>
        <v>-0.73493890333517475</v>
      </c>
      <c r="F6" s="154">
        <f t="shared" ref="F6:F19" si="2">IFERROR((SUM(D6-B6)/B6),0)</f>
        <v>0.47162545081829071</v>
      </c>
      <c r="G6" s="149">
        <v>589</v>
      </c>
      <c r="H6" s="124">
        <f t="shared" ref="H6:H19" si="3">IFERROR(D6/G6,0)</f>
        <v>130.46286926994907</v>
      </c>
      <c r="I6" s="125">
        <v>0</v>
      </c>
      <c r="J6" s="126">
        <f t="shared" si="1"/>
        <v>0</v>
      </c>
      <c r="K6" s="246">
        <v>10737</v>
      </c>
      <c r="L6" s="128">
        <f t="shared" ref="L6:L19" si="4">SUM(K6/D6)</f>
        <v>0.13972712802776271</v>
      </c>
      <c r="M6" s="247">
        <f t="shared" ref="M6:M19" si="5">SUM(D6-K6)</f>
        <v>66105.63</v>
      </c>
      <c r="N6" s="128">
        <f t="shared" ref="N6:N19" si="6">SUM(M6/D6)</f>
        <v>0.86027287197223734</v>
      </c>
      <c r="O6" s="129">
        <v>2552</v>
      </c>
      <c r="P6" s="26"/>
    </row>
    <row r="7" spans="1:19" ht="15.6" customHeight="1" x14ac:dyDescent="0.3">
      <c r="A7" s="409" t="s">
        <v>16</v>
      </c>
      <c r="B7" s="200">
        <f>'22 June - 28 June 2020'!D7</f>
        <v>0</v>
      </c>
      <c r="C7" s="73">
        <v>262280.90999999997</v>
      </c>
      <c r="D7" s="145">
        <v>50110.12</v>
      </c>
      <c r="E7" s="163">
        <f t="shared" si="0"/>
        <v>-0.80894484467054806</v>
      </c>
      <c r="F7" s="155">
        <f t="shared" si="2"/>
        <v>0</v>
      </c>
      <c r="G7" s="150">
        <v>382</v>
      </c>
      <c r="H7" s="63">
        <f t="shared" si="3"/>
        <v>131.17832460732984</v>
      </c>
      <c r="I7" s="61">
        <v>0</v>
      </c>
      <c r="J7" s="28">
        <f t="shared" si="1"/>
        <v>0</v>
      </c>
      <c r="K7" s="247">
        <v>22446.97</v>
      </c>
      <c r="L7" s="89">
        <f t="shared" si="4"/>
        <v>0.44795282869009295</v>
      </c>
      <c r="M7" s="247">
        <f t="shared" si="5"/>
        <v>27663.15</v>
      </c>
      <c r="N7" s="89">
        <f t="shared" si="6"/>
        <v>0.5520471713099071</v>
      </c>
      <c r="O7" s="130">
        <v>1708.2</v>
      </c>
      <c r="P7" s="26"/>
    </row>
    <row r="8" spans="1:19" ht="15.6" customHeight="1" x14ac:dyDescent="0.3">
      <c r="A8" s="409" t="s">
        <v>17</v>
      </c>
      <c r="B8" s="200">
        <f>'22 June - 28 June 2020'!D8</f>
        <v>40317.99</v>
      </c>
      <c r="C8" s="73">
        <v>99818.07</v>
      </c>
      <c r="D8" s="145">
        <v>43962.61</v>
      </c>
      <c r="E8" s="163">
        <f t="shared" si="0"/>
        <v>-0.55957263048664441</v>
      </c>
      <c r="F8" s="155">
        <f t="shared" si="2"/>
        <v>9.0396867502571504E-2</v>
      </c>
      <c r="G8" s="150">
        <v>323</v>
      </c>
      <c r="H8" s="63">
        <f t="shared" si="3"/>
        <v>136.10715170278638</v>
      </c>
      <c r="I8" s="61">
        <v>0</v>
      </c>
      <c r="J8" s="28">
        <f t="shared" si="1"/>
        <v>0</v>
      </c>
      <c r="K8" s="247">
        <v>19622.14</v>
      </c>
      <c r="L8" s="89">
        <f t="shared" si="4"/>
        <v>0.4463370122929462</v>
      </c>
      <c r="M8" s="247">
        <f t="shared" si="5"/>
        <v>24340.47</v>
      </c>
      <c r="N8" s="89">
        <f t="shared" si="6"/>
        <v>0.5536629877070538</v>
      </c>
      <c r="O8" s="130">
        <v>642</v>
      </c>
      <c r="P8" s="26"/>
    </row>
    <row r="9" spans="1:19" ht="15.6" customHeight="1" x14ac:dyDescent="0.3">
      <c r="A9" s="409" t="s">
        <v>18</v>
      </c>
      <c r="B9" s="200">
        <f>'22 June - 28 June 2020'!D9</f>
        <v>0</v>
      </c>
      <c r="C9" s="73"/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f t="shared" si="5"/>
        <v>0</v>
      </c>
      <c r="N9" s="89" t="e">
        <f t="shared" si="6"/>
        <v>#DIV/0!</v>
      </c>
      <c r="O9" s="130">
        <v>0</v>
      </c>
      <c r="P9" s="26"/>
    </row>
    <row r="10" spans="1:19" ht="15.6" customHeight="1" x14ac:dyDescent="0.3">
      <c r="A10" s="409" t="s">
        <v>20</v>
      </c>
      <c r="B10" s="200">
        <f>'22 June - 28 June 2020'!D10</f>
        <v>88545.89</v>
      </c>
      <c r="C10" s="73">
        <v>151033.79</v>
      </c>
      <c r="D10" s="145">
        <v>93462.3</v>
      </c>
      <c r="E10" s="163">
        <f t="shared" si="0"/>
        <v>-0.38118284656698348</v>
      </c>
      <c r="F10" s="155">
        <f t="shared" si="2"/>
        <v>5.5523864518161187E-2</v>
      </c>
      <c r="G10" s="150">
        <v>484</v>
      </c>
      <c r="H10" s="63">
        <f t="shared" si="3"/>
        <v>193.10392561983471</v>
      </c>
      <c r="I10" s="61">
        <v>0</v>
      </c>
      <c r="J10" s="28">
        <f t="shared" si="1"/>
        <v>0</v>
      </c>
      <c r="K10" s="247">
        <v>34191.129999999997</v>
      </c>
      <c r="L10" s="89">
        <f t="shared" si="4"/>
        <v>0.365828039755067</v>
      </c>
      <c r="M10" s="247">
        <f t="shared" si="5"/>
        <v>59271.170000000006</v>
      </c>
      <c r="N10" s="89">
        <f t="shared" si="6"/>
        <v>0.63417196024493305</v>
      </c>
      <c r="O10" s="130">
        <v>2470.5</v>
      </c>
      <c r="P10" s="26"/>
    </row>
    <row r="11" spans="1:19" ht="15.6" customHeight="1" x14ac:dyDescent="0.3">
      <c r="A11" s="409" t="s">
        <v>21</v>
      </c>
      <c r="B11" s="200">
        <f>'22 June - 28 June 2020'!D11</f>
        <v>102239.35</v>
      </c>
      <c r="C11" s="73">
        <v>338755.04</v>
      </c>
      <c r="D11" s="145">
        <v>101159.93</v>
      </c>
      <c r="E11" s="163">
        <f t="shared" si="0"/>
        <v>-0.70137734334520896</v>
      </c>
      <c r="F11" s="155">
        <f t="shared" si="2"/>
        <v>-1.0557774477243966E-2</v>
      </c>
      <c r="G11" s="150">
        <v>497</v>
      </c>
      <c r="H11" s="63">
        <f t="shared" si="3"/>
        <v>203.54110663983903</v>
      </c>
      <c r="I11" s="61">
        <v>0</v>
      </c>
      <c r="J11" s="28">
        <f t="shared" si="1"/>
        <v>0</v>
      </c>
      <c r="K11" s="247">
        <v>20972.31</v>
      </c>
      <c r="L11" s="89">
        <f t="shared" si="4"/>
        <v>0.20731835223689857</v>
      </c>
      <c r="M11" s="247">
        <f t="shared" si="5"/>
        <v>80187.62</v>
      </c>
      <c r="N11" s="89">
        <f t="shared" si="6"/>
        <v>0.79268164776310146</v>
      </c>
      <c r="O11" s="130">
        <v>1795</v>
      </c>
      <c r="P11" s="26"/>
    </row>
    <row r="12" spans="1:19" ht="15.6" customHeight="1" x14ac:dyDescent="0.3">
      <c r="A12" s="198" t="s">
        <v>22</v>
      </c>
      <c r="B12" s="200">
        <f>'22 June - 28 June 2020'!D12</f>
        <v>33440.19</v>
      </c>
      <c r="C12" s="73">
        <v>130753.32</v>
      </c>
      <c r="D12" s="145">
        <v>43792.43</v>
      </c>
      <c r="E12" s="163">
        <f t="shared" si="0"/>
        <v>-0.66507596135991043</v>
      </c>
      <c r="F12" s="155">
        <f t="shared" si="2"/>
        <v>0.30957479607621841</v>
      </c>
      <c r="G12" s="150">
        <v>247</v>
      </c>
      <c r="H12" s="63">
        <f t="shared" si="3"/>
        <v>177.29728744939271</v>
      </c>
      <c r="I12" s="61">
        <v>0</v>
      </c>
      <c r="J12" s="28">
        <f t="shared" si="1"/>
        <v>0</v>
      </c>
      <c r="K12" s="247">
        <v>8975.9599999999991</v>
      </c>
      <c r="L12" s="89">
        <f t="shared" si="4"/>
        <v>0.20496601809947515</v>
      </c>
      <c r="M12" s="247">
        <f t="shared" si="5"/>
        <v>34816.47</v>
      </c>
      <c r="N12" s="89">
        <f t="shared" si="6"/>
        <v>0.79503398190052488</v>
      </c>
      <c r="O12" s="130">
        <v>272.5</v>
      </c>
      <c r="P12" s="26"/>
    </row>
    <row r="13" spans="1:19" ht="15.6" customHeight="1" x14ac:dyDescent="0.3">
      <c r="A13" s="198" t="s">
        <v>23</v>
      </c>
      <c r="B13" s="200">
        <f>'22 June - 28 June 2020'!D13</f>
        <v>76478.66</v>
      </c>
      <c r="C13" s="73">
        <v>216356.41</v>
      </c>
      <c r="D13" s="145">
        <v>85690.84</v>
      </c>
      <c r="E13" s="163">
        <f t="shared" si="0"/>
        <v>-0.60393667097730086</v>
      </c>
      <c r="F13" s="155">
        <f t="shared" si="2"/>
        <v>0.12045425482088719</v>
      </c>
      <c r="G13" s="150">
        <v>425</v>
      </c>
      <c r="H13" s="63">
        <f t="shared" si="3"/>
        <v>201.62550588235294</v>
      </c>
      <c r="I13" s="61">
        <v>0</v>
      </c>
      <c r="J13" s="28">
        <f t="shared" si="1"/>
        <v>0</v>
      </c>
      <c r="K13" s="247">
        <v>22562.32</v>
      </c>
      <c r="L13" s="89">
        <f t="shared" si="4"/>
        <v>0.26329908774380084</v>
      </c>
      <c r="M13" s="247">
        <f t="shared" si="5"/>
        <v>63128.52</v>
      </c>
      <c r="N13" s="89">
        <f t="shared" si="6"/>
        <v>0.73670091225619916</v>
      </c>
      <c r="O13" s="130">
        <v>886</v>
      </c>
      <c r="P13" s="26"/>
    </row>
    <row r="14" spans="1:19" ht="15.6" hidden="1" customHeight="1" x14ac:dyDescent="0.3">
      <c r="A14" s="198" t="s">
        <v>24</v>
      </c>
      <c r="B14" s="200">
        <f>'22 June - 28 June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>
        <f t="shared" si="5"/>
        <v>0</v>
      </c>
      <c r="N14" s="89" t="e">
        <f t="shared" si="6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'22 June - 28 June 2020'!D15</f>
        <v>0</v>
      </c>
      <c r="C15" s="73">
        <v>216202.84</v>
      </c>
      <c r="D15" s="145">
        <v>47775.05</v>
      </c>
      <c r="E15" s="163">
        <f t="shared" si="0"/>
        <v>-0.77902672323823308</v>
      </c>
      <c r="F15" s="155">
        <f t="shared" si="2"/>
        <v>0</v>
      </c>
      <c r="G15" s="150">
        <v>345</v>
      </c>
      <c r="H15" s="63">
        <f t="shared" si="3"/>
        <v>138.47840579710146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f t="shared" si="5"/>
        <v>47775.05</v>
      </c>
      <c r="N15" s="89">
        <f t="shared" si="6"/>
        <v>1</v>
      </c>
      <c r="O15" s="130">
        <v>487</v>
      </c>
      <c r="P15" s="9"/>
    </row>
    <row r="16" spans="1:19" ht="15.6" customHeight="1" x14ac:dyDescent="0.3">
      <c r="A16" s="198" t="s">
        <v>27</v>
      </c>
      <c r="B16" s="200">
        <f>'22 June - 28 June 2020'!D16</f>
        <v>27768.3</v>
      </c>
      <c r="C16" s="73">
        <v>133866.99</v>
      </c>
      <c r="D16" s="145">
        <v>34549.61</v>
      </c>
      <c r="E16" s="163">
        <f t="shared" si="0"/>
        <v>-0.74191090723710151</v>
      </c>
      <c r="F16" s="155">
        <f t="shared" si="2"/>
        <v>0.24421048461735148</v>
      </c>
      <c r="G16" s="150">
        <v>202</v>
      </c>
      <c r="H16" s="63">
        <f t="shared" si="3"/>
        <v>171.03767326732674</v>
      </c>
      <c r="I16" s="61">
        <v>0</v>
      </c>
      <c r="J16" s="28">
        <f t="shared" si="1"/>
        <v>0</v>
      </c>
      <c r="K16" s="247">
        <v>15186.89</v>
      </c>
      <c r="L16" s="89">
        <f t="shared" si="4"/>
        <v>0.43956762464178317</v>
      </c>
      <c r="M16" s="247">
        <f t="shared" si="5"/>
        <v>19362.72</v>
      </c>
      <c r="N16" s="89">
        <f t="shared" si="6"/>
        <v>0.56043237535821677</v>
      </c>
      <c r="O16" s="130">
        <v>1032.5</v>
      </c>
      <c r="P16" s="9"/>
      <c r="S16" s="238"/>
    </row>
    <row r="17" spans="1:16" ht="15.6" customHeight="1" x14ac:dyDescent="0.3">
      <c r="A17" s="198" t="s">
        <v>28</v>
      </c>
      <c r="B17" s="200">
        <f>'22 June - 28 June 2020'!D17</f>
        <v>57267.01</v>
      </c>
      <c r="C17" s="73">
        <v>204115.87</v>
      </c>
      <c r="D17" s="145">
        <v>70811.86</v>
      </c>
      <c r="E17" s="163">
        <f t="shared" si="0"/>
        <v>-0.65308008632547787</v>
      </c>
      <c r="F17" s="155">
        <f t="shared" si="2"/>
        <v>0.23652099175424032</v>
      </c>
      <c r="G17" s="150">
        <v>496</v>
      </c>
      <c r="H17" s="63">
        <f t="shared" si="3"/>
        <v>142.76584677419356</v>
      </c>
      <c r="I17" s="61">
        <v>0</v>
      </c>
      <c r="J17" s="28">
        <f t="shared" si="1"/>
        <v>0</v>
      </c>
      <c r="K17" s="247">
        <v>27039.74</v>
      </c>
      <c r="L17" s="89">
        <f t="shared" si="4"/>
        <v>0.38185326582298507</v>
      </c>
      <c r="M17" s="247">
        <f t="shared" si="5"/>
        <v>43772.119999999995</v>
      </c>
      <c r="N17" s="89">
        <f t="shared" si="6"/>
        <v>0.61814673417701493</v>
      </c>
      <c r="O17" s="130">
        <v>1984</v>
      </c>
      <c r="P17" s="9"/>
    </row>
    <row r="18" spans="1:16" ht="15.6" customHeight="1" x14ac:dyDescent="0.3">
      <c r="A18" s="198" t="s">
        <v>33</v>
      </c>
      <c r="B18" s="200">
        <f>'22 June - 28 June 2020'!D18</f>
        <v>48313.77</v>
      </c>
      <c r="C18" s="73">
        <v>171677.33</v>
      </c>
      <c r="D18" s="145">
        <v>72728.73</v>
      </c>
      <c r="E18" s="163">
        <f t="shared" si="0"/>
        <v>-0.57636380994508707</v>
      </c>
      <c r="F18" s="155">
        <f t="shared" si="2"/>
        <v>0.50534164483541655</v>
      </c>
      <c r="G18" s="150">
        <v>496</v>
      </c>
      <c r="H18" s="63">
        <f t="shared" si="3"/>
        <v>146.63050403225805</v>
      </c>
      <c r="I18" s="61">
        <v>0</v>
      </c>
      <c r="J18" s="28">
        <f t="shared" si="1"/>
        <v>0</v>
      </c>
      <c r="K18" s="247">
        <v>18476.990000000002</v>
      </c>
      <c r="L18" s="89">
        <f t="shared" si="4"/>
        <v>0.25405352190255492</v>
      </c>
      <c r="M18" s="247">
        <f t="shared" si="5"/>
        <v>54251.739999999991</v>
      </c>
      <c r="N18" s="89">
        <f t="shared" si="6"/>
        <v>0.74594647809744508</v>
      </c>
      <c r="O18" s="130">
        <v>965</v>
      </c>
      <c r="P18" s="9"/>
    </row>
    <row r="19" spans="1:16" ht="16.2" customHeight="1" thickBot="1" x14ac:dyDescent="0.35">
      <c r="A19" s="203" t="s">
        <v>37</v>
      </c>
      <c r="B19" s="201">
        <f>'22 June - 28 June 2020'!D19</f>
        <v>35850.35</v>
      </c>
      <c r="C19" s="205"/>
      <c r="D19" s="206">
        <v>40314.31</v>
      </c>
      <c r="E19" s="207">
        <f t="shared" si="0"/>
        <v>0</v>
      </c>
      <c r="F19" s="156">
        <f t="shared" si="2"/>
        <v>0.12451649704954064</v>
      </c>
      <c r="G19" s="151">
        <v>270</v>
      </c>
      <c r="H19" s="132">
        <f t="shared" si="3"/>
        <v>149.31225925925926</v>
      </c>
      <c r="I19" s="133">
        <v>0</v>
      </c>
      <c r="J19" s="114">
        <f t="shared" si="1"/>
        <v>0</v>
      </c>
      <c r="K19" s="248">
        <v>15316</v>
      </c>
      <c r="L19" s="116">
        <f t="shared" si="4"/>
        <v>0.37991472506908841</v>
      </c>
      <c r="M19" s="248">
        <f t="shared" si="5"/>
        <v>24998.309999999998</v>
      </c>
      <c r="N19" s="116">
        <f t="shared" si="6"/>
        <v>0.62008527493091159</v>
      </c>
      <c r="O19" s="134">
        <v>1085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66" priority="7" operator="equal">
      <formula>0</formula>
    </cfRule>
  </conditionalFormatting>
  <conditionalFormatting sqref="D7:D19">
    <cfRule type="cellIs" dxfId="465" priority="6" operator="equal">
      <formula>0</formula>
    </cfRule>
  </conditionalFormatting>
  <conditionalFormatting sqref="E6:O19">
    <cfRule type="cellIs" dxfId="46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S41"/>
  <sheetViews>
    <sheetView zoomScale="78" workbookViewId="0">
      <pane xSplit="1" topLeftCell="I1" activePane="topRight" state="frozen"/>
      <selection pane="topRight" activeCell="C8" sqref="C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1.66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-0.62658134114711461</v>
      </c>
      <c r="F2" s="400">
        <f>(((D4-D19)-B4)/D4)</f>
        <v>-5.6849228375894879E-2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40</v>
      </c>
      <c r="N3" s="177" t="s">
        <v>36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761200.41999999993</v>
      </c>
      <c r="C4" s="135">
        <f>SUM(C6:C19)-C14</f>
        <v>1922838.57</v>
      </c>
      <c r="D4" s="142">
        <f>SUM(D6:D19)</f>
        <v>759493.50999999989</v>
      </c>
      <c r="E4" s="217">
        <f t="shared" ref="E4:E19" si="0">IFERROR((SUM(D4-C4)/C4),0)</f>
        <v>-0.60501441886512608</v>
      </c>
      <c r="F4" s="217">
        <f>IFERROR((SUM(D4-B4)/D4),0)</f>
        <v>-2.24743197608105E-3</v>
      </c>
      <c r="G4" s="147">
        <f>SUM(G6:G19)</f>
        <v>3439</v>
      </c>
      <c r="H4" s="218">
        <f>AVERAGE(H5:H19)</f>
        <v>190.14859355460086</v>
      </c>
      <c r="I4" s="219">
        <f>SUM(I6:I19)</f>
        <v>0</v>
      </c>
      <c r="J4" s="220">
        <f t="shared" ref="J4:J19" si="1">IFERROR(I4/G4,0)</f>
        <v>0</v>
      </c>
      <c r="K4" s="249">
        <f>SUM(K6:K19)</f>
        <v>236470.69</v>
      </c>
      <c r="L4" s="222">
        <f>SUM(K4/D4)</f>
        <v>0.31135314112164042</v>
      </c>
      <c r="M4" s="244">
        <f>SUM(M6:M19)</f>
        <v>523022.81999999995</v>
      </c>
      <c r="N4" s="222">
        <f>SUM(M4/D4)</f>
        <v>0.68864685887835964</v>
      </c>
      <c r="O4" s="141">
        <f>SUM(O6:O19)</f>
        <v>16196.3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'29 June - 5 July 2020'!D6</f>
        <v>76842.63</v>
      </c>
      <c r="C6" s="123">
        <v>226514.71</v>
      </c>
      <c r="D6" s="197">
        <v>80792.570000000007</v>
      </c>
      <c r="E6" s="162">
        <f t="shared" si="0"/>
        <v>-0.64332307601568128</v>
      </c>
      <c r="F6" s="154">
        <f t="shared" ref="F6:F19" si="2">IFERROR((SUM(D6-B6)/B6),0)</f>
        <v>5.1402977748158829E-2</v>
      </c>
      <c r="G6" s="149">
        <v>330</v>
      </c>
      <c r="H6" s="124">
        <f t="shared" ref="H6:H19" si="3">IFERROR(D6/G6,0)</f>
        <v>244.82596969696971</v>
      </c>
      <c r="I6" s="125">
        <v>0</v>
      </c>
      <c r="J6" s="126">
        <f t="shared" si="1"/>
        <v>0</v>
      </c>
      <c r="K6" s="246">
        <v>28493.43</v>
      </c>
      <c r="L6" s="128">
        <f t="shared" ref="L6:L19" si="4">SUM(K6/D6)</f>
        <v>0.35267389068078908</v>
      </c>
      <c r="M6" s="247">
        <f t="shared" ref="M6:M19" si="5">SUM(D6-K6)</f>
        <v>52299.140000000007</v>
      </c>
      <c r="N6" s="128">
        <f t="shared" ref="N6:N19" si="6">SUM(M6/D6)</f>
        <v>0.64732610931921097</v>
      </c>
      <c r="O6" s="129">
        <v>2881</v>
      </c>
      <c r="P6" s="26"/>
    </row>
    <row r="7" spans="1:19" ht="15.6" customHeight="1" x14ac:dyDescent="0.3">
      <c r="A7" s="409" t="s">
        <v>16</v>
      </c>
      <c r="B7" s="200">
        <f>'29 June - 5 July 2020'!D7</f>
        <v>50110.12</v>
      </c>
      <c r="C7" s="73">
        <v>204794.67</v>
      </c>
      <c r="D7" s="145">
        <v>51345.599999999999</v>
      </c>
      <c r="E7" s="163">
        <f t="shared" si="0"/>
        <v>-0.74928253748010143</v>
      </c>
      <c r="F7" s="155">
        <f t="shared" si="2"/>
        <v>2.4655299169109871E-2</v>
      </c>
      <c r="G7" s="150">
        <v>224</v>
      </c>
      <c r="H7" s="63">
        <f t="shared" si="3"/>
        <v>229.22142857142856</v>
      </c>
      <c r="I7" s="61">
        <v>0</v>
      </c>
      <c r="J7" s="28">
        <f t="shared" si="1"/>
        <v>0</v>
      </c>
      <c r="K7" s="247">
        <v>28043.93</v>
      </c>
      <c r="L7" s="89">
        <f t="shared" si="4"/>
        <v>0.54617980898071117</v>
      </c>
      <c r="M7" s="247">
        <f t="shared" si="5"/>
        <v>23301.67</v>
      </c>
      <c r="N7" s="89">
        <f t="shared" si="6"/>
        <v>0.45382019101928889</v>
      </c>
      <c r="O7" s="130">
        <v>1155</v>
      </c>
      <c r="P7" s="26"/>
    </row>
    <row r="8" spans="1:19" ht="15.6" customHeight="1" x14ac:dyDescent="0.3">
      <c r="A8" s="409" t="s">
        <v>17</v>
      </c>
      <c r="B8" s="200">
        <f>'29 June - 5 July 2020'!D8</f>
        <v>43962.61</v>
      </c>
      <c r="C8" s="73">
        <v>95007.63</v>
      </c>
      <c r="D8" s="145">
        <v>46298.73</v>
      </c>
      <c r="E8" s="163">
        <f t="shared" si="0"/>
        <v>-0.51268408653073438</v>
      </c>
      <c r="F8" s="155">
        <f t="shared" si="2"/>
        <v>5.3138792260059235E-2</v>
      </c>
      <c r="G8" s="150">
        <v>247</v>
      </c>
      <c r="H8" s="63">
        <f t="shared" si="3"/>
        <v>187.44425101214577</v>
      </c>
      <c r="I8" s="61">
        <v>0</v>
      </c>
      <c r="J8" s="28">
        <f t="shared" si="1"/>
        <v>0</v>
      </c>
      <c r="K8" s="247">
        <v>26276</v>
      </c>
      <c r="L8" s="89">
        <f t="shared" si="4"/>
        <v>0.56753176599012534</v>
      </c>
      <c r="M8" s="247">
        <f t="shared" si="5"/>
        <v>20022.730000000003</v>
      </c>
      <c r="N8" s="89">
        <f t="shared" si="6"/>
        <v>0.43246823400987461</v>
      </c>
      <c r="O8" s="130">
        <v>735.3</v>
      </c>
      <c r="P8" s="26"/>
    </row>
    <row r="9" spans="1:19" ht="15.6" customHeight="1" x14ac:dyDescent="0.3">
      <c r="A9" s="409" t="s">
        <v>18</v>
      </c>
      <c r="B9" s="200">
        <f>'29 June - 5 July 2020'!D9</f>
        <v>0</v>
      </c>
      <c r="C9" s="73">
        <v>0</v>
      </c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f t="shared" si="5"/>
        <v>0</v>
      </c>
      <c r="N9" s="89" t="e">
        <f t="shared" si="6"/>
        <v>#DIV/0!</v>
      </c>
      <c r="O9" s="130">
        <v>0</v>
      </c>
      <c r="P9" s="26"/>
    </row>
    <row r="10" spans="1:19" ht="15.6" customHeight="1" x14ac:dyDescent="0.3">
      <c r="A10" s="409" t="s">
        <v>20</v>
      </c>
      <c r="B10" s="200">
        <f>'29 June - 5 July 2020'!D10</f>
        <v>93462.3</v>
      </c>
      <c r="C10" s="73">
        <v>131503.14000000001</v>
      </c>
      <c r="D10" s="145">
        <v>81602.67</v>
      </c>
      <c r="E10" s="163">
        <f t="shared" si="0"/>
        <v>-0.37946219383050483</v>
      </c>
      <c r="F10" s="155">
        <f t="shared" si="2"/>
        <v>-0.12689212655798118</v>
      </c>
      <c r="G10" s="150">
        <v>431</v>
      </c>
      <c r="H10" s="63">
        <f t="shared" si="3"/>
        <v>189.33334106728537</v>
      </c>
      <c r="I10" s="61">
        <v>0</v>
      </c>
      <c r="J10" s="28">
        <f t="shared" si="1"/>
        <v>0</v>
      </c>
      <c r="K10" s="247">
        <v>30422.79</v>
      </c>
      <c r="L10" s="89">
        <f t="shared" si="4"/>
        <v>0.37281611006110466</v>
      </c>
      <c r="M10" s="247">
        <f t="shared" si="5"/>
        <v>51179.88</v>
      </c>
      <c r="N10" s="89">
        <f t="shared" si="6"/>
        <v>0.6271838899388954</v>
      </c>
      <c r="O10" s="130">
        <v>1589</v>
      </c>
      <c r="P10" s="26"/>
    </row>
    <row r="11" spans="1:19" ht="15.6" customHeight="1" x14ac:dyDescent="0.3">
      <c r="A11" s="409" t="s">
        <v>21</v>
      </c>
      <c r="B11" s="200">
        <f>'29 June - 5 July 2020'!D11</f>
        <v>101159.93</v>
      </c>
      <c r="C11" s="73">
        <v>326039.56</v>
      </c>
      <c r="D11" s="145">
        <v>108225.4</v>
      </c>
      <c r="E11" s="163">
        <f t="shared" si="0"/>
        <v>-0.66806052615210254</v>
      </c>
      <c r="F11" s="155">
        <f t="shared" si="2"/>
        <v>6.984455208697754E-2</v>
      </c>
      <c r="G11" s="150">
        <v>455</v>
      </c>
      <c r="H11" s="63">
        <f t="shared" si="3"/>
        <v>237.85802197802195</v>
      </c>
      <c r="I11" s="61">
        <v>0</v>
      </c>
      <c r="J11" s="28">
        <f t="shared" si="1"/>
        <v>0</v>
      </c>
      <c r="K11" s="247">
        <v>19218.13</v>
      </c>
      <c r="L11" s="89">
        <f t="shared" si="4"/>
        <v>0.17757504245768554</v>
      </c>
      <c r="M11" s="247">
        <f t="shared" si="5"/>
        <v>89007.26999999999</v>
      </c>
      <c r="N11" s="89">
        <f t="shared" si="6"/>
        <v>0.82242495754231437</v>
      </c>
      <c r="O11" s="130">
        <v>864.5</v>
      </c>
      <c r="P11" s="26"/>
    </row>
    <row r="12" spans="1:19" ht="15.6" customHeight="1" x14ac:dyDescent="0.3">
      <c r="A12" s="198" t="s">
        <v>22</v>
      </c>
      <c r="B12" s="200">
        <f>'29 June - 5 July 2020'!D12</f>
        <v>43792.43</v>
      </c>
      <c r="C12" s="73">
        <v>125918.89</v>
      </c>
      <c r="D12" s="145">
        <v>43519.28</v>
      </c>
      <c r="E12" s="163">
        <f t="shared" si="0"/>
        <v>-0.65438640699580497</v>
      </c>
      <c r="F12" s="155">
        <f t="shared" si="2"/>
        <v>-6.2373793826924302E-3</v>
      </c>
      <c r="G12" s="150">
        <v>172</v>
      </c>
      <c r="H12" s="63">
        <f t="shared" si="3"/>
        <v>253.01906976744186</v>
      </c>
      <c r="I12" s="61">
        <v>0</v>
      </c>
      <c r="J12" s="28">
        <f t="shared" si="1"/>
        <v>0</v>
      </c>
      <c r="K12" s="247">
        <v>4204.43</v>
      </c>
      <c r="L12" s="89">
        <f t="shared" si="4"/>
        <v>9.6610743560095677E-2</v>
      </c>
      <c r="M12" s="247">
        <f t="shared" si="5"/>
        <v>39314.85</v>
      </c>
      <c r="N12" s="89">
        <f t="shared" si="6"/>
        <v>0.90338925643990431</v>
      </c>
      <c r="O12" s="130">
        <v>317.5</v>
      </c>
      <c r="P12" s="26"/>
    </row>
    <row r="13" spans="1:19" ht="15.6" customHeight="1" x14ac:dyDescent="0.3">
      <c r="A13" s="198" t="s">
        <v>23</v>
      </c>
      <c r="B13" s="200">
        <f>'29 June - 5 July 2020'!D13</f>
        <v>85690.84</v>
      </c>
      <c r="C13" s="73">
        <v>197895.08</v>
      </c>
      <c r="D13" s="145">
        <v>86048.79</v>
      </c>
      <c r="E13" s="163">
        <f t="shared" si="0"/>
        <v>-0.56517974069896026</v>
      </c>
      <c r="F13" s="155">
        <f t="shared" si="2"/>
        <v>4.1772259438698127E-3</v>
      </c>
      <c r="G13" s="150">
        <v>362</v>
      </c>
      <c r="H13" s="63">
        <f t="shared" si="3"/>
        <v>237.70383977900551</v>
      </c>
      <c r="I13" s="61">
        <v>0</v>
      </c>
      <c r="J13" s="28">
        <f t="shared" si="1"/>
        <v>0</v>
      </c>
      <c r="K13" s="247">
        <v>28911.9</v>
      </c>
      <c r="L13" s="89">
        <f t="shared" si="4"/>
        <v>0.33599426557886525</v>
      </c>
      <c r="M13" s="247">
        <f t="shared" si="5"/>
        <v>57136.889999999992</v>
      </c>
      <c r="N13" s="89">
        <f t="shared" si="6"/>
        <v>0.66400573442113475</v>
      </c>
      <c r="O13" s="130">
        <v>978</v>
      </c>
      <c r="P13" s="26"/>
    </row>
    <row r="14" spans="1:19" ht="15.6" hidden="1" customHeight="1" x14ac:dyDescent="0.3">
      <c r="A14" s="198" t="s">
        <v>24</v>
      </c>
      <c r="B14" s="200">
        <f>'29 June - 5 July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>
        <f t="shared" si="5"/>
        <v>0</v>
      </c>
      <c r="N14" s="89" t="e">
        <f t="shared" si="6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'29 June - 5 July 2020'!D15</f>
        <v>47775.05</v>
      </c>
      <c r="C15" s="73">
        <v>157538.72</v>
      </c>
      <c r="D15" s="145">
        <v>53938.79</v>
      </c>
      <c r="E15" s="163">
        <f t="shared" si="0"/>
        <v>-0.65761566426336326</v>
      </c>
      <c r="F15" s="155">
        <f t="shared" si="2"/>
        <v>0.12901587753440336</v>
      </c>
      <c r="G15" s="150">
        <v>214</v>
      </c>
      <c r="H15" s="63">
        <f t="shared" si="3"/>
        <v>252.05042056074765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f t="shared" si="5"/>
        <v>53938.79</v>
      </c>
      <c r="N15" s="89">
        <f t="shared" si="6"/>
        <v>1</v>
      </c>
      <c r="O15" s="130">
        <v>1658</v>
      </c>
      <c r="P15" s="9"/>
    </row>
    <row r="16" spans="1:19" ht="15.6" customHeight="1" x14ac:dyDescent="0.3">
      <c r="A16" s="198" t="s">
        <v>27</v>
      </c>
      <c r="B16" s="200">
        <f>'29 June - 5 July 2020'!D16</f>
        <v>34549.61</v>
      </c>
      <c r="C16" s="73">
        <v>107345.47</v>
      </c>
      <c r="D16" s="145">
        <v>47187.09</v>
      </c>
      <c r="E16" s="163">
        <f t="shared" si="0"/>
        <v>-0.56041843218908072</v>
      </c>
      <c r="F16" s="155">
        <f t="shared" si="2"/>
        <v>0.36577779025580887</v>
      </c>
      <c r="G16" s="150">
        <v>211</v>
      </c>
      <c r="H16" s="63">
        <f t="shared" si="3"/>
        <v>223.63549763033174</v>
      </c>
      <c r="I16" s="61">
        <v>0</v>
      </c>
      <c r="J16" s="28">
        <f t="shared" si="1"/>
        <v>0</v>
      </c>
      <c r="K16" s="247">
        <v>13681.9</v>
      </c>
      <c r="L16" s="89">
        <f t="shared" si="4"/>
        <v>0.2899500689701357</v>
      </c>
      <c r="M16" s="247">
        <f t="shared" si="5"/>
        <v>33505.189999999995</v>
      </c>
      <c r="N16" s="89">
        <f t="shared" si="6"/>
        <v>0.71004993102986425</v>
      </c>
      <c r="O16" s="130">
        <v>1074</v>
      </c>
      <c r="P16" s="9"/>
      <c r="S16" s="238"/>
    </row>
    <row r="17" spans="1:16" ht="15.6" customHeight="1" x14ac:dyDescent="0.3">
      <c r="A17" s="198" t="s">
        <v>28</v>
      </c>
      <c r="B17" s="200">
        <f>'29 June - 5 July 2020'!D17</f>
        <v>70811.86</v>
      </c>
      <c r="C17" s="73">
        <v>190547.85</v>
      </c>
      <c r="D17" s="145">
        <v>63047.6</v>
      </c>
      <c r="E17" s="163">
        <f t="shared" si="0"/>
        <v>-0.6691245794691465</v>
      </c>
      <c r="F17" s="155">
        <f t="shared" si="2"/>
        <v>-0.10964632195793193</v>
      </c>
      <c r="G17" s="150">
        <v>318</v>
      </c>
      <c r="H17" s="63">
        <f t="shared" si="3"/>
        <v>198.26289308176101</v>
      </c>
      <c r="I17" s="61">
        <v>0</v>
      </c>
      <c r="J17" s="28">
        <f t="shared" si="1"/>
        <v>0</v>
      </c>
      <c r="K17" s="247">
        <v>23390.32</v>
      </c>
      <c r="L17" s="89">
        <f t="shared" si="4"/>
        <v>0.37099461359353886</v>
      </c>
      <c r="M17" s="247">
        <f t="shared" si="5"/>
        <v>39657.279999999999</v>
      </c>
      <c r="N17" s="89">
        <f t="shared" si="6"/>
        <v>0.6290053864064612</v>
      </c>
      <c r="O17" s="130">
        <v>2078.5</v>
      </c>
      <c r="P17" s="9"/>
    </row>
    <row r="18" spans="1:16" ht="15.6" customHeight="1" x14ac:dyDescent="0.3">
      <c r="A18" s="198" t="s">
        <v>33</v>
      </c>
      <c r="B18" s="200">
        <f>'29 June - 5 July 2020'!D18</f>
        <v>72728.73</v>
      </c>
      <c r="C18" s="73">
        <v>159732.85</v>
      </c>
      <c r="D18" s="145">
        <v>56017.279999999999</v>
      </c>
      <c r="E18" s="163">
        <f t="shared" si="0"/>
        <v>-0.64930645136551435</v>
      </c>
      <c r="F18" s="155">
        <f t="shared" si="2"/>
        <v>-0.22977783332666468</v>
      </c>
      <c r="G18" s="150">
        <v>264</v>
      </c>
      <c r="H18" s="63">
        <f t="shared" si="3"/>
        <v>212.18666666666667</v>
      </c>
      <c r="I18" s="61">
        <v>0</v>
      </c>
      <c r="J18" s="28">
        <f t="shared" si="1"/>
        <v>0</v>
      </c>
      <c r="K18" s="247">
        <v>16663.86</v>
      </c>
      <c r="L18" s="89">
        <f t="shared" si="4"/>
        <v>0.2974771356267209</v>
      </c>
      <c r="M18" s="247">
        <f t="shared" si="5"/>
        <v>39353.42</v>
      </c>
      <c r="N18" s="89">
        <f t="shared" si="6"/>
        <v>0.70252286437327904</v>
      </c>
      <c r="O18" s="130">
        <v>1313.5</v>
      </c>
      <c r="P18" s="9"/>
    </row>
    <row r="19" spans="1:16" ht="16.2" customHeight="1" thickBot="1" x14ac:dyDescent="0.35">
      <c r="A19" s="203" t="s">
        <v>37</v>
      </c>
      <c r="B19" s="201">
        <f>'29 June - 5 July 2020'!D19</f>
        <v>40314.31</v>
      </c>
      <c r="C19" s="205"/>
      <c r="D19" s="206">
        <v>41469.71</v>
      </c>
      <c r="E19" s="207">
        <f t="shared" si="0"/>
        <v>0</v>
      </c>
      <c r="F19" s="156">
        <f t="shared" si="2"/>
        <v>2.8659798468583526E-2</v>
      </c>
      <c r="G19" s="151">
        <v>211</v>
      </c>
      <c r="H19" s="132">
        <f t="shared" si="3"/>
        <v>196.53890995260664</v>
      </c>
      <c r="I19" s="133">
        <v>0</v>
      </c>
      <c r="J19" s="114">
        <f t="shared" si="1"/>
        <v>0</v>
      </c>
      <c r="K19" s="248">
        <v>17164</v>
      </c>
      <c r="L19" s="116">
        <f t="shared" si="4"/>
        <v>0.41389245306996358</v>
      </c>
      <c r="M19" s="248">
        <f t="shared" si="5"/>
        <v>24305.71</v>
      </c>
      <c r="N19" s="116">
        <f t="shared" si="6"/>
        <v>0.58610754693003642</v>
      </c>
      <c r="O19" s="134">
        <v>1552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63" priority="6" operator="equal">
      <formula>0</formula>
    </cfRule>
  </conditionalFormatting>
  <conditionalFormatting sqref="D7:D19">
    <cfRule type="cellIs" dxfId="462" priority="5" operator="equal">
      <formula>0</formula>
    </cfRule>
  </conditionalFormatting>
  <conditionalFormatting sqref="E6:O19">
    <cfRule type="cellIs" dxfId="46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S41"/>
  <sheetViews>
    <sheetView zoomScale="70" zoomScaleNormal="70" workbookViewId="0">
      <pane xSplit="1" topLeftCell="B1" activePane="topRight" state="frozen"/>
      <selection pane="topRight" activeCell="E15" sqref="E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1.66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-0.62822966800434921</v>
      </c>
      <c r="F2" s="400">
        <f>(((D4-D19)-B4)/D4)</f>
        <v>-5.8276572142571405E-2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40</v>
      </c>
      <c r="N3" s="177" t="s">
        <v>36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759493.50999999989</v>
      </c>
      <c r="C4" s="135">
        <f>SUM(C6:C19)-C14</f>
        <v>1925245.1</v>
      </c>
      <c r="D4" s="142">
        <f>SUM(D6:D19)</f>
        <v>750636.12</v>
      </c>
      <c r="E4" s="217">
        <f t="shared" ref="E4:E19" si="0">IFERROR((SUM(D4-C4)/C4),0)</f>
        <v>-0.61010880121185607</v>
      </c>
      <c r="F4" s="217">
        <f>IFERROR((SUM(D4-B4)/D4),0)</f>
        <v>-1.1799845176648172E-2</v>
      </c>
      <c r="G4" s="147">
        <f>SUM(G6:G19)</f>
        <v>3085</v>
      </c>
      <c r="H4" s="218">
        <f>AVERAGE(H5:H19)</f>
        <v>209.64685319049843</v>
      </c>
      <c r="I4" s="219">
        <f>SUM(I6:I19)</f>
        <v>0</v>
      </c>
      <c r="J4" s="220">
        <f t="shared" ref="J4:J19" si="1">IFERROR(I4/G4,0)</f>
        <v>0</v>
      </c>
      <c r="K4" s="249">
        <f>SUM(K6:K19)</f>
        <v>196907.62</v>
      </c>
      <c r="L4" s="222">
        <f>SUM(K4/D4)</f>
        <v>0.26232100315130052</v>
      </c>
      <c r="M4" s="244">
        <f>SUM(M6:M19)</f>
        <v>553728.5</v>
      </c>
      <c r="N4" s="222">
        <f>SUM(M4/D4)</f>
        <v>0.73767899684869953</v>
      </c>
      <c r="O4" s="141">
        <f>SUM(O6:O19)</f>
        <v>15780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'6 July - 12 July 2020'!D6</f>
        <v>80792.570000000007</v>
      </c>
      <c r="C6" s="123">
        <v>246778.34</v>
      </c>
      <c r="D6" s="197">
        <v>72545.98</v>
      </c>
      <c r="E6" s="162">
        <f t="shared" si="0"/>
        <v>-0.70602776564588277</v>
      </c>
      <c r="F6" s="154">
        <f t="shared" ref="F6:F19" si="2">IFERROR((SUM(D6-B6)/B6),0)</f>
        <v>-0.10207114342321343</v>
      </c>
      <c r="G6" s="149">
        <v>237</v>
      </c>
      <c r="H6" s="124">
        <f t="shared" ref="H6:H19" si="3">IFERROR(D6/G6,0)</f>
        <v>306.10118143459914</v>
      </c>
      <c r="I6" s="125">
        <v>0</v>
      </c>
      <c r="J6" s="126">
        <f t="shared" si="1"/>
        <v>0</v>
      </c>
      <c r="K6" s="246">
        <v>15538</v>
      </c>
      <c r="L6" s="128">
        <f t="shared" ref="L6:L19" si="4">SUM(K6/D6)</f>
        <v>0.21418140605447747</v>
      </c>
      <c r="M6" s="247">
        <f t="shared" ref="M6:M19" si="5">SUM(D6-K6)</f>
        <v>57007.979999999996</v>
      </c>
      <c r="N6" s="128">
        <f t="shared" ref="N6:N19" si="6">SUM(M6/D6)</f>
        <v>0.78581859394552256</v>
      </c>
      <c r="O6" s="129">
        <v>1700</v>
      </c>
      <c r="P6" s="26"/>
    </row>
    <row r="7" spans="1:19" ht="15.6" customHeight="1" x14ac:dyDescent="0.3">
      <c r="A7" s="409" t="s">
        <v>16</v>
      </c>
      <c r="B7" s="200">
        <f>'6 July - 12 July 2020'!D7</f>
        <v>51345.599999999999</v>
      </c>
      <c r="C7" s="73">
        <v>191381.89</v>
      </c>
      <c r="D7" s="145">
        <v>58282.09</v>
      </c>
      <c r="E7" s="163">
        <f t="shared" si="0"/>
        <v>-0.69546705803772768</v>
      </c>
      <c r="F7" s="155">
        <f t="shared" si="2"/>
        <v>0.13509414633386305</v>
      </c>
      <c r="G7" s="150">
        <v>261</v>
      </c>
      <c r="H7" s="63">
        <f t="shared" si="3"/>
        <v>223.30302681992336</v>
      </c>
      <c r="I7" s="61">
        <v>0</v>
      </c>
      <c r="J7" s="28">
        <f t="shared" si="1"/>
        <v>0</v>
      </c>
      <c r="K7" s="247">
        <v>27798.82</v>
      </c>
      <c r="L7" s="89">
        <f t="shared" si="4"/>
        <v>0.47697019787725531</v>
      </c>
      <c r="M7" s="247">
        <f t="shared" si="5"/>
        <v>30483.269999999997</v>
      </c>
      <c r="N7" s="89">
        <f t="shared" si="6"/>
        <v>0.52302980212274475</v>
      </c>
      <c r="O7" s="130">
        <v>2257</v>
      </c>
      <c r="P7" s="26"/>
    </row>
    <row r="8" spans="1:19" ht="15.6" customHeight="1" x14ac:dyDescent="0.3">
      <c r="A8" s="409" t="s">
        <v>17</v>
      </c>
      <c r="B8" s="200">
        <f>'6 July - 12 July 2020'!D8</f>
        <v>46298.73</v>
      </c>
      <c r="C8" s="73">
        <v>97633.12</v>
      </c>
      <c r="D8" s="145">
        <v>48298.25</v>
      </c>
      <c r="E8" s="163">
        <f t="shared" si="0"/>
        <v>-0.50530875178423063</v>
      </c>
      <c r="F8" s="155">
        <f t="shared" si="2"/>
        <v>4.3187361726768674E-2</v>
      </c>
      <c r="G8" s="150">
        <v>230</v>
      </c>
      <c r="H8" s="63">
        <f t="shared" si="3"/>
        <v>209.99239130434782</v>
      </c>
      <c r="I8" s="61">
        <v>0</v>
      </c>
      <c r="J8" s="28">
        <f t="shared" si="1"/>
        <v>0</v>
      </c>
      <c r="K8" s="247">
        <v>29384.77</v>
      </c>
      <c r="L8" s="89">
        <f t="shared" si="4"/>
        <v>0.60840237482724535</v>
      </c>
      <c r="M8" s="247">
        <f t="shared" si="5"/>
        <v>18913.48</v>
      </c>
      <c r="N8" s="89">
        <f t="shared" si="6"/>
        <v>0.3915976251727547</v>
      </c>
      <c r="O8" s="130">
        <v>1075</v>
      </c>
      <c r="P8" s="26"/>
    </row>
    <row r="9" spans="1:19" ht="15.6" customHeight="1" x14ac:dyDescent="0.3">
      <c r="A9" s="409" t="s">
        <v>18</v>
      </c>
      <c r="B9" s="200">
        <f>'6 July - 12 July 2020'!D9</f>
        <v>0</v>
      </c>
      <c r="C9" s="73">
        <v>0</v>
      </c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f t="shared" si="5"/>
        <v>0</v>
      </c>
      <c r="N9" s="89" t="e">
        <f t="shared" si="6"/>
        <v>#DIV/0!</v>
      </c>
      <c r="O9" s="130">
        <v>0</v>
      </c>
      <c r="P9" s="26"/>
    </row>
    <row r="10" spans="1:19" ht="15.6" customHeight="1" x14ac:dyDescent="0.3">
      <c r="A10" s="409" t="s">
        <v>20</v>
      </c>
      <c r="B10" s="200">
        <f>'6 July - 12 July 2020'!D10</f>
        <v>81602.67</v>
      </c>
      <c r="C10" s="73">
        <v>142718.31</v>
      </c>
      <c r="D10" s="145">
        <v>74387.09</v>
      </c>
      <c r="E10" s="163">
        <f t="shared" si="0"/>
        <v>-0.47878383649582174</v>
      </c>
      <c r="F10" s="155">
        <f t="shared" si="2"/>
        <v>-8.8423332226751916E-2</v>
      </c>
      <c r="G10" s="150">
        <v>275</v>
      </c>
      <c r="H10" s="63">
        <f t="shared" si="3"/>
        <v>270.49850909090907</v>
      </c>
      <c r="I10" s="61">
        <v>0</v>
      </c>
      <c r="J10" s="28">
        <f t="shared" si="1"/>
        <v>0</v>
      </c>
      <c r="K10" s="247">
        <v>24975.919999999998</v>
      </c>
      <c r="L10" s="89">
        <f t="shared" si="4"/>
        <v>0.33575611036807596</v>
      </c>
      <c r="M10" s="247">
        <f t="shared" si="5"/>
        <v>49411.17</v>
      </c>
      <c r="N10" s="89">
        <f t="shared" si="6"/>
        <v>0.66424388963192404</v>
      </c>
      <c r="O10" s="130">
        <v>1194.5</v>
      </c>
      <c r="P10" s="26"/>
    </row>
    <row r="11" spans="1:19" ht="15.6" customHeight="1" x14ac:dyDescent="0.3">
      <c r="A11" s="409" t="s">
        <v>21</v>
      </c>
      <c r="B11" s="200">
        <f>'6 July - 12 July 2020'!D11</f>
        <v>108225.4</v>
      </c>
      <c r="C11" s="73">
        <v>312926.61</v>
      </c>
      <c r="D11" s="145">
        <v>92576.49</v>
      </c>
      <c r="E11" s="163">
        <f t="shared" si="0"/>
        <v>-0.70415909979659452</v>
      </c>
      <c r="F11" s="155">
        <f t="shared" si="2"/>
        <v>-0.14459553857042792</v>
      </c>
      <c r="G11" s="150">
        <v>431</v>
      </c>
      <c r="H11" s="63">
        <f t="shared" si="3"/>
        <v>214.79464037122972</v>
      </c>
      <c r="I11" s="61">
        <v>0</v>
      </c>
      <c r="J11" s="28">
        <f t="shared" si="1"/>
        <v>0</v>
      </c>
      <c r="K11" s="247">
        <v>15797.43</v>
      </c>
      <c r="L11" s="89">
        <f t="shared" si="4"/>
        <v>0.17064191999502248</v>
      </c>
      <c r="M11" s="247">
        <f t="shared" si="5"/>
        <v>76779.06</v>
      </c>
      <c r="N11" s="89">
        <f t="shared" si="6"/>
        <v>0.82935808000497746</v>
      </c>
      <c r="O11" s="130">
        <v>932</v>
      </c>
      <c r="P11" s="26"/>
    </row>
    <row r="12" spans="1:19" ht="15.6" customHeight="1" x14ac:dyDescent="0.3">
      <c r="A12" s="198" t="s">
        <v>22</v>
      </c>
      <c r="B12" s="200">
        <f>'6 July - 12 July 2020'!D12</f>
        <v>43519.28</v>
      </c>
      <c r="C12" s="73">
        <v>130704.49</v>
      </c>
      <c r="D12" s="145">
        <v>41476.379999999997</v>
      </c>
      <c r="E12" s="163">
        <f t="shared" si="0"/>
        <v>-0.68267058002368552</v>
      </c>
      <c r="F12" s="155">
        <f t="shared" si="2"/>
        <v>-4.694241265020932E-2</v>
      </c>
      <c r="G12" s="150">
        <v>151</v>
      </c>
      <c r="H12" s="63">
        <f t="shared" si="3"/>
        <v>274.67801324503307</v>
      </c>
      <c r="I12" s="61">
        <v>0</v>
      </c>
      <c r="J12" s="28">
        <f t="shared" si="1"/>
        <v>0</v>
      </c>
      <c r="K12" s="247">
        <v>2073.6999999999998</v>
      </c>
      <c r="L12" s="89">
        <f t="shared" si="4"/>
        <v>4.9997130897151583E-2</v>
      </c>
      <c r="M12" s="247">
        <f t="shared" si="5"/>
        <v>39402.68</v>
      </c>
      <c r="N12" s="89">
        <f t="shared" si="6"/>
        <v>0.95000286910284848</v>
      </c>
      <c r="O12" s="130">
        <v>855.5</v>
      </c>
      <c r="P12" s="26"/>
    </row>
    <row r="13" spans="1:19" ht="15.6" customHeight="1" x14ac:dyDescent="0.3">
      <c r="A13" s="198" t="s">
        <v>23</v>
      </c>
      <c r="B13" s="200">
        <f>'6 July - 12 July 2020'!D13</f>
        <v>86048.79</v>
      </c>
      <c r="C13" s="73">
        <v>187064.58</v>
      </c>
      <c r="D13" s="145">
        <v>91864.47</v>
      </c>
      <c r="E13" s="163">
        <f t="shared" si="0"/>
        <v>-0.50891574449850419</v>
      </c>
      <c r="F13" s="155">
        <f t="shared" si="2"/>
        <v>6.7585842868912019E-2</v>
      </c>
      <c r="G13" s="150">
        <v>333</v>
      </c>
      <c r="H13" s="63">
        <f t="shared" si="3"/>
        <v>275.86927927927928</v>
      </c>
      <c r="I13" s="61">
        <v>0</v>
      </c>
      <c r="J13" s="28">
        <f t="shared" si="1"/>
        <v>0</v>
      </c>
      <c r="K13" s="247">
        <v>15545.7</v>
      </c>
      <c r="L13" s="89">
        <f t="shared" si="4"/>
        <v>0.16922429313531118</v>
      </c>
      <c r="M13" s="247">
        <f t="shared" si="5"/>
        <v>76318.77</v>
      </c>
      <c r="N13" s="89">
        <f t="shared" si="6"/>
        <v>0.83077570686468882</v>
      </c>
      <c r="O13" s="130">
        <v>618</v>
      </c>
      <c r="P13" s="26"/>
    </row>
    <row r="14" spans="1:19" ht="15.6" hidden="1" customHeight="1" x14ac:dyDescent="0.3">
      <c r="A14" s="198" t="s">
        <v>24</v>
      </c>
      <c r="B14" s="200">
        <f>'6 July - 12 July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>
        <f t="shared" si="5"/>
        <v>0</v>
      </c>
      <c r="N14" s="89" t="e">
        <f t="shared" si="6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'6 July - 12 July 2020'!D15</f>
        <v>53938.79</v>
      </c>
      <c r="C15" s="73">
        <v>151349.99</v>
      </c>
      <c r="D15" s="145">
        <v>57907.26</v>
      </c>
      <c r="E15" s="163">
        <f t="shared" si="0"/>
        <v>-0.61739501931912899</v>
      </c>
      <c r="F15" s="155">
        <f t="shared" si="2"/>
        <v>7.3573582203086144E-2</v>
      </c>
      <c r="G15" s="150">
        <v>241</v>
      </c>
      <c r="H15" s="63">
        <f t="shared" si="3"/>
        <v>240.27908713692946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f t="shared" si="5"/>
        <v>57907.26</v>
      </c>
      <c r="N15" s="89">
        <f t="shared" si="6"/>
        <v>1</v>
      </c>
      <c r="O15" s="130">
        <v>1337</v>
      </c>
      <c r="P15" s="9"/>
    </row>
    <row r="16" spans="1:19" ht="15.6" customHeight="1" x14ac:dyDescent="0.3">
      <c r="A16" s="198" t="s">
        <v>27</v>
      </c>
      <c r="B16" s="200">
        <f>'6 July - 12 July 2020'!D16</f>
        <v>47187.09</v>
      </c>
      <c r="C16" s="73">
        <v>115444.65</v>
      </c>
      <c r="D16" s="145">
        <v>46581.21</v>
      </c>
      <c r="E16" s="163">
        <f t="shared" si="0"/>
        <v>-0.59650611786687391</v>
      </c>
      <c r="F16" s="155">
        <f t="shared" si="2"/>
        <v>-1.2839952622634654E-2</v>
      </c>
      <c r="G16" s="150">
        <v>196</v>
      </c>
      <c r="H16" s="63">
        <f t="shared" si="3"/>
        <v>237.65923469387755</v>
      </c>
      <c r="I16" s="61">
        <v>0</v>
      </c>
      <c r="J16" s="28">
        <f t="shared" si="1"/>
        <v>0</v>
      </c>
      <c r="K16" s="247">
        <v>14637.32</v>
      </c>
      <c r="L16" s="89">
        <f t="shared" si="4"/>
        <v>0.31423228378996593</v>
      </c>
      <c r="M16" s="247">
        <f t="shared" si="5"/>
        <v>31943.89</v>
      </c>
      <c r="N16" s="89">
        <f t="shared" si="6"/>
        <v>0.68576771621003407</v>
      </c>
      <c r="O16" s="130">
        <v>1441</v>
      </c>
      <c r="P16" s="9"/>
      <c r="S16" s="238"/>
    </row>
    <row r="17" spans="1:16" ht="15.6" customHeight="1" x14ac:dyDescent="0.3">
      <c r="A17" s="198" t="s">
        <v>28</v>
      </c>
      <c r="B17" s="200">
        <f>'6 July - 12 July 2020'!D17</f>
        <v>63047.6</v>
      </c>
      <c r="C17" s="73">
        <v>188856.74</v>
      </c>
      <c r="D17" s="145">
        <v>71145.759999999995</v>
      </c>
      <c r="E17" s="163">
        <f t="shared" si="0"/>
        <v>-0.62328185904299738</v>
      </c>
      <c r="F17" s="155">
        <f t="shared" si="2"/>
        <v>0.12844517475685033</v>
      </c>
      <c r="G17" s="150">
        <v>315</v>
      </c>
      <c r="H17" s="63">
        <f t="shared" si="3"/>
        <v>225.85955555555554</v>
      </c>
      <c r="I17" s="61">
        <v>0</v>
      </c>
      <c r="J17" s="28">
        <f t="shared" si="1"/>
        <v>0</v>
      </c>
      <c r="K17" s="247">
        <v>22798.959999999999</v>
      </c>
      <c r="L17" s="89">
        <f t="shared" si="4"/>
        <v>0.32045423367464204</v>
      </c>
      <c r="M17" s="247">
        <f t="shared" si="5"/>
        <v>48346.799999999996</v>
      </c>
      <c r="N17" s="89">
        <f t="shared" si="6"/>
        <v>0.6795457663253579</v>
      </c>
      <c r="O17" s="130">
        <v>2048.5</v>
      </c>
      <c r="P17" s="9"/>
    </row>
    <row r="18" spans="1:16" ht="15.6" customHeight="1" x14ac:dyDescent="0.3">
      <c r="A18" s="198" t="s">
        <v>33</v>
      </c>
      <c r="B18" s="200">
        <f>'6 July - 12 July 2020'!D18</f>
        <v>56017.279999999999</v>
      </c>
      <c r="C18" s="73">
        <v>160386.38</v>
      </c>
      <c r="D18" s="145">
        <v>60684.03</v>
      </c>
      <c r="E18" s="163">
        <f t="shared" si="0"/>
        <v>-0.62163850820749245</v>
      </c>
      <c r="F18" s="155">
        <f t="shared" si="2"/>
        <v>8.3309114616061331E-2</v>
      </c>
      <c r="G18" s="150">
        <v>255</v>
      </c>
      <c r="H18" s="63">
        <f t="shared" si="3"/>
        <v>237.97658823529412</v>
      </c>
      <c r="I18" s="61">
        <v>0</v>
      </c>
      <c r="J18" s="28">
        <f t="shared" si="1"/>
        <v>0</v>
      </c>
      <c r="K18" s="247">
        <v>15300</v>
      </c>
      <c r="L18" s="89">
        <f t="shared" si="4"/>
        <v>0.25212564162268064</v>
      </c>
      <c r="M18" s="247">
        <f t="shared" si="5"/>
        <v>45384.03</v>
      </c>
      <c r="N18" s="89">
        <f t="shared" si="6"/>
        <v>0.74787435837731941</v>
      </c>
      <c r="O18" s="130">
        <v>670</v>
      </c>
      <c r="P18" s="9"/>
    </row>
    <row r="19" spans="1:16" ht="16.2" customHeight="1" thickBot="1" x14ac:dyDescent="0.35">
      <c r="A19" s="203" t="s">
        <v>37</v>
      </c>
      <c r="B19" s="201">
        <f>'6 July - 12 July 2020'!D19</f>
        <v>41469.71</v>
      </c>
      <c r="C19" s="205"/>
      <c r="D19" s="206">
        <v>34887.11</v>
      </c>
      <c r="E19" s="207">
        <f t="shared" si="0"/>
        <v>0</v>
      </c>
      <c r="F19" s="156">
        <f t="shared" si="2"/>
        <v>-0.15873272323341539</v>
      </c>
      <c r="G19" s="151">
        <v>160</v>
      </c>
      <c r="H19" s="132">
        <f t="shared" si="3"/>
        <v>218.04443750000002</v>
      </c>
      <c r="I19" s="133">
        <v>0</v>
      </c>
      <c r="J19" s="114">
        <f t="shared" si="1"/>
        <v>0</v>
      </c>
      <c r="K19" s="248">
        <v>13057</v>
      </c>
      <c r="L19" s="116">
        <f t="shared" si="4"/>
        <v>0.37426430564182589</v>
      </c>
      <c r="M19" s="248">
        <f t="shared" si="5"/>
        <v>21830.11</v>
      </c>
      <c r="N19" s="116">
        <f t="shared" si="6"/>
        <v>0.62573569435817411</v>
      </c>
      <c r="O19" s="134">
        <v>1651.5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60" priority="6" operator="equal">
      <formula>0</formula>
    </cfRule>
  </conditionalFormatting>
  <conditionalFormatting sqref="D7:D19">
    <cfRule type="cellIs" dxfId="459" priority="5" operator="equal">
      <formula>0</formula>
    </cfRule>
  </conditionalFormatting>
  <conditionalFormatting sqref="E6:O19">
    <cfRule type="cellIs" dxfId="45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S41"/>
  <sheetViews>
    <sheetView zoomScale="70" zoomScaleNormal="70" workbookViewId="0">
      <pane xSplit="1" topLeftCell="B1" activePane="topRight" state="frozen"/>
      <selection pane="topRight" activeCell="G18" sqref="G1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1.66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-0.62042382025977116</v>
      </c>
      <c r="F2" s="400">
        <f>(((D4-D19)-B4)/D4)</f>
        <v>6.5134240136568239E-2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40</v>
      </c>
      <c r="N3" s="177" t="s">
        <v>36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750636.12</v>
      </c>
      <c r="C4" s="135">
        <f>SUM(C6:C19)-C14</f>
        <v>2122559.2200000002</v>
      </c>
      <c r="D4" s="142">
        <f>SUM(D6:D19)</f>
        <v>844974.92999999993</v>
      </c>
      <c r="E4" s="217">
        <f t="shared" ref="E4:E19" si="0">IFERROR((SUM(D4-C4)/C4),0)</f>
        <v>-0.60190748882850964</v>
      </c>
      <c r="F4" s="217">
        <f>IFERROR((SUM(D4-B4)/D4),0)</f>
        <v>0.11164687454099963</v>
      </c>
      <c r="G4" s="147">
        <f>SUM(G6:G19)</f>
        <v>5205</v>
      </c>
      <c r="H4" s="218">
        <f>AVERAGE(H5:H19)</f>
        <v>140.24772259887786</v>
      </c>
      <c r="I4" s="219">
        <f>SUM(I6:I19)</f>
        <v>0</v>
      </c>
      <c r="J4" s="220">
        <f t="shared" ref="J4:J19" si="1">IFERROR(I4/G4,0)</f>
        <v>0</v>
      </c>
      <c r="K4" s="249">
        <f>SUM(K6:K19)</f>
        <v>222533.12000000002</v>
      </c>
      <c r="L4" s="222">
        <f>SUM(K4/D4)</f>
        <v>0.26336061828485258</v>
      </c>
      <c r="M4" s="244">
        <f>SUM(M6:M19)</f>
        <v>622441.80999999994</v>
      </c>
      <c r="N4" s="222">
        <f>SUM(M4/D4)</f>
        <v>0.73663938171514742</v>
      </c>
      <c r="O4" s="141">
        <f>SUM(O6:O19)</f>
        <v>17621.5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'13 July - 19 July 2020'!D6</f>
        <v>72545.98</v>
      </c>
      <c r="C6" s="123">
        <v>271945.84000000003</v>
      </c>
      <c r="D6" s="197">
        <v>94828.28</v>
      </c>
      <c r="E6" s="162">
        <f t="shared" si="0"/>
        <v>-0.65129718476296605</v>
      </c>
      <c r="F6" s="154">
        <f t="shared" ref="F6:F19" si="2">IFERROR((SUM(D6-B6)/B6),0)</f>
        <v>0.30714727404606024</v>
      </c>
      <c r="G6" s="149">
        <v>583</v>
      </c>
      <c r="H6" s="124">
        <f t="shared" ref="H6:H19" si="3">IFERROR(D6/G6,0)</f>
        <v>162.65571183533447</v>
      </c>
      <c r="I6" s="125">
        <v>0</v>
      </c>
      <c r="J6" s="126">
        <f t="shared" si="1"/>
        <v>0</v>
      </c>
      <c r="K6" s="246">
        <v>24326.74</v>
      </c>
      <c r="L6" s="128">
        <f t="shared" ref="L6:L19" si="4">SUM(K6/D6)</f>
        <v>0.25653465400827685</v>
      </c>
      <c r="M6" s="247">
        <f t="shared" ref="M6:M19" si="5">SUM(D6-K6)</f>
        <v>70501.539999999994</v>
      </c>
      <c r="N6" s="128">
        <f t="shared" ref="N6:N19" si="6">SUM(M6/D6)</f>
        <v>0.74346534599172309</v>
      </c>
      <c r="O6" s="129">
        <v>2349</v>
      </c>
      <c r="P6" s="26"/>
    </row>
    <row r="7" spans="1:19" ht="15.6" customHeight="1" x14ac:dyDescent="0.3">
      <c r="A7" s="409" t="s">
        <v>16</v>
      </c>
      <c r="B7" s="200">
        <f>'13 July - 19 July 2020'!D7</f>
        <v>58282.09</v>
      </c>
      <c r="C7" s="73">
        <v>260258.72</v>
      </c>
      <c r="D7" s="145">
        <v>70362.240000000005</v>
      </c>
      <c r="E7" s="163">
        <f t="shared" si="0"/>
        <v>-0.72964502399765885</v>
      </c>
      <c r="F7" s="155">
        <f t="shared" si="2"/>
        <v>0.20727036384590891</v>
      </c>
      <c r="G7" s="150">
        <v>448</v>
      </c>
      <c r="H7" s="63">
        <f t="shared" si="3"/>
        <v>157.05857142857144</v>
      </c>
      <c r="I7" s="61">
        <v>0</v>
      </c>
      <c r="J7" s="28">
        <f t="shared" si="1"/>
        <v>0</v>
      </c>
      <c r="K7" s="247">
        <v>31610.82</v>
      </c>
      <c r="L7" s="89">
        <f t="shared" si="4"/>
        <v>0.44925829535841949</v>
      </c>
      <c r="M7" s="247">
        <f t="shared" si="5"/>
        <v>38751.420000000006</v>
      </c>
      <c r="N7" s="89">
        <f t="shared" si="6"/>
        <v>0.55074170464158057</v>
      </c>
      <c r="O7" s="130">
        <v>1691.7</v>
      </c>
      <c r="P7" s="26"/>
    </row>
    <row r="8" spans="1:19" ht="15.6" customHeight="1" x14ac:dyDescent="0.3">
      <c r="A8" s="409" t="s">
        <v>17</v>
      </c>
      <c r="B8" s="200">
        <f>'13 July - 19 July 2020'!D8</f>
        <v>48298.25</v>
      </c>
      <c r="C8" s="73">
        <v>125957.48</v>
      </c>
      <c r="D8" s="145">
        <v>58768.38</v>
      </c>
      <c r="E8" s="163">
        <f t="shared" si="0"/>
        <v>-0.53342683578617167</v>
      </c>
      <c r="F8" s="155">
        <f t="shared" si="2"/>
        <v>0.21678073222114669</v>
      </c>
      <c r="G8" s="150">
        <v>596</v>
      </c>
      <c r="H8" s="63">
        <f t="shared" si="3"/>
        <v>98.604664429530203</v>
      </c>
      <c r="I8" s="61">
        <v>0</v>
      </c>
      <c r="J8" s="28">
        <f t="shared" si="1"/>
        <v>0</v>
      </c>
      <c r="K8" s="247">
        <v>32527.58</v>
      </c>
      <c r="L8" s="89">
        <f t="shared" si="4"/>
        <v>0.55348777693038331</v>
      </c>
      <c r="M8" s="247">
        <f t="shared" si="5"/>
        <v>26240.799999999996</v>
      </c>
      <c r="N8" s="89">
        <f t="shared" si="6"/>
        <v>0.44651222306961663</v>
      </c>
      <c r="O8" s="130">
        <v>595</v>
      </c>
      <c r="P8" s="26"/>
    </row>
    <row r="9" spans="1:19" ht="15.6" customHeight="1" x14ac:dyDescent="0.3">
      <c r="A9" s="409" t="s">
        <v>18</v>
      </c>
      <c r="B9" s="200">
        <f>'13 July - 19 July 2020'!D9</f>
        <v>0</v>
      </c>
      <c r="C9" s="73"/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f t="shared" si="5"/>
        <v>0</v>
      </c>
      <c r="N9" s="89" t="e">
        <f t="shared" si="6"/>
        <v>#DIV/0!</v>
      </c>
      <c r="O9" s="130">
        <v>0</v>
      </c>
      <c r="P9" s="26"/>
    </row>
    <row r="10" spans="1:19" ht="15.6" customHeight="1" x14ac:dyDescent="0.3">
      <c r="A10" s="409" t="s">
        <v>20</v>
      </c>
      <c r="B10" s="200">
        <f>'13 July - 19 July 2020'!D10</f>
        <v>74387.09</v>
      </c>
      <c r="C10" s="73">
        <v>164093.67000000001</v>
      </c>
      <c r="D10" s="145">
        <v>74596.09</v>
      </c>
      <c r="E10" s="163">
        <f t="shared" si="0"/>
        <v>-0.54540543824755705</v>
      </c>
      <c r="F10" s="155">
        <f t="shared" si="2"/>
        <v>2.8096273157076049E-3</v>
      </c>
      <c r="G10" s="150">
        <v>383</v>
      </c>
      <c r="H10" s="63">
        <f t="shared" si="3"/>
        <v>194.7678590078329</v>
      </c>
      <c r="I10" s="61">
        <v>0</v>
      </c>
      <c r="J10" s="28">
        <f t="shared" si="1"/>
        <v>0</v>
      </c>
      <c r="K10" s="247">
        <v>20815.97</v>
      </c>
      <c r="L10" s="89">
        <f t="shared" si="4"/>
        <v>0.27904907616471591</v>
      </c>
      <c r="M10" s="247">
        <f t="shared" si="5"/>
        <v>53780.119999999995</v>
      </c>
      <c r="N10" s="89">
        <f t="shared" si="6"/>
        <v>0.72095092383528414</v>
      </c>
      <c r="O10" s="130">
        <v>1235.8</v>
      </c>
      <c r="P10" s="26"/>
    </row>
    <row r="11" spans="1:19" ht="15.6" customHeight="1" x14ac:dyDescent="0.3">
      <c r="A11" s="409" t="s">
        <v>21</v>
      </c>
      <c r="B11" s="200">
        <f>'13 July - 19 July 2020'!D11</f>
        <v>92576.49</v>
      </c>
      <c r="C11" s="73">
        <v>353967.18</v>
      </c>
      <c r="D11" s="145">
        <v>116729.46</v>
      </c>
      <c r="E11" s="163">
        <f t="shared" si="0"/>
        <v>-0.67022518867427194</v>
      </c>
      <c r="F11" s="155">
        <f t="shared" si="2"/>
        <v>0.26089744815341348</v>
      </c>
      <c r="G11" s="150">
        <v>586</v>
      </c>
      <c r="H11" s="63">
        <f t="shared" si="3"/>
        <v>199.19703071672356</v>
      </c>
      <c r="I11" s="61">
        <v>0</v>
      </c>
      <c r="J11" s="28">
        <f t="shared" si="1"/>
        <v>0</v>
      </c>
      <c r="K11" s="247">
        <v>21622.19</v>
      </c>
      <c r="L11" s="89">
        <f t="shared" si="4"/>
        <v>0.18523335925652357</v>
      </c>
      <c r="M11" s="247">
        <f t="shared" si="5"/>
        <v>95107.27</v>
      </c>
      <c r="N11" s="89">
        <f t="shared" si="6"/>
        <v>0.81476664074347638</v>
      </c>
      <c r="O11" s="130">
        <v>1753</v>
      </c>
      <c r="P11" s="26"/>
    </row>
    <row r="12" spans="1:19" ht="15.6" customHeight="1" x14ac:dyDescent="0.3">
      <c r="A12" s="198" t="s">
        <v>22</v>
      </c>
      <c r="B12" s="200">
        <f>'13 July - 19 July 2020'!D12</f>
        <v>41476.379999999997</v>
      </c>
      <c r="C12" s="73">
        <v>130324.87</v>
      </c>
      <c r="D12" s="145">
        <v>49044.45</v>
      </c>
      <c r="E12" s="163">
        <f t="shared" si="0"/>
        <v>-0.62367543508771583</v>
      </c>
      <c r="F12" s="155">
        <f t="shared" si="2"/>
        <v>0.18246698482365145</v>
      </c>
      <c r="G12" s="150">
        <v>336</v>
      </c>
      <c r="H12" s="63">
        <f t="shared" si="3"/>
        <v>145.96562499999999</v>
      </c>
      <c r="I12" s="61">
        <v>0</v>
      </c>
      <c r="J12" s="28">
        <f t="shared" si="1"/>
        <v>0</v>
      </c>
      <c r="K12" s="247">
        <v>2911.09</v>
      </c>
      <c r="L12" s="89">
        <f t="shared" si="4"/>
        <v>5.9356155487522037E-2</v>
      </c>
      <c r="M12" s="247">
        <f t="shared" si="5"/>
        <v>46133.36</v>
      </c>
      <c r="N12" s="89">
        <f t="shared" si="6"/>
        <v>0.94064384451247807</v>
      </c>
      <c r="O12" s="130">
        <v>1309</v>
      </c>
      <c r="P12" s="26"/>
    </row>
    <row r="13" spans="1:19" ht="15.6" customHeight="1" x14ac:dyDescent="0.3">
      <c r="A13" s="198" t="s">
        <v>23</v>
      </c>
      <c r="B13" s="200">
        <f>'13 July - 19 July 2020'!D13</f>
        <v>91864.47</v>
      </c>
      <c r="C13" s="73">
        <v>212060.52</v>
      </c>
      <c r="D13" s="145">
        <v>92021.6</v>
      </c>
      <c r="E13" s="163">
        <f t="shared" si="0"/>
        <v>-0.56605972672329574</v>
      </c>
      <c r="F13" s="155">
        <f t="shared" si="2"/>
        <v>1.7104545424363158E-3</v>
      </c>
      <c r="G13" s="150">
        <v>499</v>
      </c>
      <c r="H13" s="63">
        <f t="shared" si="3"/>
        <v>184.41202404809621</v>
      </c>
      <c r="I13" s="61">
        <v>0</v>
      </c>
      <c r="J13" s="28">
        <f t="shared" si="1"/>
        <v>0</v>
      </c>
      <c r="K13" s="247">
        <v>24465.49</v>
      </c>
      <c r="L13" s="89">
        <f t="shared" si="4"/>
        <v>0.26586681822528624</v>
      </c>
      <c r="M13" s="247">
        <f t="shared" si="5"/>
        <v>67556.11</v>
      </c>
      <c r="N13" s="89">
        <f t="shared" si="6"/>
        <v>0.73413318177471376</v>
      </c>
      <c r="O13" s="130">
        <v>1413.5</v>
      </c>
      <c r="P13" s="26"/>
    </row>
    <row r="14" spans="1:19" ht="15.6" hidden="1" customHeight="1" x14ac:dyDescent="0.3">
      <c r="A14" s="198" t="s">
        <v>24</v>
      </c>
      <c r="B14" s="200">
        <f>'13 July - 19 July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>
        <f t="shared" si="5"/>
        <v>0</v>
      </c>
      <c r="N14" s="89" t="e">
        <f t="shared" si="6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'13 July - 19 July 2020'!D15</f>
        <v>57907.26</v>
      </c>
      <c r="C15" s="73">
        <v>129536.18</v>
      </c>
      <c r="D15" s="145">
        <v>60590.68</v>
      </c>
      <c r="E15" s="163">
        <f t="shared" si="0"/>
        <v>-0.53224898248504782</v>
      </c>
      <c r="F15" s="155">
        <f t="shared" si="2"/>
        <v>4.6339958063980204E-2</v>
      </c>
      <c r="G15" s="150">
        <v>444</v>
      </c>
      <c r="H15" s="63">
        <f t="shared" si="3"/>
        <v>136.4654954954955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f t="shared" si="5"/>
        <v>60590.68</v>
      </c>
      <c r="N15" s="89">
        <f t="shared" si="6"/>
        <v>1</v>
      </c>
      <c r="O15" s="130">
        <v>819.5</v>
      </c>
      <c r="P15" s="9"/>
    </row>
    <row r="16" spans="1:19" ht="15.6" customHeight="1" x14ac:dyDescent="0.3">
      <c r="A16" s="198" t="s">
        <v>27</v>
      </c>
      <c r="B16" s="200">
        <f>'13 July - 19 July 2020'!D16</f>
        <v>46581.21</v>
      </c>
      <c r="C16" s="73">
        <v>113373.11</v>
      </c>
      <c r="D16" s="145">
        <v>45783.199999999997</v>
      </c>
      <c r="E16" s="163">
        <f t="shared" si="0"/>
        <v>-0.59617231987373376</v>
      </c>
      <c r="F16" s="155">
        <f t="shared" si="2"/>
        <v>-1.7131585890534016E-2</v>
      </c>
      <c r="G16" s="150">
        <v>275</v>
      </c>
      <c r="H16" s="63">
        <f t="shared" si="3"/>
        <v>166.48436363636364</v>
      </c>
      <c r="I16" s="61">
        <v>0</v>
      </c>
      <c r="J16" s="28">
        <f t="shared" si="1"/>
        <v>0</v>
      </c>
      <c r="K16" s="247">
        <v>17138.03</v>
      </c>
      <c r="L16" s="89">
        <f t="shared" si="4"/>
        <v>0.37433010361879465</v>
      </c>
      <c r="M16" s="247">
        <f t="shared" si="5"/>
        <v>28645.17</v>
      </c>
      <c r="N16" s="89">
        <f t="shared" si="6"/>
        <v>0.62566989638120529</v>
      </c>
      <c r="O16" s="130">
        <v>1377.5</v>
      </c>
      <c r="P16" s="9"/>
      <c r="S16" s="238"/>
    </row>
    <row r="17" spans="1:16" ht="15.6" customHeight="1" x14ac:dyDescent="0.3">
      <c r="A17" s="198" t="s">
        <v>28</v>
      </c>
      <c r="B17" s="200">
        <f>'13 July - 19 July 2020'!D17</f>
        <v>71145.759999999995</v>
      </c>
      <c r="C17" s="73">
        <v>198530.03</v>
      </c>
      <c r="D17" s="145">
        <v>67673.73</v>
      </c>
      <c r="E17" s="163">
        <f t="shared" si="0"/>
        <v>-0.65912597706251297</v>
      </c>
      <c r="F17" s="155">
        <f t="shared" si="2"/>
        <v>-4.8801643274314577E-2</v>
      </c>
      <c r="G17" s="150">
        <v>430</v>
      </c>
      <c r="H17" s="63">
        <f t="shared" si="3"/>
        <v>157.38076744186046</v>
      </c>
      <c r="I17" s="61">
        <v>0</v>
      </c>
      <c r="J17" s="28">
        <f t="shared" si="1"/>
        <v>0</v>
      </c>
      <c r="K17" s="247">
        <v>21540.26</v>
      </c>
      <c r="L17" s="89">
        <f t="shared" si="4"/>
        <v>0.31829574045940723</v>
      </c>
      <c r="M17" s="247">
        <f t="shared" si="5"/>
        <v>46133.47</v>
      </c>
      <c r="N17" s="89">
        <f t="shared" si="6"/>
        <v>0.68170425954059288</v>
      </c>
      <c r="O17" s="130">
        <v>2817</v>
      </c>
      <c r="P17" s="9"/>
    </row>
    <row r="18" spans="1:16" ht="15.6" customHeight="1" x14ac:dyDescent="0.3">
      <c r="A18" s="198" t="s">
        <v>33</v>
      </c>
      <c r="B18" s="200">
        <f>'13 July - 19 July 2020'!D18</f>
        <v>60684.03</v>
      </c>
      <c r="C18" s="73">
        <v>162511.62</v>
      </c>
      <c r="D18" s="145">
        <v>75274.81</v>
      </c>
      <c r="E18" s="163">
        <f t="shared" si="0"/>
        <v>-0.53680352211121884</v>
      </c>
      <c r="F18" s="155">
        <f t="shared" si="2"/>
        <v>0.24043854701146247</v>
      </c>
      <c r="G18" s="150">
        <v>391</v>
      </c>
      <c r="H18" s="63">
        <f t="shared" si="3"/>
        <v>192.5186956521739</v>
      </c>
      <c r="I18" s="61">
        <v>0</v>
      </c>
      <c r="J18" s="28">
        <f t="shared" si="1"/>
        <v>0</v>
      </c>
      <c r="K18" s="247">
        <v>11679.95</v>
      </c>
      <c r="L18" s="89">
        <f t="shared" si="4"/>
        <v>0.15516412462548895</v>
      </c>
      <c r="M18" s="247">
        <f t="shared" si="5"/>
        <v>63594.86</v>
      </c>
      <c r="N18" s="89">
        <f t="shared" si="6"/>
        <v>0.8448358753745111</v>
      </c>
      <c r="O18" s="130">
        <v>920.5</v>
      </c>
      <c r="P18" s="9"/>
    </row>
    <row r="19" spans="1:16" ht="16.2" customHeight="1" thickBot="1" x14ac:dyDescent="0.35">
      <c r="A19" s="203" t="s">
        <v>37</v>
      </c>
      <c r="B19" s="201">
        <f>'13 July - 19 July 2020'!D19</f>
        <v>34887.11</v>
      </c>
      <c r="C19" s="205"/>
      <c r="D19" s="206">
        <v>39302.01</v>
      </c>
      <c r="E19" s="207">
        <f t="shared" si="0"/>
        <v>0</v>
      </c>
      <c r="F19" s="156">
        <f t="shared" si="2"/>
        <v>0.12654817208992092</v>
      </c>
      <c r="G19" s="151">
        <v>234</v>
      </c>
      <c r="H19" s="132">
        <f t="shared" si="3"/>
        <v>167.95730769230769</v>
      </c>
      <c r="I19" s="133">
        <v>0</v>
      </c>
      <c r="J19" s="114">
        <f t="shared" si="1"/>
        <v>0</v>
      </c>
      <c r="K19" s="248">
        <v>13895</v>
      </c>
      <c r="L19" s="116">
        <f t="shared" si="4"/>
        <v>0.35354425893230396</v>
      </c>
      <c r="M19" s="248">
        <f t="shared" si="5"/>
        <v>25407.010000000002</v>
      </c>
      <c r="N19" s="116">
        <f t="shared" si="6"/>
        <v>0.6464557410676961</v>
      </c>
      <c r="O19" s="134">
        <v>1340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57" priority="6" operator="equal">
      <formula>0</formula>
    </cfRule>
  </conditionalFormatting>
  <conditionalFormatting sqref="D7:D19">
    <cfRule type="cellIs" dxfId="456" priority="5" operator="equal">
      <formula>0</formula>
    </cfRule>
  </conditionalFormatting>
  <conditionalFormatting sqref="E6:O19">
    <cfRule type="cellIs" dxfId="45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S41"/>
  <sheetViews>
    <sheetView zoomScale="70" zoomScaleNormal="70" workbookViewId="0">
      <pane xSplit="1" topLeftCell="B1" activePane="topRight" state="frozen"/>
      <selection pane="topRight" activeCell="G10" sqref="G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-0.60081102815284071</v>
      </c>
      <c r="F2" s="400">
        <f>(((D4-D19)-B4)/D4)</f>
        <v>0.1350422424762231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844974.92999999993</v>
      </c>
      <c r="C4" s="135">
        <f>SUM(C6:C19)-C14</f>
        <v>2471642.9299999997</v>
      </c>
      <c r="D4" s="142">
        <f>SUM(D6:D19)</f>
        <v>1049135.9400000002</v>
      </c>
      <c r="E4" s="217">
        <f t="shared" ref="E4:E19" si="0">IFERROR((SUM(D4-C4)/C4),0)</f>
        <v>-0.57553094451228026</v>
      </c>
      <c r="F4" s="217">
        <f>IFERROR((SUM(D4-B4)/D4),0)</f>
        <v>0.19459919560090583</v>
      </c>
      <c r="G4" s="147">
        <f>SUM(G6:G19)</f>
        <v>4345</v>
      </c>
      <c r="H4" s="218">
        <f>AVERAGE(H5:H19)</f>
        <v>205.9021235375869</v>
      </c>
      <c r="I4" s="219">
        <f>SUM(I6:I19)</f>
        <v>0</v>
      </c>
      <c r="J4" s="220">
        <f t="shared" ref="J4:J19" si="1">IFERROR(I4/G4,0)</f>
        <v>0</v>
      </c>
      <c r="K4" s="249">
        <f>SUM(K6:K19)</f>
        <v>273713.36000000004</v>
      </c>
      <c r="L4" s="222">
        <f>SUM(K4/D4)</f>
        <v>0.26089408394492708</v>
      </c>
      <c r="M4" s="244">
        <f>SUM(M6:M19)</f>
        <v>329378.31000000006</v>
      </c>
      <c r="N4" s="222">
        <f>SUM(M4/D4)</f>
        <v>0.31395198414420916</v>
      </c>
      <c r="O4" s="141">
        <f>SUM(O6:O19)</f>
        <v>16855.95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'20 July - 26 July 2020'!D6</f>
        <v>94828.28</v>
      </c>
      <c r="C6" s="123">
        <v>261957.32</v>
      </c>
      <c r="D6" s="197">
        <v>113180.17</v>
      </c>
      <c r="E6" s="162">
        <f t="shared" si="0"/>
        <v>-0.56794423610685896</v>
      </c>
      <c r="F6" s="154">
        <f t="shared" ref="F6:F19" si="2">IFERROR((SUM(D6-B6)/B6),0)</f>
        <v>0.19352760589984339</v>
      </c>
      <c r="G6" s="149">
        <v>445</v>
      </c>
      <c r="H6" s="124">
        <f t="shared" ref="H6:H19" si="3">IFERROR(D6/G6,0)</f>
        <v>254.33746067415731</v>
      </c>
      <c r="I6" s="125">
        <v>0</v>
      </c>
      <c r="J6" s="126">
        <f t="shared" si="1"/>
        <v>0</v>
      </c>
      <c r="K6" s="246">
        <v>14214.13</v>
      </c>
      <c r="L6" s="128">
        <f t="shared" ref="L6:L19" si="4">SUM(K6/D6)</f>
        <v>0.12558851961434586</v>
      </c>
      <c r="M6" s="247">
        <v>34066.129999999997</v>
      </c>
      <c r="N6" s="128">
        <f t="shared" ref="N6:N19" si="5">SUM(M6/D6)</f>
        <v>0.30099027064546729</v>
      </c>
      <c r="O6" s="129">
        <v>4441.8</v>
      </c>
      <c r="P6" s="26"/>
    </row>
    <row r="7" spans="1:19" ht="15.6" customHeight="1" x14ac:dyDescent="0.3">
      <c r="A7" s="409" t="s">
        <v>16</v>
      </c>
      <c r="B7" s="200">
        <f>'20 July - 26 July 2020'!D7</f>
        <v>70362.240000000005</v>
      </c>
      <c r="C7" s="73">
        <v>212110.67</v>
      </c>
      <c r="D7" s="145">
        <v>95683.98</v>
      </c>
      <c r="E7" s="163">
        <f t="shared" si="0"/>
        <v>-0.54889596077368485</v>
      </c>
      <c r="F7" s="155">
        <f t="shared" si="2"/>
        <v>0.3598768316642561</v>
      </c>
      <c r="G7" s="150">
        <v>400</v>
      </c>
      <c r="H7" s="63">
        <f t="shared" si="3"/>
        <v>239.20994999999999</v>
      </c>
      <c r="I7" s="61">
        <v>0</v>
      </c>
      <c r="J7" s="28">
        <f t="shared" si="1"/>
        <v>0</v>
      </c>
      <c r="K7" s="247">
        <v>46764.83</v>
      </c>
      <c r="L7" s="89">
        <f t="shared" si="4"/>
        <v>0.48874252513325639</v>
      </c>
      <c r="M7" s="247">
        <v>11483.91</v>
      </c>
      <c r="N7" s="89">
        <f t="shared" si="5"/>
        <v>0.12001915054118778</v>
      </c>
      <c r="O7" s="130">
        <v>1418.95</v>
      </c>
      <c r="P7" s="26"/>
    </row>
    <row r="8" spans="1:19" ht="15.6" customHeight="1" x14ac:dyDescent="0.3">
      <c r="A8" s="409" t="s">
        <v>17</v>
      </c>
      <c r="B8" s="200">
        <f>'20 July - 26 July 2020'!D8</f>
        <v>58768.38</v>
      </c>
      <c r="C8" s="73">
        <v>132507.6</v>
      </c>
      <c r="D8" s="145">
        <v>73006.92</v>
      </c>
      <c r="E8" s="163">
        <f t="shared" si="0"/>
        <v>-0.44903597982304416</v>
      </c>
      <c r="F8" s="155">
        <f t="shared" si="2"/>
        <v>0.24228232937508234</v>
      </c>
      <c r="G8" s="150">
        <v>332</v>
      </c>
      <c r="H8" s="63">
        <f t="shared" si="3"/>
        <v>219.90036144578312</v>
      </c>
      <c r="I8" s="61">
        <v>0</v>
      </c>
      <c r="J8" s="28">
        <f t="shared" si="1"/>
        <v>0</v>
      </c>
      <c r="K8" s="247">
        <v>47484.22</v>
      </c>
      <c r="L8" s="89">
        <f t="shared" si="4"/>
        <v>0.65040711209293589</v>
      </c>
      <c r="M8" s="247">
        <v>16366.43</v>
      </c>
      <c r="N8" s="89">
        <f t="shared" si="5"/>
        <v>0.2241764205365738</v>
      </c>
      <c r="O8" s="130">
        <v>444</v>
      </c>
      <c r="P8" s="26"/>
    </row>
    <row r="9" spans="1:19" ht="15.6" customHeight="1" x14ac:dyDescent="0.3">
      <c r="A9" s="409" t="s">
        <v>18</v>
      </c>
      <c r="B9" s="200">
        <f>'20 July - 26 July 2020'!D9</f>
        <v>0</v>
      </c>
      <c r="C9" s="73">
        <v>347205.66</v>
      </c>
      <c r="D9" s="145">
        <v>0</v>
      </c>
      <c r="E9" s="163">
        <f t="shared" si="0"/>
        <v>-1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v>0</v>
      </c>
      <c r="N9" s="89" t="e">
        <f t="shared" si="5"/>
        <v>#DIV/0!</v>
      </c>
      <c r="O9" s="130">
        <v>0</v>
      </c>
      <c r="P9" s="26"/>
    </row>
    <row r="10" spans="1:19" ht="15.6" customHeight="1" x14ac:dyDescent="0.3">
      <c r="A10" s="411" t="s">
        <v>20</v>
      </c>
      <c r="B10" s="73">
        <f>'20 July - 26 July 2020'!D10</f>
        <v>74596.09</v>
      </c>
      <c r="C10" s="73">
        <v>139006.44</v>
      </c>
      <c r="D10" s="145">
        <v>99765.32</v>
      </c>
      <c r="E10" s="163">
        <f t="shared" si="0"/>
        <v>-0.28229713673697415</v>
      </c>
      <c r="F10" s="155">
        <f t="shared" si="2"/>
        <v>0.33740682655082876</v>
      </c>
      <c r="G10" s="150">
        <v>359</v>
      </c>
      <c r="H10" s="63">
        <f t="shared" si="3"/>
        <v>277.89782729805017</v>
      </c>
      <c r="I10" s="61">
        <v>0</v>
      </c>
      <c r="J10" s="28">
        <f t="shared" si="1"/>
        <v>0</v>
      </c>
      <c r="K10" s="247">
        <v>22158.18</v>
      </c>
      <c r="L10" s="89">
        <f t="shared" si="4"/>
        <v>0.22210303139407561</v>
      </c>
      <c r="M10" s="247">
        <v>40953.19</v>
      </c>
      <c r="N10" s="89">
        <f t="shared" si="5"/>
        <v>0.41049525025329442</v>
      </c>
      <c r="O10" s="130">
        <v>1675</v>
      </c>
      <c r="P10" s="26"/>
    </row>
    <row r="11" spans="1:19" ht="15.6" customHeight="1" x14ac:dyDescent="0.3">
      <c r="A11" s="409" t="s">
        <v>21</v>
      </c>
      <c r="B11" s="200">
        <f>'20 July - 26 July 2020'!D11</f>
        <v>116729.46</v>
      </c>
      <c r="C11" s="73">
        <v>363089.6</v>
      </c>
      <c r="D11" s="145">
        <v>124064.25</v>
      </c>
      <c r="E11" s="163">
        <f t="shared" si="0"/>
        <v>-0.65830954673446995</v>
      </c>
      <c r="F11" s="155">
        <f t="shared" si="2"/>
        <v>6.2835808543961341E-2</v>
      </c>
      <c r="G11" s="150">
        <v>520</v>
      </c>
      <c r="H11" s="63">
        <f t="shared" si="3"/>
        <v>238.58509615384617</v>
      </c>
      <c r="I11" s="61">
        <v>0</v>
      </c>
      <c r="J11" s="28">
        <f t="shared" si="1"/>
        <v>0</v>
      </c>
      <c r="K11" s="247">
        <v>36113.64</v>
      </c>
      <c r="L11" s="89">
        <f t="shared" si="4"/>
        <v>0.29108820631245502</v>
      </c>
      <c r="M11" s="247">
        <v>38618.480000000003</v>
      </c>
      <c r="N11" s="89">
        <f t="shared" si="5"/>
        <v>0.3112780676141596</v>
      </c>
      <c r="O11" s="130">
        <v>1090</v>
      </c>
      <c r="P11" s="26"/>
    </row>
    <row r="12" spans="1:19" ht="15.6" customHeight="1" x14ac:dyDescent="0.3">
      <c r="A12" s="198" t="s">
        <v>22</v>
      </c>
      <c r="B12" s="200">
        <f>'20 July - 26 July 2020'!D12</f>
        <v>49044.45</v>
      </c>
      <c r="C12" s="73">
        <v>157461.4</v>
      </c>
      <c r="D12" s="145">
        <v>55893.07</v>
      </c>
      <c r="E12" s="163">
        <f t="shared" si="0"/>
        <v>-0.64503637081849896</v>
      </c>
      <c r="F12" s="155">
        <f t="shared" si="2"/>
        <v>0.13964108069312639</v>
      </c>
      <c r="G12" s="150">
        <v>245</v>
      </c>
      <c r="H12" s="63">
        <f t="shared" si="3"/>
        <v>228.13497959183672</v>
      </c>
      <c r="I12" s="61">
        <v>0</v>
      </c>
      <c r="J12" s="28">
        <f t="shared" si="1"/>
        <v>0</v>
      </c>
      <c r="K12" s="247">
        <v>9283.17</v>
      </c>
      <c r="L12" s="89">
        <f t="shared" si="4"/>
        <v>0.16608803202257452</v>
      </c>
      <c r="M12" s="247">
        <v>14811.7</v>
      </c>
      <c r="N12" s="89">
        <f t="shared" si="5"/>
        <v>0.26500065213809154</v>
      </c>
      <c r="O12" s="130">
        <v>504</v>
      </c>
      <c r="P12" s="26"/>
    </row>
    <row r="13" spans="1:19" ht="15.6" customHeight="1" x14ac:dyDescent="0.3">
      <c r="A13" s="198" t="s">
        <v>23</v>
      </c>
      <c r="B13" s="200">
        <f>'20 July - 26 July 2020'!D13</f>
        <v>92021.6</v>
      </c>
      <c r="C13" s="73">
        <v>216093.02</v>
      </c>
      <c r="D13" s="145">
        <v>115238.2</v>
      </c>
      <c r="E13" s="163">
        <f t="shared" si="0"/>
        <v>-0.46671947108703465</v>
      </c>
      <c r="F13" s="155">
        <f t="shared" si="2"/>
        <v>0.25229511332122012</v>
      </c>
      <c r="G13" s="150">
        <v>460</v>
      </c>
      <c r="H13" s="63">
        <f t="shared" si="3"/>
        <v>250.51782608695652</v>
      </c>
      <c r="I13" s="61">
        <v>0</v>
      </c>
      <c r="J13" s="28">
        <f t="shared" si="1"/>
        <v>0</v>
      </c>
      <c r="K13" s="247">
        <v>9802</v>
      </c>
      <c r="L13" s="89">
        <f t="shared" si="4"/>
        <v>8.5058600359950082E-2</v>
      </c>
      <c r="M13" s="247">
        <v>55229.3</v>
      </c>
      <c r="N13" s="89">
        <f t="shared" si="5"/>
        <v>0.47926208496835254</v>
      </c>
      <c r="O13" s="130">
        <v>709.5</v>
      </c>
      <c r="P13" s="26"/>
    </row>
    <row r="14" spans="1:19" ht="15.6" hidden="1" customHeight="1" x14ac:dyDescent="0.3">
      <c r="A14" s="198" t="s">
        <v>24</v>
      </c>
      <c r="B14" s="200">
        <f>'20 July - 26 July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'20 July - 26 July 2020'!D15</f>
        <v>60590.68</v>
      </c>
      <c r="C15" s="73">
        <v>138311.25</v>
      </c>
      <c r="D15" s="145">
        <v>79999.16</v>
      </c>
      <c r="E15" s="163">
        <f t="shared" si="0"/>
        <v>-0.42160048441468062</v>
      </c>
      <c r="F15" s="155">
        <f t="shared" si="2"/>
        <v>0.32032121111695733</v>
      </c>
      <c r="G15" s="150">
        <v>313</v>
      </c>
      <c r="H15" s="63">
        <f t="shared" si="3"/>
        <v>255.58837060702876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v>15073.48</v>
      </c>
      <c r="N15" s="89">
        <f t="shared" si="5"/>
        <v>0.18842047841502335</v>
      </c>
      <c r="O15" s="130">
        <v>1125</v>
      </c>
      <c r="P15" s="9"/>
    </row>
    <row r="16" spans="1:19" ht="15.6" customHeight="1" x14ac:dyDescent="0.3">
      <c r="A16" s="198" t="s">
        <v>27</v>
      </c>
      <c r="B16" s="200">
        <f>'20 July - 26 July 2020'!D16</f>
        <v>45783.199999999997</v>
      </c>
      <c r="C16" s="73">
        <v>126564.93</v>
      </c>
      <c r="D16" s="145">
        <v>62056.69</v>
      </c>
      <c r="E16" s="163">
        <f t="shared" si="0"/>
        <v>-0.50968494985143198</v>
      </c>
      <c r="F16" s="155">
        <f t="shared" si="2"/>
        <v>0.35544675776267293</v>
      </c>
      <c r="G16" s="150">
        <v>285</v>
      </c>
      <c r="H16" s="63">
        <f t="shared" si="3"/>
        <v>217.74277192982456</v>
      </c>
      <c r="I16" s="61">
        <v>0</v>
      </c>
      <c r="J16" s="28">
        <f t="shared" si="1"/>
        <v>0</v>
      </c>
      <c r="K16" s="247">
        <v>25550.82</v>
      </c>
      <c r="L16" s="89">
        <f t="shared" si="4"/>
        <v>0.41173352945508374</v>
      </c>
      <c r="M16" s="247">
        <v>20865.78</v>
      </c>
      <c r="N16" s="89">
        <f t="shared" si="5"/>
        <v>0.33623739841747924</v>
      </c>
      <c r="O16" s="130">
        <v>1739</v>
      </c>
      <c r="P16" s="9"/>
      <c r="S16" s="238"/>
    </row>
    <row r="17" spans="1:16" ht="15.6" customHeight="1" x14ac:dyDescent="0.3">
      <c r="A17" s="251" t="s">
        <v>28</v>
      </c>
      <c r="B17" s="73">
        <f>'20 July - 26 July 2020'!D17</f>
        <v>67673.73</v>
      </c>
      <c r="C17" s="73">
        <v>214731.95</v>
      </c>
      <c r="D17" s="145">
        <v>92644.31</v>
      </c>
      <c r="E17" s="163">
        <f t="shared" si="0"/>
        <v>-0.5685583351708956</v>
      </c>
      <c r="F17" s="155">
        <f t="shared" si="2"/>
        <v>0.3689848335535813</v>
      </c>
      <c r="G17" s="150">
        <v>385</v>
      </c>
      <c r="H17" s="63">
        <f t="shared" si="3"/>
        <v>240.63457142857143</v>
      </c>
      <c r="I17" s="61">
        <v>0</v>
      </c>
      <c r="J17" s="28">
        <f t="shared" si="1"/>
        <v>0</v>
      </c>
      <c r="K17" s="247">
        <v>31551.35</v>
      </c>
      <c r="L17" s="89">
        <f t="shared" si="4"/>
        <v>0.34056435845871158</v>
      </c>
      <c r="M17" s="247">
        <v>30142.52</v>
      </c>
      <c r="N17" s="89">
        <f t="shared" si="5"/>
        <v>0.32535748822566657</v>
      </c>
      <c r="O17" s="130">
        <v>1241</v>
      </c>
      <c r="P17" s="9"/>
    </row>
    <row r="18" spans="1:16" ht="15.6" customHeight="1" x14ac:dyDescent="0.3">
      <c r="A18" s="198" t="s">
        <v>33</v>
      </c>
      <c r="B18" s="200">
        <f>'20 July - 26 July 2020'!D18</f>
        <v>75274.81</v>
      </c>
      <c r="C18" s="73">
        <v>162603.09</v>
      </c>
      <c r="D18" s="145">
        <v>75120.53</v>
      </c>
      <c r="E18" s="163">
        <f t="shared" si="0"/>
        <v>-0.53801290000085489</v>
      </c>
      <c r="F18" s="155">
        <f t="shared" si="2"/>
        <v>-2.0495568172141363E-3</v>
      </c>
      <c r="G18" s="150">
        <v>339</v>
      </c>
      <c r="H18" s="63">
        <f t="shared" si="3"/>
        <v>221.5944837758112</v>
      </c>
      <c r="I18" s="61">
        <v>0</v>
      </c>
      <c r="J18" s="28">
        <f t="shared" si="1"/>
        <v>0</v>
      </c>
      <c r="K18" s="247">
        <v>21151.63</v>
      </c>
      <c r="L18" s="89">
        <f t="shared" si="4"/>
        <v>0.28156923280493362</v>
      </c>
      <c r="M18" s="247">
        <v>19399.87</v>
      </c>
      <c r="N18" s="89">
        <f t="shared" si="5"/>
        <v>0.25824990851369123</v>
      </c>
      <c r="O18" s="130">
        <v>882.1</v>
      </c>
      <c r="P18" s="9"/>
    </row>
    <row r="19" spans="1:16" ht="16.2" customHeight="1" thickBot="1" x14ac:dyDescent="0.35">
      <c r="A19" s="203" t="s">
        <v>37</v>
      </c>
      <c r="B19" s="201">
        <f>'20 July - 26 July 2020'!D19</f>
        <v>39302.01</v>
      </c>
      <c r="C19" s="205"/>
      <c r="D19" s="206">
        <v>62483.34</v>
      </c>
      <c r="E19" s="207">
        <f t="shared" si="0"/>
        <v>0</v>
      </c>
      <c r="F19" s="156">
        <f t="shared" si="2"/>
        <v>0.58982555854013552</v>
      </c>
      <c r="G19" s="151">
        <v>262</v>
      </c>
      <c r="H19" s="132">
        <f t="shared" si="3"/>
        <v>238.48603053435113</v>
      </c>
      <c r="I19" s="133">
        <v>0</v>
      </c>
      <c r="J19" s="114">
        <f t="shared" si="1"/>
        <v>0</v>
      </c>
      <c r="K19" s="248">
        <v>9639.39</v>
      </c>
      <c r="L19" s="116">
        <f t="shared" si="4"/>
        <v>0.15427136257440782</v>
      </c>
      <c r="M19" s="248">
        <v>32367.52</v>
      </c>
      <c r="N19" s="116">
        <f t="shared" si="5"/>
        <v>0.51801840298549984</v>
      </c>
      <c r="O19" s="134">
        <v>1585.6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54" priority="6" operator="equal">
      <formula>0</formula>
    </cfRule>
  </conditionalFormatting>
  <conditionalFormatting sqref="D7:D19">
    <cfRule type="cellIs" dxfId="453" priority="5" operator="equal">
      <formula>0</formula>
    </cfRule>
  </conditionalFormatting>
  <conditionalFormatting sqref="E6:O19">
    <cfRule type="cellIs" dxfId="45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S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-0.51608961244183005</v>
      </c>
      <c r="F2" s="400">
        <f>(((D4-D19)-B4)/D4)</f>
        <v>-7.6589484023787208E-2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1049135.9400000002</v>
      </c>
      <c r="C4" s="135">
        <f>SUM(C6:C19)-C14</f>
        <v>2006449.51</v>
      </c>
      <c r="D4" s="142">
        <f>SUM(D6:D19)</f>
        <v>1020951.9100000001</v>
      </c>
      <c r="E4" s="217">
        <f t="shared" ref="E4:E19" si="0">IFERROR((SUM(D4-C4)/C4),0)</f>
        <v>-0.49116491348940039</v>
      </c>
      <c r="F4" s="217">
        <f>IFERROR((SUM(D4-B4)/D4),0)</f>
        <v>-2.7605639133384867E-2</v>
      </c>
      <c r="G4" s="147">
        <f>SUM(G6:G19)</f>
        <v>4332</v>
      </c>
      <c r="H4" s="218">
        <f>AVERAGE(H5:H19)</f>
        <v>201.29683137151795</v>
      </c>
      <c r="I4" s="219">
        <f>SUM(I6:I19)</f>
        <v>0</v>
      </c>
      <c r="J4" s="220">
        <f t="shared" ref="J4:J19" si="1">IFERROR(I4/G4,0)</f>
        <v>0</v>
      </c>
      <c r="K4" s="249">
        <f>SUM(K6:K19)</f>
        <v>235341.25000000006</v>
      </c>
      <c r="L4" s="222">
        <f>SUM(K4/D4)</f>
        <v>0.23051159187311773</v>
      </c>
      <c r="M4" s="244">
        <f>SUM(M6:M19)</f>
        <v>285753.81</v>
      </c>
      <c r="N4" s="222">
        <f>SUM(M4/D4)</f>
        <v>0.27988958853115808</v>
      </c>
      <c r="O4" s="141">
        <f>SUM(O6:O19)</f>
        <v>19149.04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'27 July - 2 August 2020'!D6</f>
        <v>113180.17</v>
      </c>
      <c r="C6" s="123">
        <v>267972.63</v>
      </c>
      <c r="D6" s="197">
        <v>112106.32</v>
      </c>
      <c r="E6" s="162">
        <f t="shared" si="0"/>
        <v>-0.58165011105798381</v>
      </c>
      <c r="F6" s="154">
        <f t="shared" ref="F6:F19" si="2">IFERROR((SUM(D6-B6)/B6),0)</f>
        <v>-9.4879694914753298E-3</v>
      </c>
      <c r="G6" s="149">
        <v>445</v>
      </c>
      <c r="H6" s="124">
        <f t="shared" ref="H6:H19" si="3">IFERROR(D6/G6,0)</f>
        <v>251.92431460674158</v>
      </c>
      <c r="I6" s="125">
        <v>0</v>
      </c>
      <c r="J6" s="126">
        <f t="shared" si="1"/>
        <v>0</v>
      </c>
      <c r="K6" s="246">
        <v>9984.2199999999993</v>
      </c>
      <c r="L6" s="128">
        <f t="shared" ref="L6:L19" si="4">SUM(K6/D6)</f>
        <v>8.9060277779165337E-2</v>
      </c>
      <c r="M6" s="247">
        <v>34719.22</v>
      </c>
      <c r="N6" s="128">
        <f t="shared" ref="N6:N19" si="5">SUM(M6/D6)</f>
        <v>0.30969904283719241</v>
      </c>
      <c r="O6" s="129">
        <v>2490.9499999999998</v>
      </c>
      <c r="P6" s="26"/>
    </row>
    <row r="7" spans="1:19" ht="15.6" customHeight="1" x14ac:dyDescent="0.3">
      <c r="A7" s="409" t="s">
        <v>16</v>
      </c>
      <c r="B7" s="200">
        <f>'27 July - 2 August 2020'!D7</f>
        <v>95683.98</v>
      </c>
      <c r="C7" s="73">
        <v>215625.05</v>
      </c>
      <c r="D7" s="145">
        <v>88114</v>
      </c>
      <c r="E7" s="163">
        <f t="shared" si="0"/>
        <v>-0.59135545707699544</v>
      </c>
      <c r="F7" s="155">
        <f t="shared" si="2"/>
        <v>-7.9114393025875349E-2</v>
      </c>
      <c r="G7" s="150">
        <v>364</v>
      </c>
      <c r="H7" s="63">
        <f t="shared" si="3"/>
        <v>242.07142857142858</v>
      </c>
      <c r="I7" s="61">
        <v>0</v>
      </c>
      <c r="J7" s="28">
        <f t="shared" si="1"/>
        <v>0</v>
      </c>
      <c r="K7" s="247">
        <v>30396.14</v>
      </c>
      <c r="L7" s="89">
        <f t="shared" si="4"/>
        <v>0.34496379689947115</v>
      </c>
      <c r="M7" s="247">
        <v>16021.99</v>
      </c>
      <c r="N7" s="89">
        <f t="shared" si="5"/>
        <v>0.18183251242708309</v>
      </c>
      <c r="O7" s="130">
        <v>1105.2</v>
      </c>
      <c r="P7" s="26"/>
    </row>
    <row r="8" spans="1:19" ht="15.6" customHeight="1" x14ac:dyDescent="0.3">
      <c r="A8" s="409" t="s">
        <v>17</v>
      </c>
      <c r="B8" s="200">
        <f>'27 July - 2 August 2020'!D8</f>
        <v>73006.92</v>
      </c>
      <c r="C8" s="73">
        <v>103484.13</v>
      </c>
      <c r="D8" s="145">
        <v>61802.85</v>
      </c>
      <c r="E8" s="163">
        <f t="shared" si="0"/>
        <v>-0.40277944067365695</v>
      </c>
      <c r="F8" s="155">
        <f t="shared" si="2"/>
        <v>-0.15346586323597819</v>
      </c>
      <c r="G8" s="150">
        <v>300</v>
      </c>
      <c r="H8" s="63">
        <f t="shared" si="3"/>
        <v>206.0095</v>
      </c>
      <c r="I8" s="61">
        <v>0</v>
      </c>
      <c r="J8" s="28">
        <f t="shared" si="1"/>
        <v>0</v>
      </c>
      <c r="K8" s="247">
        <v>30667.38</v>
      </c>
      <c r="L8" s="89">
        <f t="shared" si="4"/>
        <v>0.49621303871908823</v>
      </c>
      <c r="M8" s="247">
        <v>17058.48</v>
      </c>
      <c r="N8" s="89">
        <f t="shared" si="5"/>
        <v>0.27601445564403582</v>
      </c>
      <c r="O8" s="130">
        <v>840.4</v>
      </c>
      <c r="P8" s="26"/>
    </row>
    <row r="9" spans="1:19" ht="15.6" customHeight="1" x14ac:dyDescent="0.3">
      <c r="A9" s="409" t="s">
        <v>18</v>
      </c>
      <c r="B9" s="200">
        <f>'27 July - 2 August 2020'!D9</f>
        <v>0</v>
      </c>
      <c r="C9" s="73">
        <v>0</v>
      </c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v>0</v>
      </c>
      <c r="N9" s="89" t="e">
        <f t="shared" si="5"/>
        <v>#DIV/0!</v>
      </c>
      <c r="O9" s="130">
        <v>0</v>
      </c>
      <c r="P9" s="26"/>
    </row>
    <row r="10" spans="1:19" ht="15.6" customHeight="1" x14ac:dyDescent="0.3">
      <c r="A10" s="411" t="s">
        <v>20</v>
      </c>
      <c r="B10" s="200">
        <f>'27 July - 2 August 2020'!D10</f>
        <v>99765.32</v>
      </c>
      <c r="C10" s="73">
        <v>126339</v>
      </c>
      <c r="D10" s="145">
        <v>97609.38</v>
      </c>
      <c r="E10" s="163">
        <f t="shared" si="0"/>
        <v>-0.22740104005888914</v>
      </c>
      <c r="F10" s="155">
        <f t="shared" si="2"/>
        <v>-2.1610114616983159E-2</v>
      </c>
      <c r="G10" s="150">
        <v>384</v>
      </c>
      <c r="H10" s="63">
        <f t="shared" si="3"/>
        <v>254.19109375000002</v>
      </c>
      <c r="I10" s="61">
        <v>0</v>
      </c>
      <c r="J10" s="28">
        <f t="shared" si="1"/>
        <v>0</v>
      </c>
      <c r="K10" s="247">
        <v>37318.300000000003</v>
      </c>
      <c r="L10" s="89">
        <f t="shared" si="4"/>
        <v>0.38232288741102549</v>
      </c>
      <c r="M10" s="247">
        <v>26408.39</v>
      </c>
      <c r="N10" s="89">
        <f t="shared" si="5"/>
        <v>0.27055176459475511</v>
      </c>
      <c r="O10" s="130">
        <v>2039.99</v>
      </c>
      <c r="P10" s="26"/>
    </row>
    <row r="11" spans="1:19" ht="15.6" customHeight="1" x14ac:dyDescent="0.3">
      <c r="A11" s="409" t="s">
        <v>21</v>
      </c>
      <c r="B11" s="200">
        <f>'27 July - 2 August 2020'!D11</f>
        <v>124064.25</v>
      </c>
      <c r="C11" s="73">
        <v>313954.43</v>
      </c>
      <c r="D11" s="145">
        <v>140006.54999999999</v>
      </c>
      <c r="E11" s="163">
        <f t="shared" si="0"/>
        <v>-0.55405454861713532</v>
      </c>
      <c r="F11" s="155">
        <f t="shared" si="2"/>
        <v>0.12850035364740436</v>
      </c>
      <c r="G11" s="150">
        <v>618</v>
      </c>
      <c r="H11" s="63">
        <f t="shared" si="3"/>
        <v>226.54781553398055</v>
      </c>
      <c r="I11" s="61">
        <v>0</v>
      </c>
      <c r="J11" s="28">
        <f t="shared" si="1"/>
        <v>0</v>
      </c>
      <c r="K11" s="247">
        <v>29018.17</v>
      </c>
      <c r="L11" s="89">
        <f t="shared" si="4"/>
        <v>0.2072629459121734</v>
      </c>
      <c r="M11" s="247">
        <v>33421.61</v>
      </c>
      <c r="N11" s="89">
        <f t="shared" si="5"/>
        <v>0.23871461728040583</v>
      </c>
      <c r="O11" s="130">
        <v>1817</v>
      </c>
      <c r="P11" s="26"/>
    </row>
    <row r="12" spans="1:19" ht="15.6" customHeight="1" x14ac:dyDescent="0.3">
      <c r="A12" s="198" t="s">
        <v>22</v>
      </c>
      <c r="B12" s="200">
        <f>'27 July - 2 August 2020'!D12</f>
        <v>55893.07</v>
      </c>
      <c r="C12" s="73">
        <v>120679.88</v>
      </c>
      <c r="D12" s="145">
        <v>55535.83</v>
      </c>
      <c r="E12" s="163">
        <f t="shared" si="0"/>
        <v>-0.53980870713494244</v>
      </c>
      <c r="F12" s="155">
        <f t="shared" si="2"/>
        <v>-6.3914900362423812E-3</v>
      </c>
      <c r="G12" s="150">
        <v>222</v>
      </c>
      <c r="H12" s="63">
        <f t="shared" si="3"/>
        <v>250.16139639639641</v>
      </c>
      <c r="I12" s="61">
        <v>0</v>
      </c>
      <c r="J12" s="28">
        <f t="shared" si="1"/>
        <v>0</v>
      </c>
      <c r="K12" s="247">
        <v>9743.91</v>
      </c>
      <c r="L12" s="89">
        <f t="shared" si="4"/>
        <v>0.17545267622722122</v>
      </c>
      <c r="M12" s="247">
        <v>18080.13</v>
      </c>
      <c r="N12" s="89">
        <f t="shared" si="5"/>
        <v>0.32555793259954879</v>
      </c>
      <c r="O12" s="130">
        <v>764</v>
      </c>
      <c r="P12" s="26"/>
    </row>
    <row r="13" spans="1:19" ht="15.6" customHeight="1" x14ac:dyDescent="0.3">
      <c r="A13" s="198" t="s">
        <v>23</v>
      </c>
      <c r="B13" s="200">
        <f>'27 July - 2 August 2020'!D13</f>
        <v>115238.2</v>
      </c>
      <c r="C13" s="73">
        <v>210396.93</v>
      </c>
      <c r="D13" s="145">
        <v>98860.87</v>
      </c>
      <c r="E13" s="163">
        <f t="shared" si="0"/>
        <v>-0.53012208875861455</v>
      </c>
      <c r="F13" s="155">
        <f t="shared" si="2"/>
        <v>-0.14211719724882896</v>
      </c>
      <c r="G13" s="150">
        <v>429</v>
      </c>
      <c r="H13" s="63">
        <f t="shared" si="3"/>
        <v>230.44491841491839</v>
      </c>
      <c r="I13" s="61">
        <v>0</v>
      </c>
      <c r="J13" s="28">
        <f t="shared" si="1"/>
        <v>0</v>
      </c>
      <c r="K13" s="247">
        <v>22338.959999999999</v>
      </c>
      <c r="L13" s="89">
        <f t="shared" si="4"/>
        <v>0.22596361937741394</v>
      </c>
      <c r="M13" s="247">
        <v>35320.74</v>
      </c>
      <c r="N13" s="89">
        <f t="shared" si="5"/>
        <v>0.35727725236486385</v>
      </c>
      <c r="O13" s="130">
        <v>1518</v>
      </c>
      <c r="P13" s="26"/>
    </row>
    <row r="14" spans="1:19" ht="15.6" hidden="1" customHeight="1" x14ac:dyDescent="0.3">
      <c r="A14" s="198" t="s">
        <v>24</v>
      </c>
      <c r="B14" s="200">
        <f>'27 July - 2 August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'27 July - 2 August 2020'!D15</f>
        <v>79999.16</v>
      </c>
      <c r="C15" s="73">
        <v>182706.98</v>
      </c>
      <c r="D15" s="145">
        <v>107151.8</v>
      </c>
      <c r="E15" s="163">
        <f t="shared" si="0"/>
        <v>-0.41353198438286265</v>
      </c>
      <c r="F15" s="155">
        <f t="shared" si="2"/>
        <v>0.33941156382142013</v>
      </c>
      <c r="G15" s="150">
        <v>393</v>
      </c>
      <c r="H15" s="63">
        <f t="shared" si="3"/>
        <v>272.65089058524171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v>19804.349999999999</v>
      </c>
      <c r="N15" s="89">
        <f t="shared" si="5"/>
        <v>0.18482517325887196</v>
      </c>
      <c r="O15" s="130">
        <v>1105</v>
      </c>
      <c r="P15" s="9"/>
    </row>
    <row r="16" spans="1:19" ht="15.6" customHeight="1" x14ac:dyDescent="0.3">
      <c r="A16" s="198" t="s">
        <v>27</v>
      </c>
      <c r="B16" s="200">
        <f>'27 July - 2 August 2020'!D16</f>
        <v>62056.69</v>
      </c>
      <c r="C16" s="73">
        <v>123420.75</v>
      </c>
      <c r="D16" s="145">
        <v>56624.28</v>
      </c>
      <c r="E16" s="163">
        <f t="shared" si="0"/>
        <v>-0.54120939955396485</v>
      </c>
      <c r="F16" s="155">
        <f t="shared" si="2"/>
        <v>-8.7539473987413824E-2</v>
      </c>
      <c r="G16" s="150">
        <v>255</v>
      </c>
      <c r="H16" s="63">
        <f t="shared" si="3"/>
        <v>222.05599999999998</v>
      </c>
      <c r="I16" s="61">
        <v>0</v>
      </c>
      <c r="J16" s="28">
        <f t="shared" si="1"/>
        <v>0</v>
      </c>
      <c r="K16" s="247">
        <v>21998.39</v>
      </c>
      <c r="L16" s="89">
        <f t="shared" si="4"/>
        <v>0.38849747846683436</v>
      </c>
      <c r="M16" s="247">
        <v>16857.13</v>
      </c>
      <c r="N16" s="89">
        <f t="shared" si="5"/>
        <v>0.29770144538703186</v>
      </c>
      <c r="O16" s="130">
        <v>1848.5</v>
      </c>
      <c r="P16" s="9"/>
      <c r="S16" s="238"/>
    </row>
    <row r="17" spans="1:16" ht="15.6" customHeight="1" x14ac:dyDescent="0.3">
      <c r="A17" s="251" t="s">
        <v>28</v>
      </c>
      <c r="B17" s="200">
        <f>'27 July - 2 August 2020'!D17</f>
        <v>92644.31</v>
      </c>
      <c r="C17" s="73">
        <v>198462.73</v>
      </c>
      <c r="D17" s="145">
        <v>83224.039999999994</v>
      </c>
      <c r="E17" s="163">
        <f t="shared" si="0"/>
        <v>-0.58065657970138784</v>
      </c>
      <c r="F17" s="155">
        <f t="shared" si="2"/>
        <v>-0.10168212165431427</v>
      </c>
      <c r="G17" s="150">
        <v>387</v>
      </c>
      <c r="H17" s="63">
        <f t="shared" si="3"/>
        <v>215.04919896640826</v>
      </c>
      <c r="I17" s="61">
        <v>0</v>
      </c>
      <c r="J17" s="28">
        <f t="shared" si="1"/>
        <v>0</v>
      </c>
      <c r="K17" s="247">
        <v>15097.26</v>
      </c>
      <c r="L17" s="89">
        <f t="shared" si="4"/>
        <v>0.18140503633325181</v>
      </c>
      <c r="M17" s="247">
        <v>32633.17</v>
      </c>
      <c r="N17" s="89">
        <f t="shared" si="5"/>
        <v>0.39211230312779816</v>
      </c>
      <c r="O17" s="130">
        <v>1203</v>
      </c>
      <c r="P17" s="9"/>
    </row>
    <row r="18" spans="1:16" ht="15.6" customHeight="1" x14ac:dyDescent="0.3">
      <c r="A18" s="198" t="s">
        <v>33</v>
      </c>
      <c r="B18" s="200">
        <f>'27 July - 2 August 2020'!D18</f>
        <v>75120.53</v>
      </c>
      <c r="C18" s="73">
        <v>143407</v>
      </c>
      <c r="D18" s="145">
        <v>69905.84</v>
      </c>
      <c r="E18" s="163">
        <f t="shared" si="0"/>
        <v>-0.51253537135565208</v>
      </c>
      <c r="F18" s="155">
        <f t="shared" si="2"/>
        <v>-6.9417641222712378E-2</v>
      </c>
      <c r="G18" s="150">
        <v>307</v>
      </c>
      <c r="H18" s="63">
        <f t="shared" si="3"/>
        <v>227.70631921824102</v>
      </c>
      <c r="I18" s="61">
        <v>0</v>
      </c>
      <c r="J18" s="28">
        <f t="shared" si="1"/>
        <v>0</v>
      </c>
      <c r="K18" s="247">
        <v>12748.13</v>
      </c>
      <c r="L18" s="89">
        <f t="shared" si="4"/>
        <v>0.18236144505237331</v>
      </c>
      <c r="M18" s="247">
        <v>23102.43</v>
      </c>
      <c r="N18" s="89">
        <f t="shared" si="5"/>
        <v>0.33047925609648637</v>
      </c>
      <c r="O18" s="130">
        <v>2835</v>
      </c>
      <c r="P18" s="9"/>
    </row>
    <row r="19" spans="1:16" ht="16.2" customHeight="1" thickBot="1" x14ac:dyDescent="0.35">
      <c r="A19" s="203" t="s">
        <v>37</v>
      </c>
      <c r="B19" s="201">
        <f>'27 July - 2 August 2020'!D19</f>
        <v>62483.34</v>
      </c>
      <c r="C19" s="205"/>
      <c r="D19" s="206">
        <v>50010.15</v>
      </c>
      <c r="E19" s="207">
        <f t="shared" si="0"/>
        <v>0</v>
      </c>
      <c r="F19" s="156">
        <f t="shared" si="2"/>
        <v>-0.19962425184057056</v>
      </c>
      <c r="G19" s="151">
        <v>228</v>
      </c>
      <c r="H19" s="132">
        <f t="shared" si="3"/>
        <v>219.34276315789475</v>
      </c>
      <c r="I19" s="133">
        <v>0</v>
      </c>
      <c r="J19" s="114">
        <f t="shared" si="1"/>
        <v>0</v>
      </c>
      <c r="K19" s="248">
        <v>16030.39</v>
      </c>
      <c r="L19" s="116">
        <f t="shared" si="4"/>
        <v>0.32054272982584531</v>
      </c>
      <c r="M19" s="248">
        <v>12326.17</v>
      </c>
      <c r="N19" s="116">
        <f t="shared" si="5"/>
        <v>0.24647336590672092</v>
      </c>
      <c r="O19" s="134">
        <v>1582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51" priority="6" operator="equal">
      <formula>0</formula>
    </cfRule>
  </conditionalFormatting>
  <conditionalFormatting sqref="D7:D19">
    <cfRule type="cellIs" dxfId="450" priority="5" operator="equal">
      <formula>0</formula>
    </cfRule>
  </conditionalFormatting>
  <conditionalFormatting sqref="E6:O19">
    <cfRule type="cellIs" dxfId="44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S41"/>
  <sheetViews>
    <sheetView zoomScale="70" zoomScaleNormal="70" workbookViewId="0">
      <pane xSplit="1" topLeftCell="B1" activePane="topRight" state="frozen"/>
      <selection pane="topRight" activeCell="C13" sqref="C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-0.45318763982876442</v>
      </c>
      <c r="F2" s="400">
        <f>(((D4-D19)-B4)/D4)</f>
        <v>6.5347776022186735E-2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1020951.9100000001</v>
      </c>
      <c r="C4" s="135">
        <f>SUM(C6:C19)-C14</f>
        <v>2006029.49</v>
      </c>
      <c r="D4" s="142">
        <f>SUM(D6:D19)</f>
        <v>1162546.22</v>
      </c>
      <c r="E4" s="217">
        <f t="shared" ref="E4:E19" si="0">IFERROR((SUM(D4-C4)/C4),0)</f>
        <v>-0.42047401307146287</v>
      </c>
      <c r="F4" s="217">
        <f>IFERROR((SUM(D4-B4)/D4),0)</f>
        <v>0.12179671445665173</v>
      </c>
      <c r="G4" s="147">
        <f>SUM(G6:G19)</f>
        <v>4715</v>
      </c>
      <c r="H4" s="218">
        <f>AVERAGE(H5:H19)</f>
        <v>212.16062205459326</v>
      </c>
      <c r="I4" s="219">
        <f>SUM(I6:I19)</f>
        <v>0</v>
      </c>
      <c r="J4" s="220">
        <f t="shared" ref="J4:J19" si="1">IFERROR(I4/G4,0)</f>
        <v>0</v>
      </c>
      <c r="K4" s="249">
        <f>SUM(K6:K19)</f>
        <v>258384.49</v>
      </c>
      <c r="L4" s="222">
        <f>SUM(K4/D4)</f>
        <v>0.22225739119430452</v>
      </c>
      <c r="M4" s="244">
        <f>SUM(M6:M19)</f>
        <v>296489.90999999997</v>
      </c>
      <c r="N4" s="222">
        <f>SUM(M4/D4)</f>
        <v>0.25503494390098314</v>
      </c>
      <c r="O4" s="141">
        <f>SUM(O6:O19)</f>
        <v>22690.39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'3 August - 9 August 2020'!D6</f>
        <v>112106.32</v>
      </c>
      <c r="C6" s="123">
        <v>222616.58</v>
      </c>
      <c r="D6" s="197">
        <v>145715.87</v>
      </c>
      <c r="E6" s="162">
        <f t="shared" si="0"/>
        <v>-0.34544017341385802</v>
      </c>
      <c r="F6" s="154">
        <f t="shared" ref="F6:F19" si="2">IFERROR((SUM(D6-B6)/B6),0)</f>
        <v>0.29980067136268485</v>
      </c>
      <c r="G6" s="149">
        <v>545</v>
      </c>
      <c r="H6" s="124">
        <f t="shared" ref="H6:H19" si="3">IFERROR(D6/G6,0)</f>
        <v>267.36856880733944</v>
      </c>
      <c r="I6" s="125">
        <v>0</v>
      </c>
      <c r="J6" s="126">
        <f t="shared" si="1"/>
        <v>0</v>
      </c>
      <c r="K6" s="246">
        <v>12328.52</v>
      </c>
      <c r="L6" s="128">
        <f t="shared" ref="L6:L19" si="4">SUM(K6/D6)</f>
        <v>8.4606570306995393E-2</v>
      </c>
      <c r="M6" s="247">
        <v>50450.26</v>
      </c>
      <c r="N6" s="128">
        <f t="shared" ref="N6:N19" si="5">SUM(M6/D6)</f>
        <v>0.3462235101777178</v>
      </c>
      <c r="O6" s="129">
        <v>2942</v>
      </c>
      <c r="P6" s="26"/>
    </row>
    <row r="7" spans="1:19" ht="15.6" customHeight="1" x14ac:dyDescent="0.3">
      <c r="A7" s="409" t="s">
        <v>16</v>
      </c>
      <c r="B7" s="200">
        <f>'3 August - 9 August 2020'!D7</f>
        <v>88114</v>
      </c>
      <c r="C7" s="73">
        <v>197449.78</v>
      </c>
      <c r="D7" s="145">
        <v>95568.74</v>
      </c>
      <c r="E7" s="163">
        <f t="shared" si="0"/>
        <v>-0.51598457086151217</v>
      </c>
      <c r="F7" s="155">
        <f t="shared" si="2"/>
        <v>8.4603354744989506E-2</v>
      </c>
      <c r="G7" s="150">
        <v>410</v>
      </c>
      <c r="H7" s="63">
        <f t="shared" si="3"/>
        <v>233.09448780487807</v>
      </c>
      <c r="I7" s="61">
        <v>0</v>
      </c>
      <c r="J7" s="28">
        <f t="shared" si="1"/>
        <v>0</v>
      </c>
      <c r="K7" s="247">
        <v>33999.839999999997</v>
      </c>
      <c r="L7" s="89">
        <f t="shared" si="4"/>
        <v>0.35576319202283085</v>
      </c>
      <c r="M7" s="247">
        <v>14704.51</v>
      </c>
      <c r="N7" s="89">
        <f t="shared" si="5"/>
        <v>0.15386317743647138</v>
      </c>
      <c r="O7" s="130">
        <v>2468.4499999999998</v>
      </c>
      <c r="P7" s="26"/>
    </row>
    <row r="8" spans="1:19" ht="15.6" customHeight="1" x14ac:dyDescent="0.3">
      <c r="A8" s="409" t="s">
        <v>17</v>
      </c>
      <c r="B8" s="200">
        <f>'3 August - 9 August 2020'!D8</f>
        <v>61802.85</v>
      </c>
      <c r="C8" s="73">
        <v>78509.75</v>
      </c>
      <c r="D8" s="145">
        <v>70400.77</v>
      </c>
      <c r="E8" s="163">
        <f t="shared" si="0"/>
        <v>-0.10328627972958768</v>
      </c>
      <c r="F8" s="155">
        <f t="shared" si="2"/>
        <v>0.13911850343471224</v>
      </c>
      <c r="G8" s="150">
        <v>327</v>
      </c>
      <c r="H8" s="63">
        <f t="shared" si="3"/>
        <v>215.29287461773703</v>
      </c>
      <c r="I8" s="61">
        <v>0</v>
      </c>
      <c r="J8" s="28">
        <f t="shared" si="1"/>
        <v>0</v>
      </c>
      <c r="K8" s="247">
        <v>37447.300000000003</v>
      </c>
      <c r="L8" s="89">
        <f t="shared" si="4"/>
        <v>0.53191605716812473</v>
      </c>
      <c r="M8" s="247">
        <v>18066.87</v>
      </c>
      <c r="N8" s="89">
        <f t="shared" si="5"/>
        <v>0.25662886925810607</v>
      </c>
      <c r="O8" s="130">
        <v>982</v>
      </c>
      <c r="P8" s="26"/>
    </row>
    <row r="9" spans="1:19" ht="15.6" customHeight="1" x14ac:dyDescent="0.3">
      <c r="A9" s="409" t="s">
        <v>18</v>
      </c>
      <c r="B9" s="200">
        <f>'3 August - 9 August 2020'!D9</f>
        <v>0</v>
      </c>
      <c r="C9" s="73">
        <v>0</v>
      </c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v>0</v>
      </c>
      <c r="N9" s="89" t="e">
        <f t="shared" si="5"/>
        <v>#DIV/0!</v>
      </c>
      <c r="O9" s="130">
        <v>0</v>
      </c>
      <c r="P9" s="26"/>
    </row>
    <row r="10" spans="1:19" ht="15.6" customHeight="1" x14ac:dyDescent="0.3">
      <c r="A10" s="411" t="s">
        <v>20</v>
      </c>
      <c r="B10" s="200">
        <f>'3 August - 9 August 2020'!D10</f>
        <v>97609.38</v>
      </c>
      <c r="C10" s="73">
        <v>154333.15</v>
      </c>
      <c r="D10" s="145">
        <v>110791.55</v>
      </c>
      <c r="E10" s="163">
        <f t="shared" si="0"/>
        <v>-0.28212733298063308</v>
      </c>
      <c r="F10" s="155">
        <f t="shared" si="2"/>
        <v>0.13505023799966764</v>
      </c>
      <c r="G10" s="150">
        <v>417</v>
      </c>
      <c r="H10" s="63">
        <f t="shared" si="3"/>
        <v>265.68717026378897</v>
      </c>
      <c r="I10" s="61">
        <v>0</v>
      </c>
      <c r="J10" s="28">
        <f t="shared" si="1"/>
        <v>0</v>
      </c>
      <c r="K10" s="247">
        <v>22295.439999999999</v>
      </c>
      <c r="L10" s="89">
        <f t="shared" si="4"/>
        <v>0.20123772977271279</v>
      </c>
      <c r="M10" s="247">
        <v>40394.550000000003</v>
      </c>
      <c r="N10" s="89">
        <f t="shared" si="5"/>
        <v>0.36459955655462895</v>
      </c>
      <c r="O10" s="130">
        <v>2150.4499999999998</v>
      </c>
      <c r="P10" s="26"/>
    </row>
    <row r="11" spans="1:19" ht="15.6" customHeight="1" x14ac:dyDescent="0.3">
      <c r="A11" s="409" t="s">
        <v>21</v>
      </c>
      <c r="B11" s="200">
        <f>'3 August - 9 August 2020'!D11</f>
        <v>140006.54999999999</v>
      </c>
      <c r="C11" s="73">
        <v>351899.09</v>
      </c>
      <c r="D11" s="145">
        <v>149185.19</v>
      </c>
      <c r="E11" s="163">
        <f t="shared" si="0"/>
        <v>-0.57605690313095159</v>
      </c>
      <c r="F11" s="155">
        <f t="shared" si="2"/>
        <v>6.5558647077583257E-2</v>
      </c>
      <c r="G11" s="150">
        <v>647</v>
      </c>
      <c r="H11" s="63">
        <f t="shared" si="3"/>
        <v>230.57989180834622</v>
      </c>
      <c r="I11" s="61">
        <v>0</v>
      </c>
      <c r="J11" s="28">
        <f t="shared" si="1"/>
        <v>0</v>
      </c>
      <c r="K11" s="247">
        <v>38383.31</v>
      </c>
      <c r="L11" s="89">
        <f t="shared" si="4"/>
        <v>0.25728632982938854</v>
      </c>
      <c r="M11" s="247">
        <v>28988.21</v>
      </c>
      <c r="N11" s="89">
        <f t="shared" si="5"/>
        <v>0.19431023950835868</v>
      </c>
      <c r="O11" s="130">
        <v>1897.99</v>
      </c>
      <c r="P11" s="26"/>
    </row>
    <row r="12" spans="1:19" ht="15.6" customHeight="1" x14ac:dyDescent="0.3">
      <c r="A12" s="198" t="s">
        <v>22</v>
      </c>
      <c r="B12" s="200">
        <f>'3 August - 9 August 2020'!D12</f>
        <v>55535.83</v>
      </c>
      <c r="C12" s="73">
        <v>158515.24</v>
      </c>
      <c r="D12" s="145">
        <v>58499.72</v>
      </c>
      <c r="E12" s="163">
        <f t="shared" si="0"/>
        <v>-0.63095207754156635</v>
      </c>
      <c r="F12" s="155">
        <f t="shared" si="2"/>
        <v>5.3368969186199239E-2</v>
      </c>
      <c r="G12" s="150">
        <v>219</v>
      </c>
      <c r="H12" s="63">
        <f t="shared" si="3"/>
        <v>267.12200913242009</v>
      </c>
      <c r="I12" s="61">
        <v>0</v>
      </c>
      <c r="J12" s="28">
        <f t="shared" si="1"/>
        <v>0</v>
      </c>
      <c r="K12" s="247">
        <v>5838.26</v>
      </c>
      <c r="L12" s="89">
        <f t="shared" si="4"/>
        <v>9.9799793913543516E-2</v>
      </c>
      <c r="M12" s="247">
        <v>17734.509999999998</v>
      </c>
      <c r="N12" s="89">
        <f t="shared" si="5"/>
        <v>0.30315546809454813</v>
      </c>
      <c r="O12" s="130">
        <v>633</v>
      </c>
      <c r="P12" s="26"/>
    </row>
    <row r="13" spans="1:19" ht="15.6" customHeight="1" x14ac:dyDescent="0.3">
      <c r="A13" s="198" t="s">
        <v>23</v>
      </c>
      <c r="B13" s="200">
        <f>'3 August - 9 August 2020'!D13</f>
        <v>98860.87</v>
      </c>
      <c r="C13" s="73">
        <v>217294.07999999999</v>
      </c>
      <c r="D13" s="145">
        <v>114003.83</v>
      </c>
      <c r="E13" s="163">
        <f t="shared" si="0"/>
        <v>-0.47534774072077801</v>
      </c>
      <c r="F13" s="155">
        <f t="shared" si="2"/>
        <v>0.15317445618271422</v>
      </c>
      <c r="G13" s="150">
        <v>462</v>
      </c>
      <c r="H13" s="63">
        <f t="shared" si="3"/>
        <v>246.7615367965368</v>
      </c>
      <c r="I13" s="61">
        <v>0</v>
      </c>
      <c r="J13" s="28">
        <f t="shared" si="1"/>
        <v>0</v>
      </c>
      <c r="K13" s="247">
        <v>22467.34</v>
      </c>
      <c r="L13" s="89">
        <f t="shared" si="4"/>
        <v>0.19707530878567853</v>
      </c>
      <c r="M13" s="247">
        <v>34951.57</v>
      </c>
      <c r="N13" s="89">
        <f t="shared" si="5"/>
        <v>0.30658241920468809</v>
      </c>
      <c r="O13" s="130">
        <v>2959</v>
      </c>
      <c r="P13" s="26"/>
    </row>
    <row r="14" spans="1:19" ht="15.6" hidden="1" customHeight="1" x14ac:dyDescent="0.3">
      <c r="A14" s="198" t="s">
        <v>24</v>
      </c>
      <c r="B14" s="200">
        <f>'3 August - 9 August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'3 August - 9 August 2020'!D15</f>
        <v>107151.8</v>
      </c>
      <c r="C15" s="73">
        <v>149035.45000000001</v>
      </c>
      <c r="D15" s="145">
        <v>81421.259999999995</v>
      </c>
      <c r="E15" s="163">
        <f t="shared" si="0"/>
        <v>-0.45367857110506266</v>
      </c>
      <c r="F15" s="155">
        <f t="shared" si="2"/>
        <v>-0.24013166367713848</v>
      </c>
      <c r="G15" s="150">
        <v>315</v>
      </c>
      <c r="H15" s="63">
        <f t="shared" si="3"/>
        <v>258.48019047619044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v>10982.17</v>
      </c>
      <c r="N15" s="89">
        <f t="shared" si="5"/>
        <v>0.13488086526786738</v>
      </c>
      <c r="O15" s="130">
        <v>881.5</v>
      </c>
      <c r="P15" s="9"/>
    </row>
    <row r="16" spans="1:19" ht="15.6" customHeight="1" x14ac:dyDescent="0.3">
      <c r="A16" s="198" t="s">
        <v>27</v>
      </c>
      <c r="B16" s="200">
        <f>'3 August - 9 August 2020'!D16</f>
        <v>56624.28</v>
      </c>
      <c r="C16" s="73">
        <v>119169.43</v>
      </c>
      <c r="D16" s="145">
        <v>81736.92</v>
      </c>
      <c r="E16" s="163">
        <f t="shared" si="0"/>
        <v>-0.31411168115849841</v>
      </c>
      <c r="F16" s="155">
        <f t="shared" si="2"/>
        <v>0.44349597027988702</v>
      </c>
      <c r="G16" s="150">
        <v>346</v>
      </c>
      <c r="H16" s="63">
        <f t="shared" si="3"/>
        <v>236.23387283236994</v>
      </c>
      <c r="I16" s="61">
        <v>0</v>
      </c>
      <c r="J16" s="28">
        <f t="shared" si="1"/>
        <v>0</v>
      </c>
      <c r="K16" s="247">
        <v>32738.01</v>
      </c>
      <c r="L16" s="89">
        <f t="shared" si="4"/>
        <v>0.4005290387746443</v>
      </c>
      <c r="M16" s="247">
        <v>17538.3</v>
      </c>
      <c r="N16" s="89">
        <f t="shared" si="5"/>
        <v>0.21457011103427925</v>
      </c>
      <c r="O16" s="130">
        <v>2189.5</v>
      </c>
      <c r="P16" s="9"/>
      <c r="S16" s="238"/>
    </row>
    <row r="17" spans="1:16" ht="15.6" customHeight="1" x14ac:dyDescent="0.3">
      <c r="A17" s="251" t="s">
        <v>28</v>
      </c>
      <c r="B17" s="200">
        <f>'3 August - 9 August 2020'!D17</f>
        <v>83224.039999999994</v>
      </c>
      <c r="C17" s="73">
        <v>209337.65</v>
      </c>
      <c r="D17" s="145">
        <v>98739.67</v>
      </c>
      <c r="E17" s="163">
        <f t="shared" si="0"/>
        <v>-0.52832340479603168</v>
      </c>
      <c r="F17" s="155">
        <f t="shared" si="2"/>
        <v>0.18643206938764334</v>
      </c>
      <c r="G17" s="150">
        <v>389</v>
      </c>
      <c r="H17" s="63">
        <f t="shared" si="3"/>
        <v>253.82948586118252</v>
      </c>
      <c r="I17" s="61">
        <v>0</v>
      </c>
      <c r="J17" s="28">
        <f t="shared" si="1"/>
        <v>0</v>
      </c>
      <c r="K17" s="247">
        <v>16941.61</v>
      </c>
      <c r="L17" s="89">
        <f t="shared" si="4"/>
        <v>0.17157855601502417</v>
      </c>
      <c r="M17" s="247">
        <v>23127.13</v>
      </c>
      <c r="N17" s="89">
        <f t="shared" si="5"/>
        <v>0.23422328634478931</v>
      </c>
      <c r="O17" s="130">
        <v>2590.5</v>
      </c>
      <c r="P17" s="9"/>
    </row>
    <row r="18" spans="1:16" ht="15.6" customHeight="1" x14ac:dyDescent="0.3">
      <c r="A18" s="198" t="s">
        <v>33</v>
      </c>
      <c r="B18" s="200">
        <f>'3 August - 9 August 2020'!D18</f>
        <v>69905.84</v>
      </c>
      <c r="C18" s="73">
        <v>147869.29</v>
      </c>
      <c r="D18" s="145">
        <v>90858.2</v>
      </c>
      <c r="E18" s="163">
        <f t="shared" si="0"/>
        <v>-0.38555057645843843</v>
      </c>
      <c r="F18" s="155">
        <f t="shared" si="2"/>
        <v>0.29972259828363412</v>
      </c>
      <c r="G18" s="150">
        <v>386</v>
      </c>
      <c r="H18" s="63">
        <f t="shared" si="3"/>
        <v>235.3839378238342</v>
      </c>
      <c r="I18" s="61">
        <v>0</v>
      </c>
      <c r="J18" s="28">
        <f t="shared" si="1"/>
        <v>0</v>
      </c>
      <c r="K18" s="247">
        <v>17820.86</v>
      </c>
      <c r="L18" s="89">
        <f t="shared" si="4"/>
        <v>0.19613925875705221</v>
      </c>
      <c r="M18" s="247">
        <v>24762.35</v>
      </c>
      <c r="N18" s="89">
        <f t="shared" si="5"/>
        <v>0.27253841700583986</v>
      </c>
      <c r="O18" s="130">
        <v>1557</v>
      </c>
      <c r="P18" s="9"/>
    </row>
    <row r="19" spans="1:16" ht="16.2" customHeight="1" thickBot="1" x14ac:dyDescent="0.35">
      <c r="A19" s="203" t="s">
        <v>37</v>
      </c>
      <c r="B19" s="201">
        <f>'3 August - 9 August 2020'!D19</f>
        <v>50010.15</v>
      </c>
      <c r="C19" s="205"/>
      <c r="D19" s="206">
        <v>65624.5</v>
      </c>
      <c r="E19" s="207">
        <f t="shared" si="0"/>
        <v>0</v>
      </c>
      <c r="F19" s="156">
        <f t="shared" si="2"/>
        <v>0.31222361860542308</v>
      </c>
      <c r="G19" s="151">
        <v>252</v>
      </c>
      <c r="H19" s="132">
        <f t="shared" si="3"/>
        <v>260.41468253968253</v>
      </c>
      <c r="I19" s="133">
        <v>0</v>
      </c>
      <c r="J19" s="114">
        <f t="shared" si="1"/>
        <v>0</v>
      </c>
      <c r="K19" s="248">
        <v>18124</v>
      </c>
      <c r="L19" s="116">
        <f t="shared" si="4"/>
        <v>0.27617734230356039</v>
      </c>
      <c r="M19" s="248">
        <v>14789.48</v>
      </c>
      <c r="N19" s="116">
        <f t="shared" si="5"/>
        <v>0.22536522183026156</v>
      </c>
      <c r="O19" s="134">
        <v>1439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48" priority="6" operator="equal">
      <formula>0</formula>
    </cfRule>
  </conditionalFormatting>
  <conditionalFormatting sqref="D7:D19">
    <cfRule type="cellIs" dxfId="447" priority="5" operator="equal">
      <formula>0</formula>
    </cfRule>
  </conditionalFormatting>
  <conditionalFormatting sqref="E6:O19">
    <cfRule type="cellIs" dxfId="44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S41"/>
  <sheetViews>
    <sheetView zoomScale="70" zoomScaleNormal="70" workbookViewId="0">
      <pane xSplit="1" topLeftCell="B1" activePane="topRight" state="frozen"/>
      <selection pane="topRight" activeCell="F10" sqref="F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(((D4-D19)-C4)/C4)</f>
        <v>-0.27323337903468792</v>
      </c>
      <c r="F2" s="400">
        <f>(((D4-D19)-B4)/D4)</f>
        <v>0.20810828136036999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</f>
        <v>1162546.22</v>
      </c>
      <c r="C4" s="135">
        <f>SUM(C6:C19)-C14</f>
        <v>2041398.2799999998</v>
      </c>
      <c r="D4" s="142">
        <f>SUM(D6:D19)</f>
        <v>1542821.4</v>
      </c>
      <c r="E4" s="217">
        <f t="shared" ref="E4:E19" si="0">IFERROR((SUM(D4-C4)/C4),0)</f>
        <v>-0.24423302639404593</v>
      </c>
      <c r="F4" s="217">
        <f>IFERROR((SUM(D4-B4)/D4),0)</f>
        <v>0.24648036383213245</v>
      </c>
      <c r="G4" s="147">
        <f>SUM(G6:G19)</f>
        <v>5398</v>
      </c>
      <c r="H4" s="218">
        <f>AVERAGE(H5:H19)</f>
        <v>245.88552402038559</v>
      </c>
      <c r="I4" s="219">
        <f>SUM(I6:I19)</f>
        <v>0</v>
      </c>
      <c r="J4" s="220">
        <f t="shared" ref="J4:J19" si="1">IFERROR(I4/G4,0)</f>
        <v>0</v>
      </c>
      <c r="K4" s="249">
        <f>SUM(K6:K19)</f>
        <v>204182.66</v>
      </c>
      <c r="L4" s="222">
        <f>SUM(K4/D4)</f>
        <v>0.13234367892485807</v>
      </c>
      <c r="M4" s="244">
        <f>SUM(M6:M19)</f>
        <v>247434.05000000002</v>
      </c>
      <c r="N4" s="222">
        <f>SUM(M4/D4)</f>
        <v>0.16037763671154681</v>
      </c>
      <c r="O4" s="141">
        <f>SUM(O6:O19)</f>
        <v>20556.739999999998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'10 August - 16 August 2020'!D6</f>
        <v>145715.87</v>
      </c>
      <c r="C6" s="123">
        <v>231767.72</v>
      </c>
      <c r="D6" s="197">
        <v>148267.9</v>
      </c>
      <c r="E6" s="162">
        <f t="shared" si="0"/>
        <v>-0.36027372578027694</v>
      </c>
      <c r="F6" s="154">
        <f t="shared" ref="F6:F19" si="2">IFERROR((SUM(D6-B6)/B6),0)</f>
        <v>1.7513740953541978E-2</v>
      </c>
      <c r="G6" s="149">
        <v>489</v>
      </c>
      <c r="H6" s="124">
        <f t="shared" ref="H6:H19" si="3">IFERROR(D6/G6,0)</f>
        <v>303.20633946830264</v>
      </c>
      <c r="I6" s="125">
        <v>0</v>
      </c>
      <c r="J6" s="126">
        <f t="shared" si="1"/>
        <v>0</v>
      </c>
      <c r="K6" s="246">
        <v>6352.26</v>
      </c>
      <c r="L6" s="128">
        <f t="shared" ref="L6:L19" si="4">SUM(K6/D6)</f>
        <v>4.2843123831928558E-2</v>
      </c>
      <c r="M6" s="247">
        <v>33115.870000000003</v>
      </c>
      <c r="N6" s="128">
        <f t="shared" ref="N6:N19" si="5">SUM(M6/D6)</f>
        <v>0.22335158183261516</v>
      </c>
      <c r="O6" s="129">
        <v>2377</v>
      </c>
      <c r="P6" s="26"/>
    </row>
    <row r="7" spans="1:19" ht="15.6" customHeight="1" x14ac:dyDescent="0.3">
      <c r="A7" s="409" t="s">
        <v>16</v>
      </c>
      <c r="B7" s="200">
        <f>'10 August - 16 August 2020'!D7</f>
        <v>95568.74</v>
      </c>
      <c r="C7" s="73">
        <v>221483.49</v>
      </c>
      <c r="D7" s="145">
        <v>148887.1</v>
      </c>
      <c r="E7" s="163">
        <f t="shared" si="0"/>
        <v>-0.32777337037627496</v>
      </c>
      <c r="F7" s="155">
        <f t="shared" si="2"/>
        <v>0.55790585917529101</v>
      </c>
      <c r="G7" s="150">
        <v>515</v>
      </c>
      <c r="H7" s="63">
        <f t="shared" si="3"/>
        <v>289.10116504854369</v>
      </c>
      <c r="I7" s="61">
        <v>0</v>
      </c>
      <c r="J7" s="28">
        <f t="shared" si="1"/>
        <v>0</v>
      </c>
      <c r="K7" s="247">
        <v>27944.21</v>
      </c>
      <c r="L7" s="89">
        <f t="shared" si="4"/>
        <v>0.18768724758558664</v>
      </c>
      <c r="M7" s="247">
        <v>14394.57</v>
      </c>
      <c r="N7" s="89">
        <f t="shared" si="5"/>
        <v>9.6681109377508193E-2</v>
      </c>
      <c r="O7" s="130">
        <v>1696.35</v>
      </c>
      <c r="P7" s="26"/>
    </row>
    <row r="8" spans="1:19" ht="15.6" customHeight="1" x14ac:dyDescent="0.3">
      <c r="A8" s="409" t="s">
        <v>17</v>
      </c>
      <c r="B8" s="200">
        <f>'10 August - 16 August 2020'!D8</f>
        <v>70400.77</v>
      </c>
      <c r="C8" s="73">
        <v>108339.36</v>
      </c>
      <c r="D8" s="145">
        <v>97802.64</v>
      </c>
      <c r="E8" s="163">
        <f t="shared" si="0"/>
        <v>-9.7256620308630221E-2</v>
      </c>
      <c r="F8" s="155">
        <f t="shared" si="2"/>
        <v>0.38922685078586489</v>
      </c>
      <c r="G8" s="150">
        <v>405</v>
      </c>
      <c r="H8" s="63">
        <f t="shared" si="3"/>
        <v>241.488</v>
      </c>
      <c r="I8" s="61">
        <v>0</v>
      </c>
      <c r="J8" s="28">
        <f t="shared" si="1"/>
        <v>0</v>
      </c>
      <c r="K8" s="247">
        <v>31323.68</v>
      </c>
      <c r="L8" s="89">
        <f t="shared" si="4"/>
        <v>0.32027438114144974</v>
      </c>
      <c r="M8" s="247">
        <v>19862.52</v>
      </c>
      <c r="N8" s="89">
        <f t="shared" si="5"/>
        <v>0.2030877694099055</v>
      </c>
      <c r="O8" s="130">
        <v>718</v>
      </c>
      <c r="P8" s="26"/>
    </row>
    <row r="9" spans="1:19" ht="15.6" customHeight="1" x14ac:dyDescent="0.3">
      <c r="A9" s="409" t="s">
        <v>18</v>
      </c>
      <c r="B9" s="200">
        <f>'10 August - 16 August 2020'!D9</f>
        <v>0</v>
      </c>
      <c r="C9" s="73">
        <v>0</v>
      </c>
      <c r="D9" s="145">
        <v>0</v>
      </c>
      <c r="E9" s="163">
        <f t="shared" si="0"/>
        <v>0</v>
      </c>
      <c r="F9" s="155">
        <f t="shared" si="2"/>
        <v>0</v>
      </c>
      <c r="G9" s="150">
        <v>0</v>
      </c>
      <c r="H9" s="63">
        <f t="shared" si="3"/>
        <v>0</v>
      </c>
      <c r="I9" s="61">
        <v>0</v>
      </c>
      <c r="J9" s="28">
        <f t="shared" si="1"/>
        <v>0</v>
      </c>
      <c r="K9" s="247">
        <v>0</v>
      </c>
      <c r="L9" s="89" t="e">
        <f t="shared" si="4"/>
        <v>#DIV/0!</v>
      </c>
      <c r="M9" s="247">
        <v>0</v>
      </c>
      <c r="N9" s="89" t="e">
        <f t="shared" si="5"/>
        <v>#DIV/0!</v>
      </c>
      <c r="O9" s="130">
        <v>0</v>
      </c>
      <c r="P9" s="26"/>
    </row>
    <row r="10" spans="1:19" ht="15.6" customHeight="1" x14ac:dyDescent="0.3">
      <c r="A10" s="411" t="s">
        <v>20</v>
      </c>
      <c r="B10" s="200">
        <f>'10 August - 16 August 2020'!D10</f>
        <v>110791.55</v>
      </c>
      <c r="C10" s="73">
        <v>146426.01999999999</v>
      </c>
      <c r="D10" s="145">
        <v>133499.70000000001</v>
      </c>
      <c r="E10" s="163">
        <f t="shared" si="0"/>
        <v>-8.8278845522127683E-2</v>
      </c>
      <c r="F10" s="155">
        <f t="shared" si="2"/>
        <v>0.20496283335687612</v>
      </c>
      <c r="G10" s="150">
        <v>381</v>
      </c>
      <c r="H10" s="63">
        <f t="shared" si="3"/>
        <v>350.39291338582683</v>
      </c>
      <c r="I10" s="61">
        <v>0</v>
      </c>
      <c r="J10" s="28">
        <f t="shared" si="1"/>
        <v>0</v>
      </c>
      <c r="K10" s="247">
        <v>29669.53</v>
      </c>
      <c r="L10" s="89">
        <f t="shared" si="4"/>
        <v>0.22224416983708575</v>
      </c>
      <c r="M10" s="247">
        <v>19933</v>
      </c>
      <c r="N10" s="89">
        <f t="shared" si="5"/>
        <v>0.14931119695400064</v>
      </c>
      <c r="O10" s="130">
        <v>1892</v>
      </c>
      <c r="P10" s="26"/>
    </row>
    <row r="11" spans="1:19" ht="15.6" customHeight="1" x14ac:dyDescent="0.3">
      <c r="A11" s="409" t="s">
        <v>21</v>
      </c>
      <c r="B11" s="200">
        <f>'10 August - 16 August 2020'!D11</f>
        <v>149185.19</v>
      </c>
      <c r="C11" s="73">
        <v>360091.79</v>
      </c>
      <c r="D11" s="145">
        <v>217481.9</v>
      </c>
      <c r="E11" s="163">
        <f t="shared" si="0"/>
        <v>-0.39603760474516786</v>
      </c>
      <c r="F11" s="155">
        <f t="shared" si="2"/>
        <v>0.457798190289532</v>
      </c>
      <c r="G11" s="150">
        <v>776</v>
      </c>
      <c r="H11" s="63">
        <f t="shared" si="3"/>
        <v>280.26018041237114</v>
      </c>
      <c r="I11" s="61">
        <v>0</v>
      </c>
      <c r="J11" s="28">
        <f t="shared" si="1"/>
        <v>0</v>
      </c>
      <c r="K11" s="247">
        <v>35441.730000000003</v>
      </c>
      <c r="L11" s="89">
        <f t="shared" si="4"/>
        <v>0.16296404436415171</v>
      </c>
      <c r="M11" s="247">
        <v>22507.61</v>
      </c>
      <c r="N11" s="89">
        <f t="shared" si="5"/>
        <v>0.10349187679526435</v>
      </c>
      <c r="O11" s="130">
        <v>2276.29</v>
      </c>
      <c r="P11" s="26"/>
    </row>
    <row r="12" spans="1:19" ht="15.6" customHeight="1" x14ac:dyDescent="0.3">
      <c r="A12" s="198" t="s">
        <v>22</v>
      </c>
      <c r="B12" s="200">
        <f>'10 August - 16 August 2020'!D12</f>
        <v>58499.72</v>
      </c>
      <c r="C12" s="73">
        <v>140341.66</v>
      </c>
      <c r="D12" s="145">
        <v>97296.56</v>
      </c>
      <c r="E12" s="163">
        <f t="shared" si="0"/>
        <v>-0.30671648033805504</v>
      </c>
      <c r="F12" s="155">
        <f t="shared" si="2"/>
        <v>0.66319702043018314</v>
      </c>
      <c r="G12" s="150">
        <v>333</v>
      </c>
      <c r="H12" s="63">
        <f t="shared" si="3"/>
        <v>292.18186186186188</v>
      </c>
      <c r="I12" s="61">
        <v>0</v>
      </c>
      <c r="J12" s="28">
        <f t="shared" si="1"/>
        <v>0</v>
      </c>
      <c r="K12" s="247">
        <v>6930.38</v>
      </c>
      <c r="L12" s="89">
        <f t="shared" si="4"/>
        <v>7.1229445316463399E-2</v>
      </c>
      <c r="M12" s="247">
        <v>14230.96</v>
      </c>
      <c r="N12" s="89">
        <f t="shared" si="5"/>
        <v>0.14626375279866008</v>
      </c>
      <c r="O12" s="130">
        <v>1635.6</v>
      </c>
      <c r="P12" s="26"/>
    </row>
    <row r="13" spans="1:19" ht="15.6" customHeight="1" x14ac:dyDescent="0.3">
      <c r="A13" s="198" t="s">
        <v>23</v>
      </c>
      <c r="B13" s="200">
        <f>'10 August - 16 August 2020'!D13</f>
        <v>114003.83</v>
      </c>
      <c r="C13" s="73">
        <v>198305.39</v>
      </c>
      <c r="D13" s="145">
        <v>159754.29999999999</v>
      </c>
      <c r="E13" s="163">
        <f t="shared" si="0"/>
        <v>-0.19440263323150231</v>
      </c>
      <c r="F13" s="155">
        <f t="shared" si="2"/>
        <v>0.40130642979275333</v>
      </c>
      <c r="G13" s="150">
        <v>597</v>
      </c>
      <c r="H13" s="63">
        <f t="shared" si="3"/>
        <v>267.59514237855944</v>
      </c>
      <c r="I13" s="61">
        <v>0</v>
      </c>
      <c r="J13" s="28">
        <f t="shared" si="1"/>
        <v>0</v>
      </c>
      <c r="K13" s="247">
        <v>18467.87</v>
      </c>
      <c r="L13" s="89">
        <f t="shared" si="4"/>
        <v>0.11560170837342093</v>
      </c>
      <c r="M13" s="247">
        <v>27868.87</v>
      </c>
      <c r="N13" s="89">
        <f t="shared" si="5"/>
        <v>0.1744483247086307</v>
      </c>
      <c r="O13" s="130">
        <v>1908.5</v>
      </c>
      <c r="P13" s="26"/>
    </row>
    <row r="14" spans="1:19" ht="15.6" hidden="1" customHeight="1" x14ac:dyDescent="0.3">
      <c r="A14" s="198" t="s">
        <v>24</v>
      </c>
      <c r="B14" s="200">
        <f>'10 August - 16 August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'10 August - 16 August 2020'!D15</f>
        <v>81421.259999999995</v>
      </c>
      <c r="C15" s="73">
        <v>144589.57</v>
      </c>
      <c r="D15" s="145">
        <v>127454.9</v>
      </c>
      <c r="E15" s="163">
        <f t="shared" si="0"/>
        <v>-0.11850557408808957</v>
      </c>
      <c r="F15" s="155">
        <f t="shared" si="2"/>
        <v>0.5653761683373606</v>
      </c>
      <c r="G15" s="150">
        <v>421</v>
      </c>
      <c r="H15" s="63">
        <f t="shared" si="3"/>
        <v>302.74323040380045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v>14340</v>
      </c>
      <c r="N15" s="89">
        <f t="shared" si="5"/>
        <v>0.11251038602674358</v>
      </c>
      <c r="O15" s="130">
        <v>1972</v>
      </c>
      <c r="P15" s="9"/>
    </row>
    <row r="16" spans="1:19" ht="15.6" customHeight="1" x14ac:dyDescent="0.3">
      <c r="A16" s="198" t="s">
        <v>27</v>
      </c>
      <c r="B16" s="200">
        <f>'10 August - 16 August 2020'!D16</f>
        <v>81736.92</v>
      </c>
      <c r="C16" s="73">
        <v>132180.87</v>
      </c>
      <c r="D16" s="145">
        <v>98588.4</v>
      </c>
      <c r="E16" s="163">
        <f t="shared" si="0"/>
        <v>-0.2541401792861554</v>
      </c>
      <c r="F16" s="155">
        <f t="shared" si="2"/>
        <v>0.20616729869439657</v>
      </c>
      <c r="G16" s="150">
        <v>385</v>
      </c>
      <c r="H16" s="63">
        <f t="shared" si="3"/>
        <v>256.07376623376621</v>
      </c>
      <c r="I16" s="61">
        <v>0</v>
      </c>
      <c r="J16" s="28">
        <f t="shared" si="1"/>
        <v>0</v>
      </c>
      <c r="K16" s="247">
        <v>21178.66</v>
      </c>
      <c r="L16" s="89">
        <f t="shared" si="4"/>
        <v>0.21481898478928557</v>
      </c>
      <c r="M16" s="247">
        <v>19712.91</v>
      </c>
      <c r="N16" s="89">
        <f t="shared" si="5"/>
        <v>0.19995161702593817</v>
      </c>
      <c r="O16" s="130">
        <v>2229</v>
      </c>
      <c r="P16" s="9"/>
      <c r="S16" s="238"/>
    </row>
    <row r="17" spans="1:16" ht="15.6" customHeight="1" x14ac:dyDescent="0.3">
      <c r="A17" s="251" t="s">
        <v>28</v>
      </c>
      <c r="B17" s="200">
        <f>'10 August - 16 August 2020'!D17</f>
        <v>98739.67</v>
      </c>
      <c r="C17" s="73">
        <v>198741.03</v>
      </c>
      <c r="D17" s="145">
        <v>156661</v>
      </c>
      <c r="E17" s="163">
        <f t="shared" si="0"/>
        <v>-0.2117329773323606</v>
      </c>
      <c r="F17" s="155">
        <f t="shared" si="2"/>
        <v>0.58660647741682748</v>
      </c>
      <c r="G17" s="150">
        <v>496</v>
      </c>
      <c r="H17" s="63">
        <f t="shared" si="3"/>
        <v>315.84879032258067</v>
      </c>
      <c r="I17" s="61">
        <v>0</v>
      </c>
      <c r="J17" s="28">
        <f t="shared" si="1"/>
        <v>0</v>
      </c>
      <c r="K17" s="247">
        <v>6189.52</v>
      </c>
      <c r="L17" s="89">
        <f t="shared" si="4"/>
        <v>3.9509003517148499E-2</v>
      </c>
      <c r="M17" s="247">
        <v>33270.26</v>
      </c>
      <c r="N17" s="89">
        <f t="shared" si="5"/>
        <v>0.21237104320794584</v>
      </c>
      <c r="O17" s="130">
        <v>1044</v>
      </c>
      <c r="P17" s="9"/>
    </row>
    <row r="18" spans="1:16" ht="15.6" customHeight="1" x14ac:dyDescent="0.3">
      <c r="A18" s="198" t="s">
        <v>33</v>
      </c>
      <c r="B18" s="200">
        <f>'10 August - 16 August 2020'!D18</f>
        <v>90858.2</v>
      </c>
      <c r="C18" s="73">
        <v>159131.38</v>
      </c>
      <c r="D18" s="145">
        <v>97925.73</v>
      </c>
      <c r="E18" s="163">
        <f t="shared" si="0"/>
        <v>-0.38462338477803693</v>
      </c>
      <c r="F18" s="155">
        <f t="shared" si="2"/>
        <v>7.7786374812620088E-2</v>
      </c>
      <c r="G18" s="150">
        <v>403</v>
      </c>
      <c r="H18" s="63">
        <f t="shared" si="3"/>
        <v>242.99188585607939</v>
      </c>
      <c r="I18" s="61">
        <v>0</v>
      </c>
      <c r="J18" s="28">
        <f t="shared" si="1"/>
        <v>0</v>
      </c>
      <c r="K18" s="247">
        <v>9985.9500000000007</v>
      </c>
      <c r="L18" s="89">
        <f t="shared" si="4"/>
        <v>0.10197473125806671</v>
      </c>
      <c r="M18" s="247">
        <v>18507.7</v>
      </c>
      <c r="N18" s="89">
        <f t="shared" si="5"/>
        <v>0.1889973145975016</v>
      </c>
      <c r="O18" s="130">
        <v>1279</v>
      </c>
      <c r="P18" s="9"/>
    </row>
    <row r="19" spans="1:16" ht="16.2" customHeight="1" thickBot="1" x14ac:dyDescent="0.35">
      <c r="A19" s="203" t="s">
        <v>37</v>
      </c>
      <c r="B19" s="201">
        <f>'10 August - 16 August 2020'!D19</f>
        <v>65624.5</v>
      </c>
      <c r="C19" s="205"/>
      <c r="D19" s="206">
        <v>59201.27</v>
      </c>
      <c r="E19" s="207">
        <f t="shared" si="0"/>
        <v>0</v>
      </c>
      <c r="F19" s="156">
        <f t="shared" si="2"/>
        <v>-9.7878536217418849E-2</v>
      </c>
      <c r="G19" s="151">
        <v>197</v>
      </c>
      <c r="H19" s="132">
        <f t="shared" si="3"/>
        <v>300.51406091370558</v>
      </c>
      <c r="I19" s="133">
        <v>0</v>
      </c>
      <c r="J19" s="114">
        <f t="shared" si="1"/>
        <v>0</v>
      </c>
      <c r="K19" s="248">
        <v>10698.87</v>
      </c>
      <c r="L19" s="116">
        <f t="shared" si="4"/>
        <v>0.18072027846699912</v>
      </c>
      <c r="M19" s="248">
        <v>9689.7800000000007</v>
      </c>
      <c r="N19" s="116">
        <f t="shared" si="5"/>
        <v>0.16367520494070484</v>
      </c>
      <c r="O19" s="134">
        <v>1529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45" priority="6" operator="equal">
      <formula>0</formula>
    </cfRule>
  </conditionalFormatting>
  <conditionalFormatting sqref="D7:D19">
    <cfRule type="cellIs" dxfId="444" priority="5" operator="equal">
      <formula>0</formula>
    </cfRule>
  </conditionalFormatting>
  <conditionalFormatting sqref="E6:O19">
    <cfRule type="cellIs" dxfId="44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S41"/>
  <sheetViews>
    <sheetView zoomScale="70" zoomScaleNormal="70" workbookViewId="0">
      <pane xSplit="1" topLeftCell="B1" activePane="topRight" state="frozen"/>
      <selection pane="topRight" activeCell="G6" sqref="G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(((D4-D19-C19)-C4)/C4)</f>
        <v>-0.30501318758653867</v>
      </c>
      <c r="F2" s="400">
        <f>(((D4-D19-B19)-B4)/D4)</f>
        <v>9.2249254706554332E-2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SUM(B6:B19)-B19</f>
        <v>1483620.13</v>
      </c>
      <c r="C4" s="135">
        <f>SUM(C6:C19)-C14-C19</f>
        <v>2445527.08</v>
      </c>
      <c r="D4" s="142">
        <f>SUM(D6:D19)-D19</f>
        <v>1699609.0699999998</v>
      </c>
      <c r="E4" s="217">
        <f t="shared" ref="E4:E19" si="0">IFERROR((SUM(D4-C4)/C4),0)</f>
        <v>-0.30501318758653867</v>
      </c>
      <c r="F4" s="217">
        <f>IFERROR((SUM(D4-B4)/D4),0)</f>
        <v>0.12708154116875828</v>
      </c>
      <c r="G4" s="147">
        <f>SUM(G6:G19)</f>
        <v>6096</v>
      </c>
      <c r="H4" s="218">
        <f>AVERAGE(H5:H19)</f>
        <v>240.81530997095291</v>
      </c>
      <c r="I4" s="219">
        <f>SUM(I6:I19)</f>
        <v>0</v>
      </c>
      <c r="J4" s="220">
        <f t="shared" ref="J4:J19" si="1">IFERROR(I4/G4,0)</f>
        <v>0</v>
      </c>
      <c r="K4" s="249">
        <f>SUM(K6:K19)</f>
        <v>189422.31</v>
      </c>
      <c r="L4" s="222">
        <f>SUM(K4/D4)</f>
        <v>0.11145051726512616</v>
      </c>
      <c r="M4" s="244">
        <f>SUM(M6:M19)</f>
        <v>284429.15999999997</v>
      </c>
      <c r="N4" s="222">
        <f>SUM(M4/D4)</f>
        <v>0.16734975414081546</v>
      </c>
      <c r="O4" s="141">
        <f>SUM(O6:O19)</f>
        <v>29066.68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'17 August - 23 August 2020'!D6</f>
        <v>148267.9</v>
      </c>
      <c r="C6" s="123">
        <v>248696.5</v>
      </c>
      <c r="D6" s="197">
        <v>159546.92000000001</v>
      </c>
      <c r="E6" s="162">
        <f t="shared" si="0"/>
        <v>-0.35846736886124247</v>
      </c>
      <c r="F6" s="154">
        <f t="shared" ref="F6:F19" si="2">IFERROR((SUM(D6-B6)/B6),0)</f>
        <v>7.6071894186132125E-2</v>
      </c>
      <c r="G6" s="149">
        <v>548</v>
      </c>
      <c r="H6" s="124">
        <f t="shared" ref="H6:H19" si="3">IFERROR(D6/G6,0)</f>
        <v>291.1440145985402</v>
      </c>
      <c r="I6" s="125">
        <v>0</v>
      </c>
      <c r="J6" s="126">
        <f t="shared" si="1"/>
        <v>0</v>
      </c>
      <c r="K6" s="246">
        <v>9954.26</v>
      </c>
      <c r="L6" s="128">
        <f t="shared" ref="L6:L19" si="4">SUM(K6/D6)</f>
        <v>6.2390800148319998E-2</v>
      </c>
      <c r="M6" s="247">
        <v>34048.22</v>
      </c>
      <c r="N6" s="128">
        <f t="shared" ref="N6:N19" si="5">SUM(M6/D6)</f>
        <v>0.21340568655289616</v>
      </c>
      <c r="O6" s="129">
        <v>4214</v>
      </c>
      <c r="P6" s="26"/>
    </row>
    <row r="7" spans="1:19" ht="15.6" customHeight="1" x14ac:dyDescent="0.3">
      <c r="A7" s="409" t="s">
        <v>16</v>
      </c>
      <c r="B7" s="200">
        <f>'17 August - 23 August 2020'!D7</f>
        <v>148887.1</v>
      </c>
      <c r="C7" s="73">
        <v>252827.21</v>
      </c>
      <c r="D7" s="145">
        <v>159359.63</v>
      </c>
      <c r="E7" s="163">
        <f t="shared" si="0"/>
        <v>-0.36968955991722563</v>
      </c>
      <c r="F7" s="155">
        <f t="shared" si="2"/>
        <v>7.0338733174331411E-2</v>
      </c>
      <c r="G7" s="150">
        <v>582</v>
      </c>
      <c r="H7" s="63">
        <f t="shared" si="3"/>
        <v>273.81379725085912</v>
      </c>
      <c r="I7" s="61">
        <v>0</v>
      </c>
      <c r="J7" s="28">
        <f t="shared" si="1"/>
        <v>0</v>
      </c>
      <c r="K7" s="247">
        <v>23348.57</v>
      </c>
      <c r="L7" s="89">
        <f t="shared" si="4"/>
        <v>0.14651496116048965</v>
      </c>
      <c r="M7" s="247">
        <v>16880.259999999998</v>
      </c>
      <c r="N7" s="89">
        <f t="shared" si="5"/>
        <v>0.10592557224185321</v>
      </c>
      <c r="O7" s="130">
        <v>4882</v>
      </c>
      <c r="P7" s="26"/>
    </row>
    <row r="8" spans="1:19" ht="15.6" customHeight="1" x14ac:dyDescent="0.3">
      <c r="A8" s="409" t="s">
        <v>17</v>
      </c>
      <c r="B8" s="200">
        <f>'17 August - 23 August 2020'!D8</f>
        <v>97802.64</v>
      </c>
      <c r="C8" s="73">
        <v>100438.88</v>
      </c>
      <c r="D8" s="145">
        <v>89576.67</v>
      </c>
      <c r="E8" s="163">
        <f t="shared" si="0"/>
        <v>-0.10814746241694458</v>
      </c>
      <c r="F8" s="155">
        <f t="shared" si="2"/>
        <v>-8.410785230337342E-2</v>
      </c>
      <c r="G8" s="150">
        <v>365</v>
      </c>
      <c r="H8" s="63">
        <f t="shared" si="3"/>
        <v>245.41553424657533</v>
      </c>
      <c r="I8" s="61">
        <v>0</v>
      </c>
      <c r="J8" s="28">
        <f t="shared" si="1"/>
        <v>0</v>
      </c>
      <c r="K8" s="247">
        <v>35780.959999999999</v>
      </c>
      <c r="L8" s="89">
        <f t="shared" si="4"/>
        <v>0.39944507872418117</v>
      </c>
      <c r="M8" s="247">
        <v>14179.13</v>
      </c>
      <c r="N8" s="89">
        <f t="shared" si="5"/>
        <v>0.15829043432849199</v>
      </c>
      <c r="O8" s="130">
        <v>900</v>
      </c>
      <c r="P8" s="26"/>
    </row>
    <row r="9" spans="1:19" ht="15.6" customHeight="1" x14ac:dyDescent="0.3">
      <c r="A9" s="409" t="s">
        <v>18</v>
      </c>
      <c r="B9" s="200">
        <f>'17 August - 23 August 2020'!D9</f>
        <v>0</v>
      </c>
      <c r="C9" s="73">
        <v>336182.19</v>
      </c>
      <c r="D9" s="145">
        <v>167047.18</v>
      </c>
      <c r="E9" s="163">
        <f t="shared" si="0"/>
        <v>-0.50310520613837395</v>
      </c>
      <c r="F9" s="155">
        <f t="shared" si="2"/>
        <v>0</v>
      </c>
      <c r="G9" s="150">
        <v>619</v>
      </c>
      <c r="H9" s="63">
        <f t="shared" si="3"/>
        <v>269.86620355411952</v>
      </c>
      <c r="I9" s="61">
        <v>0</v>
      </c>
      <c r="J9" s="28">
        <f t="shared" si="1"/>
        <v>0</v>
      </c>
      <c r="K9" s="247">
        <v>6177.65</v>
      </c>
      <c r="L9" s="89">
        <f t="shared" si="4"/>
        <v>3.6981468349241216E-2</v>
      </c>
      <c r="M9" s="247">
        <v>17707.439999999999</v>
      </c>
      <c r="N9" s="89">
        <f t="shared" si="5"/>
        <v>0.10600262752115899</v>
      </c>
      <c r="O9" s="130">
        <v>3733.1</v>
      </c>
      <c r="P9" s="26"/>
    </row>
    <row r="10" spans="1:19" ht="15.6" customHeight="1" x14ac:dyDescent="0.3">
      <c r="A10" s="411" t="s">
        <v>20</v>
      </c>
      <c r="B10" s="200">
        <f>'17 August - 23 August 2020'!D10</f>
        <v>133499.70000000001</v>
      </c>
      <c r="C10" s="73">
        <v>152135.32999999999</v>
      </c>
      <c r="D10" s="145">
        <v>125718.07</v>
      </c>
      <c r="E10" s="163">
        <f t="shared" si="0"/>
        <v>-0.1736431636228086</v>
      </c>
      <c r="F10" s="155">
        <f t="shared" si="2"/>
        <v>-5.8289494283507784E-2</v>
      </c>
      <c r="G10" s="150">
        <v>363</v>
      </c>
      <c r="H10" s="63">
        <f t="shared" si="3"/>
        <v>346.33077134986229</v>
      </c>
      <c r="I10" s="61">
        <v>0</v>
      </c>
      <c r="J10" s="28">
        <f t="shared" si="1"/>
        <v>0</v>
      </c>
      <c r="K10" s="247">
        <v>9827.16</v>
      </c>
      <c r="L10" s="89">
        <f t="shared" si="4"/>
        <v>7.8168237867476009E-2</v>
      </c>
      <c r="M10" s="247">
        <v>31969.03</v>
      </c>
      <c r="N10" s="89">
        <f t="shared" si="5"/>
        <v>0.25429144752222171</v>
      </c>
      <c r="O10" s="130">
        <v>3267.98</v>
      </c>
      <c r="P10" s="26"/>
    </row>
    <row r="11" spans="1:19" ht="15.6" customHeight="1" x14ac:dyDescent="0.3">
      <c r="A11" s="409" t="s">
        <v>21</v>
      </c>
      <c r="B11" s="200">
        <f>'17 August - 23 August 2020'!D11</f>
        <v>217481.9</v>
      </c>
      <c r="C11" s="73">
        <v>359955.15</v>
      </c>
      <c r="D11" s="145">
        <v>225625.91</v>
      </c>
      <c r="E11" s="163">
        <f t="shared" si="0"/>
        <v>-0.37318327019352276</v>
      </c>
      <c r="F11" s="155">
        <f t="shared" si="2"/>
        <v>3.744684040373019E-2</v>
      </c>
      <c r="G11" s="150">
        <v>838</v>
      </c>
      <c r="H11" s="63">
        <f t="shared" si="3"/>
        <v>269.24332935560858</v>
      </c>
      <c r="I11" s="61">
        <v>0</v>
      </c>
      <c r="J11" s="28">
        <f t="shared" si="1"/>
        <v>0</v>
      </c>
      <c r="K11" s="247">
        <v>33358.910000000003</v>
      </c>
      <c r="L11" s="89">
        <f t="shared" si="4"/>
        <v>0.14785052833692727</v>
      </c>
      <c r="M11" s="247">
        <v>24582.959999999999</v>
      </c>
      <c r="N11" s="89">
        <f t="shared" si="5"/>
        <v>0.10895450792863283</v>
      </c>
      <c r="O11" s="130">
        <v>2499.6</v>
      </c>
      <c r="P11" s="26"/>
    </row>
    <row r="12" spans="1:19" ht="15.6" customHeight="1" x14ac:dyDescent="0.3">
      <c r="A12" s="198" t="s">
        <v>22</v>
      </c>
      <c r="B12" s="200">
        <f>'17 August - 23 August 2020'!D12</f>
        <v>97296.56</v>
      </c>
      <c r="C12" s="73">
        <v>142994.71</v>
      </c>
      <c r="D12" s="145">
        <v>87304.83</v>
      </c>
      <c r="E12" s="163">
        <f t="shared" si="0"/>
        <v>-0.38945412735897705</v>
      </c>
      <c r="F12" s="155">
        <f t="shared" si="2"/>
        <v>-0.10269355874452289</v>
      </c>
      <c r="G12" s="150">
        <v>296</v>
      </c>
      <c r="H12" s="63">
        <f t="shared" si="3"/>
        <v>294.94875000000002</v>
      </c>
      <c r="I12" s="61">
        <v>0</v>
      </c>
      <c r="J12" s="28">
        <f t="shared" si="1"/>
        <v>0</v>
      </c>
      <c r="K12" s="247">
        <v>9005.1200000000008</v>
      </c>
      <c r="L12" s="89">
        <f t="shared" si="4"/>
        <v>0.10314572515632869</v>
      </c>
      <c r="M12" s="247">
        <v>16659.57</v>
      </c>
      <c r="N12" s="89">
        <f t="shared" si="5"/>
        <v>0.19082071404296874</v>
      </c>
      <c r="O12" s="130">
        <v>288</v>
      </c>
      <c r="P12" s="26"/>
    </row>
    <row r="13" spans="1:19" ht="15.6" customHeight="1" x14ac:dyDescent="0.3">
      <c r="A13" s="198" t="s">
        <v>23</v>
      </c>
      <c r="B13" s="200">
        <f>'17 August - 23 August 2020'!D13</f>
        <v>159754.29999999999</v>
      </c>
      <c r="C13" s="73">
        <v>200652.94</v>
      </c>
      <c r="D13" s="145">
        <v>157305.47</v>
      </c>
      <c r="E13" s="163">
        <f t="shared" si="0"/>
        <v>-0.2160320701007421</v>
      </c>
      <c r="F13" s="155">
        <f t="shared" si="2"/>
        <v>-1.5328726675901603E-2</v>
      </c>
      <c r="G13" s="150">
        <v>595</v>
      </c>
      <c r="H13" s="63">
        <f t="shared" si="3"/>
        <v>264.37894117647056</v>
      </c>
      <c r="I13" s="61">
        <v>0</v>
      </c>
      <c r="J13" s="28">
        <f t="shared" si="1"/>
        <v>0</v>
      </c>
      <c r="K13" s="247">
        <v>21460.61</v>
      </c>
      <c r="L13" s="89">
        <f t="shared" si="4"/>
        <v>0.13642634296188175</v>
      </c>
      <c r="M13" s="247">
        <v>30943.3</v>
      </c>
      <c r="N13" s="89">
        <f t="shared" si="5"/>
        <v>0.19670835349845112</v>
      </c>
      <c r="O13" s="130">
        <v>2788.5</v>
      </c>
      <c r="P13" s="26"/>
    </row>
    <row r="14" spans="1:19" ht="15.6" hidden="1" customHeight="1" x14ac:dyDescent="0.3">
      <c r="A14" s="198" t="s">
        <v>24</v>
      </c>
      <c r="B14" s="200">
        <f>'17 August - 23 August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'17 August - 23 August 2020'!D15</f>
        <v>127454.9</v>
      </c>
      <c r="C15" s="73">
        <v>149768.1</v>
      </c>
      <c r="D15" s="145">
        <v>143641.04999999999</v>
      </c>
      <c r="E15" s="163">
        <f t="shared" si="0"/>
        <v>-4.091024724223661E-2</v>
      </c>
      <c r="F15" s="155">
        <f t="shared" si="2"/>
        <v>0.1269951174886175</v>
      </c>
      <c r="G15" s="150">
        <v>453</v>
      </c>
      <c r="H15" s="63">
        <f t="shared" si="3"/>
        <v>317.08841059602645</v>
      </c>
      <c r="I15" s="61">
        <v>0</v>
      </c>
      <c r="J15" s="28">
        <f t="shared" si="1"/>
        <v>0</v>
      </c>
      <c r="K15" s="247">
        <v>0</v>
      </c>
      <c r="L15" s="89">
        <f t="shared" si="4"/>
        <v>0</v>
      </c>
      <c r="M15" s="247">
        <v>14717.04</v>
      </c>
      <c r="N15" s="89">
        <f t="shared" si="5"/>
        <v>0.10245706223951999</v>
      </c>
      <c r="O15" s="130">
        <v>1427</v>
      </c>
      <c r="P15" s="9"/>
    </row>
    <row r="16" spans="1:19" ht="15.6" customHeight="1" x14ac:dyDescent="0.3">
      <c r="A16" s="198" t="s">
        <v>27</v>
      </c>
      <c r="B16" s="200">
        <f>'17 August - 23 August 2020'!D16</f>
        <v>98588.4</v>
      </c>
      <c r="C16" s="73">
        <v>139344.51999999999</v>
      </c>
      <c r="D16" s="145">
        <v>102765.68</v>
      </c>
      <c r="E16" s="163">
        <f t="shared" si="0"/>
        <v>-0.26250648392918502</v>
      </c>
      <c r="F16" s="155">
        <f t="shared" si="2"/>
        <v>4.2370907733567026E-2</v>
      </c>
      <c r="G16" s="150">
        <v>395</v>
      </c>
      <c r="H16" s="63">
        <f t="shared" si="3"/>
        <v>260.16627848101263</v>
      </c>
      <c r="I16" s="61">
        <v>0</v>
      </c>
      <c r="J16" s="28">
        <f t="shared" si="1"/>
        <v>0</v>
      </c>
      <c r="K16" s="247">
        <v>14143.86</v>
      </c>
      <c r="L16" s="89">
        <f t="shared" si="4"/>
        <v>0.13763213555342602</v>
      </c>
      <c r="M16" s="247">
        <v>23602.9</v>
      </c>
      <c r="N16" s="89">
        <f t="shared" si="5"/>
        <v>0.2296768726679958</v>
      </c>
      <c r="O16" s="130">
        <v>1430</v>
      </c>
      <c r="P16" s="9"/>
      <c r="S16" s="238"/>
    </row>
    <row r="17" spans="1:16" ht="15.6" customHeight="1" x14ac:dyDescent="0.3">
      <c r="A17" s="251" t="s">
        <v>28</v>
      </c>
      <c r="B17" s="200">
        <f>'17 August - 23 August 2020'!D17</f>
        <v>156661</v>
      </c>
      <c r="C17" s="73">
        <v>190535.34</v>
      </c>
      <c r="D17" s="145">
        <v>159701.51</v>
      </c>
      <c r="E17" s="163">
        <f t="shared" si="0"/>
        <v>-0.16182735444248814</v>
      </c>
      <c r="F17" s="155">
        <f t="shared" si="2"/>
        <v>1.9408212637478436E-2</v>
      </c>
      <c r="G17" s="150">
        <v>575</v>
      </c>
      <c r="H17" s="63">
        <f t="shared" si="3"/>
        <v>277.74175652173915</v>
      </c>
      <c r="I17" s="61">
        <v>0</v>
      </c>
      <c r="J17" s="28">
        <f t="shared" si="1"/>
        <v>0</v>
      </c>
      <c r="K17" s="247">
        <v>15025.39</v>
      </c>
      <c r="L17" s="89">
        <f t="shared" si="4"/>
        <v>9.4084207469296938E-2</v>
      </c>
      <c r="M17" s="247">
        <v>36113.74</v>
      </c>
      <c r="N17" s="89">
        <f t="shared" si="5"/>
        <v>0.22613273975931722</v>
      </c>
      <c r="O17" s="130">
        <v>2092</v>
      </c>
      <c r="P17" s="9"/>
    </row>
    <row r="18" spans="1:16" ht="15.6" customHeight="1" x14ac:dyDescent="0.3">
      <c r="A18" s="198" t="s">
        <v>33</v>
      </c>
      <c r="B18" s="200">
        <f>'17 August - 23 August 2020'!D18</f>
        <v>97925.73</v>
      </c>
      <c r="C18" s="73">
        <v>171996.21</v>
      </c>
      <c r="D18" s="145">
        <v>122016.15</v>
      </c>
      <c r="E18" s="163">
        <f t="shared" si="0"/>
        <v>-0.2905881472620821</v>
      </c>
      <c r="F18" s="155">
        <f t="shared" si="2"/>
        <v>0.24600705044527113</v>
      </c>
      <c r="G18" s="150">
        <v>467</v>
      </c>
      <c r="H18" s="63">
        <f t="shared" si="3"/>
        <v>261.27655246252675</v>
      </c>
      <c r="I18" s="61">
        <v>0</v>
      </c>
      <c r="J18" s="28">
        <f t="shared" si="1"/>
        <v>0</v>
      </c>
      <c r="K18" s="247">
        <v>11339.82</v>
      </c>
      <c r="L18" s="89">
        <f t="shared" si="4"/>
        <v>9.2937041530977663E-2</v>
      </c>
      <c r="M18" s="247">
        <v>23025.57</v>
      </c>
      <c r="N18" s="89">
        <f t="shared" si="5"/>
        <v>0.18870919956087781</v>
      </c>
      <c r="O18" s="130">
        <v>1544.5</v>
      </c>
      <c r="P18" s="9"/>
    </row>
    <row r="19" spans="1:16" ht="16.2" customHeight="1" thickBot="1" x14ac:dyDescent="0.35">
      <c r="A19" s="203" t="s">
        <v>37</v>
      </c>
      <c r="B19" s="201">
        <f>'17 August - 23 August 2020'!D19</f>
        <v>59201.27</v>
      </c>
      <c r="C19" s="205"/>
      <c r="D19" s="206">
        <v>0</v>
      </c>
      <c r="E19" s="207">
        <f t="shared" si="0"/>
        <v>0</v>
      </c>
      <c r="F19" s="156">
        <f t="shared" si="2"/>
        <v>-1</v>
      </c>
      <c r="G19" s="151">
        <v>0</v>
      </c>
      <c r="H19" s="132">
        <f t="shared" si="3"/>
        <v>0</v>
      </c>
      <c r="I19" s="133">
        <v>0</v>
      </c>
      <c r="J19" s="114">
        <f t="shared" si="1"/>
        <v>0</v>
      </c>
      <c r="K19" s="248">
        <v>0</v>
      </c>
      <c r="L19" s="116" t="e">
        <f t="shared" si="4"/>
        <v>#DIV/0!</v>
      </c>
      <c r="M19" s="248">
        <v>0</v>
      </c>
      <c r="N19" s="116" t="e">
        <f t="shared" si="5"/>
        <v>#DIV/0!</v>
      </c>
      <c r="O19" s="134">
        <v>0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42" priority="6" operator="equal">
      <formula>0</formula>
    </cfRule>
  </conditionalFormatting>
  <conditionalFormatting sqref="D7:D19">
    <cfRule type="cellIs" dxfId="441" priority="5" operator="equal">
      <formula>0</formula>
    </cfRule>
  </conditionalFormatting>
  <conditionalFormatting sqref="E6:O19">
    <cfRule type="cellIs" dxfId="44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S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14.5546875" customWidth="1"/>
    <col min="12" max="12" width="11.6640625" bestFit="1" customWidth="1"/>
    <col min="13" max="13" width="13.6640625" customWidth="1"/>
    <col min="14" max="14" width="13.44140625" customWidth="1"/>
    <col min="15" max="15" width="12.6640625" bestFit="1" customWidth="1"/>
  </cols>
  <sheetData>
    <row r="1" spans="1:19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/>
      <c r="N1" s="7"/>
      <c r="O1" s="81"/>
      <c r="P1" s="9"/>
    </row>
    <row r="2" spans="1:19" ht="15" customHeight="1" thickBot="1" x14ac:dyDescent="0.35">
      <c r="A2" s="1"/>
      <c r="B2" s="1"/>
      <c r="C2" s="1"/>
      <c r="D2" s="1"/>
      <c r="E2" s="400">
        <f>(((D4-D19-C19)-C4)/C4)</f>
        <v>-0.23795111148864898</v>
      </c>
      <c r="F2" s="400">
        <f>(((D4-D19-B19)-B4)/D4)</f>
        <v>5.408988597018706E-2</v>
      </c>
      <c r="G2" s="34"/>
      <c r="H2" s="1"/>
      <c r="I2" s="1"/>
      <c r="J2" s="1"/>
      <c r="K2" s="1"/>
      <c r="L2" s="1"/>
      <c r="M2" s="1"/>
      <c r="N2" s="1"/>
      <c r="O2" s="81"/>
      <c r="P2" s="17"/>
    </row>
    <row r="3" spans="1:19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39</v>
      </c>
      <c r="L3" s="113" t="s">
        <v>11</v>
      </c>
      <c r="M3" s="177" t="s">
        <v>42</v>
      </c>
      <c r="N3" s="177" t="s">
        <v>43</v>
      </c>
      <c r="O3" s="402" t="s">
        <v>12</v>
      </c>
      <c r="P3" s="407"/>
    </row>
    <row r="4" spans="1:19" ht="16.2" customHeight="1" thickBot="1" x14ac:dyDescent="0.35">
      <c r="A4" s="398" t="s">
        <v>13</v>
      </c>
      <c r="B4" s="135">
        <f>SUM(B6:B19)-B19</f>
        <v>1699609.0699999998</v>
      </c>
      <c r="C4" s="135">
        <f>SUM(C6:C19)-C14-C19</f>
        <v>2357850.89</v>
      </c>
      <c r="D4" s="142">
        <f>SUM(D6:D19)-D19</f>
        <v>1796797.65</v>
      </c>
      <c r="E4" s="217">
        <f t="shared" ref="E4:E19" si="0">IFERROR((SUM(D4-C4)/C4),0)</f>
        <v>-0.23795111148864898</v>
      </c>
      <c r="F4" s="217">
        <f>IFERROR((SUM(D4-B4)/D4),0)</f>
        <v>5.408988597018706E-2</v>
      </c>
      <c r="G4" s="147">
        <f>SUM(G6:G19)</f>
        <v>6367</v>
      </c>
      <c r="H4" s="218">
        <f>AVERAGE(H5:H19)</f>
        <v>242.36550623346224</v>
      </c>
      <c r="I4" s="219">
        <f>SUM(I6:I19)</f>
        <v>0</v>
      </c>
      <c r="J4" s="220">
        <f t="shared" ref="J4:J19" si="1">IFERROR(I4/G4,0)</f>
        <v>0</v>
      </c>
      <c r="K4" s="249">
        <f>SUM(K6:K19)</f>
        <v>207417.33</v>
      </c>
      <c r="L4" s="222">
        <f>SUM(K4/D4)</f>
        <v>0.1154372224384866</v>
      </c>
      <c r="M4" s="244">
        <f>SUM(M6:M19)</f>
        <v>240228.76</v>
      </c>
      <c r="N4" s="222">
        <f>SUM(M4/D4)</f>
        <v>0.13369828260850633</v>
      </c>
      <c r="O4" s="141">
        <f>SUM(O6:O19)</f>
        <v>23424.74</v>
      </c>
      <c r="P4" s="24"/>
    </row>
    <row r="5" spans="1:19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245">
        <f>I5+'Nov 19 - Nov 25'!I5+'Nov 26 - Dec 2'!I5+'Dec 3 - Dec 9'!I5+'Dec 10 - Dec 16'!I5+'Dec 17 - Dec 23'!I5+'Dec 24 - Dec 30'!I5</f>
        <v>0</v>
      </c>
      <c r="L5" s="122">
        <f>IFERROR(K5/SUM(G5),0)</f>
        <v>0</v>
      </c>
      <c r="M5" s="245"/>
      <c r="N5" s="122"/>
      <c r="O5" s="71"/>
      <c r="P5" s="25"/>
    </row>
    <row r="6" spans="1:19" ht="16.5" customHeight="1" x14ac:dyDescent="0.3">
      <c r="A6" s="408" t="s">
        <v>15</v>
      </c>
      <c r="B6" s="200">
        <f>'24 August - 30 August 2020'!D6</f>
        <v>159546.92000000001</v>
      </c>
      <c r="C6" s="123">
        <v>244137.79</v>
      </c>
      <c r="D6" s="197">
        <v>182984.25</v>
      </c>
      <c r="E6" s="162">
        <f t="shared" si="0"/>
        <v>-0.25048780854451091</v>
      </c>
      <c r="F6" s="154">
        <f t="shared" ref="F6:F19" si="2">IFERROR((SUM(D6-B6)/B6),0)</f>
        <v>0.14689929457741951</v>
      </c>
      <c r="G6" s="149">
        <v>606</v>
      </c>
      <c r="H6" s="124">
        <f t="shared" ref="H6:H19" si="3">IFERROR(D6/G6,0)</f>
        <v>301.9542079207921</v>
      </c>
      <c r="I6" s="125">
        <v>0</v>
      </c>
      <c r="J6" s="126">
        <f t="shared" si="1"/>
        <v>0</v>
      </c>
      <c r="K6" s="246">
        <v>4368.3500000000004</v>
      </c>
      <c r="L6" s="128">
        <f t="shared" ref="L6:L19" si="4">SUM(K6/D6)</f>
        <v>2.3872819655243554E-2</v>
      </c>
      <c r="M6" s="247">
        <v>39954.519999999997</v>
      </c>
      <c r="N6" s="128">
        <f t="shared" ref="N6:N19" si="5">SUM(M6/D6)</f>
        <v>0.218349502757751</v>
      </c>
      <c r="O6" s="129">
        <v>3147.5</v>
      </c>
      <c r="P6" s="26"/>
    </row>
    <row r="7" spans="1:19" ht="15.6" customHeight="1" x14ac:dyDescent="0.3">
      <c r="A7" s="409" t="s">
        <v>16</v>
      </c>
      <c r="B7" s="200">
        <f>'24 August - 30 August 2020'!D7</f>
        <v>159359.63</v>
      </c>
      <c r="C7" s="73">
        <v>229648.34</v>
      </c>
      <c r="D7" s="145">
        <v>157601.76</v>
      </c>
      <c r="E7" s="163">
        <f t="shared" si="0"/>
        <v>-0.31372567291363823</v>
      </c>
      <c r="F7" s="155">
        <f t="shared" si="2"/>
        <v>-1.1030836354225944E-2</v>
      </c>
      <c r="G7" s="150">
        <v>546</v>
      </c>
      <c r="H7" s="63">
        <f t="shared" si="3"/>
        <v>288.64791208791212</v>
      </c>
      <c r="I7" s="61">
        <v>0</v>
      </c>
      <c r="J7" s="28">
        <f t="shared" si="1"/>
        <v>0</v>
      </c>
      <c r="K7" s="247">
        <v>29845.64</v>
      </c>
      <c r="L7" s="89">
        <f t="shared" si="4"/>
        <v>0.18937377349085441</v>
      </c>
      <c r="M7" s="247">
        <v>18842.740000000002</v>
      </c>
      <c r="N7" s="89">
        <f t="shared" si="5"/>
        <v>0.119559197816065</v>
      </c>
      <c r="O7" s="130">
        <v>4101.7</v>
      </c>
      <c r="P7" s="26"/>
    </row>
    <row r="8" spans="1:19" ht="15.6" customHeight="1" x14ac:dyDescent="0.3">
      <c r="A8" s="409" t="s">
        <v>17</v>
      </c>
      <c r="B8" s="200">
        <f>'24 August - 30 August 2020'!D8</f>
        <v>89576.67</v>
      </c>
      <c r="C8" s="73">
        <v>122718.91</v>
      </c>
      <c r="D8" s="145">
        <v>105575.56</v>
      </c>
      <c r="E8" s="163">
        <f t="shared" si="0"/>
        <v>-0.13969607454955399</v>
      </c>
      <c r="F8" s="155">
        <f t="shared" si="2"/>
        <v>0.17860554539479978</v>
      </c>
      <c r="G8" s="150">
        <v>396</v>
      </c>
      <c r="H8" s="63">
        <f t="shared" si="3"/>
        <v>266.60494949494949</v>
      </c>
      <c r="I8" s="61">
        <v>0</v>
      </c>
      <c r="J8" s="28">
        <f t="shared" si="1"/>
        <v>0</v>
      </c>
      <c r="K8" s="247">
        <v>34081.29</v>
      </c>
      <c r="L8" s="89">
        <f t="shared" si="4"/>
        <v>0.32281420055929611</v>
      </c>
      <c r="M8" s="247">
        <v>11176.91</v>
      </c>
      <c r="N8" s="89">
        <f t="shared" si="5"/>
        <v>0.10586645242516356</v>
      </c>
      <c r="O8" s="130">
        <v>871.25</v>
      </c>
      <c r="P8" s="26"/>
    </row>
    <row r="9" spans="1:19" ht="15.6" customHeight="1" x14ac:dyDescent="0.3">
      <c r="A9" s="409" t="s">
        <v>18</v>
      </c>
      <c r="B9" s="200">
        <f>'24 August - 30 August 2020'!D9</f>
        <v>167047.18</v>
      </c>
      <c r="C9" s="73">
        <v>315797.90999999997</v>
      </c>
      <c r="D9" s="145">
        <v>192741.92</v>
      </c>
      <c r="E9" s="163">
        <f t="shared" si="0"/>
        <v>-0.38966689171565438</v>
      </c>
      <c r="F9" s="155">
        <f t="shared" si="2"/>
        <v>0.15381726288345615</v>
      </c>
      <c r="G9" s="150">
        <v>669</v>
      </c>
      <c r="H9" s="63">
        <f t="shared" si="3"/>
        <v>288.10451420029898</v>
      </c>
      <c r="I9" s="61">
        <v>0</v>
      </c>
      <c r="J9" s="28">
        <f t="shared" si="1"/>
        <v>0</v>
      </c>
      <c r="K9" s="247">
        <v>9305.09</v>
      </c>
      <c r="L9" s="89">
        <f t="shared" si="4"/>
        <v>4.8277458271661917E-2</v>
      </c>
      <c r="M9" s="247">
        <v>14237</v>
      </c>
      <c r="N9" s="89">
        <f t="shared" si="5"/>
        <v>7.3865612628534569E-2</v>
      </c>
      <c r="O9" s="130">
        <v>1643</v>
      </c>
      <c r="P9" s="26"/>
    </row>
    <row r="10" spans="1:19" ht="15.6" customHeight="1" x14ac:dyDescent="0.3">
      <c r="A10" s="411" t="s">
        <v>20</v>
      </c>
      <c r="B10" s="200">
        <f>'24 August - 30 August 2020'!D10</f>
        <v>125718.07</v>
      </c>
      <c r="C10" s="73">
        <v>144829.56</v>
      </c>
      <c r="D10" s="145">
        <v>118272</v>
      </c>
      <c r="E10" s="163">
        <f t="shared" si="0"/>
        <v>-0.18337112948489243</v>
      </c>
      <c r="F10" s="155">
        <f t="shared" si="2"/>
        <v>-5.92283193657046E-2</v>
      </c>
      <c r="G10" s="150">
        <v>369</v>
      </c>
      <c r="H10" s="63">
        <f t="shared" si="3"/>
        <v>320.52032520325201</v>
      </c>
      <c r="I10" s="61">
        <v>0</v>
      </c>
      <c r="J10" s="28">
        <f t="shared" si="1"/>
        <v>0</v>
      </c>
      <c r="K10" s="247">
        <v>15853.64</v>
      </c>
      <c r="L10" s="89">
        <f t="shared" si="4"/>
        <v>0.1340438988095238</v>
      </c>
      <c r="M10" s="247">
        <v>31682.28</v>
      </c>
      <c r="N10" s="89">
        <f t="shared" si="5"/>
        <v>0.26787642045454546</v>
      </c>
      <c r="O10" s="130">
        <v>2128.9899999999998</v>
      </c>
      <c r="P10" s="26"/>
    </row>
    <row r="11" spans="1:19" ht="15.6" customHeight="1" x14ac:dyDescent="0.3">
      <c r="A11" s="409" t="s">
        <v>21</v>
      </c>
      <c r="B11" s="200">
        <f>'24 August - 30 August 2020'!D11</f>
        <v>225625.91</v>
      </c>
      <c r="C11" s="73">
        <v>326752.89</v>
      </c>
      <c r="D11" s="145">
        <v>257820.21</v>
      </c>
      <c r="E11" s="163">
        <f t="shared" si="0"/>
        <v>-0.21096272476733111</v>
      </c>
      <c r="F11" s="155">
        <f t="shared" si="2"/>
        <v>0.14268884278405786</v>
      </c>
      <c r="G11" s="150">
        <v>919</v>
      </c>
      <c r="H11" s="63">
        <f t="shared" si="3"/>
        <v>280.54429815016323</v>
      </c>
      <c r="I11" s="61">
        <v>0</v>
      </c>
      <c r="J11" s="28">
        <f t="shared" si="1"/>
        <v>0</v>
      </c>
      <c r="K11" s="247">
        <v>32975.39</v>
      </c>
      <c r="L11" s="89">
        <f t="shared" si="4"/>
        <v>0.12790071810119152</v>
      </c>
      <c r="M11" s="247">
        <v>27009.35</v>
      </c>
      <c r="N11" s="89">
        <f t="shared" si="5"/>
        <v>0.10476040648636505</v>
      </c>
      <c r="O11" s="130">
        <v>2069.4</v>
      </c>
      <c r="P11" s="26"/>
    </row>
    <row r="12" spans="1:19" ht="15.6" customHeight="1" x14ac:dyDescent="0.3">
      <c r="A12" s="198" t="s">
        <v>22</v>
      </c>
      <c r="B12" s="200">
        <f>'24 August - 30 August 2020'!D12</f>
        <v>87304.83</v>
      </c>
      <c r="C12" s="73">
        <v>146340.01</v>
      </c>
      <c r="D12" s="145">
        <v>104337.88</v>
      </c>
      <c r="E12" s="163">
        <f t="shared" si="0"/>
        <v>-0.28701740556119959</v>
      </c>
      <c r="F12" s="155">
        <f t="shared" si="2"/>
        <v>0.19509859878313723</v>
      </c>
      <c r="G12" s="150">
        <v>353</v>
      </c>
      <c r="H12" s="63">
        <f t="shared" si="3"/>
        <v>295.57473087818698</v>
      </c>
      <c r="I12" s="61">
        <v>0</v>
      </c>
      <c r="J12" s="28">
        <f t="shared" si="1"/>
        <v>0</v>
      </c>
      <c r="K12" s="247">
        <v>6813.35</v>
      </c>
      <c r="L12" s="89">
        <f t="shared" si="4"/>
        <v>6.5300828423962606E-2</v>
      </c>
      <c r="M12" s="247">
        <v>18484.45</v>
      </c>
      <c r="N12" s="89">
        <f t="shared" si="5"/>
        <v>0.17715953208940033</v>
      </c>
      <c r="O12" s="130">
        <v>388</v>
      </c>
      <c r="P12" s="26"/>
    </row>
    <row r="13" spans="1:19" ht="15.6" customHeight="1" x14ac:dyDescent="0.3">
      <c r="A13" s="198" t="s">
        <v>23</v>
      </c>
      <c r="B13" s="200">
        <f>'24 August - 30 August 2020'!D13</f>
        <v>157305.47</v>
      </c>
      <c r="C13" s="73">
        <v>210216.79</v>
      </c>
      <c r="D13" s="145">
        <v>160475.67000000001</v>
      </c>
      <c r="E13" s="163">
        <f t="shared" si="0"/>
        <v>-0.23661820732777811</v>
      </c>
      <c r="F13" s="155">
        <f t="shared" si="2"/>
        <v>2.0153145341989771E-2</v>
      </c>
      <c r="G13" s="150">
        <v>597</v>
      </c>
      <c r="H13" s="63">
        <f t="shared" si="3"/>
        <v>268.80346733668341</v>
      </c>
      <c r="I13" s="61">
        <v>0</v>
      </c>
      <c r="J13" s="28">
        <f t="shared" si="1"/>
        <v>0</v>
      </c>
      <c r="K13" s="247">
        <v>20243.43</v>
      </c>
      <c r="L13" s="89">
        <f t="shared" si="4"/>
        <v>0.12614641210097455</v>
      </c>
      <c r="M13" s="247">
        <v>30394.94</v>
      </c>
      <c r="N13" s="89">
        <f t="shared" si="5"/>
        <v>0.18940528492574604</v>
      </c>
      <c r="O13" s="130">
        <v>2562.5</v>
      </c>
      <c r="P13" s="26"/>
    </row>
    <row r="14" spans="1:19" ht="15.6" hidden="1" customHeight="1" x14ac:dyDescent="0.3">
      <c r="A14" s="198" t="s">
        <v>24</v>
      </c>
      <c r="B14" s="200">
        <f>'24 August - 30 August 2020'!D14</f>
        <v>0</v>
      </c>
      <c r="C14" s="73"/>
      <c r="D14" s="145"/>
      <c r="E14" s="163">
        <f t="shared" si="0"/>
        <v>0</v>
      </c>
      <c r="F14" s="155">
        <f t="shared" si="2"/>
        <v>0</v>
      </c>
      <c r="G14" s="150"/>
      <c r="H14" s="63">
        <f t="shared" si="3"/>
        <v>0</v>
      </c>
      <c r="I14" s="61"/>
      <c r="J14" s="28">
        <f t="shared" si="1"/>
        <v>0</v>
      </c>
      <c r="K14" s="247"/>
      <c r="L14" s="89" t="e">
        <f t="shared" si="4"/>
        <v>#DIV/0!</v>
      </c>
      <c r="M14" s="247"/>
      <c r="N14" s="89" t="e">
        <f t="shared" si="5"/>
        <v>#DIV/0!</v>
      </c>
      <c r="O14" s="130"/>
      <c r="P14" s="26"/>
    </row>
    <row r="15" spans="1:19" ht="15.6" customHeight="1" x14ac:dyDescent="0.3">
      <c r="A15" s="198" t="s">
        <v>26</v>
      </c>
      <c r="B15" s="200">
        <f>'24 August - 30 August 2020'!D15</f>
        <v>143641.04999999999</v>
      </c>
      <c r="C15" s="73">
        <v>149312.25</v>
      </c>
      <c r="D15" s="145">
        <v>148414.68</v>
      </c>
      <c r="E15" s="163">
        <f t="shared" si="0"/>
        <v>-6.0113620952065685E-3</v>
      </c>
      <c r="F15" s="155">
        <f t="shared" si="2"/>
        <v>3.323304863059693E-2</v>
      </c>
      <c r="G15" s="150">
        <v>492</v>
      </c>
      <c r="H15" s="63">
        <f t="shared" si="3"/>
        <v>301.65585365853656</v>
      </c>
      <c r="I15" s="61">
        <v>0</v>
      </c>
      <c r="J15" s="28">
        <f t="shared" si="1"/>
        <v>0</v>
      </c>
      <c r="K15" s="247">
        <v>14996.09</v>
      </c>
      <c r="L15" s="89">
        <f t="shared" si="4"/>
        <v>0.10104182416456378</v>
      </c>
      <c r="M15" s="247">
        <v>0</v>
      </c>
      <c r="N15" s="89">
        <f t="shared" si="5"/>
        <v>0</v>
      </c>
      <c r="O15" s="130">
        <v>2465.4</v>
      </c>
      <c r="P15" s="9"/>
    </row>
    <row r="16" spans="1:19" ht="15.6" customHeight="1" x14ac:dyDescent="0.3">
      <c r="A16" s="198" t="s">
        <v>27</v>
      </c>
      <c r="B16" s="200">
        <f>'24 August - 30 August 2020'!D16</f>
        <v>102765.68</v>
      </c>
      <c r="C16" s="73">
        <v>119993.84</v>
      </c>
      <c r="D16" s="145">
        <v>102976.22</v>
      </c>
      <c r="E16" s="163">
        <f t="shared" si="0"/>
        <v>-0.14182078013338015</v>
      </c>
      <c r="F16" s="155">
        <f t="shared" si="2"/>
        <v>2.0487384504243845E-3</v>
      </c>
      <c r="G16" s="150">
        <v>396</v>
      </c>
      <c r="H16" s="63">
        <f t="shared" si="3"/>
        <v>260.04095959595958</v>
      </c>
      <c r="I16" s="61">
        <v>0</v>
      </c>
      <c r="J16" s="28">
        <f t="shared" si="1"/>
        <v>0</v>
      </c>
      <c r="K16" s="247">
        <v>17645.38</v>
      </c>
      <c r="L16" s="89">
        <f t="shared" si="4"/>
        <v>0.17135393006268826</v>
      </c>
      <c r="M16" s="247">
        <v>15140</v>
      </c>
      <c r="N16" s="89">
        <f t="shared" si="5"/>
        <v>0.14702423530403427</v>
      </c>
      <c r="O16" s="130">
        <v>1642</v>
      </c>
      <c r="P16" s="9"/>
      <c r="S16" s="238"/>
    </row>
    <row r="17" spans="1:16" ht="15.6" customHeight="1" x14ac:dyDescent="0.3">
      <c r="A17" s="251" t="s">
        <v>28</v>
      </c>
      <c r="B17" s="200">
        <f>'24 August - 30 August 2020'!D17</f>
        <v>159701.51</v>
      </c>
      <c r="C17" s="73">
        <v>181138.18</v>
      </c>
      <c r="D17" s="145">
        <v>145847.21</v>
      </c>
      <c r="E17" s="163">
        <f t="shared" si="0"/>
        <v>-0.1948289973985606</v>
      </c>
      <c r="F17" s="155">
        <f t="shared" si="2"/>
        <v>-8.6751214813185026E-2</v>
      </c>
      <c r="G17" s="150">
        <v>577</v>
      </c>
      <c r="H17" s="63">
        <f t="shared" si="3"/>
        <v>252.7681282495667</v>
      </c>
      <c r="I17" s="61">
        <v>0</v>
      </c>
      <c r="J17" s="28">
        <f t="shared" si="1"/>
        <v>0</v>
      </c>
      <c r="K17" s="247">
        <v>7899.43</v>
      </c>
      <c r="L17" s="89">
        <f t="shared" si="4"/>
        <v>5.4162366218729864E-2</v>
      </c>
      <c r="M17" s="247">
        <v>13441.48</v>
      </c>
      <c r="N17" s="89">
        <f t="shared" si="5"/>
        <v>9.2161379021237361E-2</v>
      </c>
      <c r="O17" s="130">
        <v>1389</v>
      </c>
      <c r="P17" s="9"/>
    </row>
    <row r="18" spans="1:16" ht="15.6" customHeight="1" x14ac:dyDescent="0.3">
      <c r="A18" s="198" t="s">
        <v>33</v>
      </c>
      <c r="B18" s="200">
        <f>'24 August - 30 August 2020'!D18</f>
        <v>122016.15</v>
      </c>
      <c r="C18" s="73">
        <v>166964.42000000001</v>
      </c>
      <c r="D18" s="145">
        <v>119750.29</v>
      </c>
      <c r="E18" s="163">
        <f t="shared" si="0"/>
        <v>-0.2827795886093577</v>
      </c>
      <c r="F18" s="155">
        <f t="shared" si="2"/>
        <v>-1.857016468721559E-2</v>
      </c>
      <c r="G18" s="150">
        <v>447</v>
      </c>
      <c r="H18" s="63">
        <f t="shared" si="3"/>
        <v>267.89774049216999</v>
      </c>
      <c r="I18" s="61">
        <v>0</v>
      </c>
      <c r="J18" s="28">
        <f t="shared" si="1"/>
        <v>0</v>
      </c>
      <c r="K18" s="247">
        <v>13390.25</v>
      </c>
      <c r="L18" s="89">
        <f t="shared" si="4"/>
        <v>0.1118181008162903</v>
      </c>
      <c r="M18" s="247">
        <v>19865.09</v>
      </c>
      <c r="N18" s="89">
        <f t="shared" si="5"/>
        <v>0.16588761496945018</v>
      </c>
      <c r="O18" s="130">
        <v>1016</v>
      </c>
      <c r="P18" s="9"/>
    </row>
    <row r="19" spans="1:16" ht="16.2" customHeight="1" thickBot="1" x14ac:dyDescent="0.35">
      <c r="A19" s="203" t="s">
        <v>37</v>
      </c>
      <c r="B19" s="201">
        <f>'24 August - 30 August 2020'!D19</f>
        <v>0</v>
      </c>
      <c r="C19" s="205"/>
      <c r="D19" s="206">
        <v>0</v>
      </c>
      <c r="E19" s="207">
        <f t="shared" si="0"/>
        <v>0</v>
      </c>
      <c r="F19" s="156">
        <f t="shared" si="2"/>
        <v>0</v>
      </c>
      <c r="G19" s="151">
        <v>0</v>
      </c>
      <c r="H19" s="132">
        <f t="shared" si="3"/>
        <v>0</v>
      </c>
      <c r="I19" s="133">
        <v>0</v>
      </c>
      <c r="J19" s="114">
        <f t="shared" si="1"/>
        <v>0</v>
      </c>
      <c r="K19" s="248">
        <v>0</v>
      </c>
      <c r="L19" s="116" t="e">
        <f t="shared" si="4"/>
        <v>#DIV/0!</v>
      </c>
      <c r="M19" s="248">
        <v>0</v>
      </c>
      <c r="N19" s="116" t="e">
        <f t="shared" si="5"/>
        <v>#DIV/0!</v>
      </c>
      <c r="O19" s="134">
        <v>0</v>
      </c>
      <c r="P19" s="9"/>
    </row>
    <row r="20" spans="1:16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9"/>
    </row>
    <row r="21" spans="1:16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9"/>
    </row>
    <row r="22" spans="1:16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9"/>
    </row>
    <row r="23" spans="1:16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27"/>
      <c r="P23" s="9"/>
    </row>
    <row r="24" spans="1:16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9"/>
    </row>
    <row r="25" spans="1:16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9"/>
    </row>
    <row r="26" spans="1:16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9"/>
    </row>
    <row r="27" spans="1:16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9"/>
    </row>
    <row r="28" spans="1:16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9"/>
    </row>
    <row r="29" spans="1:16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9"/>
    </row>
    <row r="30" spans="1:16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9"/>
    </row>
    <row r="31" spans="1:16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9"/>
    </row>
    <row r="32" spans="1:16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9"/>
    </row>
    <row r="33" spans="1:16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9"/>
    </row>
    <row r="34" spans="1:16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9"/>
    </row>
    <row r="35" spans="1:16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9"/>
    </row>
    <row r="36" spans="1:16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9"/>
    </row>
    <row r="37" spans="1:16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9"/>
    </row>
    <row r="38" spans="1:16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9"/>
    </row>
    <row r="39" spans="1:16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9"/>
    </row>
    <row r="40" spans="1:16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9"/>
    </row>
    <row r="41" spans="1:16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9"/>
    </row>
  </sheetData>
  <conditionalFormatting sqref="C6:C19">
    <cfRule type="cellIs" dxfId="439" priority="6" operator="equal">
      <formula>0</formula>
    </cfRule>
  </conditionalFormatting>
  <conditionalFormatting sqref="D7:D19">
    <cfRule type="cellIs" dxfId="438" priority="5" operator="equal">
      <formula>0</formula>
    </cfRule>
  </conditionalFormatting>
  <conditionalFormatting sqref="E6:O19">
    <cfRule type="cellIs" dxfId="43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9.44140625" customWidth="1"/>
    <col min="12" max="12" width="10.5546875" bestFit="1" customWidth="1"/>
    <col min="13" max="13" width="14.5546875" customWidth="1"/>
    <col min="14" max="14" width="11.6640625" bestFit="1" customWidth="1"/>
    <col min="15" max="15" width="13.6640625" customWidth="1"/>
    <col min="16" max="16" width="13.44140625" customWidth="1"/>
    <col min="17" max="17" width="12.6640625" bestFit="1" customWidth="1"/>
  </cols>
  <sheetData>
    <row r="1" spans="1:21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 t="s">
        <v>31</v>
      </c>
      <c r="N1" s="7"/>
      <c r="O1" s="7"/>
      <c r="P1" s="7"/>
      <c r="Q1" s="81"/>
      <c r="R1" s="9"/>
    </row>
    <row r="2" spans="1:21" ht="15" customHeight="1" thickBot="1" x14ac:dyDescent="0.35">
      <c r="A2" s="1"/>
      <c r="B2" s="1"/>
      <c r="C2" s="1"/>
      <c r="D2" s="1"/>
      <c r="E2" s="400">
        <f>(((D4-D19-C19)-C4)/C4)</f>
        <v>-0.2804957731722455</v>
      </c>
      <c r="F2" s="400">
        <f>(((D4-D19-B19)-B4)/D4)</f>
        <v>-7.8094597548584388E-2</v>
      </c>
      <c r="G2" s="34"/>
      <c r="H2" s="1"/>
      <c r="I2" s="1"/>
      <c r="J2" s="1"/>
      <c r="K2" s="1"/>
      <c r="L2" s="1"/>
      <c r="M2" s="1"/>
      <c r="N2" s="1"/>
      <c r="O2" s="1"/>
      <c r="P2" s="1"/>
      <c r="Q2" s="81"/>
      <c r="R2" s="17"/>
    </row>
    <row r="3" spans="1:21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9</v>
      </c>
      <c r="L3" s="113" t="s">
        <v>11</v>
      </c>
      <c r="M3" s="113" t="s">
        <v>39</v>
      </c>
      <c r="N3" s="113" t="s">
        <v>11</v>
      </c>
      <c r="O3" s="177" t="s">
        <v>42</v>
      </c>
      <c r="P3" s="177" t="s">
        <v>43</v>
      </c>
      <c r="Q3" s="402" t="s">
        <v>12</v>
      </c>
      <c r="R3" s="407"/>
    </row>
    <row r="4" spans="1:21" ht="16.2" customHeight="1" thickBot="1" x14ac:dyDescent="0.35">
      <c r="A4" s="398" t="s">
        <v>13</v>
      </c>
      <c r="B4" s="135">
        <f>SUM(B6:B19)-B19</f>
        <v>1796797.65</v>
      </c>
      <c r="C4" s="135">
        <f>SUM(C6:C19)-C14-C19</f>
        <v>2316375.4400000004</v>
      </c>
      <c r="D4" s="142">
        <f>SUM(D6:D19)-D19</f>
        <v>1666641.9199999999</v>
      </c>
      <c r="E4" s="217">
        <f t="shared" ref="E4:E19" si="0">IFERROR((SUM(D4-C4)/C4),0)</f>
        <v>-0.2804957731722455</v>
      </c>
      <c r="F4" s="217">
        <f>IFERROR((SUM(D4-B4)/D4),0)</f>
        <v>-7.8094597548584388E-2</v>
      </c>
      <c r="G4" s="147">
        <f>SUM(G6:G19)</f>
        <v>6077</v>
      </c>
      <c r="H4" s="218">
        <f>AVERAGE(H5:H19)</f>
        <v>233.16607617068115</v>
      </c>
      <c r="I4" s="219">
        <f>SUM(I6:I19)</f>
        <v>0</v>
      </c>
      <c r="J4" s="220">
        <f t="shared" ref="J4:J19" si="1">IFERROR(I4/G4,0)</f>
        <v>0</v>
      </c>
      <c r="K4" s="221">
        <f>SUM(K6:K19)</f>
        <v>1077</v>
      </c>
      <c r="L4" s="222">
        <f t="shared" ref="L4:L19" si="2">IFERROR(K4/SUM(G4),0)</f>
        <v>0.1772256047391805</v>
      </c>
      <c r="M4" s="249">
        <f>SUM(M6:M19)</f>
        <v>187533.18</v>
      </c>
      <c r="N4" s="222">
        <f>SUM(M4/D4)</f>
        <v>0.11252157872040085</v>
      </c>
      <c r="O4" s="244">
        <f>SUM(O6:O19)</f>
        <v>225941.19000000003</v>
      </c>
      <c r="P4" s="222">
        <f>SUM(O4/D4)</f>
        <v>0.13556672689476096</v>
      </c>
      <c r="Q4" s="141">
        <f>SUM(Q6:Q19)</f>
        <v>29931.599999999999</v>
      </c>
      <c r="R4" s="24"/>
    </row>
    <row r="5" spans="1:21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121" t="e">
        <f>I5+'Nov 19 - Nov 25'!J5+'Nov 26 - Dec 2'!J5+'Dec 3 - Dec 9'!J5+'Dec 10 - Dec 16'!J5+'Dec 17 - Dec 23'!J5+'Dec 24 - Dec 30'!J5</f>
        <v>#DIV/0!</v>
      </c>
      <c r="L5" s="122">
        <f t="shared" si="2"/>
        <v>0</v>
      </c>
      <c r="M5" s="245">
        <f>I5+'Nov 19 - Nov 25'!I5+'Nov 26 - Dec 2'!I5+'Dec 3 - Dec 9'!I5+'Dec 10 - Dec 16'!I5+'Dec 17 - Dec 23'!I5+'Dec 24 - Dec 30'!I5</f>
        <v>0</v>
      </c>
      <c r="N5" s="122">
        <f>IFERROR(M5/SUM(G5),0)</f>
        <v>0</v>
      </c>
      <c r="O5" s="245"/>
      <c r="P5" s="122"/>
      <c r="Q5" s="71"/>
      <c r="R5" s="25"/>
    </row>
    <row r="6" spans="1:21" ht="16.5" customHeight="1" x14ac:dyDescent="0.3">
      <c r="A6" s="408" t="s">
        <v>15</v>
      </c>
      <c r="B6" s="200">
        <f>'31 August - 6 Sept 2020'!D6</f>
        <v>182984.25</v>
      </c>
      <c r="C6" s="123">
        <v>239200.57</v>
      </c>
      <c r="D6" s="197">
        <v>172765.9</v>
      </c>
      <c r="E6" s="162">
        <f t="shared" si="0"/>
        <v>-0.2777362528860195</v>
      </c>
      <c r="F6" s="154">
        <f t="shared" ref="F6:F19" si="3">IFERROR((SUM(D6-B6)/B6),0)</f>
        <v>-5.5842784283346825E-2</v>
      </c>
      <c r="G6" s="149">
        <v>565</v>
      </c>
      <c r="H6" s="124">
        <f t="shared" ref="H6:H19" si="4">IFERROR(D6/G6,0)</f>
        <v>305.78035398230088</v>
      </c>
      <c r="I6" s="125">
        <v>0</v>
      </c>
      <c r="J6" s="126">
        <f t="shared" si="1"/>
        <v>0</v>
      </c>
      <c r="K6" s="46">
        <v>50</v>
      </c>
      <c r="L6" s="171">
        <f t="shared" si="2"/>
        <v>8.8495575221238937E-2</v>
      </c>
      <c r="M6" s="246">
        <v>13905.04</v>
      </c>
      <c r="N6" s="128">
        <f t="shared" ref="N6:N19" si="5">SUM(M6/D6)</f>
        <v>8.0484864200632195E-2</v>
      </c>
      <c r="O6" s="247">
        <v>23036.77</v>
      </c>
      <c r="P6" s="128">
        <f t="shared" ref="P6:P19" si="6">SUM(O6/D6)</f>
        <v>0.13334095443603167</v>
      </c>
      <c r="Q6" s="129">
        <v>2713</v>
      </c>
      <c r="R6" s="26"/>
    </row>
    <row r="7" spans="1:21" ht="15.6" customHeight="1" x14ac:dyDescent="0.3">
      <c r="A7" s="409" t="s">
        <v>16</v>
      </c>
      <c r="B7" s="200">
        <f>'31 August - 6 Sept 2020'!D7</f>
        <v>157601.76</v>
      </c>
      <c r="C7" s="73">
        <v>229551.86</v>
      </c>
      <c r="D7" s="145">
        <v>143196.01</v>
      </c>
      <c r="E7" s="163">
        <f t="shared" si="0"/>
        <v>-0.37619320531752598</v>
      </c>
      <c r="F7" s="155">
        <f t="shared" si="3"/>
        <v>-9.1406022369293335E-2</v>
      </c>
      <c r="G7" s="150">
        <v>532</v>
      </c>
      <c r="H7" s="63">
        <f t="shared" si="4"/>
        <v>269.16543233082706</v>
      </c>
      <c r="I7" s="61">
        <v>0</v>
      </c>
      <c r="J7" s="28">
        <f t="shared" si="1"/>
        <v>0</v>
      </c>
      <c r="K7" s="46">
        <v>116</v>
      </c>
      <c r="L7" s="172">
        <f t="shared" si="2"/>
        <v>0.21804511278195488</v>
      </c>
      <c r="M7" s="247">
        <v>17977.22</v>
      </c>
      <c r="N7" s="89">
        <f t="shared" si="5"/>
        <v>0.12554274382365821</v>
      </c>
      <c r="O7" s="247">
        <v>11729.3</v>
      </c>
      <c r="P7" s="89">
        <f t="shared" si="6"/>
        <v>8.1910801844269257E-2</v>
      </c>
      <c r="Q7" s="130">
        <v>6912.35</v>
      </c>
      <c r="R7" s="26"/>
    </row>
    <row r="8" spans="1:21" ht="15.6" customHeight="1" x14ac:dyDescent="0.3">
      <c r="A8" s="409" t="s">
        <v>17</v>
      </c>
      <c r="B8" s="200">
        <f>'31 August - 6 Sept 2020'!D8</f>
        <v>105575.56</v>
      </c>
      <c r="C8" s="73">
        <v>100323.41</v>
      </c>
      <c r="D8" s="145">
        <v>90991.77</v>
      </c>
      <c r="E8" s="163">
        <f t="shared" si="0"/>
        <v>-9.3015578318161221E-2</v>
      </c>
      <c r="F8" s="155">
        <f t="shared" si="3"/>
        <v>-0.13813604209155977</v>
      </c>
      <c r="G8" s="150">
        <v>358</v>
      </c>
      <c r="H8" s="63">
        <f t="shared" si="4"/>
        <v>254.16695530726258</v>
      </c>
      <c r="I8" s="61">
        <v>0</v>
      </c>
      <c r="J8" s="28">
        <f t="shared" si="1"/>
        <v>0</v>
      </c>
      <c r="K8" s="46">
        <v>22</v>
      </c>
      <c r="L8" s="172">
        <f t="shared" si="2"/>
        <v>6.1452513966480445E-2</v>
      </c>
      <c r="M8" s="247">
        <v>23414.39</v>
      </c>
      <c r="N8" s="89">
        <f t="shared" si="5"/>
        <v>0.25732426130407177</v>
      </c>
      <c r="O8" s="247">
        <v>25151.74</v>
      </c>
      <c r="P8" s="89">
        <f t="shared" si="6"/>
        <v>0.27641774635222505</v>
      </c>
      <c r="Q8" s="130">
        <v>1392.25</v>
      </c>
      <c r="R8" s="26"/>
    </row>
    <row r="9" spans="1:21" ht="15.6" customHeight="1" x14ac:dyDescent="0.3">
      <c r="A9" s="409" t="s">
        <v>18</v>
      </c>
      <c r="B9" s="200">
        <f>'31 August - 6 Sept 2020'!D9</f>
        <v>192741.92</v>
      </c>
      <c r="C9" s="73">
        <v>313819.25</v>
      </c>
      <c r="D9" s="145">
        <v>168420.84</v>
      </c>
      <c r="E9" s="163">
        <f t="shared" si="0"/>
        <v>-0.46331896465879646</v>
      </c>
      <c r="F9" s="155">
        <f t="shared" si="3"/>
        <v>-0.12618469298220136</v>
      </c>
      <c r="G9" s="150">
        <v>631</v>
      </c>
      <c r="H9" s="63">
        <f t="shared" si="4"/>
        <v>266.91099841521395</v>
      </c>
      <c r="I9" s="61">
        <v>0</v>
      </c>
      <c r="J9" s="28">
        <f t="shared" si="1"/>
        <v>0</v>
      </c>
      <c r="K9" s="46">
        <v>63</v>
      </c>
      <c r="L9" s="172">
        <f t="shared" si="2"/>
        <v>9.9841521394611721E-2</v>
      </c>
      <c r="M9" s="247">
        <v>7332.91</v>
      </c>
      <c r="N9" s="89">
        <f t="shared" si="5"/>
        <v>4.3539208093250216E-2</v>
      </c>
      <c r="O9" s="247">
        <v>13651.04</v>
      </c>
      <c r="P9" s="89">
        <f t="shared" si="6"/>
        <v>8.1053152329604819E-2</v>
      </c>
      <c r="Q9" s="130">
        <v>2684.5</v>
      </c>
      <c r="R9" s="26"/>
    </row>
    <row r="10" spans="1:21" ht="15.6" customHeight="1" x14ac:dyDescent="0.3">
      <c r="A10" s="411" t="s">
        <v>20</v>
      </c>
      <c r="B10" s="200">
        <f>'31 August - 6 Sept 2020'!D10</f>
        <v>118272</v>
      </c>
      <c r="C10" s="73">
        <v>143750.60999999999</v>
      </c>
      <c r="D10" s="145">
        <v>107290.46</v>
      </c>
      <c r="E10" s="163">
        <f t="shared" si="0"/>
        <v>-0.25363474979340944</v>
      </c>
      <c r="F10" s="155">
        <f t="shared" si="3"/>
        <v>-9.2849871482683935E-2</v>
      </c>
      <c r="G10" s="150">
        <v>401</v>
      </c>
      <c r="H10" s="63">
        <f t="shared" si="4"/>
        <v>267.55725685785535</v>
      </c>
      <c r="I10" s="61">
        <v>0</v>
      </c>
      <c r="J10" s="28">
        <f t="shared" si="1"/>
        <v>0</v>
      </c>
      <c r="K10" s="46">
        <v>39</v>
      </c>
      <c r="L10" s="172">
        <f t="shared" si="2"/>
        <v>9.7256857855361589E-2</v>
      </c>
      <c r="M10" s="247">
        <v>21251.41</v>
      </c>
      <c r="N10" s="89">
        <f t="shared" si="5"/>
        <v>0.19807362182993715</v>
      </c>
      <c r="O10" s="247">
        <v>25396.3</v>
      </c>
      <c r="P10" s="89">
        <f t="shared" si="6"/>
        <v>0.23670604077939453</v>
      </c>
      <c r="Q10" s="130">
        <v>2697</v>
      </c>
      <c r="R10" s="26"/>
    </row>
    <row r="11" spans="1:21" ht="15.6" customHeight="1" x14ac:dyDescent="0.3">
      <c r="A11" s="409" t="s">
        <v>21</v>
      </c>
      <c r="B11" s="200">
        <f>'31 August - 6 Sept 2020'!D11</f>
        <v>257820.21</v>
      </c>
      <c r="C11" s="73">
        <v>326839.88</v>
      </c>
      <c r="D11" s="145">
        <v>235120.91</v>
      </c>
      <c r="E11" s="163">
        <f t="shared" si="0"/>
        <v>-0.28062355793301602</v>
      </c>
      <c r="F11" s="155">
        <f t="shared" si="3"/>
        <v>-8.8043136726946233E-2</v>
      </c>
      <c r="G11" s="150">
        <v>838</v>
      </c>
      <c r="H11" s="63">
        <f t="shared" si="4"/>
        <v>280.57387828162291</v>
      </c>
      <c r="I11" s="61">
        <v>0</v>
      </c>
      <c r="J11" s="28">
        <f t="shared" si="1"/>
        <v>0</v>
      </c>
      <c r="K11" s="46">
        <v>205</v>
      </c>
      <c r="L11" s="172">
        <f t="shared" si="2"/>
        <v>0.24463007159904535</v>
      </c>
      <c r="M11" s="247">
        <v>33384.71</v>
      </c>
      <c r="N11" s="89">
        <f t="shared" si="5"/>
        <v>0.14198954061550714</v>
      </c>
      <c r="O11" s="247">
        <v>17130</v>
      </c>
      <c r="P11" s="89">
        <f t="shared" si="6"/>
        <v>7.2856131766417545E-2</v>
      </c>
      <c r="Q11" s="130">
        <v>2959</v>
      </c>
      <c r="R11" s="26"/>
    </row>
    <row r="12" spans="1:21" ht="15.6" customHeight="1" x14ac:dyDescent="0.3">
      <c r="A12" s="198" t="s">
        <v>22</v>
      </c>
      <c r="B12" s="200">
        <f>'31 August - 6 Sept 2020'!D12</f>
        <v>104337.88</v>
      </c>
      <c r="C12" s="73">
        <v>125103.86</v>
      </c>
      <c r="D12" s="145">
        <v>86007.75</v>
      </c>
      <c r="E12" s="163">
        <f t="shared" si="0"/>
        <v>-0.31250922233734435</v>
      </c>
      <c r="F12" s="155">
        <f t="shared" si="3"/>
        <v>-0.17568049111214454</v>
      </c>
      <c r="G12" s="150">
        <v>328</v>
      </c>
      <c r="H12" s="63">
        <f t="shared" si="4"/>
        <v>262.21875</v>
      </c>
      <c r="I12" s="61">
        <v>0</v>
      </c>
      <c r="J12" s="28">
        <f t="shared" si="1"/>
        <v>0</v>
      </c>
      <c r="K12" s="46">
        <v>20</v>
      </c>
      <c r="L12" s="172">
        <f t="shared" si="2"/>
        <v>6.097560975609756E-2</v>
      </c>
      <c r="M12" s="247">
        <v>7700.9</v>
      </c>
      <c r="N12" s="89">
        <f t="shared" si="5"/>
        <v>8.9537280070691297E-2</v>
      </c>
      <c r="O12" s="247">
        <v>12062.3</v>
      </c>
      <c r="P12" s="89">
        <f t="shared" si="6"/>
        <v>0.14024666381808615</v>
      </c>
      <c r="Q12" s="130">
        <v>861</v>
      </c>
      <c r="R12" s="26"/>
    </row>
    <row r="13" spans="1:21" ht="15.6" customHeight="1" x14ac:dyDescent="0.3">
      <c r="A13" s="198" t="s">
        <v>23</v>
      </c>
      <c r="B13" s="200">
        <f>'31 August - 6 Sept 2020'!D13</f>
        <v>160475.67000000001</v>
      </c>
      <c r="C13" s="73">
        <v>193711.92</v>
      </c>
      <c r="D13" s="145">
        <v>151321.60999999999</v>
      </c>
      <c r="E13" s="163">
        <f t="shared" si="0"/>
        <v>-0.21883170638131108</v>
      </c>
      <c r="F13" s="155">
        <f t="shared" si="3"/>
        <v>-5.7043288867402925E-2</v>
      </c>
      <c r="G13" s="150">
        <v>566</v>
      </c>
      <c r="H13" s="63">
        <f t="shared" si="4"/>
        <v>267.35266784452295</v>
      </c>
      <c r="I13" s="61">
        <v>0</v>
      </c>
      <c r="J13" s="28">
        <f t="shared" si="1"/>
        <v>0</v>
      </c>
      <c r="K13" s="46">
        <v>89</v>
      </c>
      <c r="L13" s="172">
        <f t="shared" si="2"/>
        <v>0.15724381625441697</v>
      </c>
      <c r="M13" s="247">
        <v>18457.080000000002</v>
      </c>
      <c r="N13" s="89">
        <f t="shared" si="5"/>
        <v>0.12197253254178304</v>
      </c>
      <c r="O13" s="247">
        <v>31180.04</v>
      </c>
      <c r="P13" s="89">
        <f t="shared" si="6"/>
        <v>0.20605146878889277</v>
      </c>
      <c r="Q13" s="130">
        <v>2127.5</v>
      </c>
      <c r="R13" s="26"/>
    </row>
    <row r="14" spans="1:21" ht="15.6" hidden="1" customHeight="1" x14ac:dyDescent="0.3">
      <c r="A14" s="198" t="s">
        <v>24</v>
      </c>
      <c r="B14" s="200">
        <f>'31 August - 6 Sept 2020'!D14</f>
        <v>0</v>
      </c>
      <c r="C14" s="73"/>
      <c r="D14" s="145"/>
      <c r="E14" s="163">
        <f t="shared" si="0"/>
        <v>0</v>
      </c>
      <c r="F14" s="155">
        <f t="shared" si="3"/>
        <v>0</v>
      </c>
      <c r="G14" s="150"/>
      <c r="H14" s="63">
        <f t="shared" si="4"/>
        <v>0</v>
      </c>
      <c r="I14" s="61"/>
      <c r="J14" s="28">
        <f t="shared" si="1"/>
        <v>0</v>
      </c>
      <c r="K14" s="46"/>
      <c r="L14" s="172">
        <f t="shared" si="2"/>
        <v>0</v>
      </c>
      <c r="M14" s="247"/>
      <c r="N14" s="89" t="e">
        <f t="shared" si="5"/>
        <v>#DIV/0!</v>
      </c>
      <c r="O14" s="247"/>
      <c r="P14" s="89" t="e">
        <f t="shared" si="6"/>
        <v>#DIV/0!</v>
      </c>
      <c r="Q14" s="130"/>
      <c r="R14" s="26"/>
    </row>
    <row r="15" spans="1:21" ht="15.6" customHeight="1" x14ac:dyDescent="0.3">
      <c r="A15" s="198" t="s">
        <v>26</v>
      </c>
      <c r="B15" s="200">
        <f>'31 August - 6 Sept 2020'!D15</f>
        <v>148414.68</v>
      </c>
      <c r="C15" s="73">
        <v>146744.19</v>
      </c>
      <c r="D15" s="145">
        <v>141895.69</v>
      </c>
      <c r="E15" s="163">
        <f t="shared" si="0"/>
        <v>-3.304049039352086E-2</v>
      </c>
      <c r="F15" s="155">
        <f t="shared" si="3"/>
        <v>-4.3924158984811952E-2</v>
      </c>
      <c r="G15" s="150">
        <v>516</v>
      </c>
      <c r="H15" s="63">
        <f t="shared" si="4"/>
        <v>274.99164728682172</v>
      </c>
      <c r="I15" s="61">
        <v>0</v>
      </c>
      <c r="J15" s="28">
        <f t="shared" si="1"/>
        <v>0</v>
      </c>
      <c r="K15" s="46">
        <v>247</v>
      </c>
      <c r="L15" s="172">
        <f t="shared" si="2"/>
        <v>0.47868217054263568</v>
      </c>
      <c r="M15" s="247">
        <v>16248.17</v>
      </c>
      <c r="N15" s="89">
        <f t="shared" si="5"/>
        <v>0.11450784727851847</v>
      </c>
      <c r="O15" s="247">
        <v>0</v>
      </c>
      <c r="P15" s="89">
        <f t="shared" si="6"/>
        <v>0</v>
      </c>
      <c r="Q15" s="130">
        <v>993</v>
      </c>
      <c r="R15" s="9"/>
    </row>
    <row r="16" spans="1:21" ht="15.6" customHeight="1" x14ac:dyDescent="0.3">
      <c r="A16" s="198" t="s">
        <v>27</v>
      </c>
      <c r="B16" s="200">
        <f>'31 August - 6 Sept 2020'!D16</f>
        <v>102976.22</v>
      </c>
      <c r="C16" s="73">
        <v>124313.82</v>
      </c>
      <c r="D16" s="145">
        <v>99944.92</v>
      </c>
      <c r="E16" s="163">
        <f t="shared" si="0"/>
        <v>-0.19602727999187869</v>
      </c>
      <c r="F16" s="155">
        <f t="shared" si="3"/>
        <v>-2.9436893294393626E-2</v>
      </c>
      <c r="G16" s="150">
        <v>383</v>
      </c>
      <c r="H16" s="63">
        <f t="shared" si="4"/>
        <v>260.95279373368146</v>
      </c>
      <c r="I16" s="61">
        <v>0</v>
      </c>
      <c r="J16" s="28">
        <f t="shared" si="1"/>
        <v>0</v>
      </c>
      <c r="K16" s="46">
        <v>44</v>
      </c>
      <c r="L16" s="172">
        <f t="shared" si="2"/>
        <v>0.11488250652741515</v>
      </c>
      <c r="M16" s="247">
        <v>10920.13</v>
      </c>
      <c r="N16" s="89">
        <f t="shared" si="5"/>
        <v>0.10926148122385809</v>
      </c>
      <c r="O16" s="247">
        <v>21866.3</v>
      </c>
      <c r="P16" s="89">
        <f t="shared" si="6"/>
        <v>0.21878350595508006</v>
      </c>
      <c r="Q16" s="130">
        <v>2279</v>
      </c>
      <c r="R16" s="9"/>
      <c r="U16" s="238"/>
    </row>
    <row r="17" spans="1:18" ht="15.6" customHeight="1" x14ac:dyDescent="0.3">
      <c r="A17" s="251" t="s">
        <v>28</v>
      </c>
      <c r="B17" s="200">
        <f>'31 August - 6 Sept 2020'!D17</f>
        <v>145847.21</v>
      </c>
      <c r="C17" s="73">
        <v>218690.87</v>
      </c>
      <c r="D17" s="145">
        <v>166839.26</v>
      </c>
      <c r="E17" s="163">
        <f t="shared" si="0"/>
        <v>-0.23710002159669485</v>
      </c>
      <c r="F17" s="155">
        <f t="shared" si="3"/>
        <v>0.14393178998761799</v>
      </c>
      <c r="G17" s="150">
        <v>527</v>
      </c>
      <c r="H17" s="63">
        <f t="shared" si="4"/>
        <v>316.58303605313097</v>
      </c>
      <c r="I17" s="61">
        <v>0</v>
      </c>
      <c r="J17" s="28">
        <f t="shared" si="1"/>
        <v>0</v>
      </c>
      <c r="K17" s="46">
        <v>50</v>
      </c>
      <c r="L17" s="172">
        <f t="shared" si="2"/>
        <v>9.4876660341555979E-2</v>
      </c>
      <c r="M17" s="247">
        <v>7676.65</v>
      </c>
      <c r="N17" s="89">
        <f t="shared" si="5"/>
        <v>4.6012251552781998E-2</v>
      </c>
      <c r="O17" s="247">
        <v>29275.61</v>
      </c>
      <c r="P17" s="89">
        <f t="shared" si="6"/>
        <v>0.17547194826925028</v>
      </c>
      <c r="Q17" s="130">
        <v>3146</v>
      </c>
      <c r="R17" s="9"/>
    </row>
    <row r="18" spans="1:18" ht="15.6" customHeight="1" x14ac:dyDescent="0.3">
      <c r="A18" s="198" t="s">
        <v>33</v>
      </c>
      <c r="B18" s="200">
        <f>'31 August - 6 Sept 2020'!D18</f>
        <v>119750.29</v>
      </c>
      <c r="C18" s="73">
        <v>154325.20000000001</v>
      </c>
      <c r="D18" s="145">
        <v>102846.8</v>
      </c>
      <c r="E18" s="163">
        <f t="shared" si="0"/>
        <v>-0.33357092684798079</v>
      </c>
      <c r="F18" s="155">
        <f t="shared" si="3"/>
        <v>-0.14115615085358033</v>
      </c>
      <c r="G18" s="150">
        <v>432</v>
      </c>
      <c r="H18" s="63">
        <f t="shared" si="4"/>
        <v>238.07129629629631</v>
      </c>
      <c r="I18" s="61">
        <v>0</v>
      </c>
      <c r="J18" s="28">
        <f t="shared" si="1"/>
        <v>0</v>
      </c>
      <c r="K18" s="46">
        <v>132</v>
      </c>
      <c r="L18" s="172">
        <f t="shared" si="2"/>
        <v>0.30555555555555558</v>
      </c>
      <c r="M18" s="247">
        <v>9264.57</v>
      </c>
      <c r="N18" s="89">
        <f t="shared" si="5"/>
        <v>9.0081266505131902E-2</v>
      </c>
      <c r="O18" s="247">
        <v>15461.79</v>
      </c>
      <c r="P18" s="89">
        <f t="shared" si="6"/>
        <v>0.15033807566205268</v>
      </c>
      <c r="Q18" s="130">
        <v>1167</v>
      </c>
      <c r="R18" s="9"/>
    </row>
    <row r="19" spans="1:18" ht="16.2" customHeight="1" thickBot="1" x14ac:dyDescent="0.35">
      <c r="A19" s="203" t="s">
        <v>37</v>
      </c>
      <c r="B19" s="201">
        <f>'31 August - 6 Sept 2020'!D19</f>
        <v>0</v>
      </c>
      <c r="C19" s="205">
        <v>0</v>
      </c>
      <c r="D19" s="206">
        <v>0</v>
      </c>
      <c r="E19" s="207">
        <f t="shared" si="0"/>
        <v>0</v>
      </c>
      <c r="F19" s="156">
        <f t="shared" si="3"/>
        <v>0</v>
      </c>
      <c r="G19" s="151">
        <v>0</v>
      </c>
      <c r="H19" s="132">
        <f t="shared" si="4"/>
        <v>0</v>
      </c>
      <c r="I19" s="133">
        <v>0</v>
      </c>
      <c r="J19" s="114">
        <f t="shared" si="1"/>
        <v>0</v>
      </c>
      <c r="K19" s="212"/>
      <c r="L19" s="213">
        <f t="shared" si="2"/>
        <v>0</v>
      </c>
      <c r="M19" s="248">
        <v>0</v>
      </c>
      <c r="N19" s="116" t="e">
        <f t="shared" si="5"/>
        <v>#DIV/0!</v>
      </c>
      <c r="O19" s="248">
        <v>0</v>
      </c>
      <c r="P19" s="116" t="e">
        <f t="shared" si="6"/>
        <v>#DIV/0!</v>
      </c>
      <c r="Q19" s="134">
        <v>0</v>
      </c>
      <c r="R19" s="9"/>
    </row>
    <row r="20" spans="1:18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397"/>
      <c r="Q20" s="397"/>
      <c r="R20" s="9"/>
    </row>
    <row r="21" spans="1:18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9"/>
    </row>
    <row r="22" spans="1:18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9"/>
    </row>
    <row r="23" spans="1:18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81"/>
      <c r="P23" s="81"/>
      <c r="Q23" s="27"/>
      <c r="R23" s="9"/>
    </row>
    <row r="24" spans="1:18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9"/>
    </row>
    <row r="25" spans="1:18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9"/>
    </row>
    <row r="26" spans="1:18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9"/>
    </row>
    <row r="27" spans="1:18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9"/>
    </row>
    <row r="28" spans="1:18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9"/>
    </row>
    <row r="29" spans="1:18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9"/>
    </row>
    <row r="30" spans="1:18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9"/>
    </row>
    <row r="31" spans="1:18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9"/>
    </row>
    <row r="32" spans="1:18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9"/>
    </row>
    <row r="33" spans="1:18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9"/>
    </row>
    <row r="34" spans="1:18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9"/>
    </row>
    <row r="35" spans="1:18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9"/>
    </row>
    <row r="36" spans="1:18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9"/>
    </row>
    <row r="37" spans="1:18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9"/>
    </row>
    <row r="38" spans="1:18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9"/>
    </row>
    <row r="39" spans="1:18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9"/>
    </row>
    <row r="40" spans="1:18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9"/>
    </row>
    <row r="41" spans="1:18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9"/>
    </row>
  </sheetData>
  <conditionalFormatting sqref="C6:C19">
    <cfRule type="cellIs" dxfId="436" priority="8" operator="equal">
      <formula>0</formula>
    </cfRule>
  </conditionalFormatting>
  <conditionalFormatting sqref="D7:D19">
    <cfRule type="cellIs" dxfId="435" priority="7" operator="equal">
      <formula>0</formula>
    </cfRule>
  </conditionalFormatting>
  <conditionalFormatting sqref="E6:Q19">
    <cfRule type="cellIs" dxfId="43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U41"/>
  <sheetViews>
    <sheetView zoomScale="70" zoomScaleNormal="70" workbookViewId="0">
      <pane xSplit="1" topLeftCell="B1" activePane="topRight" state="frozen"/>
      <selection activeCell="K15" sqref="K15"/>
      <selection pane="topRight" activeCell="K15" sqref="K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9.44140625" customWidth="1"/>
    <col min="12" max="12" width="10.5546875" bestFit="1" customWidth="1"/>
    <col min="13" max="13" width="14.5546875" customWidth="1"/>
    <col min="14" max="14" width="11.6640625" bestFit="1" customWidth="1"/>
    <col min="15" max="15" width="13.6640625" customWidth="1"/>
    <col min="16" max="16" width="13.44140625" customWidth="1"/>
    <col min="17" max="17" width="12.6640625" bestFit="1" customWidth="1"/>
  </cols>
  <sheetData>
    <row r="1" spans="1:21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 t="s">
        <v>31</v>
      </c>
      <c r="N1" s="7"/>
      <c r="O1" s="7"/>
      <c r="P1" s="7"/>
      <c r="Q1" s="81"/>
      <c r="R1" s="9"/>
    </row>
    <row r="2" spans="1:21" ht="15" customHeight="1" thickBot="1" x14ac:dyDescent="0.35">
      <c r="A2" s="1"/>
      <c r="B2" s="1"/>
      <c r="C2" s="1"/>
      <c r="D2" s="1"/>
      <c r="E2" s="400">
        <f>(((D4-D19-C19)-C4)/C4)</f>
        <v>-0.34512049670738604</v>
      </c>
      <c r="F2" s="400">
        <f>(((D4-D19-B19)-B4)/D4)</f>
        <v>7.0824967312019607E-2</v>
      </c>
      <c r="G2" s="34"/>
      <c r="H2" s="1"/>
      <c r="I2" s="1"/>
      <c r="J2" s="1"/>
      <c r="K2" s="1"/>
      <c r="L2" s="1"/>
      <c r="M2" s="1"/>
      <c r="N2" s="1"/>
      <c r="O2" s="1"/>
      <c r="P2" s="1"/>
      <c r="Q2" s="81"/>
      <c r="R2" s="17"/>
    </row>
    <row r="3" spans="1:21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9</v>
      </c>
      <c r="L3" s="113" t="s">
        <v>11</v>
      </c>
      <c r="M3" s="113" t="s">
        <v>39</v>
      </c>
      <c r="N3" s="113" t="s">
        <v>11</v>
      </c>
      <c r="O3" s="177" t="s">
        <v>42</v>
      </c>
      <c r="P3" s="177" t="s">
        <v>43</v>
      </c>
      <c r="Q3" s="402" t="s">
        <v>12</v>
      </c>
      <c r="R3" s="407"/>
    </row>
    <row r="4" spans="1:21" ht="16.2" customHeight="1" thickBot="1" x14ac:dyDescent="0.35">
      <c r="A4" s="398" t="s">
        <v>13</v>
      </c>
      <c r="B4" s="135">
        <f>SUM(B6:B19)-B19</f>
        <v>1666641.9199999999</v>
      </c>
      <c r="C4" s="135">
        <f>SUM(C6:C19)-C14-C19</f>
        <v>2738945.38</v>
      </c>
      <c r="D4" s="142">
        <f>SUM(D6:D19)-D19</f>
        <v>1793679.1899999997</v>
      </c>
      <c r="E4" s="217">
        <f t="shared" ref="E4:E19" si="0">IFERROR((SUM(D4-C4)/C4),0)</f>
        <v>-0.34512049670738604</v>
      </c>
      <c r="F4" s="217">
        <f>IFERROR((SUM(D4-B4)/D4),0)</f>
        <v>7.0824967312019607E-2</v>
      </c>
      <c r="G4" s="147">
        <f>SUM(G6:G19)</f>
        <v>6406</v>
      </c>
      <c r="H4" s="218">
        <f>AVERAGE(H5:H19)</f>
        <v>238.90801603054328</v>
      </c>
      <c r="I4" s="219">
        <f>SUM(I6:I19)</f>
        <v>479</v>
      </c>
      <c r="J4" s="220">
        <f t="shared" ref="J4:J19" si="1">IFERROR(I4/G4,0)</f>
        <v>7.4773649703403056E-2</v>
      </c>
      <c r="K4" s="221">
        <f>SUM(K6:K19)</f>
        <v>1556</v>
      </c>
      <c r="L4" s="222">
        <f t="shared" ref="L4:L19" si="2">IFERROR(K4/SUM(G4),0)</f>
        <v>0.24289728379644085</v>
      </c>
      <c r="M4" s="249">
        <f>SUM(M6:M19)</f>
        <v>170488.04999999996</v>
      </c>
      <c r="N4" s="222">
        <f>SUM(M4/D4)</f>
        <v>9.5049354951818321E-2</v>
      </c>
      <c r="O4" s="244">
        <f>SUM(O6:O19)</f>
        <v>225053.63</v>
      </c>
      <c r="P4" s="222">
        <f>SUM(O4/D4)</f>
        <v>0.12547039139145058</v>
      </c>
      <c r="Q4" s="141">
        <f>SUM(Q6:Q19)</f>
        <v>27894.29</v>
      </c>
      <c r="R4" s="24"/>
    </row>
    <row r="5" spans="1:21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121" t="e">
        <f>I5+'Nov 19 - Nov 25'!J5+'Nov 26 - Dec 2'!J5+'Dec 3 - Dec 9'!J5+'Dec 10 - Dec 16'!J5+'Dec 17 - Dec 23'!J5+'Dec 24 - Dec 30'!J5</f>
        <v>#DIV/0!</v>
      </c>
      <c r="L5" s="122">
        <f t="shared" si="2"/>
        <v>0</v>
      </c>
      <c r="M5" s="245">
        <f>I5+'Nov 19 - Nov 25'!I5+'Nov 26 - Dec 2'!I5+'Dec 3 - Dec 9'!I5+'Dec 10 - Dec 16'!I5+'Dec 17 - Dec 23'!I5+'Dec 24 - Dec 30'!I5</f>
        <v>0</v>
      </c>
      <c r="N5" s="122">
        <f>IFERROR(M5/SUM(G5),0)</f>
        <v>0</v>
      </c>
      <c r="O5" s="245"/>
      <c r="P5" s="122"/>
      <c r="Q5" s="71"/>
      <c r="R5" s="25"/>
    </row>
    <row r="6" spans="1:21" ht="16.5" customHeight="1" x14ac:dyDescent="0.3">
      <c r="A6" s="408" t="s">
        <v>15</v>
      </c>
      <c r="B6" s="200">
        <f>'7 Sept - 13 Sept 2020'!D6</f>
        <v>172765.9</v>
      </c>
      <c r="C6" s="123">
        <v>313795.07</v>
      </c>
      <c r="D6" s="197">
        <v>186396.77</v>
      </c>
      <c r="E6" s="162">
        <f t="shared" si="0"/>
        <v>-0.40599203805209566</v>
      </c>
      <c r="F6" s="154">
        <f t="shared" ref="F6:F19" si="3">IFERROR((SUM(D6-B6)/B6),0)</f>
        <v>7.8897919091672583E-2</v>
      </c>
      <c r="G6" s="149">
        <v>597</v>
      </c>
      <c r="H6" s="124">
        <f t="shared" ref="H6:H19" si="4">IFERROR(D6/G6,0)</f>
        <v>312.22239530988276</v>
      </c>
      <c r="I6" s="125">
        <v>21</v>
      </c>
      <c r="J6" s="126">
        <f t="shared" si="1"/>
        <v>3.5175879396984924E-2</v>
      </c>
      <c r="K6" s="46">
        <f>50+I6</f>
        <v>71</v>
      </c>
      <c r="L6" s="171">
        <f t="shared" si="2"/>
        <v>0.11892797319932999</v>
      </c>
      <c r="M6" s="246">
        <v>2781.74</v>
      </c>
      <c r="N6" s="128">
        <f t="shared" ref="N6:N19" si="5">SUM(M6/D6)</f>
        <v>1.4923756457796988E-2</v>
      </c>
      <c r="O6" s="247">
        <v>16285.39</v>
      </c>
      <c r="P6" s="128">
        <f t="shared" ref="P6:P19" si="6">SUM(O6/D6)</f>
        <v>8.736948606995712E-2</v>
      </c>
      <c r="Q6" s="129">
        <v>3576.5</v>
      </c>
      <c r="R6" s="26"/>
    </row>
    <row r="7" spans="1:21" ht="15.6" customHeight="1" x14ac:dyDescent="0.3">
      <c r="A7" s="409" t="s">
        <v>16</v>
      </c>
      <c r="B7" s="200">
        <f>'7 Sept - 13 Sept 2020'!D7</f>
        <v>143196.01</v>
      </c>
      <c r="C7" s="73">
        <v>220920.76</v>
      </c>
      <c r="D7" s="145">
        <v>147411.68</v>
      </c>
      <c r="E7" s="163">
        <f t="shared" si="0"/>
        <v>-0.33273957594569209</v>
      </c>
      <c r="F7" s="155">
        <f t="shared" si="3"/>
        <v>2.9439856599356249E-2</v>
      </c>
      <c r="G7" s="150">
        <v>542</v>
      </c>
      <c r="H7" s="63">
        <f t="shared" si="4"/>
        <v>271.97726937269374</v>
      </c>
      <c r="I7" s="61">
        <v>36</v>
      </c>
      <c r="J7" s="28">
        <f t="shared" si="1"/>
        <v>6.6420664206642069E-2</v>
      </c>
      <c r="K7" s="46">
        <f>116+I7</f>
        <v>152</v>
      </c>
      <c r="L7" s="172">
        <f t="shared" si="2"/>
        <v>0.28044280442804426</v>
      </c>
      <c r="M7" s="247">
        <v>24051.79</v>
      </c>
      <c r="N7" s="89">
        <f t="shared" si="5"/>
        <v>0.16316068034771739</v>
      </c>
      <c r="O7" s="247">
        <v>11060.39</v>
      </c>
      <c r="P7" s="89">
        <f t="shared" si="6"/>
        <v>7.5030621725496918E-2</v>
      </c>
      <c r="Q7" s="130">
        <v>4331.45</v>
      </c>
      <c r="R7" s="26"/>
    </row>
    <row r="8" spans="1:21" ht="15.6" customHeight="1" x14ac:dyDescent="0.3">
      <c r="A8" s="409" t="s">
        <v>17</v>
      </c>
      <c r="B8" s="200">
        <f>'7 Sept - 13 Sept 2020'!D8</f>
        <v>90991.77</v>
      </c>
      <c r="C8" s="73">
        <v>112847.78</v>
      </c>
      <c r="D8" s="145">
        <v>98204.57</v>
      </c>
      <c r="E8" s="163">
        <f t="shared" si="0"/>
        <v>-0.1297607272380546</v>
      </c>
      <c r="F8" s="155">
        <f t="shared" si="3"/>
        <v>7.9268707488600376E-2</v>
      </c>
      <c r="G8" s="150">
        <v>375</v>
      </c>
      <c r="H8" s="63">
        <f t="shared" si="4"/>
        <v>261.87885333333332</v>
      </c>
      <c r="I8" s="61">
        <v>9</v>
      </c>
      <c r="J8" s="28">
        <f t="shared" si="1"/>
        <v>2.4E-2</v>
      </c>
      <c r="K8" s="46">
        <f>22+I8</f>
        <v>31</v>
      </c>
      <c r="L8" s="172">
        <f t="shared" si="2"/>
        <v>8.2666666666666666E-2</v>
      </c>
      <c r="M8" s="247">
        <v>27024.61</v>
      </c>
      <c r="N8" s="89">
        <f t="shared" si="5"/>
        <v>0.27518688794218027</v>
      </c>
      <c r="O8" s="247">
        <v>12439.57</v>
      </c>
      <c r="P8" s="89">
        <f t="shared" si="6"/>
        <v>0.12666997065411517</v>
      </c>
      <c r="Q8" s="130">
        <v>1005</v>
      </c>
      <c r="R8" s="26"/>
    </row>
    <row r="9" spans="1:21" ht="15.6" customHeight="1" x14ac:dyDescent="0.3">
      <c r="A9" s="409" t="s">
        <v>18</v>
      </c>
      <c r="B9" s="200">
        <f>'7 Sept - 13 Sept 2020'!D9</f>
        <v>168420.84</v>
      </c>
      <c r="C9" s="73">
        <v>363369.98</v>
      </c>
      <c r="D9" s="145">
        <v>191314.49</v>
      </c>
      <c r="E9" s="163">
        <f t="shared" si="0"/>
        <v>-0.47349946189831094</v>
      </c>
      <c r="F9" s="155">
        <f t="shared" si="3"/>
        <v>0.13593121848816331</v>
      </c>
      <c r="G9" s="150">
        <v>696</v>
      </c>
      <c r="H9" s="63">
        <f t="shared" si="4"/>
        <v>274.87714080459767</v>
      </c>
      <c r="I9" s="61">
        <v>36</v>
      </c>
      <c r="J9" s="28">
        <f t="shared" si="1"/>
        <v>5.1724137931034482E-2</v>
      </c>
      <c r="K9" s="46">
        <f>63+I9</f>
        <v>99</v>
      </c>
      <c r="L9" s="172">
        <f t="shared" si="2"/>
        <v>0.14224137931034483</v>
      </c>
      <c r="M9" s="247">
        <v>8660.2999999999993</v>
      </c>
      <c r="N9" s="89">
        <f t="shared" si="5"/>
        <v>4.5267350110281768E-2</v>
      </c>
      <c r="O9" s="247">
        <v>10904.03</v>
      </c>
      <c r="P9" s="89">
        <f t="shared" si="6"/>
        <v>5.6995316977820142E-2</v>
      </c>
      <c r="Q9" s="130">
        <v>3630</v>
      </c>
      <c r="R9" s="26"/>
    </row>
    <row r="10" spans="1:21" ht="15.6" customHeight="1" x14ac:dyDescent="0.3">
      <c r="A10" s="411" t="s">
        <v>20</v>
      </c>
      <c r="B10" s="200">
        <f>'7 Sept - 13 Sept 2020'!D10</f>
        <v>107290.46</v>
      </c>
      <c r="C10" s="73">
        <v>149468.42000000001</v>
      </c>
      <c r="D10" s="145">
        <v>119965.3</v>
      </c>
      <c r="E10" s="163">
        <f t="shared" si="0"/>
        <v>-0.19738697980483105</v>
      </c>
      <c r="F10" s="155">
        <f t="shared" si="3"/>
        <v>0.11813575969382549</v>
      </c>
      <c r="G10" s="150">
        <v>424</v>
      </c>
      <c r="H10" s="63">
        <f t="shared" si="4"/>
        <v>282.93702830188681</v>
      </c>
      <c r="I10" s="61">
        <v>22</v>
      </c>
      <c r="J10" s="28">
        <f t="shared" si="1"/>
        <v>5.1886792452830191E-2</v>
      </c>
      <c r="K10" s="46">
        <f>39+I10</f>
        <v>61</v>
      </c>
      <c r="L10" s="172">
        <f t="shared" si="2"/>
        <v>0.14386792452830188</v>
      </c>
      <c r="M10" s="247">
        <v>18776.61</v>
      </c>
      <c r="N10" s="89">
        <f t="shared" si="5"/>
        <v>0.1565170095019143</v>
      </c>
      <c r="O10" s="247">
        <v>26233.13</v>
      </c>
      <c r="P10" s="89">
        <f t="shared" si="6"/>
        <v>0.21867264950781601</v>
      </c>
      <c r="Q10" s="130">
        <v>1600.98</v>
      </c>
      <c r="R10" s="26"/>
    </row>
    <row r="11" spans="1:21" ht="15.6" customHeight="1" x14ac:dyDescent="0.3">
      <c r="A11" s="409" t="s">
        <v>21</v>
      </c>
      <c r="B11" s="200">
        <f>'7 Sept - 13 Sept 2020'!D11</f>
        <v>235120.91</v>
      </c>
      <c r="C11" s="73">
        <v>371983.14</v>
      </c>
      <c r="D11" s="145">
        <v>214047.72</v>
      </c>
      <c r="E11" s="163">
        <f t="shared" si="0"/>
        <v>-0.42457682356248727</v>
      </c>
      <c r="F11" s="155">
        <f t="shared" si="3"/>
        <v>-8.9627034873248843E-2</v>
      </c>
      <c r="G11" s="150">
        <v>799</v>
      </c>
      <c r="H11" s="63">
        <f t="shared" si="4"/>
        <v>267.89451814768461</v>
      </c>
      <c r="I11" s="61">
        <v>73</v>
      </c>
      <c r="J11" s="28">
        <f t="shared" si="1"/>
        <v>9.1364205256570713E-2</v>
      </c>
      <c r="K11" s="46">
        <f>205+I11</f>
        <v>278</v>
      </c>
      <c r="L11" s="172">
        <f t="shared" si="2"/>
        <v>0.34793491864831039</v>
      </c>
      <c r="M11" s="247">
        <v>29422.13</v>
      </c>
      <c r="N11" s="89">
        <f t="shared" si="5"/>
        <v>0.13745593739564244</v>
      </c>
      <c r="O11" s="247">
        <v>22067.83</v>
      </c>
      <c r="P11" s="89">
        <f t="shared" si="6"/>
        <v>0.10309771110853226</v>
      </c>
      <c r="Q11" s="130">
        <v>4511.66</v>
      </c>
      <c r="R11" s="26"/>
    </row>
    <row r="12" spans="1:21" ht="15.6" customHeight="1" x14ac:dyDescent="0.3">
      <c r="A12" s="198" t="s">
        <v>22</v>
      </c>
      <c r="B12" s="200">
        <f>'7 Sept - 13 Sept 2020'!D12</f>
        <v>86007.75</v>
      </c>
      <c r="C12" s="73">
        <v>158117.67000000001</v>
      </c>
      <c r="D12" s="145">
        <v>81184.59</v>
      </c>
      <c r="E12" s="163">
        <f t="shared" si="0"/>
        <v>-0.48655586690595687</v>
      </c>
      <c r="F12" s="155">
        <f t="shared" si="3"/>
        <v>-5.6078202255029387E-2</v>
      </c>
      <c r="G12" s="150">
        <v>323</v>
      </c>
      <c r="H12" s="63">
        <f t="shared" si="4"/>
        <v>251.34547987616099</v>
      </c>
      <c r="I12" s="61">
        <v>44</v>
      </c>
      <c r="J12" s="28">
        <f t="shared" si="1"/>
        <v>0.13622291021671826</v>
      </c>
      <c r="K12" s="46">
        <f>20+I12</f>
        <v>64</v>
      </c>
      <c r="L12" s="172">
        <f t="shared" si="2"/>
        <v>0.19814241486068113</v>
      </c>
      <c r="M12" s="247">
        <v>6408.57</v>
      </c>
      <c r="N12" s="89">
        <f t="shared" si="5"/>
        <v>7.8938256632200762E-2</v>
      </c>
      <c r="O12" s="247">
        <v>16358.26</v>
      </c>
      <c r="P12" s="89">
        <f t="shared" si="6"/>
        <v>0.20149464325680527</v>
      </c>
      <c r="Q12" s="130">
        <v>210.5</v>
      </c>
      <c r="R12" s="26"/>
    </row>
    <row r="13" spans="1:21" ht="15.6" customHeight="1" x14ac:dyDescent="0.3">
      <c r="A13" s="198" t="s">
        <v>23</v>
      </c>
      <c r="B13" s="200">
        <f>'7 Sept - 13 Sept 2020'!D13</f>
        <v>151321.60999999999</v>
      </c>
      <c r="C13" s="73">
        <v>214469.54</v>
      </c>
      <c r="D13" s="145">
        <v>167682.76999999999</v>
      </c>
      <c r="E13" s="163">
        <f t="shared" si="0"/>
        <v>-0.21815111833596518</v>
      </c>
      <c r="F13" s="155">
        <f t="shared" si="3"/>
        <v>0.10812176793519448</v>
      </c>
      <c r="G13" s="150">
        <v>602</v>
      </c>
      <c r="H13" s="63">
        <f t="shared" si="4"/>
        <v>278.54280730897005</v>
      </c>
      <c r="I13" s="61">
        <v>47</v>
      </c>
      <c r="J13" s="28">
        <f t="shared" si="1"/>
        <v>7.8073089700996676E-2</v>
      </c>
      <c r="K13" s="46">
        <f>89+I13</f>
        <v>136</v>
      </c>
      <c r="L13" s="172">
        <f t="shared" si="2"/>
        <v>0.22591362126245848</v>
      </c>
      <c r="M13" s="247">
        <v>19327.61</v>
      </c>
      <c r="N13" s="89">
        <f t="shared" si="5"/>
        <v>0.11526294562047133</v>
      </c>
      <c r="O13" s="247">
        <v>27780.43</v>
      </c>
      <c r="P13" s="89">
        <f t="shared" si="6"/>
        <v>0.16567253749446054</v>
      </c>
      <c r="Q13" s="130">
        <v>2052.5</v>
      </c>
      <c r="R13" s="26"/>
    </row>
    <row r="14" spans="1:21" ht="15.6" hidden="1" customHeight="1" x14ac:dyDescent="0.3">
      <c r="A14" s="198" t="s">
        <v>24</v>
      </c>
      <c r="B14" s="200">
        <f>'7 Sept - 13 Sept 2020'!D14</f>
        <v>0</v>
      </c>
      <c r="C14" s="73"/>
      <c r="D14" s="145"/>
      <c r="E14" s="163">
        <f t="shared" si="0"/>
        <v>0</v>
      </c>
      <c r="F14" s="155">
        <f t="shared" si="3"/>
        <v>0</v>
      </c>
      <c r="G14" s="150"/>
      <c r="H14" s="63">
        <f t="shared" si="4"/>
        <v>0</v>
      </c>
      <c r="I14" s="61"/>
      <c r="J14" s="28">
        <f t="shared" si="1"/>
        <v>0</v>
      </c>
      <c r="K14" s="46"/>
      <c r="L14" s="172">
        <f t="shared" si="2"/>
        <v>0</v>
      </c>
      <c r="M14" s="247"/>
      <c r="N14" s="89" t="e">
        <f t="shared" si="5"/>
        <v>#DIV/0!</v>
      </c>
      <c r="O14" s="247"/>
      <c r="P14" s="89" t="e">
        <f t="shared" si="6"/>
        <v>#DIV/0!</v>
      </c>
      <c r="Q14" s="130"/>
      <c r="R14" s="26"/>
    </row>
    <row r="15" spans="1:21" ht="15.6" customHeight="1" x14ac:dyDescent="0.3">
      <c r="A15" s="198" t="s">
        <v>26</v>
      </c>
      <c r="B15" s="200">
        <f>'7 Sept - 13 Sept 2020'!D15</f>
        <v>141895.69</v>
      </c>
      <c r="C15" s="73">
        <v>275297.55</v>
      </c>
      <c r="D15" s="145">
        <v>163505.59</v>
      </c>
      <c r="E15" s="163">
        <f t="shared" si="0"/>
        <v>-0.40607684303765146</v>
      </c>
      <c r="F15" s="155">
        <f t="shared" si="3"/>
        <v>0.1522942663022393</v>
      </c>
      <c r="G15" s="150">
        <v>543</v>
      </c>
      <c r="H15" s="63">
        <f t="shared" si="4"/>
        <v>301.11526703499078</v>
      </c>
      <c r="I15" s="61">
        <v>81</v>
      </c>
      <c r="J15" s="28">
        <f t="shared" si="1"/>
        <v>0.14917127071823205</v>
      </c>
      <c r="K15" s="46">
        <f>247+I15</f>
        <v>328</v>
      </c>
      <c r="L15" s="172">
        <f t="shared" si="2"/>
        <v>0.60405156537753224</v>
      </c>
      <c r="M15" s="247">
        <v>0</v>
      </c>
      <c r="N15" s="89">
        <f t="shared" si="5"/>
        <v>0</v>
      </c>
      <c r="O15" s="247">
        <v>15009.57</v>
      </c>
      <c r="P15" s="89">
        <f t="shared" si="6"/>
        <v>9.1798512821488237E-2</v>
      </c>
      <c r="Q15" s="130">
        <v>2096.1999999999998</v>
      </c>
      <c r="R15" s="9"/>
    </row>
    <row r="16" spans="1:21" ht="15.6" customHeight="1" x14ac:dyDescent="0.3">
      <c r="A16" s="198" t="s">
        <v>27</v>
      </c>
      <c r="B16" s="200">
        <f>'7 Sept - 13 Sept 2020'!D16</f>
        <v>99944.92</v>
      </c>
      <c r="C16" s="73">
        <v>136655.46</v>
      </c>
      <c r="D16" s="145">
        <v>102940.88</v>
      </c>
      <c r="E16" s="163">
        <f t="shared" si="0"/>
        <v>-0.24671227918738109</v>
      </c>
      <c r="F16" s="155">
        <f t="shared" si="3"/>
        <v>2.9976110841851755E-2</v>
      </c>
      <c r="G16" s="150">
        <v>376</v>
      </c>
      <c r="H16" s="63">
        <f t="shared" si="4"/>
        <v>273.77893617021277</v>
      </c>
      <c r="I16" s="61">
        <v>9</v>
      </c>
      <c r="J16" s="28">
        <f t="shared" si="1"/>
        <v>2.3936170212765957E-2</v>
      </c>
      <c r="K16" s="46">
        <f>44+I16</f>
        <v>53</v>
      </c>
      <c r="L16" s="172">
        <f t="shared" si="2"/>
        <v>0.14095744680851063</v>
      </c>
      <c r="M16" s="247">
        <v>18553.61</v>
      </c>
      <c r="N16" s="89">
        <f t="shared" si="5"/>
        <v>0.18023558764992101</v>
      </c>
      <c r="O16" s="247">
        <v>16741.650000000001</v>
      </c>
      <c r="P16" s="89">
        <f t="shared" si="6"/>
        <v>0.16263363981345411</v>
      </c>
      <c r="Q16" s="130">
        <v>2090.5</v>
      </c>
      <c r="R16" s="9"/>
      <c r="U16" s="238"/>
    </row>
    <row r="17" spans="1:18" ht="15.6" customHeight="1" x14ac:dyDescent="0.3">
      <c r="A17" s="251" t="s">
        <v>28</v>
      </c>
      <c r="B17" s="200">
        <f>'7 Sept - 13 Sept 2020'!D17</f>
        <v>166839.26</v>
      </c>
      <c r="C17" s="73">
        <v>243291.29</v>
      </c>
      <c r="D17" s="145">
        <v>174633.4</v>
      </c>
      <c r="E17" s="163">
        <f t="shared" si="0"/>
        <v>-0.2822044718493622</v>
      </c>
      <c r="F17" s="155">
        <f t="shared" si="3"/>
        <v>4.6716462300300209E-2</v>
      </c>
      <c r="G17" s="150">
        <v>607</v>
      </c>
      <c r="H17" s="63">
        <f t="shared" si="4"/>
        <v>287.69917627677097</v>
      </c>
      <c r="I17" s="61">
        <v>18</v>
      </c>
      <c r="J17" s="28">
        <f t="shared" si="1"/>
        <v>2.9654036243822075E-2</v>
      </c>
      <c r="K17" s="46">
        <f>50+I17</f>
        <v>68</v>
      </c>
      <c r="L17" s="172">
        <f t="shared" si="2"/>
        <v>0.11202635914332784</v>
      </c>
      <c r="M17" s="247">
        <v>6266.99</v>
      </c>
      <c r="N17" s="89">
        <f t="shared" si="5"/>
        <v>3.5886548621283217E-2</v>
      </c>
      <c r="O17" s="247">
        <v>30250.57</v>
      </c>
      <c r="P17" s="89">
        <f t="shared" si="6"/>
        <v>0.17322327802127199</v>
      </c>
      <c r="Q17" s="130">
        <v>1807.5</v>
      </c>
      <c r="R17" s="9"/>
    </row>
    <row r="18" spans="1:18" ht="15.6" customHeight="1" x14ac:dyDescent="0.3">
      <c r="A18" s="198" t="s">
        <v>33</v>
      </c>
      <c r="B18" s="200">
        <f>'7 Sept - 13 Sept 2020'!D18</f>
        <v>102846.8</v>
      </c>
      <c r="C18" s="73">
        <v>178728.72</v>
      </c>
      <c r="D18" s="145">
        <v>146391.43</v>
      </c>
      <c r="E18" s="163">
        <f t="shared" si="0"/>
        <v>-0.18092945554581272</v>
      </c>
      <c r="F18" s="155">
        <f t="shared" si="3"/>
        <v>0.42339314397725536</v>
      </c>
      <c r="G18" s="150">
        <v>522</v>
      </c>
      <c r="H18" s="63">
        <f t="shared" si="4"/>
        <v>280.44335249042143</v>
      </c>
      <c r="I18" s="61">
        <v>83</v>
      </c>
      <c r="J18" s="28">
        <f t="shared" si="1"/>
        <v>0.15900383141762453</v>
      </c>
      <c r="K18" s="46">
        <f>132+I18</f>
        <v>215</v>
      </c>
      <c r="L18" s="172">
        <f t="shared" si="2"/>
        <v>0.4118773946360153</v>
      </c>
      <c r="M18" s="247">
        <v>9214.09</v>
      </c>
      <c r="N18" s="89">
        <f t="shared" si="5"/>
        <v>6.2941457706916323E-2</v>
      </c>
      <c r="O18" s="247">
        <v>19922.810000000001</v>
      </c>
      <c r="P18" s="89">
        <f t="shared" si="6"/>
        <v>0.13609273439025771</v>
      </c>
      <c r="Q18" s="130">
        <v>981.5</v>
      </c>
      <c r="R18" s="9"/>
    </row>
    <row r="19" spans="1:18" ht="16.2" customHeight="1" thickBot="1" x14ac:dyDescent="0.35">
      <c r="A19" s="203" t="s">
        <v>37</v>
      </c>
      <c r="B19" s="201">
        <f>'7 Sept - 13 Sept 2020'!D19</f>
        <v>0</v>
      </c>
      <c r="C19" s="205">
        <v>0</v>
      </c>
      <c r="D19" s="206">
        <v>0</v>
      </c>
      <c r="E19" s="207">
        <f t="shared" si="0"/>
        <v>0</v>
      </c>
      <c r="F19" s="156">
        <f t="shared" si="3"/>
        <v>0</v>
      </c>
      <c r="G19" s="151">
        <v>0</v>
      </c>
      <c r="H19" s="132">
        <f t="shared" si="4"/>
        <v>0</v>
      </c>
      <c r="I19" s="133">
        <v>0</v>
      </c>
      <c r="J19" s="114">
        <f t="shared" si="1"/>
        <v>0</v>
      </c>
      <c r="K19" s="212">
        <v>0</v>
      </c>
      <c r="L19" s="213">
        <f t="shared" si="2"/>
        <v>0</v>
      </c>
      <c r="M19" s="248">
        <v>0</v>
      </c>
      <c r="N19" s="116" t="e">
        <f t="shared" si="5"/>
        <v>#DIV/0!</v>
      </c>
      <c r="O19" s="248">
        <v>0</v>
      </c>
      <c r="P19" s="116" t="e">
        <f t="shared" si="6"/>
        <v>#DIV/0!</v>
      </c>
      <c r="Q19" s="134">
        <v>0</v>
      </c>
      <c r="R19" s="9"/>
    </row>
    <row r="20" spans="1:18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397"/>
      <c r="Q20" s="397"/>
      <c r="R20" s="9"/>
    </row>
    <row r="21" spans="1:18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9"/>
    </row>
    <row r="22" spans="1:18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9"/>
    </row>
    <row r="23" spans="1:18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81"/>
      <c r="P23" s="81"/>
      <c r="Q23" s="27"/>
      <c r="R23" s="9"/>
    </row>
    <row r="24" spans="1:18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9"/>
    </row>
    <row r="25" spans="1:18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9"/>
    </row>
    <row r="26" spans="1:18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9"/>
    </row>
    <row r="27" spans="1:18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9"/>
    </row>
    <row r="28" spans="1:18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9"/>
    </row>
    <row r="29" spans="1:18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9"/>
    </row>
    <row r="30" spans="1:18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9"/>
    </row>
    <row r="31" spans="1:18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9"/>
    </row>
    <row r="32" spans="1:18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9"/>
    </row>
    <row r="33" spans="1:18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9"/>
    </row>
    <row r="34" spans="1:18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9"/>
    </row>
    <row r="35" spans="1:18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9"/>
    </row>
    <row r="36" spans="1:18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9"/>
    </row>
    <row r="37" spans="1:18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9"/>
    </row>
    <row r="38" spans="1:18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9"/>
    </row>
    <row r="39" spans="1:18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9"/>
    </row>
    <row r="40" spans="1:18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9"/>
    </row>
    <row r="41" spans="1:18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9"/>
    </row>
  </sheetData>
  <conditionalFormatting sqref="C6:C19">
    <cfRule type="cellIs" dxfId="433" priority="8" operator="equal">
      <formula>0</formula>
    </cfRule>
  </conditionalFormatting>
  <conditionalFormatting sqref="D7:D19">
    <cfRule type="cellIs" dxfId="432" priority="7" operator="equal">
      <formula>0</formula>
    </cfRule>
  </conditionalFormatting>
  <conditionalFormatting sqref="E6:Q19">
    <cfRule type="cellIs" dxfId="43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U41"/>
  <sheetViews>
    <sheetView zoomScale="70" zoomScaleNormal="70" workbookViewId="0">
      <pane xSplit="1" topLeftCell="B1" activePane="topRight" state="frozen"/>
      <selection pane="topRight" activeCell="E1" sqref="E1:E104857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2.6640625" bestFit="1" customWidth="1"/>
    <col min="6" max="6" width="12.6640625" customWidth="1"/>
    <col min="7" max="7" width="11.44140625" bestFit="1" customWidth="1"/>
    <col min="8" max="8" width="13.44140625" bestFit="1" customWidth="1"/>
    <col min="11" max="11" width="9.44140625" customWidth="1"/>
    <col min="12" max="12" width="10.5546875" bestFit="1" customWidth="1"/>
    <col min="13" max="13" width="14.5546875" customWidth="1"/>
    <col min="14" max="14" width="11.6640625" bestFit="1" customWidth="1"/>
    <col min="15" max="15" width="13.6640625" customWidth="1"/>
    <col min="16" max="16" width="13.44140625" customWidth="1"/>
    <col min="17" max="17" width="12.6640625" bestFit="1" customWidth="1"/>
  </cols>
  <sheetData>
    <row r="1" spans="1:21" ht="15.6" customHeight="1" x14ac:dyDescent="0.3">
      <c r="A1" s="7"/>
      <c r="B1" s="7"/>
      <c r="C1" s="7"/>
      <c r="D1" s="7"/>
      <c r="E1" s="14" t="s">
        <v>0</v>
      </c>
      <c r="F1" s="14" t="s">
        <v>0</v>
      </c>
      <c r="G1" s="7"/>
      <c r="H1" s="7"/>
      <c r="I1" s="7"/>
      <c r="J1" s="7"/>
      <c r="K1" s="7" t="s">
        <v>31</v>
      </c>
      <c r="L1" s="7"/>
      <c r="M1" s="7" t="s">
        <v>31</v>
      </c>
      <c r="N1" s="7"/>
      <c r="O1" s="7"/>
      <c r="P1" s="7"/>
      <c r="Q1" s="81"/>
      <c r="R1" s="9"/>
    </row>
    <row r="2" spans="1:21" ht="15" customHeight="1" thickBot="1" x14ac:dyDescent="0.35">
      <c r="A2" s="1"/>
      <c r="B2" s="1"/>
      <c r="C2" s="1"/>
      <c r="D2" s="1"/>
      <c r="E2" s="400">
        <f>(((D4-D19-C19)-C4)/C4)</f>
        <v>-0.30618172458773169</v>
      </c>
      <c r="F2" s="400">
        <f>(((D4-D19-B19)-B4)/D4)</f>
        <v>5.6122436522037238E-2</v>
      </c>
      <c r="G2" s="34"/>
      <c r="H2" s="1"/>
      <c r="I2" s="1"/>
      <c r="J2" s="1"/>
      <c r="K2" s="1"/>
      <c r="L2" s="1"/>
      <c r="M2" s="1"/>
      <c r="N2" s="1"/>
      <c r="O2" s="1"/>
      <c r="P2" s="1"/>
      <c r="Q2" s="81"/>
      <c r="R2" s="17"/>
    </row>
    <row r="3" spans="1:21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0" t="s">
        <v>4</v>
      </c>
      <c r="F3" s="250" t="s">
        <v>41</v>
      </c>
      <c r="G3" s="236" t="s">
        <v>38</v>
      </c>
      <c r="H3" s="250" t="s">
        <v>7</v>
      </c>
      <c r="I3" s="113" t="s">
        <v>32</v>
      </c>
      <c r="J3" s="113" t="s">
        <v>29</v>
      </c>
      <c r="K3" s="113" t="s">
        <v>9</v>
      </c>
      <c r="L3" s="113" t="s">
        <v>11</v>
      </c>
      <c r="M3" s="113" t="s">
        <v>39</v>
      </c>
      <c r="N3" s="113" t="s">
        <v>11</v>
      </c>
      <c r="O3" s="177" t="s">
        <v>42</v>
      </c>
      <c r="P3" s="177" t="s">
        <v>43</v>
      </c>
      <c r="Q3" s="402" t="s">
        <v>12</v>
      </c>
      <c r="R3" s="407"/>
    </row>
    <row r="4" spans="1:21" ht="16.2" customHeight="1" thickBot="1" x14ac:dyDescent="0.35">
      <c r="A4" s="398" t="s">
        <v>13</v>
      </c>
      <c r="B4" s="135">
        <f>SUM(B6:B19)-B19</f>
        <v>1793679.1899999997</v>
      </c>
      <c r="C4" s="135">
        <f>SUM(C6:C19)-C14-C19</f>
        <v>2738945.38</v>
      </c>
      <c r="D4" s="142">
        <f>SUM(D6:D19)-D19</f>
        <v>1900330.3599999999</v>
      </c>
      <c r="E4" s="217">
        <f t="shared" ref="E4:E19" si="0">IFERROR((SUM(D4-C4)/C4),0)</f>
        <v>-0.30618172458773169</v>
      </c>
      <c r="F4" s="217">
        <f>IFERROR((SUM(D4-B4)/D4),0)</f>
        <v>5.6122436522037238E-2</v>
      </c>
      <c r="G4" s="147">
        <f>SUM(G6:G19)</f>
        <v>6795</v>
      </c>
      <c r="H4" s="218">
        <f>AVERAGE(H5:H19)</f>
        <v>237.80155253813041</v>
      </c>
      <c r="I4" s="219">
        <f>SUM(I6:I19)</f>
        <v>473</v>
      </c>
      <c r="J4" s="220">
        <f t="shared" ref="J4:J19" si="1">IFERROR(I4/G4,0)</f>
        <v>6.9610007358351725E-2</v>
      </c>
      <c r="K4" s="221">
        <f>SUM(K6:K19)</f>
        <v>2029</v>
      </c>
      <c r="L4" s="222">
        <f t="shared" ref="L4:L19" si="2">IFERROR(K4/SUM(G4),0)</f>
        <v>0.29860191317144957</v>
      </c>
      <c r="M4" s="249">
        <f>SUM(M6:M19)</f>
        <v>193386.59</v>
      </c>
      <c r="N4" s="222">
        <f>SUM(M4/D4)</f>
        <v>0.1017647215824095</v>
      </c>
      <c r="O4" s="244">
        <f>SUM(O6:O19)</f>
        <v>215083.51</v>
      </c>
      <c r="P4" s="222">
        <f>SUM(O4/D4)</f>
        <v>0.11318216796788956</v>
      </c>
      <c r="Q4" s="141">
        <f>SUM(Q6:Q19)</f>
        <v>32240.2</v>
      </c>
      <c r="R4" s="24"/>
    </row>
    <row r="5" spans="1:21" ht="16.2" hidden="1" customHeight="1" thickBot="1" x14ac:dyDescent="0.35">
      <c r="A5" s="403" t="s">
        <v>25</v>
      </c>
      <c r="B5" s="404"/>
      <c r="C5" s="117"/>
      <c r="D5" s="143"/>
      <c r="E5" s="153">
        <f t="shared" si="0"/>
        <v>0</v>
      </c>
      <c r="F5" s="153">
        <f>IFERROR((SUM(E5-D5)/D5),0)</f>
        <v>0</v>
      </c>
      <c r="G5" s="148"/>
      <c r="H5" s="119"/>
      <c r="I5" s="118"/>
      <c r="J5" s="120">
        <f t="shared" si="1"/>
        <v>0</v>
      </c>
      <c r="K5" s="121" t="e">
        <f>I5+'Nov 19 - Nov 25'!J5+'Nov 26 - Dec 2'!J5+'Dec 3 - Dec 9'!J5+'Dec 10 - Dec 16'!J5+'Dec 17 - Dec 23'!J5+'Dec 24 - Dec 30'!J5</f>
        <v>#DIV/0!</v>
      </c>
      <c r="L5" s="122">
        <f t="shared" si="2"/>
        <v>0</v>
      </c>
      <c r="M5" s="245">
        <f>I5+'Nov 19 - Nov 25'!I5+'Nov 26 - Dec 2'!I5+'Dec 3 - Dec 9'!I5+'Dec 10 - Dec 16'!I5+'Dec 17 - Dec 23'!I5+'Dec 24 - Dec 30'!I5</f>
        <v>0</v>
      </c>
      <c r="N5" s="122">
        <f>IFERROR(M5/SUM(G5),0)</f>
        <v>0</v>
      </c>
      <c r="O5" s="245"/>
      <c r="P5" s="122"/>
      <c r="Q5" s="71"/>
      <c r="R5" s="25"/>
    </row>
    <row r="6" spans="1:21" ht="16.5" customHeight="1" x14ac:dyDescent="0.3">
      <c r="A6" s="408" t="s">
        <v>15</v>
      </c>
      <c r="B6" s="200">
        <f>'14 Sept - 20 Sept 2020'!D6</f>
        <v>186396.77</v>
      </c>
      <c r="C6" s="123">
        <v>313795.07</v>
      </c>
      <c r="D6" s="197">
        <v>193260.1</v>
      </c>
      <c r="E6" s="162">
        <f t="shared" si="0"/>
        <v>-0.38412002457527455</v>
      </c>
      <c r="F6" s="154">
        <f t="shared" ref="F6:F19" si="3">IFERROR((SUM(D6-B6)/B6),0)</f>
        <v>3.6821077961812408E-2</v>
      </c>
      <c r="G6" s="149">
        <v>634</v>
      </c>
      <c r="H6" s="124">
        <f t="shared" ref="H6:H19" si="4">IFERROR(D6/G6,0)</f>
        <v>304.82665615141957</v>
      </c>
      <c r="I6" s="125">
        <v>70</v>
      </c>
      <c r="J6" s="126">
        <f t="shared" si="1"/>
        <v>0.11041009463722397</v>
      </c>
      <c r="K6" s="46">
        <f>'7 Sept - 13 Sept 2020'!K6+'14 Sept - 20 Sept 2020'!I6+'21 Sept - 27 Sept 2020'!I6</f>
        <v>141</v>
      </c>
      <c r="L6" s="171">
        <f t="shared" si="2"/>
        <v>0.22239747634069401</v>
      </c>
      <c r="M6" s="246">
        <v>20960.830000000002</v>
      </c>
      <c r="N6" s="128">
        <f t="shared" ref="N6:N19" si="5">SUM(M6/D6)</f>
        <v>0.10845916979241965</v>
      </c>
      <c r="O6" s="247">
        <v>1922.35</v>
      </c>
      <c r="P6" s="128">
        <f t="shared" ref="P6:P19" si="6">SUM(O6/D6)</f>
        <v>9.9469574940714602E-3</v>
      </c>
      <c r="Q6" s="129">
        <v>3291.4</v>
      </c>
      <c r="R6" s="26"/>
    </row>
    <row r="7" spans="1:21" ht="15.6" customHeight="1" x14ac:dyDescent="0.3">
      <c r="A7" s="409" t="s">
        <v>16</v>
      </c>
      <c r="B7" s="200">
        <f>'14 Sept - 20 Sept 2020'!D7</f>
        <v>147411.68</v>
      </c>
      <c r="C7" s="73">
        <v>220920.76</v>
      </c>
      <c r="D7" s="145">
        <v>188913.6</v>
      </c>
      <c r="E7" s="163">
        <f t="shared" si="0"/>
        <v>-0.14488072555969841</v>
      </c>
      <c r="F7" s="155">
        <f t="shared" si="3"/>
        <v>0.28153752809818067</v>
      </c>
      <c r="G7" s="150">
        <v>719</v>
      </c>
      <c r="H7" s="63">
        <f t="shared" si="4"/>
        <v>262.74492350486787</v>
      </c>
      <c r="I7" s="61">
        <v>46</v>
      </c>
      <c r="J7" s="28">
        <f t="shared" si="1"/>
        <v>6.397774687065369E-2</v>
      </c>
      <c r="K7" s="46">
        <f>'7 Sept - 13 Sept 2020'!K7+'14 Sept - 20 Sept 2020'!I7+'21 Sept - 27 Sept 2020'!I7</f>
        <v>198</v>
      </c>
      <c r="L7" s="172">
        <f t="shared" si="2"/>
        <v>0.27538247566063978</v>
      </c>
      <c r="M7" s="247">
        <v>23871.02</v>
      </c>
      <c r="N7" s="89">
        <f t="shared" si="5"/>
        <v>0.12635945744509658</v>
      </c>
      <c r="O7" s="247">
        <v>14928.04</v>
      </c>
      <c r="P7" s="89">
        <f t="shared" si="6"/>
        <v>7.9020462264230845E-2</v>
      </c>
      <c r="Q7" s="130">
        <v>8375.9</v>
      </c>
      <c r="R7" s="26"/>
    </row>
    <row r="8" spans="1:21" ht="15.6" customHeight="1" x14ac:dyDescent="0.3">
      <c r="A8" s="409" t="s">
        <v>17</v>
      </c>
      <c r="B8" s="200">
        <f>'14 Sept - 20 Sept 2020'!D8</f>
        <v>98204.57</v>
      </c>
      <c r="C8" s="73">
        <v>112847.78</v>
      </c>
      <c r="D8" s="145">
        <v>89530.68</v>
      </c>
      <c r="E8" s="163">
        <f t="shared" si="0"/>
        <v>-0.20662435716502359</v>
      </c>
      <c r="F8" s="155">
        <f t="shared" si="3"/>
        <v>-8.8324708310417874E-2</v>
      </c>
      <c r="G8" s="150">
        <v>351</v>
      </c>
      <c r="H8" s="63">
        <f t="shared" si="4"/>
        <v>255.07316239316236</v>
      </c>
      <c r="I8" s="61">
        <v>8</v>
      </c>
      <c r="J8" s="28">
        <f t="shared" si="1"/>
        <v>2.2792022792022793E-2</v>
      </c>
      <c r="K8" s="46">
        <f>'7 Sept - 13 Sept 2020'!K8+'14 Sept - 20 Sept 2020'!I8+'21 Sept - 27 Sept 2020'!I8</f>
        <v>39</v>
      </c>
      <c r="L8" s="172">
        <f t="shared" si="2"/>
        <v>0.1111111111111111</v>
      </c>
      <c r="M8" s="247">
        <v>25949.37</v>
      </c>
      <c r="N8" s="89">
        <f t="shared" si="5"/>
        <v>0.28983774053765704</v>
      </c>
      <c r="O8" s="247">
        <v>9576.9599999999991</v>
      </c>
      <c r="P8" s="89">
        <f t="shared" si="6"/>
        <v>0.10696847158985054</v>
      </c>
      <c r="Q8" s="130">
        <v>1189</v>
      </c>
      <c r="R8" s="26"/>
    </row>
    <row r="9" spans="1:21" ht="15.6" customHeight="1" x14ac:dyDescent="0.3">
      <c r="A9" s="409" t="s">
        <v>18</v>
      </c>
      <c r="B9" s="200">
        <f>'14 Sept - 20 Sept 2020'!D9</f>
        <v>191314.49</v>
      </c>
      <c r="C9" s="73">
        <v>363369.98</v>
      </c>
      <c r="D9" s="145">
        <v>200774.8</v>
      </c>
      <c r="E9" s="163">
        <f t="shared" si="0"/>
        <v>-0.44746453738418346</v>
      </c>
      <c r="F9" s="155">
        <f t="shared" si="3"/>
        <v>4.9448998870916666E-2</v>
      </c>
      <c r="G9" s="150">
        <v>713</v>
      </c>
      <c r="H9" s="63">
        <f t="shared" si="4"/>
        <v>281.59158485273491</v>
      </c>
      <c r="I9" s="61">
        <v>20</v>
      </c>
      <c r="J9" s="28">
        <f t="shared" si="1"/>
        <v>2.8050490883590462E-2</v>
      </c>
      <c r="K9" s="46">
        <f>'7 Sept - 13 Sept 2020'!K9+'14 Sept - 20 Sept 2020'!I9+'21 Sept - 27 Sept 2020'!I9</f>
        <v>119</v>
      </c>
      <c r="L9" s="172">
        <f t="shared" si="2"/>
        <v>0.16690042075736325</v>
      </c>
      <c r="M9" s="247">
        <v>4005.39</v>
      </c>
      <c r="N9" s="89">
        <f t="shared" si="5"/>
        <v>1.994966499779853E-2</v>
      </c>
      <c r="O9" s="247">
        <v>16072.65</v>
      </c>
      <c r="P9" s="89">
        <f t="shared" si="6"/>
        <v>8.0053124196861364E-2</v>
      </c>
      <c r="Q9" s="130">
        <v>3020</v>
      </c>
      <c r="R9" s="26"/>
    </row>
    <row r="10" spans="1:21" ht="15.6" customHeight="1" x14ac:dyDescent="0.3">
      <c r="A10" s="411" t="s">
        <v>20</v>
      </c>
      <c r="B10" s="200">
        <f>'14 Sept - 20 Sept 2020'!D10</f>
        <v>119965.3</v>
      </c>
      <c r="C10" s="73">
        <v>149468.42000000001</v>
      </c>
      <c r="D10" s="145">
        <v>103165.87</v>
      </c>
      <c r="E10" s="163">
        <f t="shared" si="0"/>
        <v>-0.30978149096645308</v>
      </c>
      <c r="F10" s="155">
        <f t="shared" si="3"/>
        <v>-0.14003574366921107</v>
      </c>
      <c r="G10" s="150">
        <v>310</v>
      </c>
      <c r="H10" s="63">
        <f t="shared" si="4"/>
        <v>332.79312903225804</v>
      </c>
      <c r="I10" s="61">
        <v>9</v>
      </c>
      <c r="J10" s="28">
        <f t="shared" si="1"/>
        <v>2.903225806451613E-2</v>
      </c>
      <c r="K10" s="46">
        <f>'7 Sept - 13 Sept 2020'!K10+'14 Sept - 20 Sept 2020'!I10+'21 Sept - 27 Sept 2020'!I10</f>
        <v>70</v>
      </c>
      <c r="L10" s="172">
        <f t="shared" si="2"/>
        <v>0.22580645161290322</v>
      </c>
      <c r="M10" s="247">
        <v>16489.57</v>
      </c>
      <c r="N10" s="89">
        <f t="shared" si="5"/>
        <v>0.15983551536956941</v>
      </c>
      <c r="O10" s="247">
        <v>17121.78</v>
      </c>
      <c r="P10" s="89">
        <f t="shared" si="6"/>
        <v>0.1659636079257607</v>
      </c>
      <c r="Q10" s="130">
        <v>1706.5</v>
      </c>
      <c r="R10" s="26"/>
    </row>
    <row r="11" spans="1:21" ht="15.6" customHeight="1" x14ac:dyDescent="0.3">
      <c r="A11" s="409" t="s">
        <v>21</v>
      </c>
      <c r="B11" s="200">
        <f>'14 Sept - 20 Sept 2020'!D11</f>
        <v>214047.72</v>
      </c>
      <c r="C11" s="73">
        <v>371983.14</v>
      </c>
      <c r="D11" s="145">
        <v>228682.9</v>
      </c>
      <c r="E11" s="163">
        <f t="shared" si="0"/>
        <v>-0.38523315868563296</v>
      </c>
      <c r="F11" s="155">
        <f t="shared" si="3"/>
        <v>6.8373444949565418E-2</v>
      </c>
      <c r="G11" s="150">
        <v>822</v>
      </c>
      <c r="H11" s="63">
        <f t="shared" si="4"/>
        <v>278.20304136253043</v>
      </c>
      <c r="I11" s="61">
        <v>46</v>
      </c>
      <c r="J11" s="28">
        <f t="shared" si="1"/>
        <v>5.5961070559610707E-2</v>
      </c>
      <c r="K11" s="46">
        <f>'7 Sept - 13 Sept 2020'!K11+'14 Sept - 20 Sept 2020'!I11+'21 Sept - 27 Sept 2020'!I11</f>
        <v>324</v>
      </c>
      <c r="L11" s="172">
        <f t="shared" si="2"/>
        <v>0.39416058394160586</v>
      </c>
      <c r="M11" s="247">
        <v>36689.050000000003</v>
      </c>
      <c r="N11" s="89">
        <f t="shared" si="5"/>
        <v>0.16043635094709752</v>
      </c>
      <c r="O11" s="247">
        <v>19739.13</v>
      </c>
      <c r="P11" s="89">
        <f t="shared" si="6"/>
        <v>8.6316598224003643E-2</v>
      </c>
      <c r="Q11" s="130">
        <v>3056.4</v>
      </c>
      <c r="R11" s="26"/>
    </row>
    <row r="12" spans="1:21" ht="15.6" customHeight="1" x14ac:dyDescent="0.3">
      <c r="A12" s="198" t="s">
        <v>22</v>
      </c>
      <c r="B12" s="200">
        <f>'14 Sept - 20 Sept 2020'!D12</f>
        <v>81184.59</v>
      </c>
      <c r="C12" s="73">
        <v>158117.67000000001</v>
      </c>
      <c r="D12" s="145">
        <v>81582.960000000006</v>
      </c>
      <c r="E12" s="163">
        <f t="shared" si="0"/>
        <v>-0.48403641414650239</v>
      </c>
      <c r="F12" s="155">
        <f t="shared" si="3"/>
        <v>4.9069657184942356E-3</v>
      </c>
      <c r="G12" s="150">
        <v>294</v>
      </c>
      <c r="H12" s="63">
        <f t="shared" si="4"/>
        <v>277.49306122448979</v>
      </c>
      <c r="I12" s="61">
        <v>24</v>
      </c>
      <c r="J12" s="28">
        <f t="shared" si="1"/>
        <v>8.1632653061224483E-2</v>
      </c>
      <c r="K12" s="46">
        <f>'7 Sept - 13 Sept 2020'!K12+'14 Sept - 20 Sept 2020'!I12+'21 Sept - 27 Sept 2020'!I12</f>
        <v>88</v>
      </c>
      <c r="L12" s="172">
        <f t="shared" si="2"/>
        <v>0.29931972789115646</v>
      </c>
      <c r="M12" s="247">
        <v>5695.54</v>
      </c>
      <c r="N12" s="89">
        <f t="shared" si="5"/>
        <v>6.981286288215087E-2</v>
      </c>
      <c r="O12" s="247">
        <v>15061.83</v>
      </c>
      <c r="P12" s="89">
        <f t="shared" si="6"/>
        <v>0.18461980295885316</v>
      </c>
      <c r="Q12" s="130">
        <v>760.5</v>
      </c>
      <c r="R12" s="26"/>
    </row>
    <row r="13" spans="1:21" ht="15.6" customHeight="1" x14ac:dyDescent="0.3">
      <c r="A13" s="198" t="s">
        <v>23</v>
      </c>
      <c r="B13" s="200">
        <f>'14 Sept - 20 Sept 2020'!D13</f>
        <v>167682.76999999999</v>
      </c>
      <c r="C13" s="73">
        <v>214469.54</v>
      </c>
      <c r="D13" s="145">
        <v>137655.6</v>
      </c>
      <c r="E13" s="163">
        <f t="shared" si="0"/>
        <v>-0.35815780646519779</v>
      </c>
      <c r="F13" s="155">
        <f t="shared" si="3"/>
        <v>-0.17907129038958497</v>
      </c>
      <c r="G13" s="150">
        <v>575</v>
      </c>
      <c r="H13" s="63">
        <f t="shared" si="4"/>
        <v>239.40104347826087</v>
      </c>
      <c r="I13" s="61">
        <v>54</v>
      </c>
      <c r="J13" s="28">
        <f t="shared" si="1"/>
        <v>9.3913043478260863E-2</v>
      </c>
      <c r="K13" s="46">
        <f>'7 Sept - 13 Sept 2020'!K13+'14 Sept - 20 Sept 2020'!I13+'21 Sept - 27 Sept 2020'!I13</f>
        <v>190</v>
      </c>
      <c r="L13" s="172">
        <f t="shared" si="2"/>
        <v>0.33043478260869563</v>
      </c>
      <c r="M13" s="247">
        <v>13790.62</v>
      </c>
      <c r="N13" s="89">
        <f t="shared" si="5"/>
        <v>0.10018204853271498</v>
      </c>
      <c r="O13" s="247">
        <v>28303.3</v>
      </c>
      <c r="P13" s="89">
        <f t="shared" si="6"/>
        <v>0.205609506623777</v>
      </c>
      <c r="Q13" s="130">
        <v>2120</v>
      </c>
      <c r="R13" s="26"/>
    </row>
    <row r="14" spans="1:21" ht="15.6" hidden="1" customHeight="1" x14ac:dyDescent="0.3">
      <c r="A14" s="198" t="s">
        <v>24</v>
      </c>
      <c r="B14" s="200">
        <f>'14 Sept - 20 Sept 2020'!D14</f>
        <v>0</v>
      </c>
      <c r="C14" s="73"/>
      <c r="D14" s="145"/>
      <c r="E14" s="163">
        <f t="shared" si="0"/>
        <v>0</v>
      </c>
      <c r="F14" s="155">
        <f t="shared" si="3"/>
        <v>0</v>
      </c>
      <c r="G14" s="150"/>
      <c r="H14" s="63">
        <f t="shared" si="4"/>
        <v>0</v>
      </c>
      <c r="I14" s="61"/>
      <c r="J14" s="28">
        <f t="shared" si="1"/>
        <v>0</v>
      </c>
      <c r="K14" s="46">
        <f>'7 Sept - 13 Sept 2020'!K14+'14 Sept - 20 Sept 2020'!I14+'21 Sept - 27 Sept 2020'!I14</f>
        <v>0</v>
      </c>
      <c r="L14" s="172">
        <f t="shared" si="2"/>
        <v>0</v>
      </c>
      <c r="M14" s="247"/>
      <c r="N14" s="89" t="e">
        <f t="shared" si="5"/>
        <v>#DIV/0!</v>
      </c>
      <c r="O14" s="247"/>
      <c r="P14" s="89" t="e">
        <f t="shared" si="6"/>
        <v>#DIV/0!</v>
      </c>
      <c r="Q14" s="130"/>
      <c r="R14" s="26"/>
    </row>
    <row r="15" spans="1:21" ht="15.6" customHeight="1" x14ac:dyDescent="0.3">
      <c r="A15" s="198" t="s">
        <v>26</v>
      </c>
      <c r="B15" s="200">
        <f>'14 Sept - 20 Sept 2020'!D15</f>
        <v>163505.59</v>
      </c>
      <c r="C15" s="73">
        <v>275297.55</v>
      </c>
      <c r="D15" s="145">
        <v>291679.7</v>
      </c>
      <c r="E15" s="163">
        <f t="shared" si="0"/>
        <v>5.9507067897989006E-2</v>
      </c>
      <c r="F15" s="155">
        <f t="shared" si="3"/>
        <v>0.78391270903948918</v>
      </c>
      <c r="G15" s="150">
        <v>868</v>
      </c>
      <c r="H15" s="63">
        <f t="shared" si="4"/>
        <v>336.03652073732718</v>
      </c>
      <c r="I15" s="61">
        <v>87</v>
      </c>
      <c r="J15" s="28">
        <f t="shared" si="1"/>
        <v>0.10023041474654378</v>
      </c>
      <c r="K15" s="46">
        <f>'7 Sept - 13 Sept 2020'!K15+'14 Sept - 20 Sept 2020'!I15+'21 Sept - 27 Sept 2020'!I15</f>
        <v>415</v>
      </c>
      <c r="L15" s="172">
        <f t="shared" si="2"/>
        <v>0.47811059907834103</v>
      </c>
      <c r="M15" s="247">
        <v>0</v>
      </c>
      <c r="N15" s="89">
        <f t="shared" si="5"/>
        <v>0</v>
      </c>
      <c r="O15" s="247">
        <v>24501.3</v>
      </c>
      <c r="P15" s="89">
        <f t="shared" si="6"/>
        <v>8.4000703511420222E-2</v>
      </c>
      <c r="Q15" s="130">
        <v>1209.2</v>
      </c>
      <c r="R15" s="9"/>
    </row>
    <row r="16" spans="1:21" ht="15.6" customHeight="1" x14ac:dyDescent="0.3">
      <c r="A16" s="198" t="s">
        <v>27</v>
      </c>
      <c r="B16" s="200">
        <f>'14 Sept - 20 Sept 2020'!D16</f>
        <v>102940.88</v>
      </c>
      <c r="C16" s="73">
        <v>136655.46</v>
      </c>
      <c r="D16" s="145">
        <v>96179.65</v>
      </c>
      <c r="E16" s="163">
        <f t="shared" si="0"/>
        <v>-0.29618875089220731</v>
      </c>
      <c r="F16" s="155">
        <f t="shared" si="3"/>
        <v>-6.5680709160442483E-2</v>
      </c>
      <c r="G16" s="150">
        <v>391</v>
      </c>
      <c r="H16" s="63">
        <f t="shared" si="4"/>
        <v>245.98375959079283</v>
      </c>
      <c r="I16" s="61">
        <v>24</v>
      </c>
      <c r="J16" s="28">
        <f t="shared" si="1"/>
        <v>6.1381074168797956E-2</v>
      </c>
      <c r="K16" s="46">
        <f>'7 Sept - 13 Sept 2020'!K16+'14 Sept - 20 Sept 2020'!I16+'21 Sept - 27 Sept 2020'!I16</f>
        <v>77</v>
      </c>
      <c r="L16" s="172">
        <f t="shared" si="2"/>
        <v>0.1969309462915601</v>
      </c>
      <c r="M16" s="247">
        <v>20481.72</v>
      </c>
      <c r="N16" s="89">
        <f t="shared" si="5"/>
        <v>0.2129527400026929</v>
      </c>
      <c r="O16" s="247">
        <v>12724.17</v>
      </c>
      <c r="P16" s="89">
        <f t="shared" si="6"/>
        <v>0.1322958650816467</v>
      </c>
      <c r="Q16" s="130">
        <v>3042.5</v>
      </c>
      <c r="R16" s="9"/>
      <c r="U16" s="238"/>
    </row>
    <row r="17" spans="1:18" ht="15.6" customHeight="1" x14ac:dyDescent="0.3">
      <c r="A17" s="251" t="s">
        <v>28</v>
      </c>
      <c r="B17" s="200">
        <f>'14 Sept - 20 Sept 2020'!D17</f>
        <v>174633.4</v>
      </c>
      <c r="C17" s="73">
        <v>243291.29</v>
      </c>
      <c r="D17" s="145">
        <v>167831.4</v>
      </c>
      <c r="E17" s="163">
        <f t="shared" si="0"/>
        <v>-0.31016272715722792</v>
      </c>
      <c r="F17" s="155">
        <f t="shared" si="3"/>
        <v>-3.8950166463001923E-2</v>
      </c>
      <c r="G17" s="150">
        <v>636</v>
      </c>
      <c r="H17" s="63">
        <f t="shared" si="4"/>
        <v>263.88584905660377</v>
      </c>
      <c r="I17" s="61">
        <v>16</v>
      </c>
      <c r="J17" s="28">
        <f t="shared" si="1"/>
        <v>2.5157232704402517E-2</v>
      </c>
      <c r="K17" s="46">
        <f>'7 Sept - 13 Sept 2020'!K17+'14 Sept - 20 Sept 2020'!I17+'21 Sept - 27 Sept 2020'!I17</f>
        <v>84</v>
      </c>
      <c r="L17" s="172">
        <f t="shared" si="2"/>
        <v>0.13207547169811321</v>
      </c>
      <c r="M17" s="247">
        <v>12841.1</v>
      </c>
      <c r="N17" s="89">
        <f t="shared" si="5"/>
        <v>7.6511904208628426E-2</v>
      </c>
      <c r="O17" s="247">
        <v>36373.22</v>
      </c>
      <c r="P17" s="89">
        <f t="shared" si="6"/>
        <v>0.21672476068244681</v>
      </c>
      <c r="Q17" s="130">
        <v>1680</v>
      </c>
      <c r="R17" s="9"/>
    </row>
    <row r="18" spans="1:18" ht="15.6" customHeight="1" x14ac:dyDescent="0.3">
      <c r="A18" s="198" t="s">
        <v>33</v>
      </c>
      <c r="B18" s="200">
        <f>'14 Sept - 20 Sept 2020'!D18</f>
        <v>146391.43</v>
      </c>
      <c r="C18" s="73">
        <v>178728.72</v>
      </c>
      <c r="D18" s="145">
        <v>121073.1</v>
      </c>
      <c r="E18" s="163">
        <f t="shared" si="0"/>
        <v>-0.32258732675979551</v>
      </c>
      <c r="F18" s="155">
        <f t="shared" si="3"/>
        <v>-0.17294953673176078</v>
      </c>
      <c r="G18" s="150">
        <v>482</v>
      </c>
      <c r="H18" s="63">
        <f t="shared" si="4"/>
        <v>251.18900414937761</v>
      </c>
      <c r="I18" s="61">
        <v>69</v>
      </c>
      <c r="J18" s="28">
        <f t="shared" si="1"/>
        <v>0.14315352697095435</v>
      </c>
      <c r="K18" s="46">
        <f>'7 Sept - 13 Sept 2020'!K18+'14 Sept - 20 Sept 2020'!I18+'21 Sept - 27 Sept 2020'!I18</f>
        <v>284</v>
      </c>
      <c r="L18" s="172">
        <f t="shared" si="2"/>
        <v>0.58921161825726143</v>
      </c>
      <c r="M18" s="247">
        <v>12612.38</v>
      </c>
      <c r="N18" s="89">
        <f t="shared" si="5"/>
        <v>0.10417161202612304</v>
      </c>
      <c r="O18" s="247">
        <v>18758.78</v>
      </c>
      <c r="P18" s="89">
        <f t="shared" si="6"/>
        <v>0.15493763684914319</v>
      </c>
      <c r="Q18" s="130">
        <v>2788.8</v>
      </c>
      <c r="R18" s="9"/>
    </row>
    <row r="19" spans="1:18" ht="16.2" customHeight="1" thickBot="1" x14ac:dyDescent="0.35">
      <c r="A19" s="203" t="s">
        <v>37</v>
      </c>
      <c r="B19" s="201">
        <f>'14 Sept - 20 Sept 2020'!D19</f>
        <v>0</v>
      </c>
      <c r="C19" s="205">
        <v>0</v>
      </c>
      <c r="D19" s="206">
        <v>0</v>
      </c>
      <c r="E19" s="207">
        <f t="shared" si="0"/>
        <v>0</v>
      </c>
      <c r="F19" s="156">
        <f t="shared" si="3"/>
        <v>0</v>
      </c>
      <c r="G19" s="151">
        <v>0</v>
      </c>
      <c r="H19" s="132">
        <f t="shared" si="4"/>
        <v>0</v>
      </c>
      <c r="I19" s="133">
        <v>0</v>
      </c>
      <c r="J19" s="114">
        <f t="shared" si="1"/>
        <v>0</v>
      </c>
      <c r="K19" s="212">
        <v>0</v>
      </c>
      <c r="L19" s="213">
        <f t="shared" si="2"/>
        <v>0</v>
      </c>
      <c r="M19" s="248">
        <v>0</v>
      </c>
      <c r="N19" s="116" t="e">
        <f t="shared" si="5"/>
        <v>#DIV/0!</v>
      </c>
      <c r="O19" s="248">
        <v>0</v>
      </c>
      <c r="P19" s="116" t="e">
        <f t="shared" si="6"/>
        <v>#DIV/0!</v>
      </c>
      <c r="Q19" s="134">
        <v>0</v>
      </c>
      <c r="R19" s="9"/>
    </row>
    <row r="20" spans="1:18" x14ac:dyDescent="0.3">
      <c r="A20" s="81"/>
      <c r="B20" s="81"/>
      <c r="C20" s="81"/>
      <c r="D20" s="395"/>
      <c r="E20" s="81"/>
      <c r="F20" s="81"/>
      <c r="G20" s="396"/>
      <c r="H20" s="397"/>
      <c r="I20" s="91"/>
      <c r="J20" s="397"/>
      <c r="K20" s="397"/>
      <c r="L20" s="397"/>
      <c r="M20" s="397"/>
      <c r="N20" s="397"/>
      <c r="O20" s="397"/>
      <c r="P20" s="397"/>
      <c r="Q20" s="397"/>
      <c r="R20" s="9"/>
    </row>
    <row r="21" spans="1:18" x14ac:dyDescent="0.3">
      <c r="A21" s="81"/>
      <c r="B21" s="81"/>
      <c r="C21" s="81"/>
      <c r="D21" s="83"/>
      <c r="E21" s="81"/>
      <c r="F21" s="81"/>
      <c r="G21" s="82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9"/>
    </row>
    <row r="22" spans="1:18" x14ac:dyDescent="0.3">
      <c r="A22" s="81"/>
      <c r="B22" s="81"/>
      <c r="C22" s="81"/>
      <c r="D22" s="83"/>
      <c r="E22" s="81"/>
      <c r="F22" s="81"/>
      <c r="G22" s="82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9"/>
    </row>
    <row r="23" spans="1:18" ht="15" customHeight="1" x14ac:dyDescent="0.3">
      <c r="A23" s="81"/>
      <c r="B23" s="81"/>
      <c r="C23" s="81"/>
      <c r="D23" s="83"/>
      <c r="E23" s="81"/>
      <c r="F23" s="81"/>
      <c r="G23" s="82"/>
      <c r="H23" s="81"/>
      <c r="I23" s="81"/>
      <c r="J23" s="81"/>
      <c r="K23" s="81"/>
      <c r="L23" s="81"/>
      <c r="M23" s="81"/>
      <c r="N23" s="81"/>
      <c r="O23" s="81"/>
      <c r="P23" s="81"/>
      <c r="Q23" s="27"/>
      <c r="R23" s="9"/>
    </row>
    <row r="24" spans="1:18" x14ac:dyDescent="0.3">
      <c r="A24" s="81"/>
      <c r="B24" s="81"/>
      <c r="C24" s="81"/>
      <c r="D24" s="83"/>
      <c r="E24" s="81"/>
      <c r="F24" s="81"/>
      <c r="G24" s="82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9"/>
    </row>
    <row r="25" spans="1:18" x14ac:dyDescent="0.3">
      <c r="A25" s="81"/>
      <c r="B25" s="81"/>
      <c r="C25" s="81"/>
      <c r="D25" s="83"/>
      <c r="E25" s="81"/>
      <c r="F25" s="81"/>
      <c r="G25" s="82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9"/>
    </row>
    <row r="26" spans="1:18" x14ac:dyDescent="0.3">
      <c r="A26" s="81"/>
      <c r="B26" s="81"/>
      <c r="C26" s="81"/>
      <c r="D26" s="83"/>
      <c r="E26" s="81"/>
      <c r="F26" s="81"/>
      <c r="G26" s="82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9"/>
    </row>
    <row r="27" spans="1:18" x14ac:dyDescent="0.3">
      <c r="A27" s="81"/>
      <c r="B27" s="81"/>
      <c r="C27" s="81"/>
      <c r="D27" s="83"/>
      <c r="E27" s="81"/>
      <c r="F27" s="81"/>
      <c r="G27" s="82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9"/>
    </row>
    <row r="28" spans="1:18" x14ac:dyDescent="0.3">
      <c r="A28" s="81"/>
      <c r="B28" s="81"/>
      <c r="C28" s="81"/>
      <c r="D28" s="83"/>
      <c r="E28" s="81"/>
      <c r="F28" s="81"/>
      <c r="G28" s="82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9"/>
    </row>
    <row r="29" spans="1:18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9"/>
    </row>
    <row r="30" spans="1:18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9"/>
    </row>
    <row r="31" spans="1:18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9"/>
    </row>
    <row r="32" spans="1:18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9"/>
    </row>
    <row r="33" spans="1:18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9"/>
    </row>
    <row r="34" spans="1:18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9"/>
    </row>
    <row r="35" spans="1:18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9"/>
    </row>
    <row r="36" spans="1:18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9"/>
    </row>
    <row r="37" spans="1:18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9"/>
    </row>
    <row r="38" spans="1:18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9"/>
    </row>
    <row r="39" spans="1:18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9"/>
    </row>
    <row r="40" spans="1:18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9"/>
    </row>
    <row r="41" spans="1:18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9"/>
    </row>
  </sheetData>
  <conditionalFormatting sqref="C6:C19">
    <cfRule type="cellIs" dxfId="430" priority="8" operator="equal">
      <formula>0</formula>
    </cfRule>
  </conditionalFormatting>
  <conditionalFormatting sqref="D7:D19">
    <cfRule type="cellIs" dxfId="429" priority="7" operator="equal">
      <formula>0</formula>
    </cfRule>
  </conditionalFormatting>
  <conditionalFormatting sqref="E6:Q19">
    <cfRule type="cellIs" dxfId="42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V41"/>
  <sheetViews>
    <sheetView zoomScale="70" zoomScaleNormal="70" workbookViewId="0">
      <pane xSplit="1" topLeftCell="B1" activePane="topRight" state="frozen"/>
      <selection pane="topRight" activeCell="J7" sqref="J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5" customHeight="1" thickBot="1" x14ac:dyDescent="0.35">
      <c r="A2" s="1"/>
      <c r="B2" s="1"/>
      <c r="C2" s="1"/>
      <c r="D2" s="1"/>
      <c r="E2" s="1"/>
      <c r="F2" s="400">
        <f>(((D4-D19-C19)-C4)/C4)</f>
        <v>-0.18916552059622324</v>
      </c>
      <c r="G2" s="400">
        <f>(((D4-D19-B19)-B4)/D4)</f>
        <v>-1.3156746855829328E-2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1900330.3599999999</v>
      </c>
      <c r="C4" s="135">
        <f>SUM(C6:C19)-C14-C19</f>
        <v>2313237.6799999997</v>
      </c>
      <c r="D4" s="142">
        <f>SUM(D6:D19)-D19</f>
        <v>1875652.87</v>
      </c>
      <c r="E4" s="142">
        <f>SUM(E6:E19)-E19</f>
        <v>1313417.8299999998</v>
      </c>
      <c r="F4" s="217">
        <f t="shared" ref="F4:F19" si="0">IFERROR((SUM(D4-C4)/C4),0)</f>
        <v>-0.18916552059622324</v>
      </c>
      <c r="G4" s="217">
        <f>IFERROR((SUM(D4-B4)/D4),0)</f>
        <v>-1.3156746855829328E-2</v>
      </c>
      <c r="H4" s="147">
        <f>SUM(H6:H19)</f>
        <v>6858</v>
      </c>
      <c r="I4" s="218">
        <f>AVERAGE(I5:I19)</f>
        <v>232.98161834418781</v>
      </c>
      <c r="J4" s="219">
        <f>SUM(J6:J19)</f>
        <v>468</v>
      </c>
      <c r="K4" s="220">
        <f t="shared" ref="K4:K19" si="1">IFERROR(J4/H4,0)</f>
        <v>6.8241469816272965E-2</v>
      </c>
      <c r="L4" s="221">
        <f>SUM(L6:L19)</f>
        <v>2497</v>
      </c>
      <c r="M4" s="222">
        <f t="shared" ref="M4:M19" si="2">IFERROR(L4/SUM(H4),0)</f>
        <v>0.36410032079323418</v>
      </c>
      <c r="N4" s="249">
        <f>SUM(N6:N19)</f>
        <v>286103.05</v>
      </c>
      <c r="O4" s="222">
        <f>SUM(N4/D4)</f>
        <v>0.15253518099007304</v>
      </c>
      <c r="P4" s="244">
        <f>SUM(P6:P19)</f>
        <v>152763.95000000001</v>
      </c>
      <c r="Q4" s="222">
        <f>SUM(P4/D4)</f>
        <v>8.1445747474584676E-2</v>
      </c>
      <c r="R4" s="141">
        <f>SUM(R6:R19)</f>
        <v>49123.24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'21 Sept - 27 Sept 2020'!D6</f>
        <v>193260.1</v>
      </c>
      <c r="C6" s="123">
        <v>247392.33</v>
      </c>
      <c r="D6" s="197">
        <v>192931.3</v>
      </c>
      <c r="E6" s="254">
        <v>139124.93</v>
      </c>
      <c r="F6" s="162">
        <f t="shared" si="0"/>
        <v>-0.22014033337250188</v>
      </c>
      <c r="G6" s="154">
        <f t="shared" ref="G6:G19" si="3">IFERROR((SUM(D6-B6)/B6),0)</f>
        <v>-1.7013341087995786E-3</v>
      </c>
      <c r="H6" s="149">
        <v>642</v>
      </c>
      <c r="I6" s="124">
        <f t="shared" ref="I6:I19" si="4">IFERROR(D6/H6,0)</f>
        <v>300.51604361370715</v>
      </c>
      <c r="J6" s="125">
        <v>19</v>
      </c>
      <c r="K6" s="126">
        <f t="shared" si="1"/>
        <v>2.9595015576323987E-2</v>
      </c>
      <c r="L6" s="46">
        <f>'7 Sept - 13 Sept 2020'!K6+'14 Sept - 20 Sept 2020'!I6+'21 Sept - 27 Sept 2020'!I6+J6</f>
        <v>160</v>
      </c>
      <c r="M6" s="171">
        <f t="shared" si="2"/>
        <v>0.24922118380062305</v>
      </c>
      <c r="N6" s="246">
        <v>26535.91</v>
      </c>
      <c r="O6" s="128">
        <f t="shared" ref="O6:O19" si="5">SUM(N6/D6)</f>
        <v>0.13754072045334273</v>
      </c>
      <c r="P6" s="247">
        <v>228.7</v>
      </c>
      <c r="Q6" s="128">
        <f t="shared" ref="Q6:Q19" si="6">SUM(P6/D6)</f>
        <v>1.1853960451207242E-3</v>
      </c>
      <c r="R6" s="129">
        <v>3177</v>
      </c>
      <c r="S6" s="26"/>
    </row>
    <row r="7" spans="1:22" ht="15.6" customHeight="1" x14ac:dyDescent="0.3">
      <c r="A7" s="409" t="s">
        <v>16</v>
      </c>
      <c r="B7" s="200">
        <f>'21 Sept - 27 Sept 2020'!D7</f>
        <v>188913.6</v>
      </c>
      <c r="C7" s="73">
        <v>220441.59</v>
      </c>
      <c r="D7" s="145">
        <v>164012.6</v>
      </c>
      <c r="E7" s="130">
        <v>122310.82</v>
      </c>
      <c r="F7" s="163">
        <f t="shared" si="0"/>
        <v>-0.25598159585040187</v>
      </c>
      <c r="G7" s="155">
        <f t="shared" si="3"/>
        <v>-0.13181157947336772</v>
      </c>
      <c r="H7" s="150">
        <v>576</v>
      </c>
      <c r="I7" s="63">
        <f t="shared" si="4"/>
        <v>284.74409722222225</v>
      </c>
      <c r="J7" s="61">
        <v>35</v>
      </c>
      <c r="K7" s="28">
        <f t="shared" si="1"/>
        <v>6.0763888888888888E-2</v>
      </c>
      <c r="L7" s="46">
        <f>'7 Sept - 13 Sept 2020'!K7+'14 Sept - 20 Sept 2020'!I7+'21 Sept - 27 Sept 2020'!I7+J7</f>
        <v>233</v>
      </c>
      <c r="M7" s="172">
        <f t="shared" si="2"/>
        <v>0.4045138888888889</v>
      </c>
      <c r="N7" s="247">
        <v>25380.67</v>
      </c>
      <c r="O7" s="89">
        <f t="shared" si="5"/>
        <v>0.15474829372865254</v>
      </c>
      <c r="P7" s="247">
        <v>20778.61</v>
      </c>
      <c r="Q7" s="89">
        <f t="shared" si="6"/>
        <v>0.12668910803194389</v>
      </c>
      <c r="R7" s="130">
        <v>11190.04</v>
      </c>
      <c r="S7" s="26"/>
    </row>
    <row r="8" spans="1:22" ht="15.6" customHeight="1" x14ac:dyDescent="0.3">
      <c r="A8" s="409" t="s">
        <v>17</v>
      </c>
      <c r="B8" s="200">
        <f>'21 Sept - 27 Sept 2020'!D8</f>
        <v>89530.68</v>
      </c>
      <c r="C8" s="73">
        <v>107107.59</v>
      </c>
      <c r="D8" s="145">
        <v>97836.06</v>
      </c>
      <c r="E8" s="130">
        <v>69577.429999999993</v>
      </c>
      <c r="F8" s="163">
        <f t="shared" si="0"/>
        <v>-8.6562773002361454E-2</v>
      </c>
      <c r="G8" s="155">
        <f t="shared" si="3"/>
        <v>9.2765742424831418E-2</v>
      </c>
      <c r="H8" s="150">
        <v>399</v>
      </c>
      <c r="I8" s="63">
        <f t="shared" si="4"/>
        <v>245.20315789473685</v>
      </c>
      <c r="J8" s="61">
        <v>10</v>
      </c>
      <c r="K8" s="28">
        <f t="shared" si="1"/>
        <v>2.5062656641604009E-2</v>
      </c>
      <c r="L8" s="46">
        <f>'7 Sept - 13 Sept 2020'!K8+'14 Sept - 20 Sept 2020'!I8+'21 Sept - 27 Sept 2020'!I8+J8</f>
        <v>49</v>
      </c>
      <c r="M8" s="172">
        <f t="shared" si="2"/>
        <v>0.12280701754385964</v>
      </c>
      <c r="N8" s="247">
        <v>31843.7</v>
      </c>
      <c r="O8" s="89">
        <f t="shared" si="5"/>
        <v>0.32548019615671359</v>
      </c>
      <c r="P8" s="247">
        <v>11002.92</v>
      </c>
      <c r="Q8" s="89">
        <f t="shared" si="6"/>
        <v>0.1124628281228823</v>
      </c>
      <c r="R8" s="130">
        <v>3445</v>
      </c>
      <c r="S8" s="26"/>
    </row>
    <row r="9" spans="1:22" ht="15.6" customHeight="1" x14ac:dyDescent="0.3">
      <c r="A9" s="409" t="s">
        <v>18</v>
      </c>
      <c r="B9" s="200">
        <f>'21 Sept - 27 Sept 2020'!D9</f>
        <v>200774.8</v>
      </c>
      <c r="C9" s="73">
        <v>310781.21999999997</v>
      </c>
      <c r="D9" s="145">
        <v>207464.7</v>
      </c>
      <c r="E9" s="130">
        <v>161229.65</v>
      </c>
      <c r="F9" s="163">
        <f t="shared" si="0"/>
        <v>-0.33244132319192249</v>
      </c>
      <c r="G9" s="155">
        <f t="shared" si="3"/>
        <v>3.3320416705682303E-2</v>
      </c>
      <c r="H9" s="150">
        <v>723</v>
      </c>
      <c r="I9" s="63">
        <f t="shared" si="4"/>
        <v>286.94979253112035</v>
      </c>
      <c r="J9" s="61">
        <v>23</v>
      </c>
      <c r="K9" s="28">
        <f t="shared" si="1"/>
        <v>3.18118948824343E-2</v>
      </c>
      <c r="L9" s="46">
        <f>'7 Sept - 13 Sept 2020'!K9+'14 Sept - 20 Sept 2020'!I9+'21 Sept - 27 Sept 2020'!I9+J9</f>
        <v>142</v>
      </c>
      <c r="M9" s="172">
        <f t="shared" si="2"/>
        <v>0.19640387275242047</v>
      </c>
      <c r="N9" s="247">
        <v>9039.61</v>
      </c>
      <c r="O9" s="89">
        <f t="shared" si="5"/>
        <v>4.3571797997442457E-2</v>
      </c>
      <c r="P9" s="247">
        <v>4569.09</v>
      </c>
      <c r="Q9" s="89">
        <f t="shared" si="6"/>
        <v>2.2023457484574484E-2</v>
      </c>
      <c r="R9" s="130">
        <v>5225.5</v>
      </c>
      <c r="S9" s="26"/>
    </row>
    <row r="10" spans="1:22" ht="15.6" customHeight="1" x14ac:dyDescent="0.3">
      <c r="A10" s="411" t="s">
        <v>20</v>
      </c>
      <c r="B10" s="200">
        <f>'21 Sept - 27 Sept 2020'!D10</f>
        <v>103165.87</v>
      </c>
      <c r="C10" s="73">
        <v>147789.66</v>
      </c>
      <c r="D10" s="145">
        <v>122448.05</v>
      </c>
      <c r="E10" s="130">
        <v>87336.65</v>
      </c>
      <c r="F10" s="163">
        <f t="shared" si="0"/>
        <v>-0.17147079166431536</v>
      </c>
      <c r="G10" s="155">
        <f t="shared" si="3"/>
        <v>0.18690464200999815</v>
      </c>
      <c r="H10" s="150">
        <v>449</v>
      </c>
      <c r="I10" s="63">
        <f t="shared" si="4"/>
        <v>272.71280623608021</v>
      </c>
      <c r="J10" s="61">
        <v>31</v>
      </c>
      <c r="K10" s="28">
        <f t="shared" si="1"/>
        <v>6.9042316258351888E-2</v>
      </c>
      <c r="L10" s="46">
        <f>'7 Sept - 13 Sept 2020'!K10+'14 Sept - 20 Sept 2020'!I10+'21 Sept - 27 Sept 2020'!I10+J10</f>
        <v>101</v>
      </c>
      <c r="M10" s="172">
        <f t="shared" si="2"/>
        <v>0.22494432071269488</v>
      </c>
      <c r="N10" s="247">
        <v>34224.83</v>
      </c>
      <c r="O10" s="89">
        <f t="shared" si="5"/>
        <v>0.27950490024136765</v>
      </c>
      <c r="P10" s="247">
        <v>19836.03</v>
      </c>
      <c r="Q10" s="89">
        <f t="shared" si="6"/>
        <v>0.1619954748156463</v>
      </c>
      <c r="R10" s="130">
        <v>3284</v>
      </c>
      <c r="S10" s="26"/>
    </row>
    <row r="11" spans="1:22" ht="15.6" customHeight="1" x14ac:dyDescent="0.3">
      <c r="A11" s="409" t="s">
        <v>21</v>
      </c>
      <c r="B11" s="200">
        <f>'21 Sept - 27 Sept 2020'!D11</f>
        <v>228682.9</v>
      </c>
      <c r="C11" s="73">
        <v>310363.95</v>
      </c>
      <c r="D11" s="145">
        <v>246009.2</v>
      </c>
      <c r="E11" s="130">
        <v>171449.95</v>
      </c>
      <c r="F11" s="163">
        <f t="shared" si="0"/>
        <v>-0.20735252918388233</v>
      </c>
      <c r="G11" s="155">
        <f t="shared" si="3"/>
        <v>7.5765612557825782E-2</v>
      </c>
      <c r="H11" s="150">
        <v>891</v>
      </c>
      <c r="I11" s="63">
        <f t="shared" si="4"/>
        <v>276.10460157126823</v>
      </c>
      <c r="J11" s="61">
        <v>86</v>
      </c>
      <c r="K11" s="28">
        <f t="shared" si="1"/>
        <v>9.6520763187429859E-2</v>
      </c>
      <c r="L11" s="46">
        <f>'7 Sept - 13 Sept 2020'!K11+'14 Sept - 20 Sept 2020'!I11+'21 Sept - 27 Sept 2020'!I11+J11</f>
        <v>410</v>
      </c>
      <c r="M11" s="172">
        <f t="shared" si="2"/>
        <v>0.46015712682379351</v>
      </c>
      <c r="N11" s="247">
        <v>39914.6</v>
      </c>
      <c r="O11" s="89">
        <f t="shared" si="5"/>
        <v>0.1622484037182349</v>
      </c>
      <c r="P11" s="247">
        <v>19401.3</v>
      </c>
      <c r="Q11" s="89">
        <f t="shared" si="6"/>
        <v>7.886412378073665E-2</v>
      </c>
      <c r="R11" s="130">
        <v>4060.3</v>
      </c>
      <c r="S11" s="26"/>
    </row>
    <row r="12" spans="1:22" ht="15.6" customHeight="1" x14ac:dyDescent="0.3">
      <c r="A12" s="198" t="s">
        <v>22</v>
      </c>
      <c r="B12" s="200">
        <f>'21 Sept - 27 Sept 2020'!D12</f>
        <v>81582.960000000006</v>
      </c>
      <c r="C12" s="73">
        <v>145869.65</v>
      </c>
      <c r="D12" s="145">
        <v>89526.53</v>
      </c>
      <c r="E12" s="130">
        <v>60150.71</v>
      </c>
      <c r="F12" s="163">
        <f t="shared" si="0"/>
        <v>-0.38625663391939308</v>
      </c>
      <c r="G12" s="155">
        <f t="shared" si="3"/>
        <v>9.7368004298936828E-2</v>
      </c>
      <c r="H12" s="150">
        <v>354</v>
      </c>
      <c r="I12" s="63">
        <f t="shared" si="4"/>
        <v>252.899802259887</v>
      </c>
      <c r="J12" s="61">
        <v>42</v>
      </c>
      <c r="K12" s="28">
        <f t="shared" si="1"/>
        <v>0.11864406779661017</v>
      </c>
      <c r="L12" s="46">
        <f>'7 Sept - 13 Sept 2020'!K12+'14 Sept - 20 Sept 2020'!I12+'21 Sept - 27 Sept 2020'!I12+J12</f>
        <v>130</v>
      </c>
      <c r="M12" s="172">
        <f t="shared" si="2"/>
        <v>0.3672316384180791</v>
      </c>
      <c r="N12" s="247">
        <v>14905.22</v>
      </c>
      <c r="O12" s="89">
        <f t="shared" si="5"/>
        <v>0.16648941939333514</v>
      </c>
      <c r="P12" s="247">
        <v>3409.83</v>
      </c>
      <c r="Q12" s="89">
        <f t="shared" si="6"/>
        <v>3.8087369185424699E-2</v>
      </c>
      <c r="R12" s="130">
        <v>3649</v>
      </c>
      <c r="S12" s="26"/>
    </row>
    <row r="13" spans="1:22" ht="15.6" customHeight="1" x14ac:dyDescent="0.3">
      <c r="A13" s="198" t="s">
        <v>23</v>
      </c>
      <c r="B13" s="200">
        <f>'21 Sept - 27 Sept 2020'!D13</f>
        <v>137655.6</v>
      </c>
      <c r="C13" s="73">
        <v>203625.52</v>
      </c>
      <c r="D13" s="145">
        <v>174284.5</v>
      </c>
      <c r="E13" s="130">
        <v>122566.39999999999</v>
      </c>
      <c r="F13" s="163">
        <f t="shared" si="0"/>
        <v>-0.14409303902575665</v>
      </c>
      <c r="G13" s="155">
        <f t="shared" si="3"/>
        <v>0.26609088188203017</v>
      </c>
      <c r="H13" s="150">
        <v>644</v>
      </c>
      <c r="I13" s="63">
        <f t="shared" si="4"/>
        <v>270.62810559006209</v>
      </c>
      <c r="J13" s="61">
        <v>63</v>
      </c>
      <c r="K13" s="28">
        <f t="shared" si="1"/>
        <v>9.7826086956521743E-2</v>
      </c>
      <c r="L13" s="46">
        <f>'7 Sept - 13 Sept 2020'!K13+'14 Sept - 20 Sept 2020'!I13+'21 Sept - 27 Sept 2020'!I13+J13</f>
        <v>253</v>
      </c>
      <c r="M13" s="172">
        <f t="shared" si="2"/>
        <v>0.39285714285714285</v>
      </c>
      <c r="N13" s="247">
        <v>33765.870000000003</v>
      </c>
      <c r="O13" s="89">
        <f t="shared" si="5"/>
        <v>0.19373994818816362</v>
      </c>
      <c r="P13" s="247">
        <v>16730.48</v>
      </c>
      <c r="Q13" s="89">
        <f t="shared" si="6"/>
        <v>9.599522619624809E-2</v>
      </c>
      <c r="R13" s="130">
        <v>4957</v>
      </c>
      <c r="S13" s="26"/>
    </row>
    <row r="14" spans="1:22" ht="15.6" hidden="1" customHeight="1" x14ac:dyDescent="0.3">
      <c r="A14" s="198" t="s">
        <v>24</v>
      </c>
      <c r="B14" s="200">
        <f>'21 Sept - 27 Sept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'7 Sept - 13 Sept 2020'!K14+'14 Sept - 20 Sept 2020'!I14+'21 Sept - 27 Sept 2020'!I14+J14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'21 Sept - 27 Sept 2020'!D15</f>
        <v>291679.7</v>
      </c>
      <c r="C15" s="73">
        <v>146491.63</v>
      </c>
      <c r="D15" s="145">
        <v>154450.5</v>
      </c>
      <c r="E15" s="130">
        <v>99626.53</v>
      </c>
      <c r="F15" s="163">
        <f t="shared" si="0"/>
        <v>5.4329861712918308E-2</v>
      </c>
      <c r="G15" s="155">
        <f t="shared" si="3"/>
        <v>-0.47047909059149473</v>
      </c>
      <c r="H15" s="150">
        <v>517</v>
      </c>
      <c r="I15" s="63">
        <f t="shared" si="4"/>
        <v>298.74371373307542</v>
      </c>
      <c r="J15" s="61">
        <v>54</v>
      </c>
      <c r="K15" s="28">
        <f t="shared" si="1"/>
        <v>0.10444874274661509</v>
      </c>
      <c r="L15" s="46">
        <f>'7 Sept - 13 Sept 2020'!K15+'14 Sept - 20 Sept 2020'!I15+'21 Sept - 27 Sept 2020'!I15+J15</f>
        <v>469</v>
      </c>
      <c r="M15" s="172">
        <f t="shared" si="2"/>
        <v>0.90715667311411996</v>
      </c>
      <c r="N15" s="247">
        <v>0</v>
      </c>
      <c r="O15" s="89">
        <f t="shared" si="5"/>
        <v>0</v>
      </c>
      <c r="P15" s="247">
        <v>16750.43</v>
      </c>
      <c r="Q15" s="89">
        <f t="shared" si="6"/>
        <v>0.10845176933710153</v>
      </c>
      <c r="R15" s="130">
        <v>1572.4</v>
      </c>
      <c r="S15" s="9"/>
    </row>
    <row r="16" spans="1:22" ht="15.6" customHeight="1" x14ac:dyDescent="0.3">
      <c r="A16" s="198" t="s">
        <v>27</v>
      </c>
      <c r="B16" s="200">
        <f>'21 Sept - 27 Sept 2020'!D16</f>
        <v>96179.65</v>
      </c>
      <c r="C16" s="73">
        <v>124737.19</v>
      </c>
      <c r="D16" s="145">
        <v>122050.93</v>
      </c>
      <c r="E16" s="130">
        <v>73071.78</v>
      </c>
      <c r="F16" s="163">
        <f t="shared" si="0"/>
        <v>-2.1535357658770488E-2</v>
      </c>
      <c r="G16" s="155">
        <f t="shared" si="3"/>
        <v>0.2689891260781257</v>
      </c>
      <c r="H16" s="150">
        <v>448</v>
      </c>
      <c r="I16" s="63">
        <f t="shared" si="4"/>
        <v>272.43511160714286</v>
      </c>
      <c r="J16" s="61">
        <v>28</v>
      </c>
      <c r="K16" s="28">
        <f t="shared" si="1"/>
        <v>6.25E-2</v>
      </c>
      <c r="L16" s="46">
        <f>'7 Sept - 13 Sept 2020'!K16+'14 Sept - 20 Sept 2020'!I16+'21 Sept - 27 Sept 2020'!I16+J16</f>
        <v>105</v>
      </c>
      <c r="M16" s="172">
        <f t="shared" si="2"/>
        <v>0.234375</v>
      </c>
      <c r="N16" s="247">
        <v>14938.09</v>
      </c>
      <c r="O16" s="89">
        <f t="shared" si="5"/>
        <v>0.12239226690038331</v>
      </c>
      <c r="P16" s="247">
        <v>16483.22</v>
      </c>
      <c r="Q16" s="89">
        <f t="shared" si="6"/>
        <v>0.13505198198817495</v>
      </c>
      <c r="R16" s="130">
        <v>4232.5</v>
      </c>
      <c r="S16" s="9"/>
      <c r="V16" s="238"/>
    </row>
    <row r="17" spans="1:19" ht="15.6" customHeight="1" x14ac:dyDescent="0.3">
      <c r="A17" s="251" t="s">
        <v>28</v>
      </c>
      <c r="B17" s="200">
        <f>'21 Sept - 27 Sept 2020'!D17</f>
        <v>167831.4</v>
      </c>
      <c r="C17" s="73">
        <v>187465.36</v>
      </c>
      <c r="D17" s="145">
        <v>170350.2</v>
      </c>
      <c r="E17" s="130">
        <v>118177.94</v>
      </c>
      <c r="F17" s="163">
        <f t="shared" si="0"/>
        <v>-9.1297720282829717E-2</v>
      </c>
      <c r="G17" s="155">
        <f t="shared" si="3"/>
        <v>1.5007918661227979E-2</v>
      </c>
      <c r="H17" s="150">
        <v>672</v>
      </c>
      <c r="I17" s="63">
        <f t="shared" si="4"/>
        <v>253.49732142857144</v>
      </c>
      <c r="J17" s="61">
        <v>8</v>
      </c>
      <c r="K17" s="28">
        <f t="shared" si="1"/>
        <v>1.1904761904761904E-2</v>
      </c>
      <c r="L17" s="46">
        <f>'7 Sept - 13 Sept 2020'!K17+'14 Sept - 20 Sept 2020'!I17+'21 Sept - 27 Sept 2020'!I17+J17</f>
        <v>92</v>
      </c>
      <c r="M17" s="172">
        <f t="shared" si="2"/>
        <v>0.13690476190476192</v>
      </c>
      <c r="N17" s="247">
        <v>36407.040000000001</v>
      </c>
      <c r="O17" s="89">
        <f t="shared" si="5"/>
        <v>0.21371879809944455</v>
      </c>
      <c r="P17" s="247">
        <v>9385.83</v>
      </c>
      <c r="Q17" s="89">
        <f t="shared" si="6"/>
        <v>5.5097264341339193E-2</v>
      </c>
      <c r="R17" s="130">
        <v>1569</v>
      </c>
      <c r="S17" s="9"/>
    </row>
    <row r="18" spans="1:19" ht="15.6" customHeight="1" x14ac:dyDescent="0.3">
      <c r="A18" s="198" t="s">
        <v>33</v>
      </c>
      <c r="B18" s="200">
        <f>'21 Sept - 27 Sept 2020'!D18</f>
        <v>121073.1</v>
      </c>
      <c r="C18" s="73">
        <v>161171.99</v>
      </c>
      <c r="D18" s="145">
        <v>134288.29999999999</v>
      </c>
      <c r="E18" s="130">
        <v>88795.04</v>
      </c>
      <c r="F18" s="163">
        <f t="shared" si="0"/>
        <v>-0.16680125374142246</v>
      </c>
      <c r="G18" s="155">
        <f t="shared" si="3"/>
        <v>0.10915058753761142</v>
      </c>
      <c r="H18" s="150">
        <v>543</v>
      </c>
      <c r="I18" s="63">
        <f t="shared" si="4"/>
        <v>247.30810313075503</v>
      </c>
      <c r="J18" s="61">
        <v>69</v>
      </c>
      <c r="K18" s="28">
        <f t="shared" si="1"/>
        <v>0.1270718232044199</v>
      </c>
      <c r="L18" s="46">
        <f>'7 Sept - 13 Sept 2020'!K18+'14 Sept - 20 Sept 2020'!I18+'21 Sept - 27 Sept 2020'!I18+J18</f>
        <v>353</v>
      </c>
      <c r="M18" s="172">
        <f t="shared" si="2"/>
        <v>0.65009208103130756</v>
      </c>
      <c r="N18" s="247">
        <v>19147.509999999998</v>
      </c>
      <c r="O18" s="89">
        <f t="shared" si="5"/>
        <v>0.14258509490402366</v>
      </c>
      <c r="P18" s="247">
        <v>14187.51</v>
      </c>
      <c r="Q18" s="89">
        <f t="shared" si="6"/>
        <v>0.10564963589530883</v>
      </c>
      <c r="R18" s="130">
        <v>2761.5</v>
      </c>
      <c r="S18" s="9"/>
    </row>
    <row r="19" spans="1:19" ht="16.2" customHeight="1" thickBot="1" x14ac:dyDescent="0.35">
      <c r="A19" s="203" t="s">
        <v>37</v>
      </c>
      <c r="B19" s="201">
        <f>'21 Sept - 27 Sept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212"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27" priority="8" operator="equal">
      <formula>0</formula>
    </cfRule>
  </conditionalFormatting>
  <conditionalFormatting sqref="D7:E19">
    <cfRule type="cellIs" dxfId="426" priority="7" operator="equal">
      <formula>0</formula>
    </cfRule>
  </conditionalFormatting>
  <conditionalFormatting sqref="F6:R19">
    <cfRule type="cellIs" dxfId="42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V41"/>
  <sheetViews>
    <sheetView zoomScale="70" zoomScaleNormal="70" workbookViewId="0">
      <pane xSplit="1" topLeftCell="B1" activePane="topRight" state="frozen"/>
      <selection pane="topRight" activeCell="J6" sqref="J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5" customHeight="1" thickBot="1" x14ac:dyDescent="0.35">
      <c r="A2" s="1"/>
      <c r="B2" s="1"/>
      <c r="C2" s="1"/>
      <c r="D2" s="1"/>
      <c r="E2" s="1"/>
      <c r="F2" s="400">
        <f>(((D4-D19-C19)-C4)/C4)</f>
        <v>-0.18320959350306087</v>
      </c>
      <c r="G2" s="400">
        <f>(((D4-D19-B19)-B4)/D4)</f>
        <v>-1.4091221054414382E-2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1875652.87</v>
      </c>
      <c r="C4" s="135">
        <f>SUM(C6:C19)-C14-C19</f>
        <v>2264460.84</v>
      </c>
      <c r="D4" s="142">
        <f>SUM(D6:D19)-D19</f>
        <v>1849589.8900000001</v>
      </c>
      <c r="E4" s="142">
        <f>SUM(E6:E19)-E19</f>
        <v>3182783.23</v>
      </c>
      <c r="F4" s="217">
        <f t="shared" ref="F4:F19" si="0">IFERROR((SUM(D4-C4)/C4),0)</f>
        <v>-0.18320959350306087</v>
      </c>
      <c r="G4" s="217">
        <f>IFERROR((SUM(D4-B4)/D4),0)</f>
        <v>-1.4091221054414382E-2</v>
      </c>
      <c r="H4" s="147">
        <f>SUM(H6:H19)</f>
        <v>6756</v>
      </c>
      <c r="I4" s="218">
        <f>AVERAGE(I5:I19)</f>
        <v>232.82262616348973</v>
      </c>
      <c r="J4" s="219">
        <f>SUM(J6:J19)</f>
        <v>524</v>
      </c>
      <c r="K4" s="220">
        <f t="shared" ref="K4:K19" si="1">IFERROR(J4/H4,0)</f>
        <v>7.7560686796921255E-2</v>
      </c>
      <c r="L4" s="221">
        <f>SUM(L6:L19)</f>
        <v>3021</v>
      </c>
      <c r="M4" s="222">
        <f t="shared" ref="M4:M19" si="2">IFERROR(L4/SUM(H4),0)</f>
        <v>0.44715808170515098</v>
      </c>
      <c r="N4" s="249">
        <f>SUM(N6:N19)</f>
        <v>291310.22000000003</v>
      </c>
      <c r="O4" s="222">
        <f>SUM(N4/D4)</f>
        <v>0.15749989853156043</v>
      </c>
      <c r="P4" s="244">
        <f>SUM(P6:P19)</f>
        <v>162035.35</v>
      </c>
      <c r="Q4" s="222">
        <f>SUM(P4/D4)</f>
        <v>8.7606096289810489E-2</v>
      </c>
      <c r="R4" s="141">
        <f>SUM(R6:R19)</f>
        <v>60892.15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'28 Sept - 4 Oct 2020'!D6</f>
        <v>192931.3</v>
      </c>
      <c r="C6" s="123">
        <v>234693.29</v>
      </c>
      <c r="D6" s="197">
        <v>177764.4</v>
      </c>
      <c r="E6" s="254">
        <v>316889.31</v>
      </c>
      <c r="F6" s="162">
        <f t="shared" si="0"/>
        <v>-0.2425671820442758</v>
      </c>
      <c r="G6" s="154">
        <f t="shared" ref="G6:G19" si="3">IFERROR((SUM(D6-B6)/B6),0)</f>
        <v>-7.8612957047404938E-2</v>
      </c>
      <c r="H6" s="149">
        <v>599</v>
      </c>
      <c r="I6" s="124">
        <f t="shared" ref="I6:I19" si="4">IFERROR(D6/H6,0)</f>
        <v>296.76861435726209</v>
      </c>
      <c r="J6" s="125">
        <v>23</v>
      </c>
      <c r="K6" s="126">
        <f t="shared" si="1"/>
        <v>3.8397328881469114E-2</v>
      </c>
      <c r="L6" s="46">
        <f>'7 Sept - 13 Sept 2020'!K6+'14 Sept - 20 Sept 2020'!I6+'21 Sept - 27 Sept 2020'!I6+'28 Sept - 4 Oct 2020'!J6+J6</f>
        <v>183</v>
      </c>
      <c r="M6" s="171">
        <f t="shared" si="2"/>
        <v>0.30550918196994992</v>
      </c>
      <c r="N6" s="246">
        <v>45918.87</v>
      </c>
      <c r="O6" s="128">
        <f t="shared" ref="O6:O19" si="5">SUM(N6/D6)</f>
        <v>0.25831308180940621</v>
      </c>
      <c r="P6" s="247">
        <v>556.52</v>
      </c>
      <c r="Q6" s="128">
        <f t="shared" ref="Q6:Q19" si="6">SUM(P6/D6)</f>
        <v>3.1306605822088111E-3</v>
      </c>
      <c r="R6" s="129">
        <v>8303.5</v>
      </c>
      <c r="S6" s="26"/>
    </row>
    <row r="7" spans="1:22" ht="15.6" customHeight="1" x14ac:dyDescent="0.3">
      <c r="A7" s="409" t="s">
        <v>16</v>
      </c>
      <c r="B7" s="200">
        <f>'28 Sept - 4 Oct 2020'!D7</f>
        <v>164012.6</v>
      </c>
      <c r="C7" s="73">
        <v>178156.7</v>
      </c>
      <c r="D7" s="145">
        <v>151403.29999999999</v>
      </c>
      <c r="E7" s="130">
        <v>273714.07</v>
      </c>
      <c r="F7" s="163">
        <f t="shared" si="0"/>
        <v>-0.15016780171612978</v>
      </c>
      <c r="G7" s="155">
        <f t="shared" si="3"/>
        <v>-7.6880068970310925E-2</v>
      </c>
      <c r="H7" s="150">
        <v>578</v>
      </c>
      <c r="I7" s="63">
        <f t="shared" si="4"/>
        <v>261.94342560553633</v>
      </c>
      <c r="J7" s="61">
        <v>44</v>
      </c>
      <c r="K7" s="28">
        <f t="shared" si="1"/>
        <v>7.6124567474048443E-2</v>
      </c>
      <c r="L7" s="46">
        <f>'7 Sept - 13 Sept 2020'!K7+'14 Sept - 20 Sept 2020'!I7+'21 Sept - 27 Sept 2020'!I7+'28 Sept - 4 Oct 2020'!J7+J7</f>
        <v>277</v>
      </c>
      <c r="M7" s="172">
        <f t="shared" si="2"/>
        <v>0.47923875432525953</v>
      </c>
      <c r="N7" s="247">
        <v>24679.09</v>
      </c>
      <c r="O7" s="89">
        <f t="shared" si="5"/>
        <v>0.16300232557678732</v>
      </c>
      <c r="P7" s="247">
        <v>10063.65</v>
      </c>
      <c r="Q7" s="89">
        <f t="shared" si="6"/>
        <v>6.6469158862455441E-2</v>
      </c>
      <c r="R7" s="130">
        <v>9043.15</v>
      </c>
      <c r="S7" s="26"/>
    </row>
    <row r="8" spans="1:22" ht="15.6" customHeight="1" x14ac:dyDescent="0.3">
      <c r="A8" s="409" t="s">
        <v>17</v>
      </c>
      <c r="B8" s="200">
        <f>'28 Sept - 4 Oct 2020'!D8</f>
        <v>97836.06</v>
      </c>
      <c r="C8" s="73">
        <v>104958.15</v>
      </c>
      <c r="D8" s="145">
        <v>87382.74</v>
      </c>
      <c r="E8" s="130">
        <v>156960.17000000001</v>
      </c>
      <c r="F8" s="163">
        <f t="shared" si="0"/>
        <v>-0.16745159856571395</v>
      </c>
      <c r="G8" s="155">
        <f t="shared" si="3"/>
        <v>-0.10684526748113111</v>
      </c>
      <c r="H8" s="150">
        <v>343</v>
      </c>
      <c r="I8" s="63">
        <f t="shared" si="4"/>
        <v>254.76017492711372</v>
      </c>
      <c r="J8" s="61">
        <v>16</v>
      </c>
      <c r="K8" s="28">
        <f t="shared" si="1"/>
        <v>4.6647230320699708E-2</v>
      </c>
      <c r="L8" s="46">
        <f>'7 Sept - 13 Sept 2020'!K8+'14 Sept - 20 Sept 2020'!I8+'21 Sept - 27 Sept 2020'!I8+'28 Sept - 4 Oct 2020'!J8+J8</f>
        <v>65</v>
      </c>
      <c r="M8" s="172">
        <f t="shared" si="2"/>
        <v>0.18950437317784258</v>
      </c>
      <c r="N8" s="247">
        <v>24295.3</v>
      </c>
      <c r="O8" s="89">
        <f t="shared" si="5"/>
        <v>0.27803316764843949</v>
      </c>
      <c r="P8" s="247">
        <v>13399.22</v>
      </c>
      <c r="Q8" s="89">
        <f t="shared" si="6"/>
        <v>0.15333943522485102</v>
      </c>
      <c r="R8" s="130">
        <v>1301</v>
      </c>
      <c r="S8" s="26"/>
    </row>
    <row r="9" spans="1:22" ht="15.6" customHeight="1" x14ac:dyDescent="0.3">
      <c r="A9" s="409" t="s">
        <v>18</v>
      </c>
      <c r="B9" s="200">
        <f>'28 Sept - 4 Oct 2020'!D9</f>
        <v>207464.7</v>
      </c>
      <c r="C9" s="73">
        <v>307459.09000000003</v>
      </c>
      <c r="D9" s="145">
        <v>215845.3</v>
      </c>
      <c r="E9" s="130">
        <v>377074.98</v>
      </c>
      <c r="F9" s="163">
        <f t="shared" si="0"/>
        <v>-0.29797066660153071</v>
      </c>
      <c r="G9" s="155">
        <f t="shared" si="3"/>
        <v>4.0395305803830613E-2</v>
      </c>
      <c r="H9" s="150">
        <v>785</v>
      </c>
      <c r="I9" s="63">
        <f t="shared" si="4"/>
        <v>274.96216560509555</v>
      </c>
      <c r="J9" s="61">
        <v>33</v>
      </c>
      <c r="K9" s="28">
        <f t="shared" si="1"/>
        <v>4.2038216560509552E-2</v>
      </c>
      <c r="L9" s="46">
        <f>'7 Sept - 13 Sept 2020'!K9+'14 Sept - 20 Sept 2020'!I9+'21 Sept - 27 Sept 2020'!I9+'28 Sept - 4 Oct 2020'!J9+J9</f>
        <v>175</v>
      </c>
      <c r="M9" s="172">
        <f t="shared" si="2"/>
        <v>0.22292993630573249</v>
      </c>
      <c r="N9" s="247">
        <v>14120.54</v>
      </c>
      <c r="O9" s="89">
        <f t="shared" si="5"/>
        <v>6.5419724219151404E-2</v>
      </c>
      <c r="P9" s="247">
        <v>7575.13</v>
      </c>
      <c r="Q9" s="89">
        <f t="shared" si="6"/>
        <v>3.5095181595337033E-2</v>
      </c>
      <c r="R9" s="130">
        <v>4223.5</v>
      </c>
      <c r="S9" s="26"/>
    </row>
    <row r="10" spans="1:22" ht="15.6" customHeight="1" x14ac:dyDescent="0.3">
      <c r="A10" s="411" t="s">
        <v>20</v>
      </c>
      <c r="B10" s="200">
        <f>'28 Sept - 4 Oct 2020'!D10</f>
        <v>122448.05</v>
      </c>
      <c r="C10" s="73">
        <v>152374.91</v>
      </c>
      <c r="D10" s="145">
        <v>131049.9</v>
      </c>
      <c r="E10" s="130">
        <v>218385.53</v>
      </c>
      <c r="F10" s="163">
        <f t="shared" si="0"/>
        <v>-0.1399509276166267</v>
      </c>
      <c r="G10" s="155">
        <f t="shared" si="3"/>
        <v>7.024897497346827E-2</v>
      </c>
      <c r="H10" s="150">
        <v>476</v>
      </c>
      <c r="I10" s="63">
        <f t="shared" si="4"/>
        <v>275.31491596638654</v>
      </c>
      <c r="J10" s="61">
        <v>26</v>
      </c>
      <c r="K10" s="28">
        <f t="shared" si="1"/>
        <v>5.4621848739495799E-2</v>
      </c>
      <c r="L10" s="46">
        <f>'7 Sept - 13 Sept 2020'!K10+'14 Sept - 20 Sept 2020'!I10+'21 Sept - 27 Sept 2020'!I10+'28 Sept - 4 Oct 2020'!J10+J10</f>
        <v>127</v>
      </c>
      <c r="M10" s="172">
        <f t="shared" si="2"/>
        <v>0.26680672268907563</v>
      </c>
      <c r="N10" s="247">
        <v>23907.08</v>
      </c>
      <c r="O10" s="89">
        <f t="shared" si="5"/>
        <v>0.18242730440847343</v>
      </c>
      <c r="P10" s="247">
        <v>26972.29</v>
      </c>
      <c r="Q10" s="89">
        <f t="shared" si="6"/>
        <v>0.20581694453792029</v>
      </c>
      <c r="R10" s="130">
        <v>5128.5</v>
      </c>
      <c r="S10" s="26"/>
    </row>
    <row r="11" spans="1:22" ht="15.6" customHeight="1" x14ac:dyDescent="0.3">
      <c r="A11" s="409" t="s">
        <v>21</v>
      </c>
      <c r="B11" s="200">
        <f>'28 Sept - 4 Oct 2020'!D11</f>
        <v>246009.2</v>
      </c>
      <c r="C11" s="73">
        <v>330816.71999999997</v>
      </c>
      <c r="D11" s="145">
        <v>275216.7</v>
      </c>
      <c r="E11" s="130">
        <v>446666.69</v>
      </c>
      <c r="F11" s="163">
        <f t="shared" si="0"/>
        <v>-0.16806895370947383</v>
      </c>
      <c r="G11" s="155">
        <f t="shared" si="3"/>
        <v>0.11872523466602061</v>
      </c>
      <c r="H11" s="150">
        <v>963</v>
      </c>
      <c r="I11" s="63">
        <f t="shared" si="4"/>
        <v>285.79096573208722</v>
      </c>
      <c r="J11" s="61">
        <v>105</v>
      </c>
      <c r="K11" s="28">
        <f t="shared" si="1"/>
        <v>0.10903426791277258</v>
      </c>
      <c r="L11" s="46">
        <f>'7 Sept - 13 Sept 2020'!K11+'14 Sept - 20 Sept 2020'!I11+'21 Sept - 27 Sept 2020'!I11+'28 Sept - 4 Oct 2020'!J11+J11</f>
        <v>515</v>
      </c>
      <c r="M11" s="172">
        <f t="shared" si="2"/>
        <v>0.53478712357217029</v>
      </c>
      <c r="N11" s="247">
        <v>40437.71</v>
      </c>
      <c r="O11" s="89">
        <f t="shared" si="5"/>
        <v>0.14693043699746416</v>
      </c>
      <c r="P11" s="247">
        <v>23804.57</v>
      </c>
      <c r="Q11" s="89">
        <f t="shared" si="6"/>
        <v>8.6493915521841505E-2</v>
      </c>
      <c r="R11" s="130">
        <v>6525.3</v>
      </c>
      <c r="S11" s="26"/>
    </row>
    <row r="12" spans="1:22" ht="15.6" customHeight="1" x14ac:dyDescent="0.3">
      <c r="A12" s="198" t="s">
        <v>22</v>
      </c>
      <c r="B12" s="200">
        <f>'28 Sept - 4 Oct 2020'!D12</f>
        <v>89526.53</v>
      </c>
      <c r="C12" s="73">
        <v>132859.35999999999</v>
      </c>
      <c r="D12" s="145">
        <v>87023.79</v>
      </c>
      <c r="E12" s="130">
        <v>147174.5</v>
      </c>
      <c r="F12" s="163">
        <f t="shared" si="0"/>
        <v>-0.34499315667334235</v>
      </c>
      <c r="G12" s="155">
        <f t="shared" si="3"/>
        <v>-2.7955288784229718E-2</v>
      </c>
      <c r="H12" s="150">
        <v>348</v>
      </c>
      <c r="I12" s="63">
        <f t="shared" si="4"/>
        <v>250.06836206896551</v>
      </c>
      <c r="J12" s="61">
        <v>25</v>
      </c>
      <c r="K12" s="28">
        <f t="shared" si="1"/>
        <v>7.183908045977011E-2</v>
      </c>
      <c r="L12" s="46">
        <f>'7 Sept - 13 Sept 2020'!K12+'14 Sept - 20 Sept 2020'!I12+'21 Sept - 27 Sept 2020'!I12+'28 Sept - 4 Oct 2020'!J12+J12</f>
        <v>155</v>
      </c>
      <c r="M12" s="172">
        <f t="shared" si="2"/>
        <v>0.4454022988505747</v>
      </c>
      <c r="N12" s="247">
        <v>17232.169999999998</v>
      </c>
      <c r="O12" s="89">
        <f t="shared" si="5"/>
        <v>0.1980167721952813</v>
      </c>
      <c r="P12" s="247">
        <v>4642.49</v>
      </c>
      <c r="Q12" s="89">
        <f t="shared" si="6"/>
        <v>5.3347366277658098E-2</v>
      </c>
      <c r="R12" s="130">
        <v>4602.5</v>
      </c>
      <c r="S12" s="26"/>
    </row>
    <row r="13" spans="1:22" ht="15.6" customHeight="1" x14ac:dyDescent="0.3">
      <c r="A13" s="198" t="s">
        <v>23</v>
      </c>
      <c r="B13" s="200">
        <f>'28 Sept - 4 Oct 2020'!D13</f>
        <v>174284.5</v>
      </c>
      <c r="C13" s="73">
        <v>196053.8</v>
      </c>
      <c r="D13" s="145">
        <v>172397.2</v>
      </c>
      <c r="E13" s="130">
        <v>294963.59999999998</v>
      </c>
      <c r="F13" s="163">
        <f t="shared" si="0"/>
        <v>-0.12066381778879051</v>
      </c>
      <c r="G13" s="155">
        <f t="shared" si="3"/>
        <v>-1.0828845938680654E-2</v>
      </c>
      <c r="H13" s="150">
        <v>628</v>
      </c>
      <c r="I13" s="63">
        <f t="shared" si="4"/>
        <v>274.51783439490447</v>
      </c>
      <c r="J13" s="61">
        <v>41</v>
      </c>
      <c r="K13" s="28">
        <f t="shared" si="1"/>
        <v>6.5286624203821655E-2</v>
      </c>
      <c r="L13" s="46">
        <f>'7 Sept - 13 Sept 2020'!K13+'14 Sept - 20 Sept 2020'!I13+'21 Sept - 27 Sept 2020'!I13+'28 Sept - 4 Oct 2020'!J13+J13</f>
        <v>294</v>
      </c>
      <c r="M13" s="172">
        <f t="shared" si="2"/>
        <v>0.46815286624203822</v>
      </c>
      <c r="N13" s="247">
        <v>21835.82</v>
      </c>
      <c r="O13" s="89">
        <f t="shared" si="5"/>
        <v>0.12665994575317926</v>
      </c>
      <c r="P13" s="247">
        <v>25370.39</v>
      </c>
      <c r="Q13" s="89">
        <f t="shared" si="6"/>
        <v>0.1471624249117735</v>
      </c>
      <c r="R13" s="130">
        <v>4376</v>
      </c>
      <c r="S13" s="26"/>
    </row>
    <row r="14" spans="1:22" ht="15.6" hidden="1" customHeight="1" x14ac:dyDescent="0.3">
      <c r="A14" s="198" t="s">
        <v>24</v>
      </c>
      <c r="B14" s="200">
        <f>'28 Sept - 4 Oct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'7 Sept - 13 Sept 2020'!K14+'14 Sept - 20 Sept 2020'!I14+'21 Sept - 27 Sept 2020'!I14+'28 Sept - 4 Oct 2020'!J14+J14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'28 Sept - 4 Oct 2020'!D15</f>
        <v>154450.5</v>
      </c>
      <c r="C15" s="73">
        <v>163134.85</v>
      </c>
      <c r="D15" s="145">
        <v>163420.6</v>
      </c>
      <c r="E15" s="130">
        <v>263047.13</v>
      </c>
      <c r="F15" s="163">
        <f t="shared" si="0"/>
        <v>1.7516183697107025E-3</v>
      </c>
      <c r="G15" s="155">
        <f t="shared" si="3"/>
        <v>5.8077507032997668E-2</v>
      </c>
      <c r="H15" s="150">
        <v>516</v>
      </c>
      <c r="I15" s="63">
        <f t="shared" si="4"/>
        <v>316.70658914728682</v>
      </c>
      <c r="J15" s="61">
        <v>61</v>
      </c>
      <c r="K15" s="28">
        <f t="shared" si="1"/>
        <v>0.11821705426356589</v>
      </c>
      <c r="L15" s="46">
        <f>'7 Sept - 13 Sept 2020'!K15+'14 Sept - 20 Sept 2020'!I15+'21 Sept - 27 Sept 2020'!I15+'28 Sept - 4 Oct 2020'!J15+J15</f>
        <v>530</v>
      </c>
      <c r="M15" s="172">
        <f t="shared" si="2"/>
        <v>1.0271317829457365</v>
      </c>
      <c r="N15" s="247">
        <v>0</v>
      </c>
      <c r="O15" s="89">
        <f t="shared" si="5"/>
        <v>0</v>
      </c>
      <c r="P15" s="247">
        <v>12704.35</v>
      </c>
      <c r="Q15" s="89">
        <f t="shared" si="6"/>
        <v>7.7740199216010705E-2</v>
      </c>
      <c r="R15" s="130">
        <v>2268.1999999999998</v>
      </c>
      <c r="S15" s="9"/>
    </row>
    <row r="16" spans="1:22" ht="15.6" customHeight="1" x14ac:dyDescent="0.3">
      <c r="A16" s="198" t="s">
        <v>27</v>
      </c>
      <c r="B16" s="200">
        <f>'28 Sept - 4 Oct 2020'!D16</f>
        <v>122050.93</v>
      </c>
      <c r="C16" s="73">
        <v>113246.57</v>
      </c>
      <c r="D16" s="145">
        <v>95734.88</v>
      </c>
      <c r="E16" s="130">
        <v>188583.19</v>
      </c>
      <c r="F16" s="163">
        <f t="shared" si="0"/>
        <v>-0.15463329264630268</v>
      </c>
      <c r="G16" s="155">
        <f t="shared" si="3"/>
        <v>-0.21561531731056854</v>
      </c>
      <c r="H16" s="150">
        <v>370</v>
      </c>
      <c r="I16" s="63">
        <f t="shared" si="4"/>
        <v>258.74291891891892</v>
      </c>
      <c r="J16" s="61">
        <v>35</v>
      </c>
      <c r="K16" s="28">
        <f t="shared" si="1"/>
        <v>9.45945945945946E-2</v>
      </c>
      <c r="L16" s="46">
        <f>'7 Sept - 13 Sept 2020'!K16+'14 Sept - 20 Sept 2020'!I16+'21 Sept - 27 Sept 2020'!I16+'28 Sept - 4 Oct 2020'!J16+J16</f>
        <v>140</v>
      </c>
      <c r="M16" s="172">
        <f t="shared" si="2"/>
        <v>0.3783783783783784</v>
      </c>
      <c r="N16" s="247">
        <v>15457.7</v>
      </c>
      <c r="O16" s="89">
        <f t="shared" si="5"/>
        <v>0.16146361702234338</v>
      </c>
      <c r="P16" s="247">
        <v>13826.3</v>
      </c>
      <c r="Q16" s="89">
        <f t="shared" si="6"/>
        <v>0.14442280598252172</v>
      </c>
      <c r="R16" s="130">
        <v>8133.5</v>
      </c>
      <c r="S16" s="9"/>
      <c r="V16" s="238"/>
    </row>
    <row r="17" spans="1:19" ht="15.6" customHeight="1" x14ac:dyDescent="0.3">
      <c r="A17" s="251" t="s">
        <v>28</v>
      </c>
      <c r="B17" s="200">
        <f>'28 Sept - 4 Oct 2020'!D17</f>
        <v>170350.2</v>
      </c>
      <c r="C17" s="73">
        <v>201796.54</v>
      </c>
      <c r="D17" s="145">
        <v>164050.76</v>
      </c>
      <c r="E17" s="130">
        <v>282228.7</v>
      </c>
      <c r="F17" s="163">
        <f t="shared" si="0"/>
        <v>-0.18704869766349808</v>
      </c>
      <c r="G17" s="155">
        <f t="shared" si="3"/>
        <v>-3.6979351946754405E-2</v>
      </c>
      <c r="H17" s="150">
        <v>657</v>
      </c>
      <c r="I17" s="63">
        <f t="shared" si="4"/>
        <v>249.69674277016745</v>
      </c>
      <c r="J17" s="61">
        <v>44</v>
      </c>
      <c r="K17" s="28">
        <f t="shared" si="1"/>
        <v>6.6971080669710803E-2</v>
      </c>
      <c r="L17" s="46">
        <f>'7 Sept - 13 Sept 2020'!K17+'14 Sept - 20 Sept 2020'!I17+'21 Sept - 27 Sept 2020'!I17+'28 Sept - 4 Oct 2020'!J17+J17</f>
        <v>136</v>
      </c>
      <c r="M17" s="172">
        <f t="shared" si="2"/>
        <v>0.20700152207001521</v>
      </c>
      <c r="N17" s="247">
        <v>40516.199999999997</v>
      </c>
      <c r="O17" s="89">
        <f t="shared" si="5"/>
        <v>0.24697355867171841</v>
      </c>
      <c r="P17" s="247">
        <v>8861.7000000000007</v>
      </c>
      <c r="Q17" s="89">
        <f t="shared" si="6"/>
        <v>5.4018036856397375E-2</v>
      </c>
      <c r="R17" s="130">
        <v>2921</v>
      </c>
      <c r="S17" s="9"/>
    </row>
    <row r="18" spans="1:19" ht="15.6" customHeight="1" x14ac:dyDescent="0.3">
      <c r="A18" s="198" t="s">
        <v>33</v>
      </c>
      <c r="B18" s="200">
        <f>'28 Sept - 4 Oct 2020'!D18</f>
        <v>134288.29999999999</v>
      </c>
      <c r="C18" s="73">
        <v>148910.85999999999</v>
      </c>
      <c r="D18" s="145">
        <v>128300.32</v>
      </c>
      <c r="E18" s="130">
        <v>217095.36</v>
      </c>
      <c r="F18" s="163">
        <f t="shared" si="0"/>
        <v>-0.13840857543902427</v>
      </c>
      <c r="G18" s="155">
        <f t="shared" si="3"/>
        <v>-4.4590481821573304E-2</v>
      </c>
      <c r="H18" s="150">
        <v>493</v>
      </c>
      <c r="I18" s="63">
        <f t="shared" si="4"/>
        <v>260.24405679513188</v>
      </c>
      <c r="J18" s="61">
        <v>71</v>
      </c>
      <c r="K18" s="28">
        <f t="shared" si="1"/>
        <v>0.1440162271805274</v>
      </c>
      <c r="L18" s="46">
        <f>'7 Sept - 13 Sept 2020'!K18+'14 Sept - 20 Sept 2020'!I18+'21 Sept - 27 Sept 2020'!I18+'28 Sept - 4 Oct 2020'!J18+J18</f>
        <v>424</v>
      </c>
      <c r="M18" s="172">
        <f t="shared" si="2"/>
        <v>0.86004056795131845</v>
      </c>
      <c r="N18" s="247">
        <v>22909.74</v>
      </c>
      <c r="O18" s="89">
        <f t="shared" si="5"/>
        <v>0.17856338939762581</v>
      </c>
      <c r="P18" s="247">
        <v>14258.74</v>
      </c>
      <c r="Q18" s="89">
        <f t="shared" si="6"/>
        <v>0.11113565422128331</v>
      </c>
      <c r="R18" s="130">
        <v>4066</v>
      </c>
      <c r="S18" s="9"/>
    </row>
    <row r="19" spans="1:19" ht="16.2" customHeight="1" thickBot="1" x14ac:dyDescent="0.35">
      <c r="A19" s="203" t="s">
        <v>37</v>
      </c>
      <c r="B19" s="201">
        <f>'28 Sept - 4 Oct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212"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24" priority="8" operator="equal">
      <formula>0</formula>
    </cfRule>
  </conditionalFormatting>
  <conditionalFormatting sqref="D7:E19">
    <cfRule type="cellIs" dxfId="423" priority="7" operator="equal">
      <formula>0</formula>
    </cfRule>
  </conditionalFormatting>
  <conditionalFormatting sqref="F6:R19">
    <cfRule type="cellIs" dxfId="42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V41"/>
  <sheetViews>
    <sheetView zoomScale="70" zoomScaleNormal="70" workbookViewId="0">
      <pane xSplit="1" topLeftCell="B1" activePane="topRight" state="frozen"/>
      <selection pane="topRight" activeCell="A3" sqref="A3:XFD1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-0.20236807015908942</v>
      </c>
      <c r="G2" s="400">
        <f>(((D4-D19-B19)-B4)/D4)</f>
        <v>1.1365061091088428E-2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1849589.8900000001</v>
      </c>
      <c r="C4" s="135">
        <f>SUM(C6:C19)-C14-C19</f>
        <v>2345508.21</v>
      </c>
      <c r="D4" s="142">
        <f>SUM(D6:D19)-D19</f>
        <v>1870852.2399999998</v>
      </c>
      <c r="E4" s="142">
        <f>SUM(E6:E19)-E19</f>
        <v>5053636.43</v>
      </c>
      <c r="F4" s="217">
        <f t="shared" ref="F4:F19" si="0">IFERROR((SUM(D4-C4)/C4),0)</f>
        <v>-0.20236807015908942</v>
      </c>
      <c r="G4" s="217">
        <f>IFERROR((SUM(D4-B4)/D4),0)</f>
        <v>1.1365061091088428E-2</v>
      </c>
      <c r="H4" s="147">
        <f>SUM(H6:H19)</f>
        <v>6956</v>
      </c>
      <c r="I4" s="218">
        <f>AVERAGE(I5:I19)</f>
        <v>229.65673016085921</v>
      </c>
      <c r="J4" s="219">
        <f>SUM(J6:J19)</f>
        <v>511</v>
      </c>
      <c r="K4" s="220">
        <f t="shared" ref="K4:K19" si="1">IFERROR(J4/H4,0)</f>
        <v>7.3461759631972393E-2</v>
      </c>
      <c r="L4" s="221">
        <f>SUM(L6:L19)</f>
        <v>3532</v>
      </c>
      <c r="M4" s="222">
        <f t="shared" ref="M4:M19" si="2">IFERROR(L4/SUM(H4),0)</f>
        <v>0.50776308223116728</v>
      </c>
      <c r="N4" s="249">
        <f>SUM(N6:N19)</f>
        <v>276129.43000000005</v>
      </c>
      <c r="O4" s="222">
        <f>SUM(N4/D4)</f>
        <v>0.1475955311147395</v>
      </c>
      <c r="P4" s="244">
        <f>SUM(P6:P19)</f>
        <v>144627.54</v>
      </c>
      <c r="Q4" s="222">
        <f>SUM(P4/D4)</f>
        <v>7.7305698925747346E-2</v>
      </c>
      <c r="R4" s="141">
        <f>SUM(R6:R19)</f>
        <v>65498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'5 Oct - 11 Oct 2020'!D6</f>
        <v>177764.4</v>
      </c>
      <c r="C6" s="123">
        <v>220957.5</v>
      </c>
      <c r="D6" s="197">
        <v>202092.61</v>
      </c>
      <c r="E6" s="254">
        <v>518981.92</v>
      </c>
      <c r="F6" s="162">
        <f t="shared" si="0"/>
        <v>-8.5377912041908574E-2</v>
      </c>
      <c r="G6" s="154">
        <f t="shared" ref="G6:G19" si="3">IFERROR((SUM(D6-B6)/B6),0)</f>
        <v>0.1368564797000974</v>
      </c>
      <c r="H6" s="149">
        <v>655</v>
      </c>
      <c r="I6" s="124">
        <f t="shared" ref="I6:I19" si="4">IFERROR(D6/H6,0)</f>
        <v>308.53833587786255</v>
      </c>
      <c r="J6" s="125">
        <v>28</v>
      </c>
      <c r="K6" s="126">
        <f t="shared" si="1"/>
        <v>4.2748091603053436E-2</v>
      </c>
      <c r="L6" s="46">
        <f>'7 Sept - 13 Sept 2020'!K6+'14 Sept - 20 Sept 2020'!I6+'21 Sept - 27 Sept 2020'!I6+'28 Sept - 4 Oct 2020'!J6+J6+'5 Oct - 11 Oct 2020'!J6</f>
        <v>211</v>
      </c>
      <c r="M6" s="171">
        <f t="shared" si="2"/>
        <v>0.32213740458015266</v>
      </c>
      <c r="N6" s="246">
        <v>31869.43</v>
      </c>
      <c r="O6" s="128">
        <f t="shared" ref="O6:O19" si="5">SUM(N6/D6)</f>
        <v>0.15769715676392126</v>
      </c>
      <c r="P6" s="247">
        <v>299.13</v>
      </c>
      <c r="Q6" s="128">
        <f t="shared" ref="Q6:Q19" si="6">SUM(P6/D6)</f>
        <v>1.4801629807245304E-3</v>
      </c>
      <c r="R6" s="129">
        <v>4851.1499999999996</v>
      </c>
      <c r="S6" s="26"/>
    </row>
    <row r="7" spans="1:22" ht="15.6" customHeight="1" x14ac:dyDescent="0.3">
      <c r="A7" s="409" t="s">
        <v>16</v>
      </c>
      <c r="B7" s="200">
        <f>'5 Oct - 11 Oct 2020'!D7</f>
        <v>151403.29999999999</v>
      </c>
      <c r="C7" s="73">
        <v>212391.65</v>
      </c>
      <c r="D7" s="145">
        <v>144428.65</v>
      </c>
      <c r="E7" s="130">
        <v>418142.71999999997</v>
      </c>
      <c r="F7" s="163">
        <f t="shared" si="0"/>
        <v>-0.31998903911712162</v>
      </c>
      <c r="G7" s="155">
        <f t="shared" si="3"/>
        <v>-4.6066697357323091E-2</v>
      </c>
      <c r="H7" s="150">
        <v>594</v>
      </c>
      <c r="I7" s="63">
        <f t="shared" si="4"/>
        <v>243.1458754208754</v>
      </c>
      <c r="J7" s="61">
        <v>38</v>
      </c>
      <c r="K7" s="28">
        <f t="shared" si="1"/>
        <v>6.3973063973063973E-2</v>
      </c>
      <c r="L7" s="46">
        <f>'7 Sept - 13 Sept 2020'!K7+'14 Sept - 20 Sept 2020'!I7+'21 Sept - 27 Sept 2020'!I7+'28 Sept - 4 Oct 2020'!J7+J7+'5 Oct - 11 Oct 2020'!J7</f>
        <v>315</v>
      </c>
      <c r="M7" s="172">
        <f t="shared" si="2"/>
        <v>0.53030303030303028</v>
      </c>
      <c r="N7" s="247">
        <v>18253.169999999998</v>
      </c>
      <c r="O7" s="89">
        <f t="shared" si="5"/>
        <v>0.12638191937679955</v>
      </c>
      <c r="P7" s="247">
        <v>12438.96</v>
      </c>
      <c r="Q7" s="89">
        <f t="shared" si="6"/>
        <v>8.6125294392767643E-2</v>
      </c>
      <c r="R7" s="130">
        <v>10193.700000000001</v>
      </c>
      <c r="S7" s="26"/>
    </row>
    <row r="8" spans="1:22" ht="15.6" customHeight="1" x14ac:dyDescent="0.3">
      <c r="A8" s="409" t="s">
        <v>17</v>
      </c>
      <c r="B8" s="200">
        <f>'5 Oct - 11 Oct 2020'!D8</f>
        <v>87382.74</v>
      </c>
      <c r="C8" s="73">
        <v>108340.48</v>
      </c>
      <c r="D8" s="145">
        <v>96801.22</v>
      </c>
      <c r="E8" s="130">
        <v>253761.39</v>
      </c>
      <c r="F8" s="163">
        <f t="shared" si="0"/>
        <v>-0.10650921982254459</v>
      </c>
      <c r="G8" s="155">
        <f t="shared" si="3"/>
        <v>0.10778421459432372</v>
      </c>
      <c r="H8" s="150">
        <v>392</v>
      </c>
      <c r="I8" s="63">
        <f t="shared" si="4"/>
        <v>246.94188775510204</v>
      </c>
      <c r="J8" s="61">
        <v>29</v>
      </c>
      <c r="K8" s="28">
        <f t="shared" si="1"/>
        <v>7.3979591836734693E-2</v>
      </c>
      <c r="L8" s="46">
        <f>'7 Sept - 13 Sept 2020'!K8+'14 Sept - 20 Sept 2020'!I8+'21 Sept - 27 Sept 2020'!I8+'28 Sept - 4 Oct 2020'!J8+J8+'5 Oct - 11 Oct 2020'!J8</f>
        <v>94</v>
      </c>
      <c r="M8" s="172">
        <f t="shared" si="2"/>
        <v>0.23979591836734693</v>
      </c>
      <c r="N8" s="247">
        <v>24233.26</v>
      </c>
      <c r="O8" s="89">
        <f t="shared" si="5"/>
        <v>0.25034043992420757</v>
      </c>
      <c r="P8" s="247">
        <v>19114.07</v>
      </c>
      <c r="Q8" s="89">
        <f t="shared" si="6"/>
        <v>0.19745691221660222</v>
      </c>
      <c r="R8" s="130">
        <v>3443</v>
      </c>
      <c r="S8" s="26"/>
    </row>
    <row r="9" spans="1:22" ht="15.6" customHeight="1" x14ac:dyDescent="0.3">
      <c r="A9" s="409" t="s">
        <v>18</v>
      </c>
      <c r="B9" s="200">
        <f>'5 Oct - 11 Oct 2020'!D9</f>
        <v>215845.3</v>
      </c>
      <c r="C9" s="73">
        <v>321762.17</v>
      </c>
      <c r="D9" s="145">
        <v>220338.1</v>
      </c>
      <c r="E9" s="130">
        <v>597413.04</v>
      </c>
      <c r="F9" s="163">
        <f t="shared" si="0"/>
        <v>-0.31521440199138384</v>
      </c>
      <c r="G9" s="155">
        <f t="shared" si="3"/>
        <v>2.0814907713997098E-2</v>
      </c>
      <c r="H9" s="150">
        <v>808</v>
      </c>
      <c r="I9" s="63">
        <f t="shared" si="4"/>
        <v>272.6956683168317</v>
      </c>
      <c r="J9" s="61">
        <v>50</v>
      </c>
      <c r="K9" s="28">
        <f t="shared" si="1"/>
        <v>6.1881188118811881E-2</v>
      </c>
      <c r="L9" s="46">
        <f>'7 Sept - 13 Sept 2020'!K9+'14 Sept - 20 Sept 2020'!I9+'21 Sept - 27 Sept 2020'!I9+'28 Sept - 4 Oct 2020'!J9+J9+'5 Oct - 11 Oct 2020'!J9</f>
        <v>225</v>
      </c>
      <c r="M9" s="172">
        <f t="shared" si="2"/>
        <v>0.27846534653465349</v>
      </c>
      <c r="N9" s="247">
        <v>13543.87</v>
      </c>
      <c r="O9" s="89">
        <f t="shared" si="5"/>
        <v>6.1468579424075999E-2</v>
      </c>
      <c r="P9" s="247">
        <v>9203.61</v>
      </c>
      <c r="Q9" s="89">
        <f t="shared" si="6"/>
        <v>4.177039740290036E-2</v>
      </c>
      <c r="R9" s="130">
        <v>4668</v>
      </c>
      <c r="S9" s="26"/>
    </row>
    <row r="10" spans="1:22" ht="15.6" customHeight="1" x14ac:dyDescent="0.3">
      <c r="A10" s="411" t="s">
        <v>20</v>
      </c>
      <c r="B10" s="200">
        <f>'5 Oct - 11 Oct 2020'!D10</f>
        <v>131049.9</v>
      </c>
      <c r="C10" s="73">
        <v>138165.29</v>
      </c>
      <c r="D10" s="145">
        <v>115678.41</v>
      </c>
      <c r="E10" s="130">
        <v>334064.94</v>
      </c>
      <c r="F10" s="163">
        <f t="shared" si="0"/>
        <v>-0.16275346724202586</v>
      </c>
      <c r="G10" s="155">
        <f t="shared" si="3"/>
        <v>-0.11729493879812188</v>
      </c>
      <c r="H10" s="150">
        <v>412</v>
      </c>
      <c r="I10" s="63">
        <f t="shared" si="4"/>
        <v>280.77283980582524</v>
      </c>
      <c r="J10" s="61">
        <v>16</v>
      </c>
      <c r="K10" s="28">
        <f t="shared" si="1"/>
        <v>3.8834951456310676E-2</v>
      </c>
      <c r="L10" s="46">
        <f>'7 Sept - 13 Sept 2020'!K10+'14 Sept - 20 Sept 2020'!I10+'21 Sept - 27 Sept 2020'!I10+'28 Sept - 4 Oct 2020'!J10+J10+'5 Oct - 11 Oct 2020'!J10</f>
        <v>143</v>
      </c>
      <c r="M10" s="172">
        <f t="shared" si="2"/>
        <v>0.34708737864077671</v>
      </c>
      <c r="N10" s="247">
        <v>30737.3</v>
      </c>
      <c r="O10" s="89">
        <f t="shared" si="5"/>
        <v>0.26571336863983519</v>
      </c>
      <c r="P10" s="247">
        <v>17036.71</v>
      </c>
      <c r="Q10" s="89">
        <f t="shared" si="6"/>
        <v>0.14727648832655979</v>
      </c>
      <c r="R10" s="130">
        <v>4856.3999999999996</v>
      </c>
      <c r="S10" s="26"/>
    </row>
    <row r="11" spans="1:22" ht="15.6" customHeight="1" x14ac:dyDescent="0.3">
      <c r="A11" s="409" t="s">
        <v>21</v>
      </c>
      <c r="B11" s="200">
        <f>'5 Oct - 11 Oct 2020'!D11</f>
        <v>275216.7</v>
      </c>
      <c r="C11" s="73">
        <v>325751.75</v>
      </c>
      <c r="D11" s="145">
        <v>229531.73</v>
      </c>
      <c r="E11" s="130">
        <v>676198.42</v>
      </c>
      <c r="F11" s="163">
        <f t="shared" si="0"/>
        <v>-0.29537836711544907</v>
      </c>
      <c r="G11" s="155">
        <f t="shared" si="3"/>
        <v>-0.165996358505861</v>
      </c>
      <c r="H11" s="150">
        <v>875</v>
      </c>
      <c r="I11" s="63">
        <f t="shared" si="4"/>
        <v>262.32197714285718</v>
      </c>
      <c r="J11" s="61">
        <v>95</v>
      </c>
      <c r="K11" s="28">
        <f t="shared" si="1"/>
        <v>0.10857142857142857</v>
      </c>
      <c r="L11" s="46">
        <f>'7 Sept - 13 Sept 2020'!K11+'14 Sept - 20 Sept 2020'!I11+'21 Sept - 27 Sept 2020'!I11+'28 Sept - 4 Oct 2020'!J11+J11+'5 Oct - 11 Oct 2020'!J11</f>
        <v>610</v>
      </c>
      <c r="M11" s="172">
        <f t="shared" si="2"/>
        <v>0.69714285714285718</v>
      </c>
      <c r="N11" s="247">
        <v>39996.17</v>
      </c>
      <c r="O11" s="89">
        <f t="shared" si="5"/>
        <v>0.17425115908811387</v>
      </c>
      <c r="P11" s="247">
        <v>24058.26</v>
      </c>
      <c r="Q11" s="89">
        <f t="shared" si="6"/>
        <v>0.10481452825716077</v>
      </c>
      <c r="R11" s="130">
        <v>8748</v>
      </c>
      <c r="S11" s="26"/>
    </row>
    <row r="12" spans="1:22" ht="15.6" customHeight="1" x14ac:dyDescent="0.3">
      <c r="A12" s="198" t="s">
        <v>22</v>
      </c>
      <c r="B12" s="200">
        <f>'5 Oct - 11 Oct 2020'!D12</f>
        <v>87023.79</v>
      </c>
      <c r="C12" s="73">
        <v>144094.25</v>
      </c>
      <c r="D12" s="145">
        <v>93061.9</v>
      </c>
      <c r="E12" s="130">
        <v>240236.4</v>
      </c>
      <c r="F12" s="163">
        <f t="shared" si="0"/>
        <v>-0.3541595171216062</v>
      </c>
      <c r="G12" s="155">
        <f t="shared" si="3"/>
        <v>6.9384590121850595E-2</v>
      </c>
      <c r="H12" s="150">
        <v>368</v>
      </c>
      <c r="I12" s="63">
        <f t="shared" si="4"/>
        <v>252.88559782608695</v>
      </c>
      <c r="J12" s="61">
        <v>15</v>
      </c>
      <c r="K12" s="28">
        <f t="shared" si="1"/>
        <v>4.0760869565217392E-2</v>
      </c>
      <c r="L12" s="46">
        <f>'7 Sept - 13 Sept 2020'!K12+'14 Sept - 20 Sept 2020'!I12+'21 Sept - 27 Sept 2020'!I12+'28 Sept - 4 Oct 2020'!J12+J12+'5 Oct - 11 Oct 2020'!J12</f>
        <v>170</v>
      </c>
      <c r="M12" s="172">
        <f t="shared" si="2"/>
        <v>0.46195652173913043</v>
      </c>
      <c r="N12" s="247">
        <v>14923.84</v>
      </c>
      <c r="O12" s="89">
        <f t="shared" si="5"/>
        <v>0.16036466051090728</v>
      </c>
      <c r="P12" s="247">
        <v>5008.74</v>
      </c>
      <c r="Q12" s="89">
        <f t="shared" si="6"/>
        <v>5.3821596163413817E-2</v>
      </c>
      <c r="R12" s="130">
        <v>6064.7</v>
      </c>
      <c r="S12" s="26"/>
    </row>
    <row r="13" spans="1:22" ht="15.6" customHeight="1" x14ac:dyDescent="0.3">
      <c r="A13" s="198" t="s">
        <v>23</v>
      </c>
      <c r="B13" s="200">
        <f>'5 Oct - 11 Oct 2020'!D13</f>
        <v>172397.2</v>
      </c>
      <c r="C13" s="73">
        <v>204599.91</v>
      </c>
      <c r="D13" s="145">
        <v>160602.72</v>
      </c>
      <c r="E13" s="130">
        <v>455566.32</v>
      </c>
      <c r="F13" s="163">
        <f t="shared" si="0"/>
        <v>-0.21504012391794308</v>
      </c>
      <c r="G13" s="155">
        <f t="shared" si="3"/>
        <v>-6.8414568218045355E-2</v>
      </c>
      <c r="H13" s="150">
        <v>638</v>
      </c>
      <c r="I13" s="63">
        <f t="shared" si="4"/>
        <v>251.72840125391849</v>
      </c>
      <c r="J13" s="61">
        <v>59</v>
      </c>
      <c r="K13" s="28">
        <f t="shared" si="1"/>
        <v>9.2476489028213163E-2</v>
      </c>
      <c r="L13" s="46">
        <f>'7 Sept - 13 Sept 2020'!K13+'14 Sept - 20 Sept 2020'!I13+'21 Sept - 27 Sept 2020'!I13+'28 Sept - 4 Oct 2020'!J13+J13+'5 Oct - 11 Oct 2020'!J13</f>
        <v>353</v>
      </c>
      <c r="M13" s="172">
        <f t="shared" si="2"/>
        <v>0.55329153605015668</v>
      </c>
      <c r="N13" s="247">
        <v>30509.48</v>
      </c>
      <c r="O13" s="89">
        <f t="shared" si="5"/>
        <v>0.18996863814012613</v>
      </c>
      <c r="P13" s="247">
        <v>17658.8</v>
      </c>
      <c r="Q13" s="89">
        <f t="shared" si="6"/>
        <v>0.10995330589668717</v>
      </c>
      <c r="R13" s="130">
        <v>6177</v>
      </c>
      <c r="S13" s="26"/>
    </row>
    <row r="14" spans="1:22" ht="15.6" hidden="1" customHeight="1" x14ac:dyDescent="0.3">
      <c r="A14" s="198" t="s">
        <v>24</v>
      </c>
      <c r="B14" s="200">
        <f>'5 Oct - 11 Oct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'7 Sept - 13 Sept 2020'!K14+'14 Sept - 20 Sept 2020'!I14+'21 Sept - 27 Sept 2020'!I14+'28 Sept - 4 Oct 2020'!J14+J14+'5 Oct - 11 Oct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'5 Oct - 11 Oct 2020'!D15</f>
        <v>163420.6</v>
      </c>
      <c r="C15" s="73">
        <v>180048.8</v>
      </c>
      <c r="D15" s="145">
        <v>178044.11</v>
      </c>
      <c r="E15" s="130">
        <v>441091.24</v>
      </c>
      <c r="F15" s="163">
        <f t="shared" si="0"/>
        <v>-1.1134148075410679E-2</v>
      </c>
      <c r="G15" s="155">
        <f t="shared" si="3"/>
        <v>8.9483883916715398E-2</v>
      </c>
      <c r="H15" s="150">
        <v>590</v>
      </c>
      <c r="I15" s="63">
        <f t="shared" si="4"/>
        <v>301.76967796610165</v>
      </c>
      <c r="J15" s="61">
        <v>69</v>
      </c>
      <c r="K15" s="28">
        <f t="shared" si="1"/>
        <v>0.11694915254237288</v>
      </c>
      <c r="L15" s="46">
        <f>'7 Sept - 13 Sept 2020'!K15+'14 Sept - 20 Sept 2020'!I15+'21 Sept - 27 Sept 2020'!I15+'28 Sept - 4 Oct 2020'!J15+J15+'5 Oct - 11 Oct 2020'!J15</f>
        <v>599</v>
      </c>
      <c r="M15" s="172">
        <f t="shared" si="2"/>
        <v>1.0152542372881357</v>
      </c>
      <c r="N15" s="247">
        <v>0</v>
      </c>
      <c r="O15" s="89">
        <f t="shared" si="5"/>
        <v>0</v>
      </c>
      <c r="P15" s="247">
        <v>14761.74</v>
      </c>
      <c r="Q15" s="89">
        <f t="shared" si="6"/>
        <v>8.291057760911047E-2</v>
      </c>
      <c r="R15" s="130">
        <v>4155.05</v>
      </c>
      <c r="S15" s="9"/>
    </row>
    <row r="16" spans="1:22" ht="15.6" customHeight="1" x14ac:dyDescent="0.3">
      <c r="A16" s="198" t="s">
        <v>27</v>
      </c>
      <c r="B16" s="200">
        <f>'5 Oct - 11 Oct 2020'!D16</f>
        <v>95734.88</v>
      </c>
      <c r="C16" s="73">
        <v>117244.55</v>
      </c>
      <c r="D16" s="145">
        <v>108945.64</v>
      </c>
      <c r="E16" s="130">
        <v>297528.83</v>
      </c>
      <c r="F16" s="163">
        <f t="shared" si="0"/>
        <v>-7.078290632698922E-2</v>
      </c>
      <c r="G16" s="155">
        <f t="shared" si="3"/>
        <v>0.13799317448353196</v>
      </c>
      <c r="H16" s="150">
        <v>404</v>
      </c>
      <c r="I16" s="63">
        <f t="shared" si="4"/>
        <v>269.66742574257427</v>
      </c>
      <c r="J16" s="61">
        <v>28</v>
      </c>
      <c r="K16" s="28">
        <f t="shared" si="1"/>
        <v>6.9306930693069313E-2</v>
      </c>
      <c r="L16" s="46">
        <f>'7 Sept - 13 Sept 2020'!K16+'14 Sept - 20 Sept 2020'!I16+'21 Sept - 27 Sept 2020'!I16+'28 Sept - 4 Oct 2020'!J16+J16+'5 Oct - 11 Oct 2020'!J16</f>
        <v>168</v>
      </c>
      <c r="M16" s="172">
        <f t="shared" si="2"/>
        <v>0.41584158415841582</v>
      </c>
      <c r="N16" s="247">
        <v>13364.96</v>
      </c>
      <c r="O16" s="89">
        <f t="shared" si="5"/>
        <v>0.12267549210780715</v>
      </c>
      <c r="P16" s="247">
        <v>14482.26</v>
      </c>
      <c r="Q16" s="89">
        <f t="shared" si="6"/>
        <v>0.13293106543777244</v>
      </c>
      <c r="R16" s="130">
        <v>5943.5</v>
      </c>
      <c r="S16" s="9"/>
      <c r="V16" s="238"/>
    </row>
    <row r="17" spans="1:19" ht="15.6" customHeight="1" x14ac:dyDescent="0.3">
      <c r="A17" s="251" t="s">
        <v>28</v>
      </c>
      <c r="B17" s="200">
        <f>'5 Oct - 11 Oct 2020'!D17</f>
        <v>164050.76</v>
      </c>
      <c r="C17" s="73">
        <v>219205.08</v>
      </c>
      <c r="D17" s="145">
        <v>186599.06</v>
      </c>
      <c r="E17" s="130">
        <v>468827.76</v>
      </c>
      <c r="F17" s="163">
        <f t="shared" si="0"/>
        <v>-0.14874664401025739</v>
      </c>
      <c r="G17" s="155">
        <f t="shared" si="3"/>
        <v>0.13744709259499918</v>
      </c>
      <c r="H17" s="150">
        <v>691</v>
      </c>
      <c r="I17" s="63">
        <f t="shared" si="4"/>
        <v>270.04205499276412</v>
      </c>
      <c r="J17" s="61">
        <v>38</v>
      </c>
      <c r="K17" s="28">
        <f t="shared" si="1"/>
        <v>5.4992764109985527E-2</v>
      </c>
      <c r="L17" s="46">
        <f>'7 Sept - 13 Sept 2020'!K17+'14 Sept - 20 Sept 2020'!I17+'21 Sept - 27 Sept 2020'!I17+'28 Sept - 4 Oct 2020'!J17+J17+'5 Oct - 11 Oct 2020'!J17</f>
        <v>174</v>
      </c>
      <c r="M17" s="172">
        <f t="shared" si="2"/>
        <v>0.25180897250361794</v>
      </c>
      <c r="N17" s="247">
        <v>38817.86</v>
      </c>
      <c r="O17" s="89">
        <f t="shared" si="5"/>
        <v>0.20802816477210551</v>
      </c>
      <c r="P17" s="247">
        <v>9242.17</v>
      </c>
      <c r="Q17" s="89">
        <f t="shared" si="6"/>
        <v>4.9529563546568775E-2</v>
      </c>
      <c r="R17" s="130">
        <v>2387.5</v>
      </c>
      <c r="S17" s="9"/>
    </row>
    <row r="18" spans="1:19" ht="15.6" customHeight="1" x14ac:dyDescent="0.3">
      <c r="A18" s="198" t="s">
        <v>33</v>
      </c>
      <c r="B18" s="200">
        <f>'5 Oct - 11 Oct 2020'!D18</f>
        <v>128300.32</v>
      </c>
      <c r="C18" s="73">
        <v>152946.78</v>
      </c>
      <c r="D18" s="145">
        <v>134728.09</v>
      </c>
      <c r="E18" s="130">
        <v>351823.45</v>
      </c>
      <c r="F18" s="163">
        <f t="shared" si="0"/>
        <v>-0.1191178395517709</v>
      </c>
      <c r="G18" s="155">
        <f t="shared" si="3"/>
        <v>5.0099407390410168E-2</v>
      </c>
      <c r="H18" s="150">
        <v>529</v>
      </c>
      <c r="I18" s="63">
        <f t="shared" si="4"/>
        <v>254.68448015122874</v>
      </c>
      <c r="J18" s="61">
        <v>46</v>
      </c>
      <c r="K18" s="28">
        <f t="shared" si="1"/>
        <v>8.6956521739130432E-2</v>
      </c>
      <c r="L18" s="46">
        <f>'7 Sept - 13 Sept 2020'!K18+'14 Sept - 20 Sept 2020'!I18+'21 Sept - 27 Sept 2020'!I18+'28 Sept - 4 Oct 2020'!J18+J18+'5 Oct - 11 Oct 2020'!J18</f>
        <v>470</v>
      </c>
      <c r="M18" s="172">
        <f t="shared" si="2"/>
        <v>0.88846880907372405</v>
      </c>
      <c r="N18" s="247">
        <v>19880.09</v>
      </c>
      <c r="O18" s="89">
        <f t="shared" si="5"/>
        <v>0.14755712784171438</v>
      </c>
      <c r="P18" s="247">
        <v>1323.09</v>
      </c>
      <c r="Q18" s="89">
        <f t="shared" si="6"/>
        <v>9.8204465008002416E-3</v>
      </c>
      <c r="R18" s="130">
        <v>4010</v>
      </c>
      <c r="S18" s="9"/>
    </row>
    <row r="19" spans="1:19" ht="16.2" customHeight="1" thickBot="1" x14ac:dyDescent="0.35">
      <c r="A19" s="203" t="s">
        <v>37</v>
      </c>
      <c r="B19" s="201">
        <f>'5 Oct - 11 Oct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212"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21" priority="8" operator="equal">
      <formula>0</formula>
    </cfRule>
  </conditionalFormatting>
  <conditionalFormatting sqref="D7:E19">
    <cfRule type="cellIs" dxfId="420" priority="7" operator="equal">
      <formula>0</formula>
    </cfRule>
  </conditionalFormatting>
  <conditionalFormatting sqref="F6:R19">
    <cfRule type="cellIs" dxfId="41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V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-0.15605832812934617</v>
      </c>
      <c r="G2" s="400">
        <f>(((D4-D19-B19)-B4)/D4)</f>
        <v>4.5147243110376024E-2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1870852.2399999998</v>
      </c>
      <c r="C4" s="135">
        <f>SUM(C6:C19)-C14-C19</f>
        <v>2321617.4</v>
      </c>
      <c r="D4" s="142">
        <f>SUM(D6:D19)-D19</f>
        <v>1959309.6700000004</v>
      </c>
      <c r="E4" s="142">
        <f>SUM(E6:E19)-E19</f>
        <v>7011063.4700000007</v>
      </c>
      <c r="F4" s="217">
        <f t="shared" ref="F4:F19" si="0">IFERROR((SUM(D4-C4)/C4),0)</f>
        <v>-0.15605832812934617</v>
      </c>
      <c r="G4" s="217">
        <f>IFERROR((SUM(D4-B4)/D4),0)</f>
        <v>4.5147243110376024E-2</v>
      </c>
      <c r="H4" s="147">
        <f>SUM(H6:H19)</f>
        <v>7477</v>
      </c>
      <c r="I4" s="218">
        <f>AVERAGE(I5:I19)</f>
        <v>222.96179563078113</v>
      </c>
      <c r="J4" s="219">
        <f>SUM(J6:J19)</f>
        <v>510</v>
      </c>
      <c r="K4" s="220">
        <f t="shared" ref="K4:K19" si="1">IFERROR(J4/H4,0)</f>
        <v>6.8209174802728367E-2</v>
      </c>
      <c r="L4" s="221">
        <f>SUM(L6:L19)</f>
        <v>4042</v>
      </c>
      <c r="M4" s="222">
        <f t="shared" ref="M4:M19" si="2">IFERROR(L4/SUM(H4),0)</f>
        <v>0.54059114618162363</v>
      </c>
      <c r="N4" s="249">
        <f>SUM(N6:N19)</f>
        <v>319900.53000000003</v>
      </c>
      <c r="O4" s="222">
        <f>SUM(N4/D4)</f>
        <v>0.16327206204213751</v>
      </c>
      <c r="P4" s="244">
        <f>SUM(P6:P19)</f>
        <v>195774.43999999997</v>
      </c>
      <c r="Q4" s="222">
        <f>SUM(P4/D4)</f>
        <v>9.9920111148126947E-2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'12 Oct - 18 Oct 2020'!D6</f>
        <v>202092.61</v>
      </c>
      <c r="C6" s="123">
        <v>235865.3</v>
      </c>
      <c r="D6" s="197">
        <v>214564.31</v>
      </c>
      <c r="E6" s="254">
        <v>733546.23</v>
      </c>
      <c r="F6" s="162">
        <f t="shared" si="0"/>
        <v>-9.03099777712109E-2</v>
      </c>
      <c r="G6" s="154">
        <f t="shared" ref="G6:G19" si="3">IFERROR((SUM(D6-B6)/B6),0)</f>
        <v>6.1712795930539036E-2</v>
      </c>
      <c r="H6" s="149">
        <v>705</v>
      </c>
      <c r="I6" s="124">
        <f t="shared" ref="I6:I19" si="4">IFERROR(D6/H6,0)</f>
        <v>304.34653900709219</v>
      </c>
      <c r="J6" s="125">
        <v>23</v>
      </c>
      <c r="K6" s="126">
        <f t="shared" si="1"/>
        <v>3.2624113475177303E-2</v>
      </c>
      <c r="L6" s="46">
        <f>'7 Sept - 13 Sept 2020'!K6+'14 Sept - 20 Sept 2020'!I6+'21 Sept - 27 Sept 2020'!I6+'28 Sept - 4 Oct 2020'!J6+J6+'5 Oct - 11 Oct 2020'!J6+'12 Oct - 18 Oct 2020'!J6</f>
        <v>234</v>
      </c>
      <c r="M6" s="171">
        <f t="shared" si="2"/>
        <v>0.33191489361702126</v>
      </c>
      <c r="N6" s="246">
        <v>51386.04</v>
      </c>
      <c r="O6" s="128">
        <f t="shared" ref="O6:O19" si="5">SUM(N6/D6)</f>
        <v>0.2394901556554303</v>
      </c>
      <c r="P6" s="247">
        <v>2026.09</v>
      </c>
      <c r="Q6" s="128">
        <f t="shared" ref="Q6:Q19" si="6">SUM(P6/D6)</f>
        <v>9.4428099435549182E-3</v>
      </c>
      <c r="R6" s="129">
        <v>6854.75</v>
      </c>
      <c r="S6" s="26"/>
    </row>
    <row r="7" spans="1:22" ht="15.6" customHeight="1" x14ac:dyDescent="0.3">
      <c r="A7" s="409" t="s">
        <v>16</v>
      </c>
      <c r="B7" s="200">
        <f>'12 Oct - 18 Oct 2020'!D7</f>
        <v>144428.65</v>
      </c>
      <c r="C7" s="73">
        <v>214438.2</v>
      </c>
      <c r="D7" s="145">
        <v>126698.91</v>
      </c>
      <c r="E7" s="130">
        <v>544841.63</v>
      </c>
      <c r="F7" s="163">
        <f t="shared" si="0"/>
        <v>-0.409158862553407</v>
      </c>
      <c r="G7" s="155">
        <f t="shared" si="3"/>
        <v>-0.12275777693691654</v>
      </c>
      <c r="H7" s="150">
        <v>563</v>
      </c>
      <c r="I7" s="63">
        <f t="shared" si="4"/>
        <v>225.04246891651866</v>
      </c>
      <c r="J7" s="61">
        <v>39</v>
      </c>
      <c r="K7" s="28">
        <f t="shared" si="1"/>
        <v>6.9271758436944941E-2</v>
      </c>
      <c r="L7" s="46">
        <f>'7 Sept - 13 Sept 2020'!K7+'14 Sept - 20 Sept 2020'!I7+'21 Sept - 27 Sept 2020'!I7+'28 Sept - 4 Oct 2020'!J7+J7+'5 Oct - 11 Oct 2020'!J7+'12 Oct - 18 Oct 2020'!J7</f>
        <v>354</v>
      </c>
      <c r="M7" s="172">
        <f t="shared" si="2"/>
        <v>0.62877442273534634</v>
      </c>
      <c r="N7" s="247">
        <v>22623.87</v>
      </c>
      <c r="O7" s="89">
        <f t="shared" si="5"/>
        <v>0.17856404605217202</v>
      </c>
      <c r="P7" s="247">
        <v>11340.7</v>
      </c>
      <c r="Q7" s="89">
        <f t="shared" si="6"/>
        <v>8.9509057339167322E-2</v>
      </c>
      <c r="R7" s="130">
        <v>7713.75</v>
      </c>
      <c r="S7" s="26"/>
    </row>
    <row r="8" spans="1:22" ht="15.6" customHeight="1" x14ac:dyDescent="0.3">
      <c r="A8" s="409" t="s">
        <v>17</v>
      </c>
      <c r="B8" s="200">
        <f>'12 Oct - 18 Oct 2020'!D8</f>
        <v>96801.22</v>
      </c>
      <c r="C8" s="73">
        <v>120214.3</v>
      </c>
      <c r="D8" s="145">
        <v>106467.28</v>
      </c>
      <c r="E8" s="130">
        <v>360228.67</v>
      </c>
      <c r="F8" s="163">
        <f t="shared" si="0"/>
        <v>-0.11435428231083992</v>
      </c>
      <c r="G8" s="155">
        <f t="shared" si="3"/>
        <v>9.9854733235800103E-2</v>
      </c>
      <c r="H8" s="150">
        <v>421</v>
      </c>
      <c r="I8" s="63">
        <f t="shared" si="4"/>
        <v>252.89140142517815</v>
      </c>
      <c r="J8" s="61">
        <v>11</v>
      </c>
      <c r="K8" s="28">
        <f t="shared" si="1"/>
        <v>2.6128266033254157E-2</v>
      </c>
      <c r="L8" s="46">
        <f>'7 Sept - 13 Sept 2020'!K8+'14 Sept - 20 Sept 2020'!I8+'21 Sept - 27 Sept 2020'!I8+'28 Sept - 4 Oct 2020'!J8+J8+'5 Oct - 11 Oct 2020'!J8+'12 Oct - 18 Oct 2020'!J8</f>
        <v>105</v>
      </c>
      <c r="M8" s="172">
        <f t="shared" si="2"/>
        <v>0.24940617577197149</v>
      </c>
      <c r="N8" s="247">
        <v>28687.41</v>
      </c>
      <c r="O8" s="89">
        <f t="shared" si="5"/>
        <v>0.26944813467574263</v>
      </c>
      <c r="P8" s="247">
        <v>20252.54</v>
      </c>
      <c r="Q8" s="89">
        <f t="shared" si="6"/>
        <v>0.19022313709902236</v>
      </c>
      <c r="R8" s="130">
        <v>1400.7</v>
      </c>
      <c r="S8" s="26"/>
    </row>
    <row r="9" spans="1:22" ht="15.6" customHeight="1" x14ac:dyDescent="0.3">
      <c r="A9" s="409" t="s">
        <v>18</v>
      </c>
      <c r="B9" s="200">
        <f>'12 Oct - 18 Oct 2020'!D9</f>
        <v>220338.1</v>
      </c>
      <c r="C9" s="73">
        <v>310997.40000000002</v>
      </c>
      <c r="D9" s="145">
        <v>208535.73</v>
      </c>
      <c r="E9" s="130">
        <v>805948.77</v>
      </c>
      <c r="F9" s="163">
        <f t="shared" si="0"/>
        <v>-0.32946150032122457</v>
      </c>
      <c r="G9" s="155">
        <f t="shared" si="3"/>
        <v>-5.3564816978997253E-2</v>
      </c>
      <c r="H9" s="150">
        <v>785</v>
      </c>
      <c r="I9" s="63">
        <f t="shared" si="4"/>
        <v>265.65061146496816</v>
      </c>
      <c r="J9" s="61">
        <v>26</v>
      </c>
      <c r="K9" s="28">
        <f t="shared" si="1"/>
        <v>3.3121019108280254E-2</v>
      </c>
      <c r="L9" s="46">
        <f>'7 Sept - 13 Sept 2020'!K9+'14 Sept - 20 Sept 2020'!I9+'21 Sept - 27 Sept 2020'!I9+'28 Sept - 4 Oct 2020'!J9+J9+'5 Oct - 11 Oct 2020'!J9+'12 Oct - 18 Oct 2020'!J9</f>
        <v>251</v>
      </c>
      <c r="M9" s="172">
        <f t="shared" si="2"/>
        <v>0.31974522292993629</v>
      </c>
      <c r="N9" s="247">
        <v>13815.76</v>
      </c>
      <c r="O9" s="89">
        <f t="shared" si="5"/>
        <v>6.625128461199431E-2</v>
      </c>
      <c r="P9" s="247">
        <v>13370.48</v>
      </c>
      <c r="Q9" s="89">
        <f t="shared" si="6"/>
        <v>6.4116015034929502E-2</v>
      </c>
      <c r="R9" s="130">
        <v>5981.2</v>
      </c>
      <c r="S9" s="26"/>
    </row>
    <row r="10" spans="1:22" ht="15.6" customHeight="1" x14ac:dyDescent="0.3">
      <c r="A10" s="411" t="s">
        <v>20</v>
      </c>
      <c r="B10" s="200">
        <f>'12 Oct - 18 Oct 2020'!D10</f>
        <v>115678.41</v>
      </c>
      <c r="C10" s="73">
        <v>136515.1</v>
      </c>
      <c r="D10" s="145">
        <v>137760.54999999999</v>
      </c>
      <c r="E10" s="130">
        <v>469942.86</v>
      </c>
      <c r="F10" s="163">
        <f t="shared" si="0"/>
        <v>9.1231665947575213E-3</v>
      </c>
      <c r="G10" s="155">
        <f t="shared" si="3"/>
        <v>0.19089249238470674</v>
      </c>
      <c r="H10" s="150">
        <v>510</v>
      </c>
      <c r="I10" s="63">
        <f t="shared" si="4"/>
        <v>270.11872549019603</v>
      </c>
      <c r="J10" s="61">
        <v>24</v>
      </c>
      <c r="K10" s="28">
        <f t="shared" si="1"/>
        <v>4.7058823529411764E-2</v>
      </c>
      <c r="L10" s="46">
        <f>'7 Sept - 13 Sept 2020'!K10+'14 Sept - 20 Sept 2020'!I10+'21 Sept - 27 Sept 2020'!I10+'28 Sept - 4 Oct 2020'!J10+J10+'5 Oct - 11 Oct 2020'!J10+'12 Oct - 18 Oct 2020'!J10</f>
        <v>167</v>
      </c>
      <c r="M10" s="172">
        <f t="shared" si="2"/>
        <v>0.32745098039215687</v>
      </c>
      <c r="N10" s="247">
        <v>32530.35</v>
      </c>
      <c r="O10" s="89">
        <f t="shared" si="5"/>
        <v>0.2361369056671159</v>
      </c>
      <c r="P10" s="247">
        <v>29902.04</v>
      </c>
      <c r="Q10" s="89">
        <f t="shared" si="6"/>
        <v>0.21705807649577477</v>
      </c>
      <c r="R10" s="130">
        <v>6343.55</v>
      </c>
      <c r="S10" s="26"/>
    </row>
    <row r="11" spans="1:22" ht="15.6" customHeight="1" x14ac:dyDescent="0.3">
      <c r="A11" s="409" t="s">
        <v>21</v>
      </c>
      <c r="B11" s="200">
        <f>'12 Oct - 18 Oct 2020'!D11</f>
        <v>229531.73</v>
      </c>
      <c r="C11" s="73">
        <v>315240.40000000002</v>
      </c>
      <c r="D11" s="145">
        <v>250462.33</v>
      </c>
      <c r="E11" s="130">
        <v>926660.75</v>
      </c>
      <c r="F11" s="163">
        <f t="shared" si="0"/>
        <v>-0.20548784356319821</v>
      </c>
      <c r="G11" s="155">
        <f t="shared" si="3"/>
        <v>9.1188264036523303E-2</v>
      </c>
      <c r="H11" s="150">
        <v>953</v>
      </c>
      <c r="I11" s="63">
        <f t="shared" si="4"/>
        <v>262.81461699895067</v>
      </c>
      <c r="J11" s="61">
        <v>82</v>
      </c>
      <c r="K11" s="28">
        <f t="shared" si="1"/>
        <v>8.6044071353620147E-2</v>
      </c>
      <c r="L11" s="46">
        <f>'7 Sept - 13 Sept 2020'!K11+'14 Sept - 20 Sept 2020'!I11+'21 Sept - 27 Sept 2020'!I11+'28 Sept - 4 Oct 2020'!J11+J11+'5 Oct - 11 Oct 2020'!J11+'12 Oct - 18 Oct 2020'!J11</f>
        <v>692</v>
      </c>
      <c r="M11" s="172">
        <f t="shared" si="2"/>
        <v>0.72612801678908712</v>
      </c>
      <c r="N11" s="247">
        <v>46218.04</v>
      </c>
      <c r="O11" s="89">
        <f t="shared" si="5"/>
        <v>0.18453090330989097</v>
      </c>
      <c r="P11" s="247">
        <v>19131.3</v>
      </c>
      <c r="Q11" s="89">
        <f t="shared" si="6"/>
        <v>7.6383941649029619E-2</v>
      </c>
      <c r="R11" s="130">
        <v>8288.2999999999993</v>
      </c>
      <c r="S11" s="26"/>
    </row>
    <row r="12" spans="1:22" ht="15.6" customHeight="1" x14ac:dyDescent="0.3">
      <c r="A12" s="198" t="s">
        <v>22</v>
      </c>
      <c r="B12" s="200">
        <f>'12 Oct - 18 Oct 2020'!D12</f>
        <v>93061.9</v>
      </c>
      <c r="C12" s="73">
        <v>141945</v>
      </c>
      <c r="D12" s="145">
        <v>95623.24</v>
      </c>
      <c r="E12" s="130">
        <v>335859.64</v>
      </c>
      <c r="F12" s="163">
        <f t="shared" si="0"/>
        <v>-0.32633597520166258</v>
      </c>
      <c r="G12" s="155">
        <f t="shared" si="3"/>
        <v>2.7522971269660423E-2</v>
      </c>
      <c r="H12" s="150">
        <v>388</v>
      </c>
      <c r="I12" s="63">
        <f t="shared" si="4"/>
        <v>246.45164948453609</v>
      </c>
      <c r="J12" s="61">
        <v>37</v>
      </c>
      <c r="K12" s="28">
        <f t="shared" si="1"/>
        <v>9.5360824742268036E-2</v>
      </c>
      <c r="L12" s="46">
        <f>'7 Sept - 13 Sept 2020'!K12+'14 Sept - 20 Sept 2020'!I12+'21 Sept - 27 Sept 2020'!I12+'28 Sept - 4 Oct 2020'!J12+J12+'5 Oct - 11 Oct 2020'!J12+'12 Oct - 18 Oct 2020'!J12</f>
        <v>207</v>
      </c>
      <c r="M12" s="172">
        <f t="shared" si="2"/>
        <v>0.53350515463917525</v>
      </c>
      <c r="N12" s="247">
        <v>12739.22</v>
      </c>
      <c r="O12" s="89">
        <f t="shared" si="5"/>
        <v>0.13322305330796153</v>
      </c>
      <c r="P12" s="247">
        <v>2708.17</v>
      </c>
      <c r="Q12" s="89">
        <f t="shared" si="6"/>
        <v>2.8321253285289224E-2</v>
      </c>
      <c r="R12" s="130">
        <v>5857</v>
      </c>
      <c r="S12" s="26"/>
    </row>
    <row r="13" spans="1:22" ht="15.6" customHeight="1" x14ac:dyDescent="0.3">
      <c r="A13" s="198" t="s">
        <v>23</v>
      </c>
      <c r="B13" s="200">
        <f>'12 Oct - 18 Oct 2020'!D13</f>
        <v>160602.72</v>
      </c>
      <c r="C13" s="73">
        <v>194970.4</v>
      </c>
      <c r="D13" s="145">
        <v>175444.48000000001</v>
      </c>
      <c r="E13" s="130">
        <v>631010.80000000005</v>
      </c>
      <c r="F13" s="163">
        <f t="shared" si="0"/>
        <v>-0.10014812504872526</v>
      </c>
      <c r="G13" s="155">
        <f t="shared" si="3"/>
        <v>9.2412880678484202E-2</v>
      </c>
      <c r="H13" s="150">
        <v>705</v>
      </c>
      <c r="I13" s="63">
        <f t="shared" si="4"/>
        <v>248.85741843971633</v>
      </c>
      <c r="J13" s="61">
        <v>58</v>
      </c>
      <c r="K13" s="28">
        <f t="shared" si="1"/>
        <v>8.2269503546099285E-2</v>
      </c>
      <c r="L13" s="46">
        <f>'7 Sept - 13 Sept 2020'!K13+'14 Sept - 20 Sept 2020'!I13+'21 Sept - 27 Sept 2020'!I13+'28 Sept - 4 Oct 2020'!J13+J13+'5 Oct - 11 Oct 2020'!J13+'12 Oct - 18 Oct 2020'!J13</f>
        <v>411</v>
      </c>
      <c r="M13" s="172">
        <f t="shared" si="2"/>
        <v>0.58297872340425527</v>
      </c>
      <c r="N13" s="247">
        <v>29133.96</v>
      </c>
      <c r="O13" s="89">
        <f t="shared" si="5"/>
        <v>0.16605800307880875</v>
      </c>
      <c r="P13" s="247">
        <v>23411.56</v>
      </c>
      <c r="Q13" s="89">
        <f t="shared" si="6"/>
        <v>0.13344141690864256</v>
      </c>
      <c r="R13" s="130">
        <v>6909.95</v>
      </c>
      <c r="S13" s="26"/>
    </row>
    <row r="14" spans="1:22" ht="15.6" hidden="1" customHeight="1" x14ac:dyDescent="0.3">
      <c r="A14" s="198" t="s">
        <v>24</v>
      </c>
      <c r="B14" s="200">
        <f>'12 Oct - 18 Oct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'7 Sept - 13 Sept 2020'!K14+'14 Sept - 20 Sept 2020'!I14+'21 Sept - 27 Sept 2020'!I14+'28 Sept - 4 Oct 2020'!J14+J14+'5 Oct - 11 Oct 2020'!J14+'12 Oct - 18 Oct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'12 Oct - 18 Oct 2020'!D15</f>
        <v>178044.11</v>
      </c>
      <c r="C15" s="73">
        <v>142533.70000000001</v>
      </c>
      <c r="D15" s="145">
        <v>200931.58</v>
      </c>
      <c r="E15" s="130">
        <v>642022.81999999995</v>
      </c>
      <c r="F15" s="163">
        <f t="shared" si="0"/>
        <v>0.40971279072949046</v>
      </c>
      <c r="G15" s="155">
        <f t="shared" si="3"/>
        <v>0.12854943642898381</v>
      </c>
      <c r="H15" s="150">
        <v>674</v>
      </c>
      <c r="I15" s="63">
        <f t="shared" si="4"/>
        <v>298.11807121661718</v>
      </c>
      <c r="J15" s="61">
        <v>80</v>
      </c>
      <c r="K15" s="28">
        <f t="shared" si="1"/>
        <v>0.11869436201780416</v>
      </c>
      <c r="L15" s="46">
        <f>'7 Sept - 13 Sept 2020'!K15+'14 Sept - 20 Sept 2020'!I15+'21 Sept - 27 Sept 2020'!I15+'28 Sept - 4 Oct 2020'!J15+J15+'5 Oct - 11 Oct 2020'!J15+'12 Oct - 18 Oct 2020'!J15</f>
        <v>679</v>
      </c>
      <c r="M15" s="172">
        <f t="shared" si="2"/>
        <v>1.0074183976261128</v>
      </c>
      <c r="N15" s="247">
        <v>0</v>
      </c>
      <c r="O15" s="89">
        <f t="shared" si="5"/>
        <v>0</v>
      </c>
      <c r="P15" s="247">
        <v>19212.61</v>
      </c>
      <c r="Q15" s="89">
        <f t="shared" si="6"/>
        <v>9.5617672443525314E-2</v>
      </c>
      <c r="R15" s="130">
        <v>6312.1</v>
      </c>
      <c r="S15" s="9"/>
    </row>
    <row r="16" spans="1:22" ht="15.6" customHeight="1" x14ac:dyDescent="0.3">
      <c r="A16" s="198" t="s">
        <v>27</v>
      </c>
      <c r="B16" s="200">
        <f>'12 Oct - 18 Oct 2020'!D16</f>
        <v>108945.64</v>
      </c>
      <c r="C16" s="73">
        <v>120179.4</v>
      </c>
      <c r="D16" s="145">
        <v>107591.84</v>
      </c>
      <c r="E16" s="130">
        <v>405120.67</v>
      </c>
      <c r="F16" s="163">
        <f t="shared" si="0"/>
        <v>-0.10473974741095395</v>
      </c>
      <c r="G16" s="155">
        <f t="shared" si="3"/>
        <v>-1.242638071610762E-2</v>
      </c>
      <c r="H16" s="150">
        <v>443</v>
      </c>
      <c r="I16" s="63">
        <f t="shared" si="4"/>
        <v>242.87097065462754</v>
      </c>
      <c r="J16" s="61">
        <v>25</v>
      </c>
      <c r="K16" s="28">
        <f t="shared" si="1"/>
        <v>5.6433408577878104E-2</v>
      </c>
      <c r="L16" s="46">
        <f>'7 Sept - 13 Sept 2020'!K16+'14 Sept - 20 Sept 2020'!I16+'21 Sept - 27 Sept 2020'!I16+'28 Sept - 4 Oct 2020'!J16+J16+'5 Oct - 11 Oct 2020'!J16+'12 Oct - 18 Oct 2020'!J16</f>
        <v>193</v>
      </c>
      <c r="M16" s="172">
        <f t="shared" si="2"/>
        <v>0.43566591422121898</v>
      </c>
      <c r="N16" s="247">
        <v>24415.21</v>
      </c>
      <c r="O16" s="89">
        <f t="shared" si="5"/>
        <v>0.22692436526784932</v>
      </c>
      <c r="P16" s="247">
        <v>17450.169999999998</v>
      </c>
      <c r="Q16" s="89">
        <f t="shared" si="6"/>
        <v>0.16218860091992104</v>
      </c>
      <c r="R16" s="130">
        <v>4394.5</v>
      </c>
      <c r="S16" s="9"/>
      <c r="V16" s="238"/>
    </row>
    <row r="17" spans="1:19" ht="15.6" customHeight="1" x14ac:dyDescent="0.3">
      <c r="A17" s="251" t="s">
        <v>28</v>
      </c>
      <c r="B17" s="200">
        <f>'12 Oct - 18 Oct 2020'!D17</f>
        <v>186599.06</v>
      </c>
      <c r="C17" s="73">
        <v>227123.1</v>
      </c>
      <c r="D17" s="145">
        <v>179614.8</v>
      </c>
      <c r="E17" s="130">
        <v>648442.56000000006</v>
      </c>
      <c r="F17" s="163">
        <f t="shared" si="0"/>
        <v>-0.20917423194734491</v>
      </c>
      <c r="G17" s="155">
        <f t="shared" si="3"/>
        <v>-3.7429234638159538E-2</v>
      </c>
      <c r="H17" s="150">
        <v>716</v>
      </c>
      <c r="I17" s="63">
        <f t="shared" si="4"/>
        <v>250.85865921787709</v>
      </c>
      <c r="J17" s="61">
        <v>26</v>
      </c>
      <c r="K17" s="28">
        <f t="shared" si="1"/>
        <v>3.6312849162011177E-2</v>
      </c>
      <c r="L17" s="46">
        <f>'7 Sept - 13 Sept 2020'!K17+'14 Sept - 20 Sept 2020'!I17+'21 Sept - 27 Sept 2020'!I17+'28 Sept - 4 Oct 2020'!J17+J17+'5 Oct - 11 Oct 2020'!J17+'12 Oct - 18 Oct 2020'!J17</f>
        <v>200</v>
      </c>
      <c r="M17" s="172">
        <f t="shared" si="2"/>
        <v>0.27932960893854747</v>
      </c>
      <c r="N17" s="247">
        <v>40709.83</v>
      </c>
      <c r="O17" s="89">
        <f t="shared" si="5"/>
        <v>0.22665075483757466</v>
      </c>
      <c r="P17" s="247">
        <v>19712.349999999999</v>
      </c>
      <c r="Q17" s="89">
        <f t="shared" si="6"/>
        <v>0.109747916096001</v>
      </c>
      <c r="R17" s="130">
        <v>1981.1</v>
      </c>
      <c r="S17" s="9"/>
    </row>
    <row r="18" spans="1:19" ht="15.6" customHeight="1" x14ac:dyDescent="0.3">
      <c r="A18" s="198" t="s">
        <v>33</v>
      </c>
      <c r="B18" s="200">
        <f>'12 Oct - 18 Oct 2020'!D18</f>
        <v>134728.09</v>
      </c>
      <c r="C18" s="73">
        <v>161595.1</v>
      </c>
      <c r="D18" s="145">
        <v>155614.62</v>
      </c>
      <c r="E18" s="130">
        <v>507438.07</v>
      </c>
      <c r="F18" s="163">
        <f t="shared" si="0"/>
        <v>-3.7009042972218902E-2</v>
      </c>
      <c r="G18" s="155">
        <f t="shared" si="3"/>
        <v>0.15502728495594348</v>
      </c>
      <c r="H18" s="150">
        <v>614</v>
      </c>
      <c r="I18" s="63">
        <f t="shared" si="4"/>
        <v>253.44400651465799</v>
      </c>
      <c r="J18" s="61">
        <v>79</v>
      </c>
      <c r="K18" s="28">
        <f t="shared" si="1"/>
        <v>0.12866449511400652</v>
      </c>
      <c r="L18" s="46">
        <f>'7 Sept - 13 Sept 2020'!K18+'14 Sept - 20 Sept 2020'!I18+'21 Sept - 27 Sept 2020'!I18+'28 Sept - 4 Oct 2020'!J18+J18+'5 Oct - 11 Oct 2020'!J18+'12 Oct - 18 Oct 2020'!J18</f>
        <v>549</v>
      </c>
      <c r="M18" s="172">
        <f t="shared" si="2"/>
        <v>0.89413680781758953</v>
      </c>
      <c r="N18" s="247">
        <v>17640.84</v>
      </c>
      <c r="O18" s="89">
        <f t="shared" si="5"/>
        <v>0.11336235631330784</v>
      </c>
      <c r="P18" s="247">
        <v>17256.43</v>
      </c>
      <c r="Q18" s="89">
        <f t="shared" si="6"/>
        <v>0.11089208713165898</v>
      </c>
      <c r="R18" s="130">
        <v>4571.25</v>
      </c>
      <c r="S18" s="9"/>
    </row>
    <row r="19" spans="1:19" ht="16.2" customHeight="1" thickBot="1" x14ac:dyDescent="0.35">
      <c r="A19" s="203" t="s">
        <v>37</v>
      </c>
      <c r="B19" s="201">
        <f>'12 Oct - 18 Oct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212"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18" priority="8" operator="equal">
      <formula>0</formula>
    </cfRule>
  </conditionalFormatting>
  <conditionalFormatting sqref="D7:E19">
    <cfRule type="cellIs" dxfId="417" priority="7" operator="equal">
      <formula>0</formula>
    </cfRule>
  </conditionalFormatting>
  <conditionalFormatting sqref="F6:R19">
    <cfRule type="cellIs" dxfId="41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V41"/>
  <sheetViews>
    <sheetView zoomScale="70" zoomScaleNormal="70" workbookViewId="0">
      <pane xSplit="1" topLeftCell="B1" activePane="topRight" state="frozen"/>
      <selection pane="topRight" activeCell="C10" sqref="C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-8.99604011434946E-2</v>
      </c>
      <c r="G2" s="400">
        <f>(((D4-D19-B19)-B4)/D4)</f>
        <v>0.11140658735858033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1959309.6700000004</v>
      </c>
      <c r="C4" s="135">
        <f>SUM(C6:C19)-C14-C19</f>
        <v>2422923.5</v>
      </c>
      <c r="D4" s="142">
        <f>SUM(D6:D19)-D19</f>
        <v>2204956.33</v>
      </c>
      <c r="E4" s="142">
        <f>SUM(E6:E19)-E19</f>
        <v>285072.86</v>
      </c>
      <c r="F4" s="217">
        <f t="shared" ref="F4:F19" si="0">IFERROR((SUM(D4-C4)/C4),0)</f>
        <v>-8.99604011434946E-2</v>
      </c>
      <c r="G4" s="217">
        <f>IFERROR((SUM(D4-B4)/D4),0)</f>
        <v>0.11140658735858033</v>
      </c>
      <c r="H4" s="147">
        <f>SUM(H6:H19)</f>
        <v>8036</v>
      </c>
      <c r="I4" s="218">
        <f>AVERAGE(I5:I19)</f>
        <v>233.4819748497867</v>
      </c>
      <c r="J4" s="219">
        <f>SUM(J6:J19)</f>
        <v>996</v>
      </c>
      <c r="K4" s="220">
        <f t="shared" ref="K4:K19" si="1">IFERROR(J4/H4,0)</f>
        <v>0.12394225983076157</v>
      </c>
      <c r="L4" s="221">
        <f>SUM(L6:L19)</f>
        <v>996</v>
      </c>
      <c r="M4" s="222">
        <f t="shared" ref="M4:M19" si="2">IFERROR(L4/SUM(H4),0)</f>
        <v>0.12394225983076157</v>
      </c>
      <c r="N4" s="249">
        <f>SUM(N6:N19)</f>
        <v>318604.18</v>
      </c>
      <c r="O4" s="222">
        <f>SUM(N4/D4)</f>
        <v>0.14449455332296762</v>
      </c>
      <c r="P4" s="244">
        <f>SUM(P6:P19)</f>
        <v>205761.1</v>
      </c>
      <c r="Q4" s="222">
        <f>SUM(P4/D4)</f>
        <v>9.3317539762794305E-2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'19 Oct - 25 Oct 2020'!D6</f>
        <v>214564.31</v>
      </c>
      <c r="C6" s="123">
        <v>230483.6</v>
      </c>
      <c r="D6" s="197">
        <v>214590.59</v>
      </c>
      <c r="E6" s="254">
        <v>35017.18</v>
      </c>
      <c r="F6" s="162">
        <f t="shared" si="0"/>
        <v>-6.895505797375609E-2</v>
      </c>
      <c r="G6" s="154">
        <f t="shared" ref="G6:G19" si="3">IFERROR((SUM(D6-B6)/B6),0)</f>
        <v>1.2248076112937346E-4</v>
      </c>
      <c r="H6" s="149">
        <v>703</v>
      </c>
      <c r="I6" s="124">
        <f t="shared" ref="I6:I19" si="4">IFERROR(D6/H6,0)</f>
        <v>305.24977240398294</v>
      </c>
      <c r="J6" s="125">
        <v>77</v>
      </c>
      <c r="K6" s="126">
        <f t="shared" si="1"/>
        <v>0.10953058321479374</v>
      </c>
      <c r="L6" s="46">
        <f t="shared" ref="L6:L18" si="5">J6</f>
        <v>77</v>
      </c>
      <c r="M6" s="171">
        <f t="shared" si="2"/>
        <v>0.10953058321479374</v>
      </c>
      <c r="N6" s="246">
        <v>37957.040000000001</v>
      </c>
      <c r="O6" s="128">
        <f t="shared" ref="O6:O19" si="6">SUM(N6/D6)</f>
        <v>0.17688119502350966</v>
      </c>
      <c r="P6" s="247">
        <v>3725.22</v>
      </c>
      <c r="Q6" s="128">
        <f t="shared" ref="Q6:Q19" si="7">SUM(P6/D6)</f>
        <v>1.7359661483758445E-2</v>
      </c>
      <c r="R6" s="129">
        <v>5621.1</v>
      </c>
      <c r="S6" s="26"/>
    </row>
    <row r="7" spans="1:22" ht="15.6" customHeight="1" x14ac:dyDescent="0.3">
      <c r="A7" s="409" t="s">
        <v>16</v>
      </c>
      <c r="B7" s="200">
        <f>'19 Oct - 25 Oct 2020'!D7</f>
        <v>126698.91</v>
      </c>
      <c r="C7" s="73">
        <v>291263.90000000002</v>
      </c>
      <c r="D7" s="145">
        <v>179179</v>
      </c>
      <c r="E7" s="130">
        <v>20499.98</v>
      </c>
      <c r="F7" s="163">
        <f t="shared" si="0"/>
        <v>-0.38482249259176993</v>
      </c>
      <c r="G7" s="155">
        <f t="shared" si="3"/>
        <v>0.41421106148427</v>
      </c>
      <c r="H7" s="150">
        <v>672</v>
      </c>
      <c r="I7" s="63">
        <f t="shared" si="4"/>
        <v>266.63541666666669</v>
      </c>
      <c r="J7" s="61">
        <v>75</v>
      </c>
      <c r="K7" s="28">
        <f t="shared" si="1"/>
        <v>0.11160714285714286</v>
      </c>
      <c r="L7" s="46">
        <f t="shared" si="5"/>
        <v>75</v>
      </c>
      <c r="M7" s="172">
        <f t="shared" si="2"/>
        <v>0.11160714285714286</v>
      </c>
      <c r="N7" s="247">
        <v>26675.97</v>
      </c>
      <c r="O7" s="89">
        <f t="shared" si="6"/>
        <v>0.14887888647665184</v>
      </c>
      <c r="P7" s="247">
        <v>11376.83</v>
      </c>
      <c r="Q7" s="89">
        <f t="shared" si="7"/>
        <v>6.3494215281924782E-2</v>
      </c>
      <c r="R7" s="130">
        <v>11283.96</v>
      </c>
      <c r="S7" s="26"/>
    </row>
    <row r="8" spans="1:22" ht="15.6" customHeight="1" x14ac:dyDescent="0.3">
      <c r="A8" s="409" t="s">
        <v>17</v>
      </c>
      <c r="B8" s="200">
        <f>'19 Oct - 25 Oct 2020'!D8</f>
        <v>106467.28</v>
      </c>
      <c r="C8" s="73">
        <v>105575.4</v>
      </c>
      <c r="D8" s="145">
        <v>124514.14</v>
      </c>
      <c r="E8" s="130">
        <v>12959.32</v>
      </c>
      <c r="F8" s="163">
        <f t="shared" si="0"/>
        <v>0.17938591755276329</v>
      </c>
      <c r="G8" s="155">
        <f t="shared" si="3"/>
        <v>0.16950616189311871</v>
      </c>
      <c r="H8" s="150">
        <v>473</v>
      </c>
      <c r="I8" s="63">
        <f t="shared" si="4"/>
        <v>263.24342494714585</v>
      </c>
      <c r="J8" s="61">
        <v>97</v>
      </c>
      <c r="K8" s="28">
        <f t="shared" si="1"/>
        <v>0.20507399577167018</v>
      </c>
      <c r="L8" s="46">
        <f t="shared" si="5"/>
        <v>97</v>
      </c>
      <c r="M8" s="172">
        <f t="shared" si="2"/>
        <v>0.20507399577167018</v>
      </c>
      <c r="N8" s="247">
        <v>33780.129999999997</v>
      </c>
      <c r="O8" s="89">
        <f t="shared" si="6"/>
        <v>0.27129553318201449</v>
      </c>
      <c r="P8" s="247">
        <v>13468.87</v>
      </c>
      <c r="Q8" s="89">
        <f t="shared" si="7"/>
        <v>0.10817140928733075</v>
      </c>
      <c r="R8" s="130">
        <v>2403</v>
      </c>
      <c r="S8" s="26"/>
    </row>
    <row r="9" spans="1:22" ht="15.6" customHeight="1" x14ac:dyDescent="0.3">
      <c r="A9" s="409" t="s">
        <v>18</v>
      </c>
      <c r="B9" s="200">
        <f>'19 Oct - 25 Oct 2020'!D9</f>
        <v>208535.73</v>
      </c>
      <c r="C9" s="73">
        <v>333384.40000000002</v>
      </c>
      <c r="D9" s="145">
        <v>262313.21000000002</v>
      </c>
      <c r="E9" s="130">
        <v>35005.269999999997</v>
      </c>
      <c r="F9" s="163">
        <f t="shared" si="0"/>
        <v>-0.21318091068448314</v>
      </c>
      <c r="G9" s="155">
        <f t="shared" si="3"/>
        <v>0.25788137121633786</v>
      </c>
      <c r="H9" s="150">
        <v>902</v>
      </c>
      <c r="I9" s="63">
        <f t="shared" si="4"/>
        <v>290.81287139689579</v>
      </c>
      <c r="J9" s="61">
        <v>109</v>
      </c>
      <c r="K9" s="28">
        <f t="shared" si="1"/>
        <v>0.12084257206208426</v>
      </c>
      <c r="L9" s="46">
        <f t="shared" si="5"/>
        <v>109</v>
      </c>
      <c r="M9" s="172">
        <f t="shared" si="2"/>
        <v>0.12084257206208426</v>
      </c>
      <c r="N9" s="247">
        <v>18927.5</v>
      </c>
      <c r="O9" s="89">
        <f t="shared" si="6"/>
        <v>7.2156106815970109E-2</v>
      </c>
      <c r="P9" s="247">
        <v>16521.169999999998</v>
      </c>
      <c r="Q9" s="89">
        <f t="shared" si="7"/>
        <v>6.2982607700161175E-2</v>
      </c>
      <c r="R9" s="130">
        <v>5628.95</v>
      </c>
      <c r="S9" s="26"/>
    </row>
    <row r="10" spans="1:22" ht="15.6" customHeight="1" x14ac:dyDescent="0.3">
      <c r="A10" s="411" t="s">
        <v>20</v>
      </c>
      <c r="B10" s="200">
        <f>'19 Oct - 25 Oct 2020'!D10</f>
        <v>137760.54999999999</v>
      </c>
      <c r="C10" s="73">
        <v>143482.1</v>
      </c>
      <c r="D10" s="145">
        <v>126652.18</v>
      </c>
      <c r="E10" s="130">
        <v>15753.18</v>
      </c>
      <c r="F10" s="163">
        <f t="shared" si="0"/>
        <v>-0.1172963038595059</v>
      </c>
      <c r="G10" s="155">
        <f t="shared" si="3"/>
        <v>-8.0635348799057469E-2</v>
      </c>
      <c r="H10" s="150">
        <v>503</v>
      </c>
      <c r="I10" s="63">
        <f t="shared" si="4"/>
        <v>251.79359840954274</v>
      </c>
      <c r="J10" s="61">
        <v>104</v>
      </c>
      <c r="K10" s="28">
        <f t="shared" si="1"/>
        <v>0.20675944333996024</v>
      </c>
      <c r="L10" s="46">
        <f t="shared" si="5"/>
        <v>104</v>
      </c>
      <c r="M10" s="172">
        <f t="shared" si="2"/>
        <v>0.20675944333996024</v>
      </c>
      <c r="N10" s="247">
        <v>31382.02</v>
      </c>
      <c r="O10" s="89">
        <f t="shared" si="6"/>
        <v>0.2477811278100385</v>
      </c>
      <c r="P10" s="247">
        <v>25068.57</v>
      </c>
      <c r="Q10" s="89">
        <f t="shared" si="7"/>
        <v>0.19793240037400067</v>
      </c>
      <c r="R10" s="130">
        <v>5773.5</v>
      </c>
      <c r="S10" s="26"/>
    </row>
    <row r="11" spans="1:22" ht="15.6" customHeight="1" x14ac:dyDescent="0.3">
      <c r="A11" s="409" t="s">
        <v>21</v>
      </c>
      <c r="B11" s="200">
        <f>'19 Oct - 25 Oct 2020'!D11</f>
        <v>250462.33</v>
      </c>
      <c r="C11" s="73">
        <v>341926.5</v>
      </c>
      <c r="D11" s="145">
        <v>261185.64</v>
      </c>
      <c r="E11" s="130">
        <v>31801.46</v>
      </c>
      <c r="F11" s="163">
        <f t="shared" si="0"/>
        <v>-0.23613513430517957</v>
      </c>
      <c r="G11" s="155">
        <f t="shared" si="3"/>
        <v>4.2814063096833874E-2</v>
      </c>
      <c r="H11" s="150">
        <v>1002</v>
      </c>
      <c r="I11" s="63">
        <f t="shared" si="4"/>
        <v>260.6643113772455</v>
      </c>
      <c r="J11" s="61">
        <v>102</v>
      </c>
      <c r="K11" s="28">
        <f t="shared" si="1"/>
        <v>0.10179640718562874</v>
      </c>
      <c r="L11" s="46">
        <f t="shared" si="5"/>
        <v>102</v>
      </c>
      <c r="M11" s="172">
        <f t="shared" si="2"/>
        <v>0.10179640718562874</v>
      </c>
      <c r="N11" s="247">
        <v>40542.559999999998</v>
      </c>
      <c r="O11" s="89">
        <f t="shared" si="6"/>
        <v>0.15522507286388332</v>
      </c>
      <c r="P11" s="247">
        <v>28851.3</v>
      </c>
      <c r="Q11" s="89">
        <f t="shared" si="7"/>
        <v>0.11046281104887695</v>
      </c>
      <c r="R11" s="130">
        <v>14048.35</v>
      </c>
      <c r="S11" s="26"/>
    </row>
    <row r="12" spans="1:22" ht="15.6" customHeight="1" x14ac:dyDescent="0.3">
      <c r="A12" s="198" t="s">
        <v>22</v>
      </c>
      <c r="B12" s="200">
        <f>'19 Oct - 25 Oct 2020'!D12</f>
        <v>95623.24</v>
      </c>
      <c r="C12" s="73">
        <v>142162.9</v>
      </c>
      <c r="D12" s="145">
        <v>102439.49</v>
      </c>
      <c r="E12" s="130">
        <v>15820.84</v>
      </c>
      <c r="F12" s="163">
        <f t="shared" si="0"/>
        <v>-0.27942177600485069</v>
      </c>
      <c r="G12" s="155">
        <f t="shared" si="3"/>
        <v>7.1282357719734235E-2</v>
      </c>
      <c r="H12" s="150">
        <v>383</v>
      </c>
      <c r="I12" s="63">
        <f t="shared" si="4"/>
        <v>267.46603133159272</v>
      </c>
      <c r="J12" s="61">
        <v>21</v>
      </c>
      <c r="K12" s="28">
        <f t="shared" si="1"/>
        <v>5.4830287206266322E-2</v>
      </c>
      <c r="L12" s="46">
        <f t="shared" si="5"/>
        <v>21</v>
      </c>
      <c r="M12" s="172">
        <f t="shared" si="2"/>
        <v>5.4830287206266322E-2</v>
      </c>
      <c r="N12" s="247">
        <v>11387.57</v>
      </c>
      <c r="O12" s="89">
        <f t="shared" si="6"/>
        <v>0.11116386854327369</v>
      </c>
      <c r="P12" s="247">
        <v>5650.69</v>
      </c>
      <c r="Q12" s="89">
        <f t="shared" si="7"/>
        <v>5.5161246898046828E-2</v>
      </c>
      <c r="R12" s="130">
        <v>6715.5</v>
      </c>
      <c r="S12" s="26"/>
    </row>
    <row r="13" spans="1:22" ht="15.6" customHeight="1" x14ac:dyDescent="0.3">
      <c r="A13" s="198" t="s">
        <v>23</v>
      </c>
      <c r="B13" s="200">
        <f>'19 Oct - 25 Oct 2020'!D13</f>
        <v>175444.48000000001</v>
      </c>
      <c r="C13" s="73">
        <v>153888.9</v>
      </c>
      <c r="D13" s="145">
        <v>195768.86</v>
      </c>
      <c r="E13" s="130">
        <v>26019.27</v>
      </c>
      <c r="F13" s="163">
        <f t="shared" si="0"/>
        <v>0.27214412475493682</v>
      </c>
      <c r="G13" s="155">
        <f t="shared" si="3"/>
        <v>0.11584508101936279</v>
      </c>
      <c r="H13" s="150">
        <v>747</v>
      </c>
      <c r="I13" s="63">
        <f t="shared" si="4"/>
        <v>262.0734404283802</v>
      </c>
      <c r="J13" s="61">
        <v>95</v>
      </c>
      <c r="K13" s="28">
        <f t="shared" si="1"/>
        <v>0.12717536813922356</v>
      </c>
      <c r="L13" s="46">
        <f t="shared" si="5"/>
        <v>95</v>
      </c>
      <c r="M13" s="172">
        <f t="shared" si="2"/>
        <v>0.12717536813922356</v>
      </c>
      <c r="N13" s="247">
        <v>29330.3</v>
      </c>
      <c r="O13" s="89">
        <f t="shared" si="6"/>
        <v>0.14982106960218292</v>
      </c>
      <c r="P13" s="247">
        <v>30604.35</v>
      </c>
      <c r="Q13" s="89">
        <f t="shared" si="7"/>
        <v>0.15632899941287906</v>
      </c>
      <c r="R13" s="130">
        <v>6063</v>
      </c>
      <c r="S13" s="26"/>
    </row>
    <row r="14" spans="1:22" ht="15.6" hidden="1" customHeight="1" x14ac:dyDescent="0.3">
      <c r="A14" s="198" t="s">
        <v>24</v>
      </c>
      <c r="B14" s="200">
        <f>'19 Oct - 25 Oct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 t="shared" si="5"/>
        <v>0</v>
      </c>
      <c r="M14" s="172">
        <f t="shared" si="2"/>
        <v>0</v>
      </c>
      <c r="N14" s="247"/>
      <c r="O14" s="89" t="e">
        <f t="shared" si="6"/>
        <v>#DIV/0!</v>
      </c>
      <c r="P14" s="247"/>
      <c r="Q14" s="89" t="e">
        <f t="shared" si="7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'19 Oct - 25 Oct 2020'!D15</f>
        <v>200931.58</v>
      </c>
      <c r="C15" s="73">
        <v>161616.70000000001</v>
      </c>
      <c r="D15" s="145">
        <v>256522.34</v>
      </c>
      <c r="E15" s="130">
        <v>30376.92</v>
      </c>
      <c r="F15" s="163">
        <f t="shared" si="0"/>
        <v>0.58722669130108451</v>
      </c>
      <c r="G15" s="155">
        <f t="shared" si="3"/>
        <v>0.2766651215304235</v>
      </c>
      <c r="H15" s="150">
        <v>785</v>
      </c>
      <c r="I15" s="63">
        <f t="shared" si="4"/>
        <v>326.78005095541403</v>
      </c>
      <c r="J15" s="61">
        <v>0</v>
      </c>
      <c r="K15" s="28">
        <f t="shared" si="1"/>
        <v>0</v>
      </c>
      <c r="L15" s="46">
        <f t="shared" si="5"/>
        <v>0</v>
      </c>
      <c r="M15" s="172">
        <f t="shared" si="2"/>
        <v>0</v>
      </c>
      <c r="N15" s="247">
        <v>0</v>
      </c>
      <c r="O15" s="89">
        <f t="shared" si="6"/>
        <v>0</v>
      </c>
      <c r="P15" s="247">
        <v>23015.65</v>
      </c>
      <c r="Q15" s="89">
        <f t="shared" si="7"/>
        <v>8.9721815261781884E-2</v>
      </c>
      <c r="R15" s="130">
        <v>6292.25</v>
      </c>
      <c r="S15" s="9"/>
    </row>
    <row r="16" spans="1:22" ht="15.6" customHeight="1" x14ac:dyDescent="0.3">
      <c r="A16" s="198" t="s">
        <v>27</v>
      </c>
      <c r="B16" s="200">
        <f>'19 Oct - 25 Oct 2020'!D16</f>
        <v>107591.84</v>
      </c>
      <c r="C16" s="73">
        <v>119031.9</v>
      </c>
      <c r="D16" s="145">
        <v>123882.99</v>
      </c>
      <c r="E16" s="130">
        <v>16361.17</v>
      </c>
      <c r="F16" s="163">
        <f t="shared" si="0"/>
        <v>4.0754537229095826E-2</v>
      </c>
      <c r="G16" s="155">
        <f t="shared" si="3"/>
        <v>0.15141622264290683</v>
      </c>
      <c r="H16" s="150">
        <v>482</v>
      </c>
      <c r="I16" s="63">
        <f t="shared" si="4"/>
        <v>257.01865145228214</v>
      </c>
      <c r="J16" s="61">
        <v>67</v>
      </c>
      <c r="K16" s="28">
        <f t="shared" si="1"/>
        <v>0.13900414937759337</v>
      </c>
      <c r="L16" s="46">
        <f t="shared" si="5"/>
        <v>67</v>
      </c>
      <c r="M16" s="172">
        <f t="shared" si="2"/>
        <v>0.13900414937759337</v>
      </c>
      <c r="N16" s="247">
        <v>23001.21</v>
      </c>
      <c r="O16" s="89">
        <f t="shared" si="6"/>
        <v>0.18566883153207714</v>
      </c>
      <c r="P16" s="247">
        <v>15474.91</v>
      </c>
      <c r="Q16" s="89">
        <f t="shared" si="7"/>
        <v>0.12491553521593238</v>
      </c>
      <c r="R16" s="130">
        <v>5665.8</v>
      </c>
      <c r="S16" s="9"/>
      <c r="V16" s="238"/>
    </row>
    <row r="17" spans="1:19" ht="15.6" customHeight="1" x14ac:dyDescent="0.3">
      <c r="A17" s="251" t="s">
        <v>28</v>
      </c>
      <c r="B17" s="200">
        <f>'19 Oct - 25 Oct 2020'!D17</f>
        <v>179614.8</v>
      </c>
      <c r="C17" s="73">
        <v>214868.5</v>
      </c>
      <c r="D17" s="145">
        <v>194764.01</v>
      </c>
      <c r="E17" s="130">
        <v>22891</v>
      </c>
      <c r="F17" s="163">
        <f t="shared" si="0"/>
        <v>-9.3566483686533808E-2</v>
      </c>
      <c r="G17" s="155">
        <f t="shared" si="3"/>
        <v>8.4342771308377834E-2</v>
      </c>
      <c r="H17" s="150">
        <v>750</v>
      </c>
      <c r="I17" s="63">
        <f t="shared" si="4"/>
        <v>259.6853466666667</v>
      </c>
      <c r="J17" s="61">
        <v>152</v>
      </c>
      <c r="K17" s="28">
        <f t="shared" si="1"/>
        <v>0.20266666666666666</v>
      </c>
      <c r="L17" s="46">
        <f t="shared" si="5"/>
        <v>152</v>
      </c>
      <c r="M17" s="172">
        <f t="shared" si="2"/>
        <v>0.20266666666666666</v>
      </c>
      <c r="N17" s="247">
        <v>39565.65</v>
      </c>
      <c r="O17" s="89">
        <f t="shared" si="6"/>
        <v>0.20314661831002556</v>
      </c>
      <c r="P17" s="247">
        <v>14431.17</v>
      </c>
      <c r="Q17" s="89">
        <f t="shared" si="7"/>
        <v>7.4095670960974774E-2</v>
      </c>
      <c r="R17" s="130">
        <v>2289.8000000000002</v>
      </c>
      <c r="S17" s="9"/>
    </row>
    <row r="18" spans="1:19" ht="15.6" customHeight="1" x14ac:dyDescent="0.3">
      <c r="A18" s="198" t="s">
        <v>33</v>
      </c>
      <c r="B18" s="200">
        <f>'19 Oct - 25 Oct 2020'!D18</f>
        <v>155614.62</v>
      </c>
      <c r="C18" s="73">
        <v>185238.7</v>
      </c>
      <c r="D18" s="145">
        <v>163143.88</v>
      </c>
      <c r="E18" s="130">
        <v>22567.27</v>
      </c>
      <c r="F18" s="163">
        <f t="shared" si="0"/>
        <v>-0.11927755917095081</v>
      </c>
      <c r="G18" s="155">
        <f t="shared" si="3"/>
        <v>4.8384014304054528E-2</v>
      </c>
      <c r="H18" s="150">
        <v>634</v>
      </c>
      <c r="I18" s="63">
        <f t="shared" si="4"/>
        <v>257.32473186119876</v>
      </c>
      <c r="J18" s="61">
        <v>97</v>
      </c>
      <c r="K18" s="28">
        <f t="shared" si="1"/>
        <v>0.1529968454258675</v>
      </c>
      <c r="L18" s="46">
        <f t="shared" si="5"/>
        <v>97</v>
      </c>
      <c r="M18" s="172">
        <f t="shared" si="2"/>
        <v>0.1529968454258675</v>
      </c>
      <c r="N18" s="247">
        <v>26054.23</v>
      </c>
      <c r="O18" s="89">
        <f t="shared" si="6"/>
        <v>0.15970093392409201</v>
      </c>
      <c r="P18" s="247">
        <v>17572.37</v>
      </c>
      <c r="Q18" s="89">
        <f t="shared" si="7"/>
        <v>0.10771087459731862</v>
      </c>
      <c r="R18" s="130">
        <v>7177.97</v>
      </c>
      <c r="S18" s="9"/>
    </row>
    <row r="19" spans="1:19" ht="16.2" customHeight="1" thickBot="1" x14ac:dyDescent="0.35">
      <c r="A19" s="203" t="s">
        <v>37</v>
      </c>
      <c r="B19" s="201">
        <f>'19 Oct - 25 Oct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212">
        <v>0</v>
      </c>
      <c r="M19" s="213">
        <f t="shared" si="2"/>
        <v>0</v>
      </c>
      <c r="N19" s="248">
        <v>0</v>
      </c>
      <c r="O19" s="116" t="e">
        <f t="shared" si="6"/>
        <v>#DIV/0!</v>
      </c>
      <c r="P19" s="248">
        <v>0</v>
      </c>
      <c r="Q19" s="116" t="e">
        <f t="shared" si="7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15" priority="8" operator="equal">
      <formula>0</formula>
    </cfRule>
  </conditionalFormatting>
  <conditionalFormatting sqref="D7:E19">
    <cfRule type="cellIs" dxfId="414" priority="7" operator="equal">
      <formula>0</formula>
    </cfRule>
  </conditionalFormatting>
  <conditionalFormatting sqref="F6:R19">
    <cfRule type="cellIs" dxfId="41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V41"/>
  <sheetViews>
    <sheetView zoomScale="70" zoomScaleNormal="70" workbookViewId="0">
      <pane xSplit="1" topLeftCell="F1" activePane="topRight" state="frozen"/>
      <selection pane="topRight" activeCell="G11" sqref="G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-0.16046542223797422</v>
      </c>
      <c r="G2" s="400">
        <f>(((D4-D19-B19)-B4)/D4)</f>
        <v>-0.13286687716178289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2204956.33</v>
      </c>
      <c r="C4" s="135">
        <f>SUM(C6:C19)-C14-C19</f>
        <v>2318368.8099999996</v>
      </c>
      <c r="D4" s="142">
        <f>SUM(D6:D19)-D19</f>
        <v>1946350.7799999998</v>
      </c>
      <c r="E4" s="142">
        <f>SUM(E6:E19)-E19</f>
        <v>2231423.6399999997</v>
      </c>
      <c r="F4" s="217">
        <f t="shared" ref="F4:F19" si="0">IFERROR((SUM(D4-C4)/C4),0)</f>
        <v>-0.16046542223797422</v>
      </c>
      <c r="G4" s="217">
        <f>IFERROR((SUM(D4-B4)/D4),0)</f>
        <v>-0.13286687716178289</v>
      </c>
      <c r="H4" s="147">
        <f>SUM(H6:H19)</f>
        <v>7193</v>
      </c>
      <c r="I4" s="218">
        <f>AVERAGE(I5:I19)</f>
        <v>231.68844744163121</v>
      </c>
      <c r="J4" s="219">
        <f>SUM(J6:J19)</f>
        <v>450</v>
      </c>
      <c r="K4" s="220">
        <f t="shared" ref="K4:K19" si="1">IFERROR(J4/H4,0)</f>
        <v>6.2560823022382875E-2</v>
      </c>
      <c r="L4" s="221">
        <f>SUM(L6:L19)</f>
        <v>1446</v>
      </c>
      <c r="M4" s="222">
        <f t="shared" ref="M4:M19" si="2">IFERROR(L4/SUM(H4),0)</f>
        <v>0.20102877797859028</v>
      </c>
      <c r="N4" s="249">
        <f>SUM(N6:N19)</f>
        <v>272127.93</v>
      </c>
      <c r="O4" s="222">
        <f>SUM(N4/D4)</f>
        <v>0.13981443262760684</v>
      </c>
      <c r="P4" s="244">
        <f>SUM(P6:P19)</f>
        <v>162095.28</v>
      </c>
      <c r="Q4" s="222">
        <f>SUM(P4/D4)</f>
        <v>8.3281637444613157E-2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'26 Oct - 1 Nov 2020'!D6</f>
        <v>214590.59</v>
      </c>
      <c r="C6" s="123">
        <v>228976.77</v>
      </c>
      <c r="D6" s="197">
        <v>189591.76</v>
      </c>
      <c r="E6" s="254">
        <v>224608.94</v>
      </c>
      <c r="F6" s="162">
        <f t="shared" si="0"/>
        <v>-0.17200439153718511</v>
      </c>
      <c r="G6" s="154">
        <f t="shared" ref="G6:G19" si="3">IFERROR((SUM(D6-B6)/B6),0)</f>
        <v>-0.11649546235927674</v>
      </c>
      <c r="H6" s="149">
        <v>630</v>
      </c>
      <c r="I6" s="124">
        <f t="shared" ref="I6:I19" si="4">IFERROR(D6/H6,0)</f>
        <v>300.9393015873016</v>
      </c>
      <c r="J6" s="125">
        <v>44</v>
      </c>
      <c r="K6" s="126">
        <f t="shared" si="1"/>
        <v>6.9841269841269843E-2</v>
      </c>
      <c r="L6" s="46">
        <f>J6+'26 Oct - 1 Nov 2020'!J6</f>
        <v>121</v>
      </c>
      <c r="M6" s="171">
        <f t="shared" si="2"/>
        <v>0.19206349206349208</v>
      </c>
      <c r="N6" s="246">
        <v>44041.96</v>
      </c>
      <c r="O6" s="128">
        <f t="shared" ref="O6:O19" si="5">SUM(N6/D6)</f>
        <v>0.23229891425661114</v>
      </c>
      <c r="P6" s="247">
        <v>373.61</v>
      </c>
      <c r="Q6" s="128">
        <f t="shared" ref="Q6:Q19" si="6">SUM(P6/D6)</f>
        <v>1.9706025198563482E-3</v>
      </c>
      <c r="R6" s="129">
        <v>6643.5</v>
      </c>
      <c r="S6" s="26"/>
    </row>
    <row r="7" spans="1:22" ht="15.6" customHeight="1" x14ac:dyDescent="0.3">
      <c r="A7" s="409" t="s">
        <v>16</v>
      </c>
      <c r="B7" s="200">
        <f>'26 Oct - 1 Nov 2020'!D7</f>
        <v>179179</v>
      </c>
      <c r="C7" s="73">
        <v>203728.44</v>
      </c>
      <c r="D7" s="145">
        <v>153723.91</v>
      </c>
      <c r="E7" s="130">
        <v>174223.89</v>
      </c>
      <c r="F7" s="163">
        <f t="shared" si="0"/>
        <v>-0.2454469783403829</v>
      </c>
      <c r="G7" s="155">
        <f t="shared" si="3"/>
        <v>-0.14206514156234826</v>
      </c>
      <c r="H7" s="150">
        <v>613</v>
      </c>
      <c r="I7" s="63">
        <f t="shared" si="4"/>
        <v>250.7730995106036</v>
      </c>
      <c r="J7" s="61">
        <v>40</v>
      </c>
      <c r="K7" s="28">
        <f t="shared" si="1"/>
        <v>6.5252854812398037E-2</v>
      </c>
      <c r="L7" s="46">
        <f>J7+'26 Oct - 1 Nov 2020'!J7</f>
        <v>115</v>
      </c>
      <c r="M7" s="172">
        <f t="shared" si="2"/>
        <v>0.18760195758564438</v>
      </c>
      <c r="N7" s="247">
        <v>17367.43</v>
      </c>
      <c r="O7" s="89">
        <f t="shared" si="5"/>
        <v>0.11297806567631541</v>
      </c>
      <c r="P7" s="247">
        <v>12824.39</v>
      </c>
      <c r="Q7" s="89">
        <f t="shared" si="6"/>
        <v>8.3424823113073296E-2</v>
      </c>
      <c r="R7" s="130">
        <v>10540.3</v>
      </c>
      <c r="S7" s="26"/>
    </row>
    <row r="8" spans="1:22" ht="15.6" customHeight="1" x14ac:dyDescent="0.3">
      <c r="A8" s="409" t="s">
        <v>17</v>
      </c>
      <c r="B8" s="200">
        <f>'26 Oct - 1 Nov 2020'!D8</f>
        <v>124514.14</v>
      </c>
      <c r="C8" s="73">
        <v>108699.37</v>
      </c>
      <c r="D8" s="145">
        <v>101357.56</v>
      </c>
      <c r="E8" s="130">
        <v>114316.88</v>
      </c>
      <c r="F8" s="163">
        <f t="shared" si="0"/>
        <v>-6.7542341781741677E-2</v>
      </c>
      <c r="G8" s="155">
        <f t="shared" si="3"/>
        <v>-0.18597550446880975</v>
      </c>
      <c r="H8" s="150">
        <v>392</v>
      </c>
      <c r="I8" s="63">
        <f t="shared" si="4"/>
        <v>258.56520408163266</v>
      </c>
      <c r="J8" s="61">
        <v>29</v>
      </c>
      <c r="K8" s="28">
        <f t="shared" si="1"/>
        <v>7.3979591836734693E-2</v>
      </c>
      <c r="L8" s="46">
        <f>J8+'26 Oct - 1 Nov 2020'!J8</f>
        <v>126</v>
      </c>
      <c r="M8" s="172">
        <f t="shared" si="2"/>
        <v>0.32142857142857145</v>
      </c>
      <c r="N8" s="247">
        <v>26407.64</v>
      </c>
      <c r="O8" s="89">
        <f t="shared" si="5"/>
        <v>0.26053942103578659</v>
      </c>
      <c r="P8" s="247">
        <v>12375.96</v>
      </c>
      <c r="Q8" s="89">
        <f t="shared" si="6"/>
        <v>0.1221019921947608</v>
      </c>
      <c r="R8" s="130">
        <v>2574.5</v>
      </c>
      <c r="S8" s="26"/>
    </row>
    <row r="9" spans="1:22" ht="15.6" customHeight="1" x14ac:dyDescent="0.3">
      <c r="A9" s="409" t="s">
        <v>18</v>
      </c>
      <c r="B9" s="200">
        <f>'26 Oct - 1 Nov 2020'!D9</f>
        <v>262313.21000000002</v>
      </c>
      <c r="C9" s="73">
        <v>318828.79999999999</v>
      </c>
      <c r="D9" s="145">
        <v>224364.68</v>
      </c>
      <c r="E9" s="130">
        <v>259369.95</v>
      </c>
      <c r="F9" s="163">
        <f t="shared" si="0"/>
        <v>-0.29628477728486258</v>
      </c>
      <c r="G9" s="155">
        <f t="shared" si="3"/>
        <v>-0.14466877211406937</v>
      </c>
      <c r="H9" s="150">
        <v>790</v>
      </c>
      <c r="I9" s="63">
        <f t="shared" si="4"/>
        <v>284.00592405063293</v>
      </c>
      <c r="J9" s="61">
        <v>68</v>
      </c>
      <c r="K9" s="28">
        <f t="shared" si="1"/>
        <v>8.6075949367088608E-2</v>
      </c>
      <c r="L9" s="46">
        <f>J9+'26 Oct - 1 Nov 2020'!J9</f>
        <v>177</v>
      </c>
      <c r="M9" s="172">
        <f t="shared" si="2"/>
        <v>0.22405063291139241</v>
      </c>
      <c r="N9" s="247">
        <v>15737.43</v>
      </c>
      <c r="O9" s="89">
        <f t="shared" si="5"/>
        <v>7.0142189938273716E-2</v>
      </c>
      <c r="P9" s="247">
        <v>9334.7000000000007</v>
      </c>
      <c r="Q9" s="89">
        <f t="shared" si="6"/>
        <v>4.1605033376911203E-2</v>
      </c>
      <c r="R9" s="130">
        <v>4635.3500000000004</v>
      </c>
      <c r="S9" s="26"/>
    </row>
    <row r="10" spans="1:22" ht="15.6" customHeight="1" x14ac:dyDescent="0.3">
      <c r="A10" s="411" t="s">
        <v>20</v>
      </c>
      <c r="B10" s="200">
        <f>'26 Oct - 1 Nov 2020'!D10</f>
        <v>126652.18</v>
      </c>
      <c r="C10" s="73">
        <v>132983.03</v>
      </c>
      <c r="D10" s="145">
        <v>122526.09</v>
      </c>
      <c r="E10" s="130">
        <v>138279.26999999999</v>
      </c>
      <c r="F10" s="163">
        <f t="shared" si="0"/>
        <v>-7.8633642202317111E-2</v>
      </c>
      <c r="G10" s="155">
        <f t="shared" si="3"/>
        <v>-3.2578120645061118E-2</v>
      </c>
      <c r="H10" s="150">
        <v>461</v>
      </c>
      <c r="I10" s="63">
        <f t="shared" si="4"/>
        <v>265.78327548806942</v>
      </c>
      <c r="J10" s="61">
        <v>55</v>
      </c>
      <c r="K10" s="28">
        <f t="shared" si="1"/>
        <v>0.1193058568329718</v>
      </c>
      <c r="L10" s="46">
        <f>J10+'26 Oct - 1 Nov 2020'!J10</f>
        <v>159</v>
      </c>
      <c r="M10" s="172">
        <f t="shared" si="2"/>
        <v>0.34490238611713664</v>
      </c>
      <c r="N10" s="247">
        <v>29257.96</v>
      </c>
      <c r="O10" s="89">
        <f t="shared" si="5"/>
        <v>0.23878963247745846</v>
      </c>
      <c r="P10" s="247">
        <v>23318.23</v>
      </c>
      <c r="Q10" s="89">
        <f t="shared" si="6"/>
        <v>0.19031236530929863</v>
      </c>
      <c r="R10" s="130">
        <v>3413.68</v>
      </c>
      <c r="S10" s="26"/>
    </row>
    <row r="11" spans="1:22" ht="15.6" customHeight="1" x14ac:dyDescent="0.3">
      <c r="A11" s="409" t="s">
        <v>21</v>
      </c>
      <c r="B11" s="200">
        <f>'26 Oct - 1 Nov 2020'!D11</f>
        <v>261185.64</v>
      </c>
      <c r="C11" s="73">
        <v>308365.96000000002</v>
      </c>
      <c r="D11" s="145">
        <v>268731.33</v>
      </c>
      <c r="E11" s="130">
        <v>300532.78999999998</v>
      </c>
      <c r="F11" s="163">
        <f t="shared" si="0"/>
        <v>-0.12853114526648793</v>
      </c>
      <c r="G11" s="155">
        <f t="shared" si="3"/>
        <v>2.8890141127207461E-2</v>
      </c>
      <c r="H11" s="150">
        <v>1010</v>
      </c>
      <c r="I11" s="63">
        <f t="shared" si="4"/>
        <v>266.07062376237627</v>
      </c>
      <c r="J11" s="61">
        <v>51</v>
      </c>
      <c r="K11" s="28">
        <f t="shared" si="1"/>
        <v>5.0495049504950498E-2</v>
      </c>
      <c r="L11" s="46">
        <f>J11+'26 Oct - 1 Nov 2020'!J11</f>
        <v>153</v>
      </c>
      <c r="M11" s="172">
        <f t="shared" si="2"/>
        <v>0.15148514851485148</v>
      </c>
      <c r="N11" s="247">
        <v>39435.82</v>
      </c>
      <c r="O11" s="89">
        <f t="shared" si="5"/>
        <v>0.1467481294421458</v>
      </c>
      <c r="P11" s="247">
        <v>24450.43</v>
      </c>
      <c r="Q11" s="89">
        <f t="shared" si="6"/>
        <v>9.0984664869555767E-2</v>
      </c>
      <c r="R11" s="130">
        <v>14884.43</v>
      </c>
      <c r="S11" s="26"/>
    </row>
    <row r="12" spans="1:22" ht="15.6" customHeight="1" x14ac:dyDescent="0.3">
      <c r="A12" s="198" t="s">
        <v>22</v>
      </c>
      <c r="B12" s="200">
        <f>'26 Oct - 1 Nov 2020'!D12</f>
        <v>102439.49</v>
      </c>
      <c r="C12" s="73">
        <v>146753.75</v>
      </c>
      <c r="D12" s="145">
        <v>106610.16</v>
      </c>
      <c r="E12" s="130">
        <v>122431</v>
      </c>
      <c r="F12" s="163">
        <f t="shared" si="0"/>
        <v>-0.27354387877652186</v>
      </c>
      <c r="G12" s="155">
        <f t="shared" si="3"/>
        <v>4.0713498280789941E-2</v>
      </c>
      <c r="H12" s="150">
        <v>404</v>
      </c>
      <c r="I12" s="63">
        <f t="shared" si="4"/>
        <v>263.88653465346533</v>
      </c>
      <c r="J12" s="61">
        <v>15</v>
      </c>
      <c r="K12" s="28">
        <f t="shared" si="1"/>
        <v>3.7128712871287127E-2</v>
      </c>
      <c r="L12" s="46">
        <f>J12+'26 Oct - 1 Nov 2020'!J12</f>
        <v>36</v>
      </c>
      <c r="M12" s="172">
        <f t="shared" si="2"/>
        <v>8.9108910891089105E-2</v>
      </c>
      <c r="N12" s="247">
        <v>14601.13</v>
      </c>
      <c r="O12" s="89">
        <f t="shared" si="5"/>
        <v>0.13695814732854728</v>
      </c>
      <c r="P12" s="247">
        <v>6241.52</v>
      </c>
      <c r="Q12" s="89">
        <f t="shared" si="6"/>
        <v>5.8545264353791426E-2</v>
      </c>
      <c r="R12" s="130">
        <v>9993.25</v>
      </c>
      <c r="S12" s="26"/>
    </row>
    <row r="13" spans="1:22" ht="15.6" customHeight="1" x14ac:dyDescent="0.3">
      <c r="A13" s="198" t="s">
        <v>23</v>
      </c>
      <c r="B13" s="200">
        <f>'26 Oct - 1 Nov 2020'!D13</f>
        <v>195768.86</v>
      </c>
      <c r="C13" s="73">
        <v>215493.07</v>
      </c>
      <c r="D13" s="145">
        <v>181854.77</v>
      </c>
      <c r="E13" s="130">
        <v>207874.04</v>
      </c>
      <c r="F13" s="163">
        <f t="shared" si="0"/>
        <v>-0.1560992193391649</v>
      </c>
      <c r="G13" s="155">
        <f t="shared" si="3"/>
        <v>-7.1074071739499312E-2</v>
      </c>
      <c r="H13" s="150">
        <v>722</v>
      </c>
      <c r="I13" s="63">
        <f t="shared" si="4"/>
        <v>251.87641274238226</v>
      </c>
      <c r="J13" s="61">
        <v>36</v>
      </c>
      <c r="K13" s="28">
        <f t="shared" si="1"/>
        <v>4.9861495844875349E-2</v>
      </c>
      <c r="L13" s="46">
        <f>J13+'26 Oct - 1 Nov 2020'!J13</f>
        <v>131</v>
      </c>
      <c r="M13" s="172">
        <f t="shared" si="2"/>
        <v>0.18144044321329639</v>
      </c>
      <c r="N13" s="247">
        <v>21655.65</v>
      </c>
      <c r="O13" s="89">
        <f t="shared" si="5"/>
        <v>0.11908211151129004</v>
      </c>
      <c r="P13" s="247">
        <v>22450.35</v>
      </c>
      <c r="Q13" s="89">
        <f t="shared" si="6"/>
        <v>0.12345208212025453</v>
      </c>
      <c r="R13" s="130">
        <v>8225.5</v>
      </c>
      <c r="S13" s="26"/>
    </row>
    <row r="14" spans="1:22" ht="15.6" hidden="1" customHeight="1" x14ac:dyDescent="0.3">
      <c r="A14" s="198" t="s">
        <v>24</v>
      </c>
      <c r="B14" s="200">
        <f>'26 Oct - 1 Nov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J14+'26 Oct - 1 Nov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'26 Oct - 1 Nov 2020'!D15</f>
        <v>256522.34</v>
      </c>
      <c r="C15" s="73">
        <v>165767.19</v>
      </c>
      <c r="D15" s="145">
        <v>165659.22</v>
      </c>
      <c r="E15" s="130">
        <v>196036.14</v>
      </c>
      <c r="F15" s="163">
        <f t="shared" si="0"/>
        <v>-6.5133516469695341E-4</v>
      </c>
      <c r="G15" s="155">
        <f t="shared" si="3"/>
        <v>-0.35421133301684365</v>
      </c>
      <c r="H15" s="150">
        <v>581</v>
      </c>
      <c r="I15" s="63">
        <f t="shared" si="4"/>
        <v>285.1277452667814</v>
      </c>
      <c r="J15" s="61">
        <v>0</v>
      </c>
      <c r="K15" s="28">
        <f t="shared" si="1"/>
        <v>0</v>
      </c>
      <c r="L15" s="46">
        <f>J15+'26 Oct - 1 Nov 2020'!J15</f>
        <v>0</v>
      </c>
      <c r="M15" s="172">
        <f t="shared" si="2"/>
        <v>0</v>
      </c>
      <c r="N15" s="247">
        <v>0</v>
      </c>
      <c r="O15" s="89">
        <f t="shared" si="5"/>
        <v>0</v>
      </c>
      <c r="P15" s="247">
        <v>16527.830000000002</v>
      </c>
      <c r="Q15" s="89">
        <f t="shared" si="6"/>
        <v>9.9770058074642634E-2</v>
      </c>
      <c r="R15" s="130">
        <v>3053</v>
      </c>
      <c r="S15" s="9"/>
    </row>
    <row r="16" spans="1:22" ht="15.6" customHeight="1" x14ac:dyDescent="0.3">
      <c r="A16" s="198" t="s">
        <v>27</v>
      </c>
      <c r="B16" s="200">
        <f>'26 Oct - 1 Nov 2020'!D16</f>
        <v>123882.99</v>
      </c>
      <c r="C16" s="73">
        <v>122700.03</v>
      </c>
      <c r="D16" s="145">
        <v>117037.13</v>
      </c>
      <c r="E16" s="130">
        <v>133398.29999999999</v>
      </c>
      <c r="F16" s="163">
        <f t="shared" si="0"/>
        <v>-4.6152392953775108E-2</v>
      </c>
      <c r="G16" s="155">
        <f t="shared" si="3"/>
        <v>-5.5260693982281187E-2</v>
      </c>
      <c r="H16" s="150">
        <v>420</v>
      </c>
      <c r="I16" s="63">
        <f t="shared" si="4"/>
        <v>278.65983333333332</v>
      </c>
      <c r="J16" s="61">
        <v>24</v>
      </c>
      <c r="K16" s="28">
        <f t="shared" si="1"/>
        <v>5.7142857142857141E-2</v>
      </c>
      <c r="L16" s="46">
        <f>J16+'26 Oct - 1 Nov 2020'!J16</f>
        <v>91</v>
      </c>
      <c r="M16" s="172">
        <f t="shared" si="2"/>
        <v>0.21666666666666667</v>
      </c>
      <c r="N16" s="247">
        <v>14522.43</v>
      </c>
      <c r="O16" s="89">
        <f t="shared" si="5"/>
        <v>0.12408395523711151</v>
      </c>
      <c r="P16" s="247">
        <v>13337.91</v>
      </c>
      <c r="Q16" s="89">
        <f t="shared" si="6"/>
        <v>0.1139630645419962</v>
      </c>
      <c r="R16" s="130">
        <v>4107.5</v>
      </c>
      <c r="S16" s="9"/>
      <c r="V16" s="238"/>
    </row>
    <row r="17" spans="1:19" ht="15.6" customHeight="1" x14ac:dyDescent="0.3">
      <c r="A17" s="251" t="s">
        <v>28</v>
      </c>
      <c r="B17" s="200">
        <f>'26 Oct - 1 Nov 2020'!D17</f>
        <v>194764.01</v>
      </c>
      <c r="C17" s="73">
        <v>201597.1</v>
      </c>
      <c r="D17" s="145">
        <v>175289.7</v>
      </c>
      <c r="E17" s="130">
        <v>198180.7</v>
      </c>
      <c r="F17" s="163">
        <f t="shared" si="0"/>
        <v>-0.13049493271480589</v>
      </c>
      <c r="G17" s="155">
        <f t="shared" si="3"/>
        <v>-9.9989263930230221E-2</v>
      </c>
      <c r="H17" s="150">
        <v>648</v>
      </c>
      <c r="I17" s="63">
        <f t="shared" si="4"/>
        <v>270.50879629629634</v>
      </c>
      <c r="J17" s="61">
        <v>41</v>
      </c>
      <c r="K17" s="28">
        <f t="shared" si="1"/>
        <v>6.3271604938271608E-2</v>
      </c>
      <c r="L17" s="46">
        <f>J17+'26 Oct - 1 Nov 2020'!J17</f>
        <v>193</v>
      </c>
      <c r="M17" s="172">
        <f t="shared" si="2"/>
        <v>0.2978395061728395</v>
      </c>
      <c r="N17" s="247">
        <v>35946.400000000001</v>
      </c>
      <c r="O17" s="89">
        <f t="shared" si="5"/>
        <v>0.20506852370675516</v>
      </c>
      <c r="P17" s="247">
        <v>10728.57</v>
      </c>
      <c r="Q17" s="89">
        <f t="shared" si="6"/>
        <v>6.1204794120818272E-2</v>
      </c>
      <c r="R17" s="130">
        <v>1553</v>
      </c>
      <c r="S17" s="9"/>
    </row>
    <row r="18" spans="1:19" ht="15.6" customHeight="1" x14ac:dyDescent="0.3">
      <c r="A18" s="198" t="s">
        <v>33</v>
      </c>
      <c r="B18" s="200">
        <f>'26 Oct - 1 Nov 2020'!D18</f>
        <v>163143.88</v>
      </c>
      <c r="C18" s="73">
        <v>164475.29999999999</v>
      </c>
      <c r="D18" s="145">
        <v>139604.47</v>
      </c>
      <c r="E18" s="130">
        <v>162171.74</v>
      </c>
      <c r="F18" s="163">
        <f t="shared" si="0"/>
        <v>-0.15121316088190742</v>
      </c>
      <c r="G18" s="155">
        <f t="shared" si="3"/>
        <v>-0.14428619694468467</v>
      </c>
      <c r="H18" s="150">
        <v>522</v>
      </c>
      <c r="I18" s="63">
        <f t="shared" si="4"/>
        <v>267.44151340996171</v>
      </c>
      <c r="J18" s="61">
        <v>47</v>
      </c>
      <c r="K18" s="28">
        <f t="shared" si="1"/>
        <v>9.0038314176245207E-2</v>
      </c>
      <c r="L18" s="46">
        <f>J18+'26 Oct - 1 Nov 2020'!J18</f>
        <v>144</v>
      </c>
      <c r="M18" s="172">
        <f t="shared" si="2"/>
        <v>0.27586206896551724</v>
      </c>
      <c r="N18" s="247">
        <v>13154.08</v>
      </c>
      <c r="O18" s="89">
        <f t="shared" si="5"/>
        <v>9.4223917042197861E-2</v>
      </c>
      <c r="P18" s="247">
        <v>10131.780000000001</v>
      </c>
      <c r="Q18" s="89">
        <f t="shared" si="6"/>
        <v>7.2574896778018649E-2</v>
      </c>
      <c r="R18" s="130">
        <v>3961.06</v>
      </c>
      <c r="S18" s="9"/>
    </row>
    <row r="19" spans="1:19" ht="16.2" customHeight="1" thickBot="1" x14ac:dyDescent="0.35">
      <c r="A19" s="203" t="s">
        <v>37</v>
      </c>
      <c r="B19" s="201">
        <f>'26 Oct - 1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46">
        <f>J19+'26 Oct - 1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12" priority="8" operator="equal">
      <formula>0</formula>
    </cfRule>
  </conditionalFormatting>
  <conditionalFormatting sqref="D7:E19">
    <cfRule type="cellIs" dxfId="411" priority="7" operator="equal">
      <formula>0</formula>
    </cfRule>
  </conditionalFormatting>
  <conditionalFormatting sqref="F6:R19">
    <cfRule type="cellIs" dxfId="41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V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-0.21387557330496265</v>
      </c>
      <c r="G2" s="400">
        <f>(((D4-D19-B19)-B4)/D4)</f>
        <v>-5.541070162976891E-2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1946350.7799999998</v>
      </c>
      <c r="C4" s="135">
        <f>SUM(C6:C19)-C14-C19</f>
        <v>2345893.7000000002</v>
      </c>
      <c r="D4" s="142">
        <f>SUM(D6:D19)-D19</f>
        <v>1844164.34</v>
      </c>
      <c r="E4" s="142">
        <f>SUM(E6:E19)-E19</f>
        <v>4075587.9799999995</v>
      </c>
      <c r="F4" s="217">
        <f t="shared" ref="F4:F19" si="0">IFERROR((SUM(D4-C4)/C4),0)</f>
        <v>-0.21387557330496265</v>
      </c>
      <c r="G4" s="217">
        <f>IFERROR((SUM(D4-B4)/D4),0)</f>
        <v>-5.541070162976891E-2</v>
      </c>
      <c r="H4" s="147">
        <f>SUM(H6:H19)</f>
        <v>6953</v>
      </c>
      <c r="I4" s="218">
        <f>AVERAGE(I5:I19)</f>
        <v>227.38858649053614</v>
      </c>
      <c r="J4" s="219">
        <f>SUM(J6:J19)</f>
        <v>418</v>
      </c>
      <c r="K4" s="220">
        <f t="shared" ref="K4:K19" si="1">IFERROR(J4/H4,0)</f>
        <v>6.0117934704444126E-2</v>
      </c>
      <c r="L4" s="221">
        <f>SUM(L6:L19)</f>
        <v>868</v>
      </c>
      <c r="M4" s="222">
        <f t="shared" ref="M4:M19" si="2">IFERROR(L4/SUM(H4),0)</f>
        <v>0.12483819933841507</v>
      </c>
      <c r="N4" s="249">
        <f>SUM(N6:N19)</f>
        <v>268624.56999999995</v>
      </c>
      <c r="O4" s="222">
        <f>SUM(N4/D4)</f>
        <v>0.14566194789342904</v>
      </c>
      <c r="P4" s="244">
        <f>SUM(P6:P19)</f>
        <v>171981.04000000004</v>
      </c>
      <c r="Q4" s="222">
        <f>SUM(P4/D4)</f>
        <v>9.3256894881721897E-2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'2 - 8 Nov 2020'!D6</f>
        <v>189591.76</v>
      </c>
      <c r="C6" s="123">
        <v>259568.58</v>
      </c>
      <c r="D6" s="197">
        <v>172666.79</v>
      </c>
      <c r="E6" s="254">
        <v>397275.73</v>
      </c>
      <c r="F6" s="162">
        <f t="shared" si="0"/>
        <v>-0.33479317874297415</v>
      </c>
      <c r="G6" s="154">
        <f t="shared" ref="G6:G19" si="3">IFERROR((SUM(D6-B6)/B6),0)</f>
        <v>-8.9270599101986287E-2</v>
      </c>
      <c r="H6" s="149">
        <v>586</v>
      </c>
      <c r="I6" s="124">
        <f t="shared" ref="I6:I19" si="4">IFERROR(D6/H6,0)</f>
        <v>294.6532252559727</v>
      </c>
      <c r="J6" s="125">
        <v>38</v>
      </c>
      <c r="K6" s="126">
        <f t="shared" si="1"/>
        <v>6.4846416382252553E-2</v>
      </c>
      <c r="L6" s="46">
        <f>J6+'2 - 8 Nov 2020'!J6</f>
        <v>82</v>
      </c>
      <c r="M6" s="171">
        <f t="shared" si="2"/>
        <v>0.13993174061433447</v>
      </c>
      <c r="N6" s="246">
        <v>28098.39</v>
      </c>
      <c r="O6" s="128">
        <f t="shared" ref="O6:O19" si="5">SUM(N6/D6)</f>
        <v>0.16273187217993684</v>
      </c>
      <c r="P6" s="247">
        <v>120</v>
      </c>
      <c r="Q6" s="128">
        <f t="shared" ref="Q6:Q19" si="6">SUM(P6/D6)</f>
        <v>6.9498019856626737E-4</v>
      </c>
      <c r="R6" s="129">
        <v>8280.5</v>
      </c>
      <c r="S6" s="26"/>
    </row>
    <row r="7" spans="1:22" ht="15.6" customHeight="1" x14ac:dyDescent="0.3">
      <c r="A7" s="409" t="s">
        <v>16</v>
      </c>
      <c r="B7" s="200">
        <f>'2 - 8 Nov 2020'!D7</f>
        <v>153723.91</v>
      </c>
      <c r="C7" s="73">
        <v>209028.31</v>
      </c>
      <c r="D7" s="145">
        <v>183294.98</v>
      </c>
      <c r="E7" s="130">
        <v>357518.87</v>
      </c>
      <c r="F7" s="163">
        <f t="shared" si="0"/>
        <v>-0.12310930514627415</v>
      </c>
      <c r="G7" s="155">
        <f t="shared" si="3"/>
        <v>0.19236480518873092</v>
      </c>
      <c r="H7" s="150">
        <v>678</v>
      </c>
      <c r="I7" s="63">
        <f t="shared" si="4"/>
        <v>270.34657817109144</v>
      </c>
      <c r="J7" s="61">
        <v>37</v>
      </c>
      <c r="K7" s="28">
        <f t="shared" si="1"/>
        <v>5.4572271386430678E-2</v>
      </c>
      <c r="L7" s="46">
        <f>J7+'2 - 8 Nov 2020'!J7</f>
        <v>77</v>
      </c>
      <c r="M7" s="172">
        <f t="shared" si="2"/>
        <v>0.11356932153392331</v>
      </c>
      <c r="N7" s="247">
        <v>22109</v>
      </c>
      <c r="O7" s="89">
        <f t="shared" si="5"/>
        <v>0.12061977911233575</v>
      </c>
      <c r="P7" s="247">
        <v>12020</v>
      </c>
      <c r="Q7" s="89">
        <f t="shared" si="6"/>
        <v>6.5577355146332977E-2</v>
      </c>
      <c r="R7" s="130">
        <v>11384.6</v>
      </c>
      <c r="S7" s="26"/>
    </row>
    <row r="8" spans="1:22" ht="15.6" customHeight="1" x14ac:dyDescent="0.3">
      <c r="A8" s="409" t="s">
        <v>17</v>
      </c>
      <c r="B8" s="200">
        <f>'2 - 8 Nov 2020'!D8</f>
        <v>101357.56</v>
      </c>
      <c r="C8" s="73">
        <v>101423.55</v>
      </c>
      <c r="D8" s="145">
        <v>87639.38</v>
      </c>
      <c r="E8" s="130">
        <v>201956.26</v>
      </c>
      <c r="F8" s="163">
        <f t="shared" si="0"/>
        <v>-0.13590699595902528</v>
      </c>
      <c r="G8" s="155">
        <f t="shared" si="3"/>
        <v>-0.13534441831472654</v>
      </c>
      <c r="H8" s="150">
        <v>378</v>
      </c>
      <c r="I8" s="63">
        <f t="shared" si="4"/>
        <v>231.85021164021165</v>
      </c>
      <c r="J8" s="61">
        <v>35</v>
      </c>
      <c r="K8" s="28">
        <f t="shared" si="1"/>
        <v>9.2592592592592587E-2</v>
      </c>
      <c r="L8" s="46">
        <f>J8+'2 - 8 Nov 2020'!J8</f>
        <v>64</v>
      </c>
      <c r="M8" s="172">
        <f t="shared" si="2"/>
        <v>0.1693121693121693</v>
      </c>
      <c r="N8" s="247">
        <v>23000.57</v>
      </c>
      <c r="O8" s="89">
        <f t="shared" si="5"/>
        <v>0.26244560379135495</v>
      </c>
      <c r="P8" s="247">
        <v>13246.09</v>
      </c>
      <c r="Q8" s="89">
        <f t="shared" si="6"/>
        <v>0.15114312766703736</v>
      </c>
      <c r="R8" s="130">
        <v>3039.5</v>
      </c>
      <c r="S8" s="26"/>
    </row>
    <row r="9" spans="1:22" ht="15.6" customHeight="1" x14ac:dyDescent="0.3">
      <c r="A9" s="409" t="s">
        <v>18</v>
      </c>
      <c r="B9" s="200">
        <f>'2 - 8 Nov 2020'!D9</f>
        <v>224364.68</v>
      </c>
      <c r="C9" s="73">
        <v>300109.68</v>
      </c>
      <c r="D9" s="145">
        <v>192269.09</v>
      </c>
      <c r="E9" s="130">
        <v>451639.03999999998</v>
      </c>
      <c r="F9" s="163">
        <f t="shared" si="0"/>
        <v>-0.35933725963121216</v>
      </c>
      <c r="G9" s="155">
        <f t="shared" si="3"/>
        <v>-0.14305099180494896</v>
      </c>
      <c r="H9" s="150">
        <v>771</v>
      </c>
      <c r="I9" s="63">
        <f t="shared" si="4"/>
        <v>249.37625162127108</v>
      </c>
      <c r="J9" s="61">
        <v>54</v>
      </c>
      <c r="K9" s="28">
        <f t="shared" si="1"/>
        <v>7.0038910505836577E-2</v>
      </c>
      <c r="L9" s="46">
        <f>J9+'2 - 8 Nov 2020'!J9</f>
        <v>122</v>
      </c>
      <c r="M9" s="172">
        <f t="shared" si="2"/>
        <v>0.15823605706874189</v>
      </c>
      <c r="N9" s="247">
        <v>13931.7</v>
      </c>
      <c r="O9" s="89">
        <f t="shared" si="5"/>
        <v>7.245938491725322E-2</v>
      </c>
      <c r="P9" s="247">
        <v>11704.05</v>
      </c>
      <c r="Q9" s="89">
        <f t="shared" si="6"/>
        <v>6.0873279215083398E-2</v>
      </c>
      <c r="R9" s="130">
        <v>4717.5</v>
      </c>
      <c r="S9" s="26"/>
    </row>
    <row r="10" spans="1:22" ht="15.6" customHeight="1" x14ac:dyDescent="0.3">
      <c r="A10" s="411" t="s">
        <v>20</v>
      </c>
      <c r="B10" s="200">
        <f>'2 - 8 Nov 2020'!D10</f>
        <v>122526.09</v>
      </c>
      <c r="C10" s="73">
        <v>137768.23000000001</v>
      </c>
      <c r="D10" s="145">
        <v>127707.36</v>
      </c>
      <c r="E10" s="130">
        <v>265986.63</v>
      </c>
      <c r="F10" s="163">
        <f t="shared" si="0"/>
        <v>-7.3027504236644461E-2</v>
      </c>
      <c r="G10" s="155">
        <f t="shared" si="3"/>
        <v>4.2287075348605381E-2</v>
      </c>
      <c r="H10" s="150">
        <v>473</v>
      </c>
      <c r="I10" s="63">
        <f t="shared" si="4"/>
        <v>269.99441860465117</v>
      </c>
      <c r="J10" s="61">
        <v>37</v>
      </c>
      <c r="K10" s="28">
        <f t="shared" si="1"/>
        <v>7.8224101479915431E-2</v>
      </c>
      <c r="L10" s="46">
        <f>J10+'2 - 8 Nov 2020'!J10</f>
        <v>92</v>
      </c>
      <c r="M10" s="172">
        <f t="shared" si="2"/>
        <v>0.1945031712473573</v>
      </c>
      <c r="N10" s="247">
        <v>29548.47</v>
      </c>
      <c r="O10" s="89">
        <f t="shared" si="5"/>
        <v>0.23137640618363736</v>
      </c>
      <c r="P10" s="247">
        <v>23826.52</v>
      </c>
      <c r="Q10" s="89">
        <f t="shared" si="6"/>
        <v>0.18657123598827821</v>
      </c>
      <c r="R10" s="130">
        <v>4705.55</v>
      </c>
      <c r="S10" s="26"/>
    </row>
    <row r="11" spans="1:22" ht="15.6" customHeight="1" x14ac:dyDescent="0.3">
      <c r="A11" s="409" t="s">
        <v>21</v>
      </c>
      <c r="B11" s="200">
        <f>'2 - 8 Nov 2020'!D11</f>
        <v>268731.33</v>
      </c>
      <c r="C11" s="73">
        <v>311032.46000000002</v>
      </c>
      <c r="D11" s="145">
        <v>247480.1</v>
      </c>
      <c r="E11" s="130">
        <v>548012.89</v>
      </c>
      <c r="F11" s="163">
        <f t="shared" si="0"/>
        <v>-0.20432709820704892</v>
      </c>
      <c r="G11" s="155">
        <f t="shared" si="3"/>
        <v>-7.9079837843990905E-2</v>
      </c>
      <c r="H11" s="150">
        <v>946</v>
      </c>
      <c r="I11" s="63">
        <f t="shared" si="4"/>
        <v>261.6068710359408</v>
      </c>
      <c r="J11" s="61">
        <v>54</v>
      </c>
      <c r="K11" s="28">
        <f t="shared" si="1"/>
        <v>5.7082452431289642E-2</v>
      </c>
      <c r="L11" s="46">
        <f>J11+'2 - 8 Nov 2020'!J11</f>
        <v>105</v>
      </c>
      <c r="M11" s="172">
        <f t="shared" si="2"/>
        <v>0.11099365750528541</v>
      </c>
      <c r="N11" s="247">
        <v>37701.61</v>
      </c>
      <c r="O11" s="89">
        <f t="shared" si="5"/>
        <v>0.15234198628495785</v>
      </c>
      <c r="P11" s="247">
        <v>21344</v>
      </c>
      <c r="Q11" s="89">
        <f t="shared" si="6"/>
        <v>8.6245318310441924E-2</v>
      </c>
      <c r="R11" s="130">
        <v>12435.1</v>
      </c>
      <c r="S11" s="26"/>
    </row>
    <row r="12" spans="1:22" ht="15.6" customHeight="1" x14ac:dyDescent="0.3">
      <c r="A12" s="198" t="s">
        <v>22</v>
      </c>
      <c r="B12" s="200">
        <f>'2 - 8 Nov 2020'!D12</f>
        <v>106610.16</v>
      </c>
      <c r="C12" s="73">
        <v>143951.47</v>
      </c>
      <c r="D12" s="145">
        <v>104099.76</v>
      </c>
      <c r="E12" s="130">
        <v>226530.76</v>
      </c>
      <c r="F12" s="163">
        <f t="shared" si="0"/>
        <v>-0.27684128546933218</v>
      </c>
      <c r="G12" s="155">
        <f t="shared" si="3"/>
        <v>-2.3547474274496997E-2</v>
      </c>
      <c r="H12" s="150">
        <v>391</v>
      </c>
      <c r="I12" s="63">
        <f t="shared" si="4"/>
        <v>266.23979539641942</v>
      </c>
      <c r="J12" s="61">
        <v>19</v>
      </c>
      <c r="K12" s="28">
        <f t="shared" si="1"/>
        <v>4.859335038363171E-2</v>
      </c>
      <c r="L12" s="46">
        <f>J12+'2 - 8 Nov 2020'!J12</f>
        <v>34</v>
      </c>
      <c r="M12" s="172">
        <f t="shared" si="2"/>
        <v>8.6956521739130432E-2</v>
      </c>
      <c r="N12" s="247">
        <v>13513.91</v>
      </c>
      <c r="O12" s="89">
        <f t="shared" si="5"/>
        <v>0.12981691792565131</v>
      </c>
      <c r="P12" s="247">
        <v>8703.74</v>
      </c>
      <c r="Q12" s="89">
        <f t="shared" si="6"/>
        <v>8.3609606784876361E-2</v>
      </c>
      <c r="R12" s="130">
        <v>8044.8</v>
      </c>
      <c r="S12" s="26"/>
    </row>
    <row r="13" spans="1:22" ht="15.6" customHeight="1" x14ac:dyDescent="0.3">
      <c r="A13" s="198" t="s">
        <v>23</v>
      </c>
      <c r="B13" s="200">
        <f>'2 - 8 Nov 2020'!D13</f>
        <v>181854.77</v>
      </c>
      <c r="C13" s="73">
        <v>202568.82</v>
      </c>
      <c r="D13" s="145">
        <v>171163.5</v>
      </c>
      <c r="E13" s="130">
        <v>379037.54</v>
      </c>
      <c r="F13" s="163">
        <f t="shared" si="0"/>
        <v>-0.155035310962467</v>
      </c>
      <c r="G13" s="155">
        <f t="shared" si="3"/>
        <v>-5.8790154363286648E-2</v>
      </c>
      <c r="H13" s="150">
        <v>671</v>
      </c>
      <c r="I13" s="63">
        <f t="shared" si="4"/>
        <v>255.08718330849479</v>
      </c>
      <c r="J13" s="61">
        <v>36</v>
      </c>
      <c r="K13" s="28">
        <f t="shared" si="1"/>
        <v>5.3651266766020868E-2</v>
      </c>
      <c r="L13" s="46">
        <f>J13+'2 - 8 Nov 2020'!J13</f>
        <v>72</v>
      </c>
      <c r="M13" s="172">
        <f t="shared" si="2"/>
        <v>0.10730253353204174</v>
      </c>
      <c r="N13" s="247">
        <v>23984.3</v>
      </c>
      <c r="O13" s="89">
        <f t="shared" si="5"/>
        <v>0.1401250850794708</v>
      </c>
      <c r="P13" s="247">
        <v>24608.22</v>
      </c>
      <c r="Q13" s="89">
        <f t="shared" si="6"/>
        <v>0.14377025475641711</v>
      </c>
      <c r="R13" s="130">
        <v>6728</v>
      </c>
      <c r="S13" s="26"/>
    </row>
    <row r="14" spans="1:22" ht="15.6" hidden="1" customHeight="1" x14ac:dyDescent="0.3">
      <c r="A14" s="198" t="s">
        <v>24</v>
      </c>
      <c r="B14" s="200">
        <f>'2 - 8 Nov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'2 - 8 Nov 2020'!D15</f>
        <v>165659.22</v>
      </c>
      <c r="C15" s="73">
        <v>187730.76</v>
      </c>
      <c r="D15" s="145">
        <v>159466.45000000001</v>
      </c>
      <c r="E15" s="130">
        <v>355502.59</v>
      </c>
      <c r="F15" s="163">
        <f t="shared" si="0"/>
        <v>-0.15055769230359475</v>
      </c>
      <c r="G15" s="155">
        <f t="shared" si="3"/>
        <v>-3.7382585768543336E-2</v>
      </c>
      <c r="H15" s="150">
        <v>550</v>
      </c>
      <c r="I15" s="63">
        <f t="shared" si="4"/>
        <v>289.93900000000002</v>
      </c>
      <c r="J15" s="61">
        <v>0</v>
      </c>
      <c r="K15" s="28">
        <f t="shared" si="1"/>
        <v>0</v>
      </c>
      <c r="L15" s="46">
        <f>J15+'2 - 8 Nov 2020'!J15</f>
        <v>0</v>
      </c>
      <c r="M15" s="172">
        <f t="shared" si="2"/>
        <v>0</v>
      </c>
      <c r="N15" s="247">
        <v>0</v>
      </c>
      <c r="O15" s="89">
        <f t="shared" si="5"/>
        <v>0</v>
      </c>
      <c r="P15" s="247">
        <v>16288.78</v>
      </c>
      <c r="Q15" s="89">
        <f t="shared" si="6"/>
        <v>0.10214549831641702</v>
      </c>
      <c r="R15" s="130">
        <v>3688.3</v>
      </c>
      <c r="S15" s="9"/>
    </row>
    <row r="16" spans="1:22" ht="15.6" customHeight="1" x14ac:dyDescent="0.3">
      <c r="A16" s="198" t="s">
        <v>27</v>
      </c>
      <c r="B16" s="200">
        <f>'2 - 8 Nov 2020'!D16</f>
        <v>117037.13</v>
      </c>
      <c r="C16" s="73">
        <v>117265.60000000001</v>
      </c>
      <c r="D16" s="145">
        <v>98894.32</v>
      </c>
      <c r="E16" s="130">
        <v>232292.62</v>
      </c>
      <c r="F16" s="163">
        <f t="shared" si="0"/>
        <v>-0.15666384685704929</v>
      </c>
      <c r="G16" s="155">
        <f t="shared" si="3"/>
        <v>-0.15501755724871241</v>
      </c>
      <c r="H16" s="150">
        <v>366</v>
      </c>
      <c r="I16" s="63">
        <f t="shared" si="4"/>
        <v>270.20306010928965</v>
      </c>
      <c r="J16" s="61">
        <v>21</v>
      </c>
      <c r="K16" s="28">
        <f t="shared" si="1"/>
        <v>5.737704918032787E-2</v>
      </c>
      <c r="L16" s="46">
        <f>J16+'2 - 8 Nov 2020'!J16</f>
        <v>45</v>
      </c>
      <c r="M16" s="172">
        <f t="shared" si="2"/>
        <v>0.12295081967213115</v>
      </c>
      <c r="N16" s="247">
        <v>17868.400000000001</v>
      </c>
      <c r="O16" s="89">
        <f t="shared" si="5"/>
        <v>0.18068176210726763</v>
      </c>
      <c r="P16" s="247">
        <v>15881.48</v>
      </c>
      <c r="Q16" s="89">
        <f t="shared" si="6"/>
        <v>0.16059041611287683</v>
      </c>
      <c r="R16" s="130">
        <v>5109.3</v>
      </c>
      <c r="S16" s="9"/>
      <c r="V16" s="238"/>
    </row>
    <row r="17" spans="1:19" ht="15.6" customHeight="1" x14ac:dyDescent="0.3">
      <c r="A17" s="251" t="s">
        <v>28</v>
      </c>
      <c r="B17" s="200">
        <f>'2 - 8 Nov 2020'!D17</f>
        <v>175289.7</v>
      </c>
      <c r="C17" s="73">
        <v>210361.95</v>
      </c>
      <c r="D17" s="145">
        <v>162874.76</v>
      </c>
      <c r="E17" s="130">
        <v>361055.46</v>
      </c>
      <c r="F17" s="163">
        <f t="shared" si="0"/>
        <v>-0.22574039649280681</v>
      </c>
      <c r="G17" s="155">
        <f t="shared" si="3"/>
        <v>-7.0825268113300449E-2</v>
      </c>
      <c r="H17" s="150">
        <v>623</v>
      </c>
      <c r="I17" s="63">
        <f t="shared" si="4"/>
        <v>261.43621187800966</v>
      </c>
      <c r="J17" s="61">
        <v>43</v>
      </c>
      <c r="K17" s="28">
        <f t="shared" si="1"/>
        <v>6.9020866773675763E-2</v>
      </c>
      <c r="L17" s="46">
        <f>J17+'2 - 8 Nov 2020'!J17</f>
        <v>84</v>
      </c>
      <c r="M17" s="172">
        <f t="shared" si="2"/>
        <v>0.1348314606741573</v>
      </c>
      <c r="N17" s="247">
        <v>38123.089999999997</v>
      </c>
      <c r="O17" s="89">
        <f t="shared" si="5"/>
        <v>0.23406382916542745</v>
      </c>
      <c r="P17" s="247">
        <v>12306.55</v>
      </c>
      <c r="Q17" s="89">
        <f t="shared" si="6"/>
        <v>7.5558361528821283E-2</v>
      </c>
      <c r="R17" s="130">
        <v>3535.75</v>
      </c>
      <c r="S17" s="9"/>
    </row>
    <row r="18" spans="1:19" ht="15.6" customHeight="1" x14ac:dyDescent="0.3">
      <c r="A18" s="198" t="s">
        <v>33</v>
      </c>
      <c r="B18" s="200">
        <f>'2 - 8 Nov 2020'!D18</f>
        <v>139604.47</v>
      </c>
      <c r="C18" s="73">
        <v>165084.29</v>
      </c>
      <c r="D18" s="145">
        <v>136607.85</v>
      </c>
      <c r="E18" s="130">
        <v>298779.59000000003</v>
      </c>
      <c r="F18" s="163">
        <f t="shared" si="0"/>
        <v>-0.17249636534160823</v>
      </c>
      <c r="G18" s="155">
        <f t="shared" si="3"/>
        <v>-2.1465071999485368E-2</v>
      </c>
      <c r="H18" s="150">
        <v>520</v>
      </c>
      <c r="I18" s="63">
        <f t="shared" si="4"/>
        <v>262.70740384615385</v>
      </c>
      <c r="J18" s="61">
        <v>44</v>
      </c>
      <c r="K18" s="28">
        <f t="shared" si="1"/>
        <v>8.461538461538462E-2</v>
      </c>
      <c r="L18" s="46">
        <f>J18+'2 - 8 Nov 2020'!J18</f>
        <v>91</v>
      </c>
      <c r="M18" s="172">
        <f t="shared" si="2"/>
        <v>0.17499999999999999</v>
      </c>
      <c r="N18" s="247">
        <v>20745.13</v>
      </c>
      <c r="O18" s="89">
        <f t="shared" si="5"/>
        <v>0.15185898906980821</v>
      </c>
      <c r="P18" s="247">
        <v>11931.61</v>
      </c>
      <c r="Q18" s="89">
        <f t="shared" si="6"/>
        <v>8.7342052451597763E-2</v>
      </c>
      <c r="R18" s="130">
        <v>5074.5</v>
      </c>
      <c r="S18" s="9"/>
    </row>
    <row r="19" spans="1:19" ht="16.2" customHeight="1" thickBot="1" x14ac:dyDescent="0.35">
      <c r="A19" s="203" t="s">
        <v>37</v>
      </c>
      <c r="B19" s="201">
        <f>'2 - 8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09" priority="8" operator="equal">
      <formula>0</formula>
    </cfRule>
  </conditionalFormatting>
  <conditionalFormatting sqref="D7:E19">
    <cfRule type="cellIs" dxfId="408" priority="7" operator="equal">
      <formula>0</formula>
    </cfRule>
  </conditionalFormatting>
  <conditionalFormatting sqref="F6:R19">
    <cfRule type="cellIs" dxfId="40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V41"/>
  <sheetViews>
    <sheetView zoomScale="70" zoomScaleNormal="70" workbookViewId="0">
      <pane xSplit="1" topLeftCell="C1" activePane="topRight" state="frozen"/>
      <selection pane="topRight" activeCell="J12" sqref="J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-0.30037351402473345</v>
      </c>
      <c r="G2" s="400">
        <f>(((D4-D19-B19)-B4)/D4)</f>
        <v>-1.7944272517595141E-2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1844164.34</v>
      </c>
      <c r="C4" s="135">
        <f>SUM(C6:C19)-C14-C19</f>
        <v>2589461.0000000005</v>
      </c>
      <c r="D4" s="142">
        <f>SUM(D6:D19)-D19</f>
        <v>1811655.5</v>
      </c>
      <c r="E4" s="142">
        <f>SUM(E6:E19)-E19</f>
        <v>5890243.4900000002</v>
      </c>
      <c r="F4" s="217">
        <f t="shared" ref="F4:F19" si="0">IFERROR((SUM(D4-C4)/C4),0)</f>
        <v>-0.30037351402473345</v>
      </c>
      <c r="G4" s="217">
        <f>IFERROR((SUM(D4-B4)/D4),0)</f>
        <v>-1.7944272517595141E-2</v>
      </c>
      <c r="H4" s="147">
        <f>SUM(H6:H19)</f>
        <v>6824</v>
      </c>
      <c r="I4" s="218">
        <f>AVERAGE(I5:I19)</f>
        <v>226.85095546272365</v>
      </c>
      <c r="J4" s="219">
        <f>SUM(J6:J19)</f>
        <v>537</v>
      </c>
      <c r="K4" s="220">
        <f t="shared" ref="K4:K19" si="1">IFERROR(J4/H4,0)</f>
        <v>7.8692848769050416E-2</v>
      </c>
      <c r="L4" s="221">
        <f>SUM(L6:L19)</f>
        <v>1405</v>
      </c>
      <c r="M4" s="222">
        <f t="shared" ref="M4:M19" si="2">IFERROR(L4/SUM(H4),0)</f>
        <v>0.20589097303634232</v>
      </c>
      <c r="N4" s="249">
        <f>SUM(N6:N19)</f>
        <v>260548.78999999998</v>
      </c>
      <c r="O4" s="222">
        <f>SUM(N4/D4)</f>
        <v>0.14381806585192383</v>
      </c>
      <c r="P4" s="244">
        <f>SUM(P6:P19)</f>
        <v>183763.42</v>
      </c>
      <c r="Q4" s="222">
        <f>SUM(P4/D4)</f>
        <v>0.10143397571999754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'9 - 15 Nov 2020'!D6</f>
        <v>172666.79</v>
      </c>
      <c r="C6" s="123">
        <v>249420.07</v>
      </c>
      <c r="D6" s="197">
        <v>161283.62</v>
      </c>
      <c r="E6" s="254">
        <v>558559.35</v>
      </c>
      <c r="F6" s="162">
        <f t="shared" si="0"/>
        <v>-0.35336550903862712</v>
      </c>
      <c r="G6" s="154">
        <f t="shared" ref="G6:G19" si="3">IFERROR((SUM(D6-B6)/B6),0)</f>
        <v>-6.5925647890946557E-2</v>
      </c>
      <c r="H6" s="149">
        <v>539</v>
      </c>
      <c r="I6" s="124">
        <f t="shared" ref="I6:I19" si="4">IFERROR(D6/H6,0)</f>
        <v>299.22749536178105</v>
      </c>
      <c r="J6" s="125">
        <v>50</v>
      </c>
      <c r="K6" s="126">
        <f t="shared" si="1"/>
        <v>9.2764378478664186E-2</v>
      </c>
      <c r="L6" s="46">
        <f>J6+'2 - 8 Nov 2020'!J6+'9 - 15 Nov 2020'!J6</f>
        <v>132</v>
      </c>
      <c r="M6" s="171">
        <f t="shared" si="2"/>
        <v>0.24489795918367346</v>
      </c>
      <c r="N6" s="246">
        <v>27561.3</v>
      </c>
      <c r="O6" s="128">
        <f t="shared" ref="O6:O19" si="5">SUM(N6/D6)</f>
        <v>0.17088716138687859</v>
      </c>
      <c r="P6" s="247">
        <v>1165.04</v>
      </c>
      <c r="Q6" s="128">
        <f t="shared" ref="Q6:Q19" si="6">SUM(P6/D6)</f>
        <v>7.2235481817682417E-3</v>
      </c>
      <c r="R6" s="129">
        <v>5831.5</v>
      </c>
      <c r="S6" s="26"/>
    </row>
    <row r="7" spans="1:22" ht="15.6" customHeight="1" x14ac:dyDescent="0.3">
      <c r="A7" s="409" t="s">
        <v>16</v>
      </c>
      <c r="B7" s="200">
        <f>'9 - 15 Nov 2020'!D7</f>
        <v>183294.98</v>
      </c>
      <c r="C7" s="73">
        <v>277083.59000000003</v>
      </c>
      <c r="D7" s="145">
        <v>178938.56</v>
      </c>
      <c r="E7" s="130">
        <v>536457.43000000005</v>
      </c>
      <c r="F7" s="163">
        <f t="shared" si="0"/>
        <v>-0.35420729895985548</v>
      </c>
      <c r="G7" s="155">
        <f t="shared" si="3"/>
        <v>-2.3767263020514868E-2</v>
      </c>
      <c r="H7" s="150">
        <v>646</v>
      </c>
      <c r="I7" s="63">
        <f t="shared" si="4"/>
        <v>276.99467492260061</v>
      </c>
      <c r="J7" s="61">
        <v>71</v>
      </c>
      <c r="K7" s="28">
        <f t="shared" si="1"/>
        <v>0.10990712074303406</v>
      </c>
      <c r="L7" s="46">
        <f>J7+'2 - 8 Nov 2020'!J7+'9 - 15 Nov 2020'!J7</f>
        <v>148</v>
      </c>
      <c r="M7" s="172">
        <f t="shared" si="2"/>
        <v>0.22910216718266255</v>
      </c>
      <c r="N7" s="247">
        <v>20565.87</v>
      </c>
      <c r="O7" s="89">
        <f t="shared" si="5"/>
        <v>0.11493257797536763</v>
      </c>
      <c r="P7" s="247">
        <v>13307.74</v>
      </c>
      <c r="Q7" s="89">
        <f t="shared" si="6"/>
        <v>7.4370443128635888E-2</v>
      </c>
      <c r="R7" s="130">
        <v>12070.7</v>
      </c>
      <c r="S7" s="26"/>
    </row>
    <row r="8" spans="1:22" ht="15.6" customHeight="1" x14ac:dyDescent="0.3">
      <c r="A8" s="409" t="s">
        <v>17</v>
      </c>
      <c r="B8" s="200">
        <f>'9 - 15 Nov 2020'!D8</f>
        <v>87639.38</v>
      </c>
      <c r="C8" s="73">
        <v>126423.17</v>
      </c>
      <c r="D8" s="145">
        <v>102953.87</v>
      </c>
      <c r="E8" s="130">
        <v>304910.13</v>
      </c>
      <c r="F8" s="163">
        <f t="shared" si="0"/>
        <v>-0.1856408125187812</v>
      </c>
      <c r="G8" s="155">
        <f t="shared" si="3"/>
        <v>0.17474439002192838</v>
      </c>
      <c r="H8" s="150">
        <v>387</v>
      </c>
      <c r="I8" s="63">
        <f t="shared" si="4"/>
        <v>266.03067183462531</v>
      </c>
      <c r="J8" s="61">
        <v>41</v>
      </c>
      <c r="K8" s="28">
        <f t="shared" si="1"/>
        <v>0.10594315245478036</v>
      </c>
      <c r="L8" s="46">
        <f>J8+'2 - 8 Nov 2020'!J8+'9 - 15 Nov 2020'!J8</f>
        <v>105</v>
      </c>
      <c r="M8" s="172">
        <f t="shared" si="2"/>
        <v>0.27131782945736432</v>
      </c>
      <c r="N8" s="247">
        <v>26127.17</v>
      </c>
      <c r="O8" s="89">
        <f t="shared" si="5"/>
        <v>0.25377550159114953</v>
      </c>
      <c r="P8" s="247">
        <v>15938.83</v>
      </c>
      <c r="Q8" s="89">
        <f t="shared" si="6"/>
        <v>0.15481525852306474</v>
      </c>
      <c r="R8" s="130">
        <v>3239.1</v>
      </c>
      <c r="S8" s="26"/>
    </row>
    <row r="9" spans="1:22" ht="15.6" customHeight="1" x14ac:dyDescent="0.3">
      <c r="A9" s="409" t="s">
        <v>18</v>
      </c>
      <c r="B9" s="200">
        <f>'9 - 15 Nov 2020'!D9</f>
        <v>192269.09</v>
      </c>
      <c r="C9" s="73">
        <v>334792.28000000003</v>
      </c>
      <c r="D9" s="145">
        <v>211104.3</v>
      </c>
      <c r="E9" s="130">
        <v>662743.34</v>
      </c>
      <c r="F9" s="163">
        <f t="shared" si="0"/>
        <v>-0.36944692989933947</v>
      </c>
      <c r="G9" s="155">
        <f t="shared" si="3"/>
        <v>9.7962756259989542E-2</v>
      </c>
      <c r="H9" s="150">
        <v>794</v>
      </c>
      <c r="I9" s="63">
        <f t="shared" si="4"/>
        <v>265.87443324937027</v>
      </c>
      <c r="J9" s="61">
        <v>73</v>
      </c>
      <c r="K9" s="28">
        <f t="shared" si="1"/>
        <v>9.1939546599496227E-2</v>
      </c>
      <c r="L9" s="46">
        <f>J9+'2 - 8 Nov 2020'!J9+'9 - 15 Nov 2020'!J9</f>
        <v>195</v>
      </c>
      <c r="M9" s="172">
        <f t="shared" si="2"/>
        <v>0.2455919395465995</v>
      </c>
      <c r="N9" s="247">
        <v>15316.45</v>
      </c>
      <c r="O9" s="89">
        <f t="shared" si="5"/>
        <v>7.2553946082576246E-2</v>
      </c>
      <c r="P9" s="247">
        <v>12149.13</v>
      </c>
      <c r="Q9" s="89">
        <f t="shared" si="6"/>
        <v>5.7550367282902339E-2</v>
      </c>
      <c r="R9" s="130">
        <v>7306.9</v>
      </c>
      <c r="S9" s="26"/>
    </row>
    <row r="10" spans="1:22" ht="15.6" customHeight="1" x14ac:dyDescent="0.3">
      <c r="A10" s="411" t="s">
        <v>20</v>
      </c>
      <c r="B10" s="200">
        <f>'9 - 15 Nov 2020'!D10</f>
        <v>127707.36</v>
      </c>
      <c r="C10" s="73">
        <v>151772.76999999999</v>
      </c>
      <c r="D10" s="145">
        <v>132187.5</v>
      </c>
      <c r="E10" s="130">
        <v>398174.13</v>
      </c>
      <c r="F10" s="163">
        <f t="shared" si="0"/>
        <v>-0.1290433718775772</v>
      </c>
      <c r="G10" s="155">
        <f t="shared" si="3"/>
        <v>3.5081298368394735E-2</v>
      </c>
      <c r="H10" s="150">
        <v>500</v>
      </c>
      <c r="I10" s="63">
        <f t="shared" si="4"/>
        <v>264.375</v>
      </c>
      <c r="J10" s="61">
        <v>46</v>
      </c>
      <c r="K10" s="28">
        <f t="shared" si="1"/>
        <v>9.1999999999999998E-2</v>
      </c>
      <c r="L10" s="46">
        <f>J10+'2 - 8 Nov 2020'!J10+'9 - 15 Nov 2020'!J10</f>
        <v>138</v>
      </c>
      <c r="M10" s="172">
        <f t="shared" si="2"/>
        <v>0.27600000000000002</v>
      </c>
      <c r="N10" s="247">
        <v>27286.36</v>
      </c>
      <c r="O10" s="89">
        <f t="shared" si="5"/>
        <v>0.20642163593380616</v>
      </c>
      <c r="P10" s="247">
        <v>33506.480000000003</v>
      </c>
      <c r="Q10" s="89">
        <f t="shared" si="6"/>
        <v>0.25347691725768323</v>
      </c>
      <c r="R10" s="130">
        <v>6026.55</v>
      </c>
      <c r="S10" s="26"/>
    </row>
    <row r="11" spans="1:22" ht="15.6" customHeight="1" x14ac:dyDescent="0.3">
      <c r="A11" s="409" t="s">
        <v>21</v>
      </c>
      <c r="B11" s="200">
        <f>'9 - 15 Nov 2020'!D11</f>
        <v>247480.1</v>
      </c>
      <c r="C11" s="73">
        <v>372731.86</v>
      </c>
      <c r="D11" s="145">
        <v>240795.45</v>
      </c>
      <c r="E11" s="130">
        <v>788808.35</v>
      </c>
      <c r="F11" s="163">
        <f t="shared" si="0"/>
        <v>-0.35397137770836112</v>
      </c>
      <c r="G11" s="155">
        <f t="shared" si="3"/>
        <v>-2.7010858650857155E-2</v>
      </c>
      <c r="H11" s="150">
        <v>914</v>
      </c>
      <c r="I11" s="63">
        <f t="shared" si="4"/>
        <v>263.452352297593</v>
      </c>
      <c r="J11" s="61">
        <v>69</v>
      </c>
      <c r="K11" s="28">
        <f t="shared" si="1"/>
        <v>7.5492341356673959E-2</v>
      </c>
      <c r="L11" s="46">
        <f>J11+'2 - 8 Nov 2020'!J11+'9 - 15 Nov 2020'!J11</f>
        <v>174</v>
      </c>
      <c r="M11" s="172">
        <f t="shared" si="2"/>
        <v>0.19037199124726478</v>
      </c>
      <c r="N11" s="247">
        <v>40726.03</v>
      </c>
      <c r="O11" s="89">
        <f t="shared" si="5"/>
        <v>0.16913122735500191</v>
      </c>
      <c r="P11" s="247">
        <v>19942.689999999999</v>
      </c>
      <c r="Q11" s="89">
        <f t="shared" si="6"/>
        <v>8.2820044980085786E-2</v>
      </c>
      <c r="R11" s="130">
        <v>15985.9</v>
      </c>
      <c r="S11" s="26"/>
    </row>
    <row r="12" spans="1:22" ht="15.6" customHeight="1" x14ac:dyDescent="0.3">
      <c r="A12" s="198" t="s">
        <v>22</v>
      </c>
      <c r="B12" s="200">
        <f>'9 - 15 Nov 2020'!D12</f>
        <v>104099.76</v>
      </c>
      <c r="C12" s="73">
        <v>143504.95999999999</v>
      </c>
      <c r="D12" s="145">
        <v>91468.43</v>
      </c>
      <c r="E12" s="130">
        <v>317999.19</v>
      </c>
      <c r="F12" s="163">
        <f t="shared" si="0"/>
        <v>-0.36261136897289126</v>
      </c>
      <c r="G12" s="155">
        <f t="shared" si="3"/>
        <v>-0.1213387043351493</v>
      </c>
      <c r="H12" s="150">
        <v>384</v>
      </c>
      <c r="I12" s="63">
        <f t="shared" si="4"/>
        <v>238.19903645833332</v>
      </c>
      <c r="J12" s="61">
        <v>14</v>
      </c>
      <c r="K12" s="28">
        <f t="shared" si="1"/>
        <v>3.6458333333333336E-2</v>
      </c>
      <c r="L12" s="46">
        <f>J12+'2 - 8 Nov 2020'!J12+'9 - 15 Nov 2020'!J12</f>
        <v>48</v>
      </c>
      <c r="M12" s="172">
        <f t="shared" si="2"/>
        <v>0.125</v>
      </c>
      <c r="N12" s="247">
        <v>12078.3</v>
      </c>
      <c r="O12" s="89">
        <f t="shared" si="5"/>
        <v>0.13204883914592172</v>
      </c>
      <c r="P12" s="247">
        <v>4225.43</v>
      </c>
      <c r="Q12" s="89">
        <f t="shared" si="6"/>
        <v>4.6195501551737586E-2</v>
      </c>
      <c r="R12" s="130">
        <v>8526.5</v>
      </c>
      <c r="S12" s="26"/>
    </row>
    <row r="13" spans="1:22" ht="15.6" customHeight="1" x14ac:dyDescent="0.3">
      <c r="A13" s="198" t="s">
        <v>23</v>
      </c>
      <c r="B13" s="200">
        <f>'9 - 15 Nov 2020'!D13</f>
        <v>171163.5</v>
      </c>
      <c r="C13" s="73">
        <v>218108.55</v>
      </c>
      <c r="D13" s="145">
        <v>166631.94</v>
      </c>
      <c r="E13" s="130">
        <v>545669.48</v>
      </c>
      <c r="F13" s="163">
        <f t="shared" si="0"/>
        <v>-0.23601371885696359</v>
      </c>
      <c r="G13" s="155">
        <f t="shared" si="3"/>
        <v>-2.647503702600144E-2</v>
      </c>
      <c r="H13" s="150">
        <v>652</v>
      </c>
      <c r="I13" s="63">
        <f t="shared" si="4"/>
        <v>255.57046012269939</v>
      </c>
      <c r="J13" s="61">
        <v>57</v>
      </c>
      <c r="K13" s="28">
        <f t="shared" si="1"/>
        <v>8.7423312883435578E-2</v>
      </c>
      <c r="L13" s="46">
        <f>J13+'2 - 8 Nov 2020'!J13+'9 - 15 Nov 2020'!J13</f>
        <v>129</v>
      </c>
      <c r="M13" s="172">
        <f t="shared" si="2"/>
        <v>0.19785276073619631</v>
      </c>
      <c r="N13" s="247">
        <v>24668.45</v>
      </c>
      <c r="O13" s="89">
        <f t="shared" si="5"/>
        <v>0.14804154593651134</v>
      </c>
      <c r="P13" s="247">
        <v>22758.13</v>
      </c>
      <c r="Q13" s="89">
        <f t="shared" si="6"/>
        <v>0.13657723723314991</v>
      </c>
      <c r="R13" s="130">
        <v>6465.5</v>
      </c>
      <c r="S13" s="26"/>
    </row>
    <row r="14" spans="1:22" ht="15.6" hidden="1" customHeight="1" x14ac:dyDescent="0.3">
      <c r="A14" s="198" t="s">
        <v>24</v>
      </c>
      <c r="B14" s="200">
        <f>'9 - 15 Nov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'9 - 15 Nov 2020'!D15</f>
        <v>159466.45000000001</v>
      </c>
      <c r="C15" s="73">
        <v>203493.11</v>
      </c>
      <c r="D15" s="145">
        <v>157494.72</v>
      </c>
      <c r="E15" s="130">
        <v>512997.31</v>
      </c>
      <c r="F15" s="163">
        <f t="shared" si="0"/>
        <v>-0.22604396777856503</v>
      </c>
      <c r="G15" s="155">
        <f t="shared" si="3"/>
        <v>-1.2364544391626014E-2</v>
      </c>
      <c r="H15" s="150">
        <v>546</v>
      </c>
      <c r="I15" s="63">
        <f t="shared" si="4"/>
        <v>288.45186813186814</v>
      </c>
      <c r="J15" s="61">
        <v>0</v>
      </c>
      <c r="K15" s="28">
        <f t="shared" si="1"/>
        <v>0</v>
      </c>
      <c r="L15" s="46">
        <f>J15+'2 - 8 Nov 2020'!J15</f>
        <v>0</v>
      </c>
      <c r="M15" s="172">
        <f t="shared" si="2"/>
        <v>0</v>
      </c>
      <c r="N15" s="247">
        <v>0</v>
      </c>
      <c r="O15" s="89">
        <f t="shared" si="5"/>
        <v>0</v>
      </c>
      <c r="P15" s="247">
        <v>15768.26</v>
      </c>
      <c r="Q15" s="89">
        <f t="shared" si="6"/>
        <v>0.10011929288804094</v>
      </c>
      <c r="R15" s="130">
        <v>3262.5</v>
      </c>
      <c r="S15" s="9"/>
    </row>
    <row r="16" spans="1:22" ht="15.6" customHeight="1" x14ac:dyDescent="0.3">
      <c r="A16" s="198" t="s">
        <v>27</v>
      </c>
      <c r="B16" s="200">
        <f>'9 - 15 Nov 2020'!D16</f>
        <v>98894.32</v>
      </c>
      <c r="C16" s="73">
        <v>130233.66</v>
      </c>
      <c r="D16" s="145">
        <v>96347.74</v>
      </c>
      <c r="E16" s="130">
        <v>328640.36</v>
      </c>
      <c r="F16" s="163">
        <f t="shared" si="0"/>
        <v>-0.26019325572206137</v>
      </c>
      <c r="G16" s="155">
        <f t="shared" si="3"/>
        <v>-2.5750518331083137E-2</v>
      </c>
      <c r="H16" s="150">
        <v>376</v>
      </c>
      <c r="I16" s="63">
        <f t="shared" si="4"/>
        <v>256.24398936170212</v>
      </c>
      <c r="J16" s="61">
        <v>41</v>
      </c>
      <c r="K16" s="28">
        <f t="shared" si="1"/>
        <v>0.10904255319148937</v>
      </c>
      <c r="L16" s="46">
        <f>J16+'2 - 8 Nov 2020'!J16+'9 - 15 Nov 2020'!J16</f>
        <v>86</v>
      </c>
      <c r="M16" s="172">
        <f t="shared" si="2"/>
        <v>0.22872340425531915</v>
      </c>
      <c r="N16" s="247">
        <v>16826.47</v>
      </c>
      <c r="O16" s="89">
        <f t="shared" si="5"/>
        <v>0.17464312084538777</v>
      </c>
      <c r="P16" s="247">
        <v>17197.04</v>
      </c>
      <c r="Q16" s="89">
        <f t="shared" si="6"/>
        <v>0.17848929305451275</v>
      </c>
      <c r="R16" s="130">
        <v>6143</v>
      </c>
      <c r="S16" s="9"/>
      <c r="V16" s="238"/>
    </row>
    <row r="17" spans="1:19" ht="15.6" customHeight="1" x14ac:dyDescent="0.3">
      <c r="A17" s="251" t="s">
        <v>28</v>
      </c>
      <c r="B17" s="200">
        <f>'9 - 15 Nov 2020'!D17</f>
        <v>162874.76</v>
      </c>
      <c r="C17" s="73">
        <v>214348.71</v>
      </c>
      <c r="D17" s="145">
        <v>144792.57999999999</v>
      </c>
      <c r="E17" s="130">
        <v>508848.04</v>
      </c>
      <c r="F17" s="163">
        <f t="shared" si="0"/>
        <v>-0.32449987685953419</v>
      </c>
      <c r="G17" s="155">
        <f t="shared" si="3"/>
        <v>-0.11101892030416512</v>
      </c>
      <c r="H17" s="150">
        <v>572</v>
      </c>
      <c r="I17" s="63">
        <f t="shared" si="4"/>
        <v>253.13388111888111</v>
      </c>
      <c r="J17" s="61">
        <v>33</v>
      </c>
      <c r="K17" s="28">
        <f t="shared" si="1"/>
        <v>5.7692307692307696E-2</v>
      </c>
      <c r="L17" s="46">
        <f>J17+'2 - 8 Nov 2020'!J17+'9 - 15 Nov 2020'!J17</f>
        <v>117</v>
      </c>
      <c r="M17" s="172">
        <f t="shared" si="2"/>
        <v>0.20454545454545456</v>
      </c>
      <c r="N17" s="247">
        <v>29911.96</v>
      </c>
      <c r="O17" s="89">
        <f t="shared" si="5"/>
        <v>0.20658489544146533</v>
      </c>
      <c r="P17" s="247">
        <v>15645.35</v>
      </c>
      <c r="Q17" s="89">
        <f t="shared" si="6"/>
        <v>0.10805353423497255</v>
      </c>
      <c r="R17" s="130">
        <v>1241</v>
      </c>
      <c r="S17" s="9"/>
    </row>
    <row r="18" spans="1:19" ht="15.6" customHeight="1" x14ac:dyDescent="0.3">
      <c r="A18" s="198" t="s">
        <v>33</v>
      </c>
      <c r="B18" s="200">
        <f>'9 - 15 Nov 2020'!D18</f>
        <v>136607.85</v>
      </c>
      <c r="C18" s="73">
        <v>167548.26999999999</v>
      </c>
      <c r="D18" s="145">
        <v>127656.79</v>
      </c>
      <c r="E18" s="130">
        <v>426436.38</v>
      </c>
      <c r="F18" s="163">
        <f t="shared" si="0"/>
        <v>-0.23808947713993106</v>
      </c>
      <c r="G18" s="155">
        <f t="shared" si="3"/>
        <v>-6.5523760164587996E-2</v>
      </c>
      <c r="H18" s="150">
        <v>514</v>
      </c>
      <c r="I18" s="63">
        <f t="shared" si="4"/>
        <v>248.35951361867703</v>
      </c>
      <c r="J18" s="61">
        <v>42</v>
      </c>
      <c r="K18" s="28">
        <f t="shared" si="1"/>
        <v>8.171206225680934E-2</v>
      </c>
      <c r="L18" s="46">
        <f>J18+'2 - 8 Nov 2020'!J18+'9 - 15 Nov 2020'!J18</f>
        <v>133</v>
      </c>
      <c r="M18" s="172">
        <f t="shared" si="2"/>
        <v>0.2587548638132296</v>
      </c>
      <c r="N18" s="247">
        <v>19480.43</v>
      </c>
      <c r="O18" s="89">
        <f t="shared" si="5"/>
        <v>0.15260003012765713</v>
      </c>
      <c r="P18" s="247">
        <v>12159.3</v>
      </c>
      <c r="Q18" s="89">
        <f t="shared" si="6"/>
        <v>9.5249927559669961E-2</v>
      </c>
      <c r="R18" s="130">
        <v>4329</v>
      </c>
      <c r="S18" s="9"/>
    </row>
    <row r="19" spans="1:19" ht="16.2" customHeight="1" thickBot="1" x14ac:dyDescent="0.35">
      <c r="A19" s="203" t="s">
        <v>37</v>
      </c>
      <c r="B19" s="201">
        <f>'2 - 8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06" priority="8" operator="equal">
      <formula>0</formula>
    </cfRule>
  </conditionalFormatting>
  <conditionalFormatting sqref="D7:E19">
    <cfRule type="cellIs" dxfId="405" priority="7" operator="equal">
      <formula>0</formula>
    </cfRule>
  </conditionalFormatting>
  <conditionalFormatting sqref="F6:R19">
    <cfRule type="cellIs" dxfId="40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-0.27578509767817455</v>
      </c>
      <c r="G2" s="400">
        <f>(((D4-D19-B19)-B4)/D4)</f>
        <v>0.16799672014193462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1844164.34</v>
      </c>
      <c r="C4" s="135">
        <f>SUM(C6:C19)-C14-C19</f>
        <v>3060603.88</v>
      </c>
      <c r="D4" s="142">
        <f>SUM(D6:D19)-D19</f>
        <v>2216534.94</v>
      </c>
      <c r="E4" s="142">
        <f>SUM(E6:E19)-E19</f>
        <v>8103778.4300000006</v>
      </c>
      <c r="F4" s="217">
        <f t="shared" ref="F4:F19" si="0">IFERROR((SUM(D4-C4)/C4),0)</f>
        <v>-0.27578509767817455</v>
      </c>
      <c r="G4" s="217">
        <f>IFERROR((SUM(D4-B4)/D4),0)</f>
        <v>0.16799672014193462</v>
      </c>
      <c r="H4" s="147">
        <f>SUM(H6:H19)</f>
        <v>7898</v>
      </c>
      <c r="I4" s="218">
        <f>AVERAGE(I5:I19)</f>
        <v>240.17965212402899</v>
      </c>
      <c r="J4" s="219">
        <f>SUM(J6:J19)</f>
        <v>738</v>
      </c>
      <c r="K4" s="220">
        <f t="shared" ref="K4:K19" si="1">IFERROR(J4/H4,0)</f>
        <v>9.3441377563940234E-2</v>
      </c>
      <c r="L4" s="221">
        <f>SUM(L6:L19)</f>
        <v>2143</v>
      </c>
      <c r="M4" s="222">
        <f t="shared" ref="M4:M19" si="2">IFERROR(L4/SUM(H4),0)</f>
        <v>0.2713345150671056</v>
      </c>
      <c r="N4" s="249">
        <f>SUM(N6:N19)</f>
        <v>299052.61</v>
      </c>
      <c r="O4" s="222">
        <f>SUM(N4/D4)</f>
        <v>0.13491896951554483</v>
      </c>
      <c r="P4" s="244">
        <f>SUM(P6:P19)</f>
        <v>184819.72</v>
      </c>
      <c r="Q4" s="222">
        <f>SUM(P4/D4)</f>
        <v>8.3382272331786481E-2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'9 - 15 Nov 2020'!D6</f>
        <v>172666.79</v>
      </c>
      <c r="C6" s="255">
        <v>396557.98</v>
      </c>
      <c r="D6" s="197">
        <v>213583.61</v>
      </c>
      <c r="E6" s="254">
        <v>772142.96</v>
      </c>
      <c r="F6" s="162">
        <f t="shared" si="0"/>
        <v>-0.46140634970956834</v>
      </c>
      <c r="G6" s="154">
        <f t="shared" ref="G6:G19" si="3">IFERROR((SUM(D6-B6)/B6),0)</f>
        <v>0.23696983073583505</v>
      </c>
      <c r="H6" s="149">
        <v>700</v>
      </c>
      <c r="I6" s="124">
        <f t="shared" ref="I6:I19" si="4">IFERROR(D6/H6,0)</f>
        <v>305.11944285714281</v>
      </c>
      <c r="J6" s="125">
        <v>54</v>
      </c>
      <c r="K6" s="126">
        <f t="shared" si="1"/>
        <v>7.7142857142857138E-2</v>
      </c>
      <c r="L6" s="46">
        <f>J6+'2 - 8 Nov 2020'!J6+'9 - 15 Nov 2020'!J6+'16 - 22 Nov 2020'!J6</f>
        <v>186</v>
      </c>
      <c r="M6" s="171">
        <f t="shared" si="2"/>
        <v>0.26571428571428574</v>
      </c>
      <c r="N6" s="246">
        <v>30976.87</v>
      </c>
      <c r="O6" s="128">
        <f t="shared" ref="O6:O19" si="5">SUM(N6/D6)</f>
        <v>0.1450339283992812</v>
      </c>
      <c r="P6" s="247">
        <v>286</v>
      </c>
      <c r="Q6" s="128">
        <f t="shared" ref="Q6:Q19" si="6">SUM(P6/D6)</f>
        <v>1.3390540594383623E-3</v>
      </c>
      <c r="R6" s="129">
        <v>13274.5</v>
      </c>
      <c r="S6" s="26"/>
    </row>
    <row r="7" spans="1:22" ht="15.6" customHeight="1" x14ac:dyDescent="0.3">
      <c r="A7" s="409" t="s">
        <v>16</v>
      </c>
      <c r="B7" s="200">
        <f>'9 - 15 Nov 2020'!D7</f>
        <v>183294.98</v>
      </c>
      <c r="C7" s="73">
        <v>384641.91</v>
      </c>
      <c r="D7" s="145">
        <v>249670.73</v>
      </c>
      <c r="E7" s="130">
        <v>786128.16</v>
      </c>
      <c r="F7" s="163">
        <f t="shared" si="0"/>
        <v>-0.35090086777075324</v>
      </c>
      <c r="G7" s="155">
        <f t="shared" si="3"/>
        <v>0.36212530206773802</v>
      </c>
      <c r="H7" s="150">
        <v>856</v>
      </c>
      <c r="I7" s="63">
        <f t="shared" si="4"/>
        <v>291.67141355140188</v>
      </c>
      <c r="J7" s="61">
        <v>77</v>
      </c>
      <c r="K7" s="28">
        <f t="shared" si="1"/>
        <v>8.9953271028037379E-2</v>
      </c>
      <c r="L7" s="46">
        <f>J7+'2 - 8 Nov 2020'!J7+'9 - 15 Nov 2020'!J7+'16 - 22 Nov 2020'!J7</f>
        <v>225</v>
      </c>
      <c r="M7" s="172">
        <f t="shared" si="2"/>
        <v>0.26285046728971961</v>
      </c>
      <c r="N7" s="247">
        <v>25752.1</v>
      </c>
      <c r="O7" s="89">
        <f t="shared" si="5"/>
        <v>0.10314424922777291</v>
      </c>
      <c r="P7" s="247">
        <v>14460.74</v>
      </c>
      <c r="Q7" s="89">
        <f t="shared" si="6"/>
        <v>5.7919244278253998E-2</v>
      </c>
      <c r="R7" s="130">
        <v>14357.25</v>
      </c>
      <c r="S7" s="26"/>
    </row>
    <row r="8" spans="1:22" ht="15.6" customHeight="1" x14ac:dyDescent="0.3">
      <c r="A8" s="409" t="s">
        <v>17</v>
      </c>
      <c r="B8" s="200">
        <f>'9 - 15 Nov 2020'!D8</f>
        <v>87639.38</v>
      </c>
      <c r="C8" s="73">
        <v>127269.54</v>
      </c>
      <c r="D8" s="145">
        <v>119566.77</v>
      </c>
      <c r="E8" s="130">
        <v>424476.9</v>
      </c>
      <c r="F8" s="163">
        <f t="shared" si="0"/>
        <v>-6.0523279961568102E-2</v>
      </c>
      <c r="G8" s="155">
        <f t="shared" si="3"/>
        <v>0.36430415185502224</v>
      </c>
      <c r="H8" s="150">
        <v>439</v>
      </c>
      <c r="I8" s="63">
        <f t="shared" si="4"/>
        <v>272.36166287015948</v>
      </c>
      <c r="J8" s="61">
        <v>51</v>
      </c>
      <c r="K8" s="28">
        <f t="shared" si="1"/>
        <v>0.11617312072892938</v>
      </c>
      <c r="L8" s="46">
        <f>J8+'2 - 8 Nov 2020'!J8+'9 - 15 Nov 2020'!J8+'16 - 22 Nov 2020'!J8</f>
        <v>156</v>
      </c>
      <c r="M8" s="172">
        <f t="shared" si="2"/>
        <v>0.3553530751708428</v>
      </c>
      <c r="N8" s="247">
        <v>32868.51</v>
      </c>
      <c r="O8" s="89">
        <f t="shared" si="5"/>
        <v>0.27489669579599751</v>
      </c>
      <c r="P8" s="247">
        <v>15603.96</v>
      </c>
      <c r="Q8" s="89">
        <f t="shared" si="6"/>
        <v>0.13050415261698545</v>
      </c>
      <c r="R8" s="130">
        <v>3748</v>
      </c>
      <c r="S8" s="26"/>
    </row>
    <row r="9" spans="1:22" ht="15.6" customHeight="1" x14ac:dyDescent="0.3">
      <c r="A9" s="409" t="s">
        <v>18</v>
      </c>
      <c r="B9" s="200">
        <f>'9 - 15 Nov 2020'!D9</f>
        <v>192269.09</v>
      </c>
      <c r="C9" s="73">
        <v>344599.74</v>
      </c>
      <c r="D9" s="145">
        <v>284837.61</v>
      </c>
      <c r="E9" s="130">
        <v>947580.95</v>
      </c>
      <c r="F9" s="163">
        <f t="shared" si="0"/>
        <v>-0.17342476810922727</v>
      </c>
      <c r="G9" s="155">
        <f t="shared" si="3"/>
        <v>0.48145294701295976</v>
      </c>
      <c r="H9" s="150">
        <v>977</v>
      </c>
      <c r="I9" s="63">
        <f t="shared" si="4"/>
        <v>291.54310133060386</v>
      </c>
      <c r="J9" s="61">
        <v>94</v>
      </c>
      <c r="K9" s="28">
        <f t="shared" si="1"/>
        <v>9.6212896622313207E-2</v>
      </c>
      <c r="L9" s="46">
        <f>J9+'2 - 8 Nov 2020'!J9+'9 - 15 Nov 2020'!J9+'16 - 22 Nov 2020'!J9</f>
        <v>289</v>
      </c>
      <c r="M9" s="172">
        <f t="shared" si="2"/>
        <v>0.29580348004094165</v>
      </c>
      <c r="N9" s="247">
        <v>14118.7</v>
      </c>
      <c r="O9" s="89">
        <f t="shared" si="5"/>
        <v>4.9567541308888255E-2</v>
      </c>
      <c r="P9" s="247">
        <v>11073.13</v>
      </c>
      <c r="Q9" s="89">
        <f t="shared" si="6"/>
        <v>3.8875238420937458E-2</v>
      </c>
      <c r="R9" s="130">
        <v>13141.7</v>
      </c>
      <c r="S9" s="26"/>
    </row>
    <row r="10" spans="1:22" ht="15.6" customHeight="1" x14ac:dyDescent="0.3">
      <c r="A10" s="411" t="s">
        <v>20</v>
      </c>
      <c r="B10" s="200">
        <f>'9 - 15 Nov 2020'!D10</f>
        <v>127707.36</v>
      </c>
      <c r="C10" s="73">
        <v>191019.57</v>
      </c>
      <c r="D10" s="145">
        <v>148998.25</v>
      </c>
      <c r="E10" s="130">
        <v>547172.38</v>
      </c>
      <c r="F10" s="163">
        <f t="shared" si="0"/>
        <v>-0.21998437123484263</v>
      </c>
      <c r="G10" s="155">
        <f t="shared" si="3"/>
        <v>0.1667162331129545</v>
      </c>
      <c r="H10" s="150">
        <v>557</v>
      </c>
      <c r="I10" s="63">
        <f t="shared" si="4"/>
        <v>267.50134649910234</v>
      </c>
      <c r="J10" s="61">
        <v>79</v>
      </c>
      <c r="K10" s="28">
        <f t="shared" si="1"/>
        <v>0.14183123877917414</v>
      </c>
      <c r="L10" s="46">
        <f>J10+'2 - 8 Nov 2020'!J10+'9 - 15 Nov 2020'!J10+'16 - 22 Nov 2020'!J10</f>
        <v>217</v>
      </c>
      <c r="M10" s="172">
        <f t="shared" si="2"/>
        <v>0.38958707360861761</v>
      </c>
      <c r="N10" s="247">
        <v>30853.35</v>
      </c>
      <c r="O10" s="89">
        <f t="shared" si="5"/>
        <v>0.207071895139708</v>
      </c>
      <c r="P10" s="247">
        <v>30765.52</v>
      </c>
      <c r="Q10" s="89">
        <f t="shared" si="6"/>
        <v>0.20648242512915421</v>
      </c>
      <c r="R10" s="130">
        <v>6389.69</v>
      </c>
      <c r="S10" s="26"/>
    </row>
    <row r="11" spans="1:22" ht="15.6" customHeight="1" x14ac:dyDescent="0.3">
      <c r="A11" s="409" t="s">
        <v>21</v>
      </c>
      <c r="B11" s="200">
        <f>'9 - 15 Nov 2020'!D11</f>
        <v>247480.1</v>
      </c>
      <c r="C11" s="73">
        <v>383307.6</v>
      </c>
      <c r="D11" s="145">
        <v>263055.05</v>
      </c>
      <c r="E11" s="130">
        <v>1051863.3999999999</v>
      </c>
      <c r="F11" s="163">
        <f t="shared" si="0"/>
        <v>-0.3137233647337021</v>
      </c>
      <c r="G11" s="155">
        <f t="shared" si="3"/>
        <v>6.2934151069116193E-2</v>
      </c>
      <c r="H11" s="150">
        <v>979</v>
      </c>
      <c r="I11" s="63">
        <f t="shared" si="4"/>
        <v>268.69770173646577</v>
      </c>
      <c r="J11" s="61">
        <v>70</v>
      </c>
      <c r="K11" s="28">
        <f t="shared" si="1"/>
        <v>7.1501532175689483E-2</v>
      </c>
      <c r="L11" s="46">
        <f>J11+'2 - 8 Nov 2020'!J11+'9 - 15 Nov 2020'!J11+'16 - 22 Nov 2020'!J11</f>
        <v>244</v>
      </c>
      <c r="M11" s="172">
        <f t="shared" si="2"/>
        <v>0.24923391215526047</v>
      </c>
      <c r="N11" s="247">
        <v>37242.61</v>
      </c>
      <c r="O11" s="89">
        <f t="shared" si="5"/>
        <v>0.14157724780421438</v>
      </c>
      <c r="P11" s="247">
        <v>22412.17</v>
      </c>
      <c r="Q11" s="89">
        <f t="shared" si="6"/>
        <v>8.5199542833334696E-2</v>
      </c>
      <c r="R11" s="130">
        <v>13314.1</v>
      </c>
      <c r="S11" s="26"/>
    </row>
    <row r="12" spans="1:22" ht="15.6" customHeight="1" x14ac:dyDescent="0.3">
      <c r="A12" s="198" t="s">
        <v>22</v>
      </c>
      <c r="B12" s="200">
        <f>'9 - 15 Nov 2020'!D12</f>
        <v>104099.76</v>
      </c>
      <c r="C12" s="73">
        <v>162809.35999999999</v>
      </c>
      <c r="D12" s="145">
        <v>124554.72</v>
      </c>
      <c r="E12" s="130">
        <v>442553.91</v>
      </c>
      <c r="F12" s="163">
        <f t="shared" si="0"/>
        <v>-0.23496585208614534</v>
      </c>
      <c r="G12" s="155">
        <f t="shared" si="3"/>
        <v>0.1964938247696249</v>
      </c>
      <c r="H12" s="150">
        <v>435</v>
      </c>
      <c r="I12" s="63">
        <f t="shared" si="4"/>
        <v>286.33268965517243</v>
      </c>
      <c r="J12" s="61">
        <v>47</v>
      </c>
      <c r="K12" s="28">
        <f t="shared" si="1"/>
        <v>0.10804597701149425</v>
      </c>
      <c r="L12" s="46">
        <f>J12+'2 - 8 Nov 2020'!J12+'9 - 15 Nov 2020'!J12+'16 - 22 Nov 2020'!J12</f>
        <v>95</v>
      </c>
      <c r="M12" s="172">
        <f t="shared" si="2"/>
        <v>0.21839080459770116</v>
      </c>
      <c r="N12" s="247">
        <v>15083.3</v>
      </c>
      <c r="O12" s="89">
        <f t="shared" si="5"/>
        <v>0.1210977793535243</v>
      </c>
      <c r="P12" s="247">
        <v>11249.57</v>
      </c>
      <c r="Q12" s="89">
        <f t="shared" si="6"/>
        <v>9.0318295444765162E-2</v>
      </c>
      <c r="R12" s="130">
        <v>11343</v>
      </c>
      <c r="S12" s="26"/>
    </row>
    <row r="13" spans="1:22" ht="15.6" customHeight="1" x14ac:dyDescent="0.3">
      <c r="A13" s="198" t="s">
        <v>23</v>
      </c>
      <c r="B13" s="200">
        <f>'9 - 15 Nov 2020'!D13</f>
        <v>171163.5</v>
      </c>
      <c r="C13" s="73">
        <v>242832.81</v>
      </c>
      <c r="D13" s="145">
        <v>209999.11</v>
      </c>
      <c r="E13" s="130">
        <v>755668.59</v>
      </c>
      <c r="F13" s="163">
        <f t="shared" si="0"/>
        <v>-0.13521113559572123</v>
      </c>
      <c r="G13" s="155">
        <f t="shared" si="3"/>
        <v>0.22689188991811915</v>
      </c>
      <c r="H13" s="150">
        <v>764</v>
      </c>
      <c r="I13" s="63">
        <f t="shared" si="4"/>
        <v>274.86794502617801</v>
      </c>
      <c r="J13" s="61">
        <v>72</v>
      </c>
      <c r="K13" s="28">
        <f t="shared" si="1"/>
        <v>9.4240837696335081E-2</v>
      </c>
      <c r="L13" s="46">
        <f>J13+'2 - 8 Nov 2020'!J13+'9 - 15 Nov 2020'!J13+'16 - 22 Nov 2020'!J13</f>
        <v>201</v>
      </c>
      <c r="M13" s="172">
        <f t="shared" si="2"/>
        <v>0.26308900523560208</v>
      </c>
      <c r="N13" s="247">
        <v>30361.65</v>
      </c>
      <c r="O13" s="89">
        <f t="shared" si="5"/>
        <v>0.14457989845766492</v>
      </c>
      <c r="P13" s="247">
        <v>24555.69</v>
      </c>
      <c r="Q13" s="89">
        <f t="shared" si="6"/>
        <v>0.11693235271330436</v>
      </c>
      <c r="R13" s="130">
        <v>6383.5</v>
      </c>
      <c r="S13" s="26"/>
    </row>
    <row r="14" spans="1:22" ht="15.6" hidden="1" customHeight="1" x14ac:dyDescent="0.3">
      <c r="A14" s="198" t="s">
        <v>24</v>
      </c>
      <c r="B14" s="200">
        <f>'9 - 15 Nov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'9 - 15 Nov 2020'!D15</f>
        <v>159466.45000000001</v>
      </c>
      <c r="C15" s="73">
        <v>234804.6</v>
      </c>
      <c r="D15" s="145">
        <v>151585.43</v>
      </c>
      <c r="E15" s="130">
        <v>664582.74</v>
      </c>
      <c r="F15" s="163">
        <f t="shared" si="0"/>
        <v>-0.35441882314060291</v>
      </c>
      <c r="G15" s="155">
        <f t="shared" si="3"/>
        <v>-4.9421179188475182E-2</v>
      </c>
      <c r="H15" s="150">
        <v>539</v>
      </c>
      <c r="I15" s="63">
        <f t="shared" si="4"/>
        <v>281.23456400742111</v>
      </c>
      <c r="J15" s="61">
        <v>29</v>
      </c>
      <c r="K15" s="28">
        <f t="shared" si="1"/>
        <v>5.3803339517625233E-2</v>
      </c>
      <c r="L15" s="46">
        <f>J15+'2 - 8 Nov 2020'!J15</f>
        <v>29</v>
      </c>
      <c r="M15" s="172">
        <f t="shared" si="2"/>
        <v>5.3803339517625233E-2</v>
      </c>
      <c r="N15" s="247">
        <v>0</v>
      </c>
      <c r="O15" s="89">
        <f t="shared" si="5"/>
        <v>0</v>
      </c>
      <c r="P15" s="247">
        <v>16042.17</v>
      </c>
      <c r="Q15" s="89">
        <f t="shared" si="6"/>
        <v>0.10582923437958384</v>
      </c>
      <c r="R15" s="130">
        <v>5577.85</v>
      </c>
      <c r="S15" s="9"/>
    </row>
    <row r="16" spans="1:22" ht="15.6" customHeight="1" x14ac:dyDescent="0.3">
      <c r="A16" s="198" t="s">
        <v>27</v>
      </c>
      <c r="B16" s="200">
        <f>'9 - 15 Nov 2020'!D16</f>
        <v>98894.32</v>
      </c>
      <c r="C16" s="73">
        <v>133257.29999999999</v>
      </c>
      <c r="D16" s="145">
        <v>126972.01</v>
      </c>
      <c r="E16" s="130">
        <v>455612.37</v>
      </c>
      <c r="F16" s="163">
        <f t="shared" si="0"/>
        <v>-4.7166571737533282E-2</v>
      </c>
      <c r="G16" s="155">
        <f t="shared" si="3"/>
        <v>0.28391610357399683</v>
      </c>
      <c r="H16" s="150">
        <v>445</v>
      </c>
      <c r="I16" s="63">
        <f t="shared" si="4"/>
        <v>285.33035955056181</v>
      </c>
      <c r="J16" s="61">
        <v>53</v>
      </c>
      <c r="K16" s="28">
        <f t="shared" si="1"/>
        <v>0.11910112359550562</v>
      </c>
      <c r="L16" s="46">
        <f>J16+'2 - 8 Nov 2020'!J16+'9 - 15 Nov 2020'!J16+'16 - 22 Nov 2020'!J16</f>
        <v>139</v>
      </c>
      <c r="M16" s="172">
        <f t="shared" si="2"/>
        <v>0.31235955056179776</v>
      </c>
      <c r="N16" s="247">
        <v>20802.349999999999</v>
      </c>
      <c r="O16" s="89">
        <f t="shared" si="5"/>
        <v>0.16383413950838455</v>
      </c>
      <c r="P16" s="247">
        <v>13720.21</v>
      </c>
      <c r="Q16" s="89">
        <f t="shared" si="6"/>
        <v>0.10805696468064103</v>
      </c>
      <c r="R16" s="130">
        <v>4926</v>
      </c>
      <c r="S16" s="9"/>
      <c r="V16" s="238"/>
    </row>
    <row r="17" spans="1:19" ht="15.6" customHeight="1" x14ac:dyDescent="0.3">
      <c r="A17" s="251" t="s">
        <v>28</v>
      </c>
      <c r="B17" s="200">
        <f>'9 - 15 Nov 2020'!D17</f>
        <v>162874.76</v>
      </c>
      <c r="C17" s="73">
        <v>225430.06</v>
      </c>
      <c r="D17" s="145">
        <v>143830.57999999999</v>
      </c>
      <c r="E17" s="130">
        <v>649678.62</v>
      </c>
      <c r="F17" s="163">
        <f t="shared" si="0"/>
        <v>-0.36197248938318172</v>
      </c>
      <c r="G17" s="155">
        <f t="shared" si="3"/>
        <v>-0.11692529892292716</v>
      </c>
      <c r="H17" s="150">
        <v>524</v>
      </c>
      <c r="I17" s="63">
        <f t="shared" si="4"/>
        <v>274.48583969465648</v>
      </c>
      <c r="J17" s="61">
        <v>57</v>
      </c>
      <c r="K17" s="28">
        <f t="shared" si="1"/>
        <v>0.10877862595419847</v>
      </c>
      <c r="L17" s="46">
        <f>J17+'2 - 8 Nov 2020'!J17+'9 - 15 Nov 2020'!J17+'16 - 22 Nov 2020'!J17</f>
        <v>174</v>
      </c>
      <c r="M17" s="172">
        <f t="shared" si="2"/>
        <v>0.33206106870229007</v>
      </c>
      <c r="N17" s="247">
        <v>34736.870000000003</v>
      </c>
      <c r="O17" s="89">
        <f t="shared" si="5"/>
        <v>0.24151240994787065</v>
      </c>
      <c r="P17" s="247">
        <v>10798.13</v>
      </c>
      <c r="Q17" s="89">
        <f t="shared" si="6"/>
        <v>7.5075342114312549E-2</v>
      </c>
      <c r="R17" s="130">
        <v>4563.8</v>
      </c>
      <c r="S17" s="9"/>
    </row>
    <row r="18" spans="1:19" ht="15.6" customHeight="1" x14ac:dyDescent="0.3">
      <c r="A18" s="198" t="s">
        <v>33</v>
      </c>
      <c r="B18" s="200">
        <f>'9 - 15 Nov 2020'!D18</f>
        <v>136607.85</v>
      </c>
      <c r="C18" s="73">
        <v>234073.41</v>
      </c>
      <c r="D18" s="145">
        <v>179881.07</v>
      </c>
      <c r="E18" s="130">
        <v>606317.44999999995</v>
      </c>
      <c r="F18" s="163">
        <f t="shared" si="0"/>
        <v>-0.23151856505187837</v>
      </c>
      <c r="G18" s="155">
        <f t="shared" si="3"/>
        <v>0.31676964391138573</v>
      </c>
      <c r="H18" s="150">
        <v>683</v>
      </c>
      <c r="I18" s="63">
        <f t="shared" si="4"/>
        <v>263.36906295754028</v>
      </c>
      <c r="J18" s="61">
        <v>55</v>
      </c>
      <c r="K18" s="28">
        <f t="shared" si="1"/>
        <v>8.0527086383601759E-2</v>
      </c>
      <c r="L18" s="46">
        <f>J18+'2 - 8 Nov 2020'!J18+'9 - 15 Nov 2020'!J18+'16 - 22 Nov 2020'!J18</f>
        <v>188</v>
      </c>
      <c r="M18" s="172">
        <f t="shared" si="2"/>
        <v>0.2752562225475842</v>
      </c>
      <c r="N18" s="247">
        <v>26256.3</v>
      </c>
      <c r="O18" s="89">
        <f t="shared" si="5"/>
        <v>0.14596477550417061</v>
      </c>
      <c r="P18" s="247">
        <v>13852.43</v>
      </c>
      <c r="Q18" s="89">
        <f t="shared" si="6"/>
        <v>7.7008825887015242E-2</v>
      </c>
      <c r="R18" s="130">
        <v>5328</v>
      </c>
      <c r="S18" s="9"/>
    </row>
    <row r="19" spans="1:19" ht="16.2" customHeight="1" thickBot="1" x14ac:dyDescent="0.35">
      <c r="A19" s="203" t="s">
        <v>37</v>
      </c>
      <c r="B19" s="201">
        <f>'2 - 8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03" priority="8" operator="equal">
      <formula>0</formula>
    </cfRule>
  </conditionalFormatting>
  <conditionalFormatting sqref="D7:E19">
    <cfRule type="cellIs" dxfId="402" priority="7" operator="equal">
      <formula>0</formula>
    </cfRule>
  </conditionalFormatting>
  <conditionalFormatting sqref="F6:R19">
    <cfRule type="cellIs" dxfId="40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V41"/>
  <sheetViews>
    <sheetView zoomScale="70" zoomScaleNormal="70" workbookViewId="0">
      <pane xSplit="1" topLeftCell="B1" activePane="topRight" state="frozen"/>
      <selection pane="topRight" activeCell="O1" sqref="O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-0.23261430780857989</v>
      </c>
      <c r="G2" s="400">
        <f>(((D4-D19-B19)-B4)/D4)</f>
        <v>7.5947867021968485E-2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2216534.94</v>
      </c>
      <c r="C4" s="135">
        <f>SUM(C6:C19)-C14-C19</f>
        <v>3125823.2</v>
      </c>
      <c r="D4" s="142">
        <f>SUM(D6:D19)-D19</f>
        <v>2398712</v>
      </c>
      <c r="E4" s="142">
        <f>SUM(E6:E19)-E19</f>
        <v>2193081.46</v>
      </c>
      <c r="F4" s="217">
        <f t="shared" ref="F4:F19" si="0">IFERROR((SUM(D4-C4)/C4),0)</f>
        <v>-0.23261430780857989</v>
      </c>
      <c r="G4" s="217">
        <f>IFERROR((SUM(D4-B4)/D4),0)</f>
        <v>7.5947867021968485E-2</v>
      </c>
      <c r="H4" s="147">
        <f>SUM(H6:H19)</f>
        <v>8217</v>
      </c>
      <c r="I4" s="218">
        <f>AVERAGE(I5:I19)</f>
        <v>247.79671173271393</v>
      </c>
      <c r="J4" s="219">
        <f>SUM(J6:J19)</f>
        <v>788</v>
      </c>
      <c r="K4" s="220">
        <f t="shared" ref="K4:K19" si="1">IFERROR(J4/H4,0)</f>
        <v>9.5898746501156137E-2</v>
      </c>
      <c r="L4" s="221">
        <f>SUM(L6:L19)</f>
        <v>2931</v>
      </c>
      <c r="M4" s="222">
        <f t="shared" ref="M4:M19" si="2">IFERROR(L4/SUM(H4),0)</f>
        <v>0.35669952537422417</v>
      </c>
      <c r="N4" s="249">
        <f>SUM(N6:N19)</f>
        <v>312134.81999999995</v>
      </c>
      <c r="O4" s="222">
        <f>SUM(N4/D4)</f>
        <v>0.13012600929165316</v>
      </c>
      <c r="P4" s="244">
        <f>SUM(P6:P19)</f>
        <v>185341.25999999998</v>
      </c>
      <c r="Q4" s="222">
        <f>SUM(P4/D4)</f>
        <v>7.7266991618835434E-2</v>
      </c>
      <c r="R4" s="141"/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'23 - 29 Nov 2020'!D6</f>
        <v>213583.61</v>
      </c>
      <c r="C6" s="255">
        <v>312733.53000000003</v>
      </c>
      <c r="D6" s="197">
        <v>237187.54</v>
      </c>
      <c r="E6" s="254">
        <v>222421.14</v>
      </c>
      <c r="F6" s="162">
        <f t="shared" si="0"/>
        <v>-0.24156664621155274</v>
      </c>
      <c r="G6" s="154">
        <f t="shared" ref="G6:G19" si="3">IFERROR((SUM(D6-B6)/B6),0)</f>
        <v>0.11051377022796845</v>
      </c>
      <c r="H6" s="149">
        <v>779</v>
      </c>
      <c r="I6" s="256">
        <f t="shared" ref="I6:I19" si="4">IFERROR(D6/H6,0)</f>
        <v>304.47694480102695</v>
      </c>
      <c r="J6" s="125">
        <v>108</v>
      </c>
      <c r="K6" s="126">
        <f t="shared" si="1"/>
        <v>0.1386392811296534</v>
      </c>
      <c r="L6" s="46">
        <f>J6+'2 - 8 Nov 2020'!J6+'9 - 15 Nov 2020'!J6+'16 - 22 Nov 2020'!J6+'23 - 29 Nov 2020'!J6</f>
        <v>294</v>
      </c>
      <c r="M6" s="171">
        <f t="shared" si="2"/>
        <v>0.3774069319640565</v>
      </c>
      <c r="N6" s="246">
        <v>41483.910000000003</v>
      </c>
      <c r="O6" s="128">
        <f t="shared" ref="O6:O19" si="5">SUM(N6/D6)</f>
        <v>0.17489919580092614</v>
      </c>
      <c r="P6" s="247">
        <v>384</v>
      </c>
      <c r="Q6" s="128">
        <f t="shared" ref="Q6:Q19" si="6">SUM(P6/D6)</f>
        <v>1.6189720589875841E-3</v>
      </c>
      <c r="R6" s="129">
        <v>7507.5</v>
      </c>
      <c r="S6" s="26"/>
    </row>
    <row r="7" spans="1:22" ht="15.6" customHeight="1" x14ac:dyDescent="0.3">
      <c r="A7" s="409" t="s">
        <v>16</v>
      </c>
      <c r="B7" s="200">
        <f>'23 - 29 Nov 2020'!D7</f>
        <v>249670.73</v>
      </c>
      <c r="C7" s="73">
        <v>341167.2</v>
      </c>
      <c r="D7" s="145">
        <v>354852.1</v>
      </c>
      <c r="E7" s="130">
        <v>336409.95</v>
      </c>
      <c r="F7" s="163">
        <f t="shared" si="0"/>
        <v>4.0112003733066851E-2</v>
      </c>
      <c r="G7" s="155">
        <f t="shared" si="3"/>
        <v>0.42128033991008862</v>
      </c>
      <c r="H7" s="150">
        <v>1059</v>
      </c>
      <c r="I7" s="63">
        <f t="shared" si="4"/>
        <v>335.08224740321054</v>
      </c>
      <c r="J7" s="61">
        <v>130</v>
      </c>
      <c r="K7" s="28">
        <f t="shared" si="1"/>
        <v>0.12275731822474033</v>
      </c>
      <c r="L7" s="46">
        <f>J7+'2 - 8 Nov 2020'!J7+'9 - 15 Nov 2020'!J7+'16 - 22 Nov 2020'!J7+'23 - 29 Nov 2020'!J7</f>
        <v>355</v>
      </c>
      <c r="M7" s="172">
        <f t="shared" si="2"/>
        <v>0.3352219074598678</v>
      </c>
      <c r="N7" s="247">
        <v>25607.39</v>
      </c>
      <c r="O7" s="89">
        <f t="shared" si="5"/>
        <v>7.2163557718835536E-2</v>
      </c>
      <c r="P7" s="247">
        <v>17696</v>
      </c>
      <c r="Q7" s="89">
        <f t="shared" si="6"/>
        <v>4.9868663592522074E-2</v>
      </c>
      <c r="R7" s="130">
        <v>22665.63</v>
      </c>
      <c r="S7" s="26"/>
    </row>
    <row r="8" spans="1:22" ht="15.6" customHeight="1" x14ac:dyDescent="0.3">
      <c r="A8" s="409" t="s">
        <v>17</v>
      </c>
      <c r="B8" s="200">
        <f>'23 - 29 Nov 2020'!D8</f>
        <v>119566.77</v>
      </c>
      <c r="C8" s="73">
        <v>134327.28</v>
      </c>
      <c r="D8" s="145">
        <v>103296.92</v>
      </c>
      <c r="E8" s="130">
        <v>95367.35</v>
      </c>
      <c r="F8" s="163">
        <f t="shared" si="0"/>
        <v>-0.2310056453164242</v>
      </c>
      <c r="G8" s="155">
        <f t="shared" si="3"/>
        <v>-0.13607334211671024</v>
      </c>
      <c r="H8" s="150">
        <v>395</v>
      </c>
      <c r="I8" s="63">
        <f t="shared" si="4"/>
        <v>261.51118987341772</v>
      </c>
      <c r="J8" s="61">
        <v>44</v>
      </c>
      <c r="K8" s="28">
        <f t="shared" si="1"/>
        <v>0.11139240506329114</v>
      </c>
      <c r="L8" s="46">
        <f>J8+'2 - 8 Nov 2020'!J8+'9 - 15 Nov 2020'!J8+'16 - 22 Nov 2020'!J8+'23 - 29 Nov 2020'!J8</f>
        <v>200</v>
      </c>
      <c r="M8" s="172">
        <f t="shared" si="2"/>
        <v>0.50632911392405067</v>
      </c>
      <c r="N8" s="247">
        <v>26062.76</v>
      </c>
      <c r="O8" s="89">
        <f t="shared" si="5"/>
        <v>0.25230916855991448</v>
      </c>
      <c r="P8" s="247">
        <v>10637.04</v>
      </c>
      <c r="Q8" s="89">
        <f t="shared" si="6"/>
        <v>0.10297538397079023</v>
      </c>
      <c r="R8" s="130">
        <v>3377.7</v>
      </c>
      <c r="S8" s="26"/>
    </row>
    <row r="9" spans="1:22" ht="15.6" customHeight="1" x14ac:dyDescent="0.3">
      <c r="A9" s="409" t="s">
        <v>18</v>
      </c>
      <c r="B9" s="200">
        <f>'23 - 29 Nov 2020'!D9</f>
        <v>284837.61</v>
      </c>
      <c r="C9" s="73">
        <v>403789.74</v>
      </c>
      <c r="D9" s="145">
        <v>269423.21000000002</v>
      </c>
      <c r="E9" s="130">
        <v>242940.98</v>
      </c>
      <c r="F9" s="163">
        <f t="shared" si="0"/>
        <v>-0.33276360612827849</v>
      </c>
      <c r="G9" s="155">
        <f t="shared" si="3"/>
        <v>-5.4116449018091276E-2</v>
      </c>
      <c r="H9" s="150">
        <v>952</v>
      </c>
      <c r="I9" s="63">
        <f t="shared" si="4"/>
        <v>283.00757352941179</v>
      </c>
      <c r="J9" s="61">
        <v>66</v>
      </c>
      <c r="K9" s="28">
        <f t="shared" si="1"/>
        <v>6.9327731092436978E-2</v>
      </c>
      <c r="L9" s="46">
        <f>J9+'2 - 8 Nov 2020'!J9+'9 - 15 Nov 2020'!J9+'16 - 22 Nov 2020'!J9+'23 - 29 Nov 2020'!J9</f>
        <v>355</v>
      </c>
      <c r="M9" s="172">
        <f t="shared" si="2"/>
        <v>0.37289915966386555</v>
      </c>
      <c r="N9" s="247">
        <v>12471.3</v>
      </c>
      <c r="O9" s="89">
        <f t="shared" si="5"/>
        <v>4.6288885059308726E-2</v>
      </c>
      <c r="P9" s="247">
        <v>9751.57</v>
      </c>
      <c r="Q9" s="89">
        <f t="shared" si="6"/>
        <v>3.6194246219544333E-2</v>
      </c>
      <c r="R9" s="130">
        <v>12514.5</v>
      </c>
      <c r="S9" s="26"/>
    </row>
    <row r="10" spans="1:22" ht="15.6" customHeight="1" x14ac:dyDescent="0.3">
      <c r="A10" s="411" t="s">
        <v>20</v>
      </c>
      <c r="B10" s="200">
        <f>'23 - 29 Nov 2020'!D10</f>
        <v>148998.25</v>
      </c>
      <c r="C10" s="73">
        <v>198366.18</v>
      </c>
      <c r="D10" s="145">
        <v>158423.91</v>
      </c>
      <c r="E10" s="130">
        <v>145222.25</v>
      </c>
      <c r="F10" s="163">
        <f t="shared" si="0"/>
        <v>-0.20135624933645438</v>
      </c>
      <c r="G10" s="155">
        <f t="shared" si="3"/>
        <v>6.3260206076245884E-2</v>
      </c>
      <c r="H10" s="150">
        <v>545</v>
      </c>
      <c r="I10" s="63">
        <f t="shared" si="4"/>
        <v>290.68607339449539</v>
      </c>
      <c r="J10" s="61">
        <v>73</v>
      </c>
      <c r="K10" s="28">
        <f t="shared" si="1"/>
        <v>0.13394495412844037</v>
      </c>
      <c r="L10" s="46">
        <f>J10+'2 - 8 Nov 2020'!J10+'9 - 15 Nov 2020'!J10+'16 - 22 Nov 2020'!J10+'23 - 29 Nov 2020'!J10</f>
        <v>290</v>
      </c>
      <c r="M10" s="172">
        <f t="shared" si="2"/>
        <v>0.5321100917431193</v>
      </c>
      <c r="N10" s="247">
        <v>32995.56</v>
      </c>
      <c r="O10" s="89">
        <f t="shared" si="5"/>
        <v>0.20827386472155621</v>
      </c>
      <c r="P10" s="247">
        <v>28139.03</v>
      </c>
      <c r="Q10" s="89">
        <f t="shared" si="6"/>
        <v>0.17761858042766396</v>
      </c>
      <c r="R10" s="130">
        <v>9475.6</v>
      </c>
      <c r="S10" s="26"/>
    </row>
    <row r="11" spans="1:22" ht="15.6" customHeight="1" x14ac:dyDescent="0.3">
      <c r="A11" s="409" t="s">
        <v>21</v>
      </c>
      <c r="B11" s="200">
        <f>'23 - 29 Nov 2020'!D11</f>
        <v>263055.05</v>
      </c>
      <c r="C11" s="73">
        <v>390457.33</v>
      </c>
      <c r="D11" s="145">
        <v>277968.48</v>
      </c>
      <c r="E11" s="130">
        <v>255743.21</v>
      </c>
      <c r="F11" s="163">
        <f t="shared" si="0"/>
        <v>-0.28809511656497788</v>
      </c>
      <c r="G11" s="155">
        <f t="shared" si="3"/>
        <v>5.6693190265687712E-2</v>
      </c>
      <c r="H11" s="150">
        <v>1010</v>
      </c>
      <c r="I11" s="63">
        <f t="shared" si="4"/>
        <v>275.21631683168317</v>
      </c>
      <c r="J11" s="61">
        <v>81</v>
      </c>
      <c r="K11" s="28">
        <f t="shared" si="1"/>
        <v>8.01980198019802E-2</v>
      </c>
      <c r="L11" s="46">
        <f>J11+'2 - 8 Nov 2020'!J11+'9 - 15 Nov 2020'!J11+'16 - 22 Nov 2020'!J11+'23 - 29 Nov 2020'!J11</f>
        <v>325</v>
      </c>
      <c r="M11" s="172">
        <f t="shared" si="2"/>
        <v>0.32178217821782179</v>
      </c>
      <c r="N11" s="247">
        <v>43274.81</v>
      </c>
      <c r="O11" s="89">
        <f t="shared" si="5"/>
        <v>0.1556824356488189</v>
      </c>
      <c r="P11" s="247">
        <v>25029.7</v>
      </c>
      <c r="Q11" s="89">
        <f t="shared" si="6"/>
        <v>9.0045101516546058E-2</v>
      </c>
      <c r="R11" s="130">
        <v>12367.1</v>
      </c>
      <c r="S11" s="26"/>
    </row>
    <row r="12" spans="1:22" ht="15.6" customHeight="1" x14ac:dyDescent="0.3">
      <c r="A12" s="198" t="s">
        <v>22</v>
      </c>
      <c r="B12" s="200">
        <f>'23 - 29 Nov 2020'!D12</f>
        <v>124554.72</v>
      </c>
      <c r="C12" s="73">
        <v>171682.03</v>
      </c>
      <c r="D12" s="145">
        <v>107695.94</v>
      </c>
      <c r="E12" s="130">
        <v>95758.15</v>
      </c>
      <c r="F12" s="163">
        <f t="shared" si="0"/>
        <v>-0.37270114991068082</v>
      </c>
      <c r="G12" s="155">
        <f t="shared" si="3"/>
        <v>-0.13535239772527285</v>
      </c>
      <c r="H12" s="150">
        <v>425</v>
      </c>
      <c r="I12" s="63">
        <f t="shared" si="4"/>
        <v>253.4022117647059</v>
      </c>
      <c r="J12" s="61">
        <v>23</v>
      </c>
      <c r="K12" s="28">
        <f t="shared" si="1"/>
        <v>5.4117647058823527E-2</v>
      </c>
      <c r="L12" s="46">
        <f>J12+'2 - 8 Nov 2020'!J12+'9 - 15 Nov 2020'!J12+'16 - 22 Nov 2020'!J12+'23 - 29 Nov 2020'!J12</f>
        <v>118</v>
      </c>
      <c r="M12" s="172">
        <f t="shared" si="2"/>
        <v>0.27764705882352941</v>
      </c>
      <c r="N12" s="247">
        <v>15808.91</v>
      </c>
      <c r="O12" s="89">
        <f t="shared" si="5"/>
        <v>0.14679207034174174</v>
      </c>
      <c r="P12" s="247">
        <v>3977.84</v>
      </c>
      <c r="Q12" s="89">
        <f t="shared" si="6"/>
        <v>3.6935839921170659E-2</v>
      </c>
      <c r="R12" s="130">
        <v>8494</v>
      </c>
      <c r="S12" s="26"/>
    </row>
    <row r="13" spans="1:22" ht="15.6" customHeight="1" x14ac:dyDescent="0.3">
      <c r="A13" s="198" t="s">
        <v>23</v>
      </c>
      <c r="B13" s="200">
        <f>'23 - 29 Nov 2020'!D13</f>
        <v>209999.11</v>
      </c>
      <c r="C13" s="73">
        <v>235871.29</v>
      </c>
      <c r="D13" s="145">
        <v>190923.7</v>
      </c>
      <c r="E13" s="130">
        <v>168121.44</v>
      </c>
      <c r="F13" s="163">
        <f t="shared" si="0"/>
        <v>-0.19055981760221855</v>
      </c>
      <c r="G13" s="155">
        <f t="shared" si="3"/>
        <v>-9.0835670684508971E-2</v>
      </c>
      <c r="H13" s="150">
        <v>734</v>
      </c>
      <c r="I13" s="63">
        <f t="shared" si="4"/>
        <v>260.11403269754771</v>
      </c>
      <c r="J13" s="61">
        <v>58</v>
      </c>
      <c r="K13" s="28">
        <f t="shared" si="1"/>
        <v>7.901907356948229E-2</v>
      </c>
      <c r="L13" s="46">
        <f>J13+'2 - 8 Nov 2020'!J13+'9 - 15 Nov 2020'!J13+'16 - 22 Nov 2020'!J13+'23 - 29 Nov 2020'!J13</f>
        <v>259</v>
      </c>
      <c r="M13" s="172">
        <f t="shared" si="2"/>
        <v>0.35286103542234332</v>
      </c>
      <c r="N13" s="247">
        <v>26622.87</v>
      </c>
      <c r="O13" s="89">
        <f t="shared" si="5"/>
        <v>0.13944245790334042</v>
      </c>
      <c r="P13" s="247">
        <v>23516.2</v>
      </c>
      <c r="Q13" s="89">
        <f t="shared" si="6"/>
        <v>0.12317066974922443</v>
      </c>
      <c r="R13" s="130">
        <v>6335</v>
      </c>
      <c r="S13" s="26"/>
    </row>
    <row r="14" spans="1:22" ht="15.6" hidden="1" customHeight="1" x14ac:dyDescent="0.3">
      <c r="A14" s="198" t="s">
        <v>24</v>
      </c>
      <c r="B14" s="200">
        <f>'23 - 29 Nov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'23 - 29 Nov 2020'!D15</f>
        <v>151585.43</v>
      </c>
      <c r="C15" s="73">
        <v>316293.24</v>
      </c>
      <c r="D15" s="145">
        <v>175056.05</v>
      </c>
      <c r="E15" s="130">
        <v>157716.56</v>
      </c>
      <c r="F15" s="163">
        <f t="shared" si="0"/>
        <v>-0.44653875625037071</v>
      </c>
      <c r="G15" s="155">
        <f t="shared" si="3"/>
        <v>0.15483427398002564</v>
      </c>
      <c r="H15" s="150">
        <v>575</v>
      </c>
      <c r="I15" s="63">
        <f t="shared" si="4"/>
        <v>304.44530434782604</v>
      </c>
      <c r="J15" s="61">
        <v>54</v>
      </c>
      <c r="K15" s="28">
        <f t="shared" si="1"/>
        <v>9.3913043478260863E-2</v>
      </c>
      <c r="L15" s="46">
        <f>J15+'2 - 8 Nov 2020'!J15+'9 - 15 Nov 2020'!J15+'16 - 22 Nov 2020'!J15+'23 - 29 Nov 2020'!J15</f>
        <v>83</v>
      </c>
      <c r="M15" s="172">
        <f t="shared" si="2"/>
        <v>0.14434782608695651</v>
      </c>
      <c r="N15" s="247">
        <v>0</v>
      </c>
      <c r="O15" s="89">
        <f t="shared" si="5"/>
        <v>0</v>
      </c>
      <c r="P15" s="247">
        <v>19197.97</v>
      </c>
      <c r="Q15" s="89">
        <f t="shared" si="6"/>
        <v>0.10966756076125334</v>
      </c>
      <c r="R15" s="130">
        <v>5306.8</v>
      </c>
      <c r="S15" s="9"/>
    </row>
    <row r="16" spans="1:22" ht="15.6" customHeight="1" x14ac:dyDescent="0.3">
      <c r="A16" s="198" t="s">
        <v>27</v>
      </c>
      <c r="B16" s="200">
        <f>'23 - 29 Nov 2020'!D16</f>
        <v>126972.01</v>
      </c>
      <c r="C16" s="73">
        <v>190910.89</v>
      </c>
      <c r="D16" s="145">
        <v>148198.57999999999</v>
      </c>
      <c r="E16" s="130">
        <v>130367.89</v>
      </c>
      <c r="F16" s="163">
        <f t="shared" si="0"/>
        <v>-0.22372903923919701</v>
      </c>
      <c r="G16" s="155">
        <f t="shared" si="3"/>
        <v>0.16717519081567656</v>
      </c>
      <c r="H16" s="150">
        <v>503</v>
      </c>
      <c r="I16" s="63">
        <f t="shared" si="4"/>
        <v>294.62938369781307</v>
      </c>
      <c r="J16" s="61">
        <v>53</v>
      </c>
      <c r="K16" s="28">
        <f t="shared" si="1"/>
        <v>0.10536779324055666</v>
      </c>
      <c r="L16" s="46">
        <f>J16+'2 - 8 Nov 2020'!J16+'9 - 15 Nov 2020'!J16+'16 - 22 Nov 2020'!J16+'23 - 29 Nov 2020'!J16</f>
        <v>192</v>
      </c>
      <c r="M16" s="172">
        <f t="shared" si="2"/>
        <v>0.38170974155069581</v>
      </c>
      <c r="N16" s="247">
        <v>27114.48</v>
      </c>
      <c r="O16" s="89">
        <f t="shared" si="5"/>
        <v>0.18296045751585474</v>
      </c>
      <c r="P16" s="247">
        <v>20395.12</v>
      </c>
      <c r="Q16" s="89">
        <f t="shared" si="6"/>
        <v>0.13762021201552674</v>
      </c>
      <c r="R16" s="130">
        <v>7114</v>
      </c>
      <c r="S16" s="9"/>
      <c r="V16" s="238"/>
    </row>
    <row r="17" spans="1:19" ht="15.6" customHeight="1" x14ac:dyDescent="0.3">
      <c r="A17" s="251" t="s">
        <v>28</v>
      </c>
      <c r="B17" s="200">
        <f>'23 - 29 Nov 2020'!D17</f>
        <v>143830.57999999999</v>
      </c>
      <c r="C17" s="73">
        <v>221661.96</v>
      </c>
      <c r="D17" s="145">
        <v>192358.53</v>
      </c>
      <c r="E17" s="130">
        <v>175050.26</v>
      </c>
      <c r="F17" s="163">
        <f t="shared" si="0"/>
        <v>-0.13219873179863606</v>
      </c>
      <c r="G17" s="155">
        <f t="shared" si="3"/>
        <v>0.33739660926070114</v>
      </c>
      <c r="H17" s="150">
        <v>606</v>
      </c>
      <c r="I17" s="63">
        <f t="shared" si="4"/>
        <v>317.42331683168317</v>
      </c>
      <c r="J17" s="61">
        <v>46</v>
      </c>
      <c r="K17" s="28">
        <f t="shared" si="1"/>
        <v>7.590759075907591E-2</v>
      </c>
      <c r="L17" s="46">
        <f>J17+'2 - 8 Nov 2020'!J17+'9 - 15 Nov 2020'!J17+'16 - 22 Nov 2020'!J17+'23 - 29 Nov 2020'!J17</f>
        <v>220</v>
      </c>
      <c r="M17" s="172">
        <f t="shared" si="2"/>
        <v>0.36303630363036304</v>
      </c>
      <c r="N17" s="247">
        <v>38350.35</v>
      </c>
      <c r="O17" s="89">
        <f t="shared" si="5"/>
        <v>0.19936911557808223</v>
      </c>
      <c r="P17" s="247">
        <v>12118.22</v>
      </c>
      <c r="Q17" s="89">
        <f t="shared" si="6"/>
        <v>6.2998090076899632E-2</v>
      </c>
      <c r="R17" s="130">
        <v>2957.1</v>
      </c>
      <c r="S17" s="9"/>
    </row>
    <row r="18" spans="1:19" ht="15.6" customHeight="1" x14ac:dyDescent="0.3">
      <c r="A18" s="198" t="s">
        <v>33</v>
      </c>
      <c r="B18" s="200">
        <f>'23 - 29 Nov 2020'!D18</f>
        <v>179881.07</v>
      </c>
      <c r="C18" s="73">
        <v>208562.53</v>
      </c>
      <c r="D18" s="145">
        <v>183327.04</v>
      </c>
      <c r="E18" s="130">
        <v>167962.28</v>
      </c>
      <c r="F18" s="163">
        <f t="shared" si="0"/>
        <v>-0.12099723761502122</v>
      </c>
      <c r="G18" s="155">
        <f t="shared" si="3"/>
        <v>1.9156935190567864E-2</v>
      </c>
      <c r="H18" s="150">
        <v>634</v>
      </c>
      <c r="I18" s="63">
        <f t="shared" si="4"/>
        <v>289.15936908517352</v>
      </c>
      <c r="J18" s="61">
        <v>52</v>
      </c>
      <c r="K18" s="28">
        <f t="shared" si="1"/>
        <v>8.2018927444794956E-2</v>
      </c>
      <c r="L18" s="46">
        <f>J18+'2 - 8 Nov 2020'!J18+'9 - 15 Nov 2020'!J18+'16 - 22 Nov 2020'!J18+'23 - 29 Nov 2020'!J18</f>
        <v>240</v>
      </c>
      <c r="M18" s="172">
        <f t="shared" si="2"/>
        <v>0.37854889589905361</v>
      </c>
      <c r="N18" s="247">
        <v>22342.48</v>
      </c>
      <c r="O18" s="89">
        <f t="shared" si="5"/>
        <v>0.12187225626945157</v>
      </c>
      <c r="P18" s="247">
        <v>14498.57</v>
      </c>
      <c r="Q18" s="89">
        <f t="shared" si="6"/>
        <v>7.9085823891554677E-2</v>
      </c>
      <c r="R18" s="130">
        <v>5643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400" priority="9" operator="equal">
      <formula>0</formula>
    </cfRule>
  </conditionalFormatting>
  <conditionalFormatting sqref="D7:E19">
    <cfRule type="cellIs" dxfId="399" priority="8" operator="equal">
      <formula>0</formula>
    </cfRule>
  </conditionalFormatting>
  <conditionalFormatting sqref="F6:R19">
    <cfRule type="cellIs" dxfId="39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V41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-0.25464685659950825</v>
      </c>
      <c r="G2" s="400">
        <f>(((D4-D19-B19)-B4)/D4)</f>
        <v>6.058742188579902E-2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2398712</v>
      </c>
      <c r="C4" s="135">
        <f>SUM(C6:C19)-C14-C19</f>
        <v>3425781.42</v>
      </c>
      <c r="D4" s="142">
        <f>SUM(D6:D19)-D19</f>
        <v>2553416.9500000002</v>
      </c>
      <c r="E4" s="142">
        <f>SUM(E6:E19)-E19</f>
        <v>4746498.4200000009</v>
      </c>
      <c r="F4" s="217">
        <f t="shared" ref="F4:F19" si="0">IFERROR((SUM(D4-C4)/C4),0)</f>
        <v>-0.25464685659950825</v>
      </c>
      <c r="G4" s="217">
        <f>IFERROR((SUM(D4-B4)/D4),0)</f>
        <v>6.058742188579902E-2</v>
      </c>
      <c r="H4" s="147">
        <f>SUM(H6:H19)</f>
        <v>8496</v>
      </c>
      <c r="I4" s="218">
        <f>AVERAGE(I5:I19)</f>
        <v>252.87667205637371</v>
      </c>
      <c r="J4" s="219">
        <f>SUM(J6:J19)</f>
        <v>850</v>
      </c>
      <c r="K4" s="220">
        <f t="shared" ref="K4:K19" si="1">IFERROR(J4/H4,0)</f>
        <v>0.10004708097928437</v>
      </c>
      <c r="L4" s="221">
        <f>SUM(L6:L19)</f>
        <v>3781</v>
      </c>
      <c r="M4" s="222">
        <f t="shared" ref="M4:M19" si="2">IFERROR(L4/SUM(H4),0)</f>
        <v>0.44503295668549908</v>
      </c>
      <c r="N4" s="249">
        <f>SUM(N6:N19)</f>
        <v>319840.82</v>
      </c>
      <c r="O4" s="222">
        <f>SUM(N4/D4)</f>
        <v>0.12525992670331415</v>
      </c>
      <c r="P4" s="244">
        <f>SUM(P6:P19)</f>
        <v>174090.06999999998</v>
      </c>
      <c r="Q4" s="222">
        <f>SUM(P4/D4)</f>
        <v>6.8179256818985234E-2</v>
      </c>
      <c r="R4" s="257">
        <f>SUM(R6:R19)</f>
        <v>111653.25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'30 Nov - 6 Dec 2020'!D6</f>
        <v>237187.54</v>
      </c>
      <c r="C6" s="255">
        <v>316187.89</v>
      </c>
      <c r="D6" s="197">
        <v>211933.97</v>
      </c>
      <c r="E6" s="254">
        <v>434355.11</v>
      </c>
      <c r="F6" s="162">
        <f t="shared" si="0"/>
        <v>-0.32972141975456432</v>
      </c>
      <c r="G6" s="154">
        <f t="shared" ref="G6:G19" si="3">IFERROR((SUM(D6-B6)/B6),0)</f>
        <v>-0.10647089640543515</v>
      </c>
      <c r="H6" s="149">
        <v>754</v>
      </c>
      <c r="I6" s="256">
        <f t="shared" ref="I6:I19" si="4">IFERROR(D6/H6,0)</f>
        <v>281.07953580901858</v>
      </c>
      <c r="J6" s="125">
        <v>78</v>
      </c>
      <c r="K6" s="126">
        <f t="shared" si="1"/>
        <v>0.10344827586206896</v>
      </c>
      <c r="L6" s="46">
        <f>J6+'2 - 8 Nov 2020'!J6+'9 - 15 Nov 2020'!J6+'16 - 22 Nov 2020'!J6+'23 - 29 Nov 2020'!J6+'30 Nov - 6 Dec 2020'!J6</f>
        <v>372</v>
      </c>
      <c r="M6" s="171">
        <f t="shared" si="2"/>
        <v>0.49336870026525198</v>
      </c>
      <c r="N6" s="246">
        <v>50601.13</v>
      </c>
      <c r="O6" s="128">
        <f t="shared" ref="O6:O19" si="5">SUM(N6/D6)</f>
        <v>0.23875893987169683</v>
      </c>
      <c r="P6" s="247">
        <v>0</v>
      </c>
      <c r="Q6" s="128">
        <f t="shared" ref="Q6:Q19" si="6">SUM(P6/D6)</f>
        <v>0</v>
      </c>
      <c r="R6" s="129">
        <v>13846.6</v>
      </c>
      <c r="S6" s="26"/>
    </row>
    <row r="7" spans="1:22" ht="15.6" customHeight="1" x14ac:dyDescent="0.3">
      <c r="A7" s="409" t="s">
        <v>16</v>
      </c>
      <c r="B7" s="200">
        <f>'30 Nov - 6 Dec 2020'!D7</f>
        <v>354852.1</v>
      </c>
      <c r="C7" s="73">
        <v>537525.52</v>
      </c>
      <c r="D7" s="145">
        <v>399085.56</v>
      </c>
      <c r="E7" s="130">
        <v>735495.51</v>
      </c>
      <c r="F7" s="163">
        <f t="shared" si="0"/>
        <v>-0.25755048802148039</v>
      </c>
      <c r="G7" s="155">
        <f t="shared" si="3"/>
        <v>0.12465322876770357</v>
      </c>
      <c r="H7" s="150">
        <v>1040</v>
      </c>
      <c r="I7" s="63">
        <f t="shared" si="4"/>
        <v>383.7361153846154</v>
      </c>
      <c r="J7" s="61">
        <v>140</v>
      </c>
      <c r="K7" s="28">
        <f t="shared" si="1"/>
        <v>0.13461538461538461</v>
      </c>
      <c r="L7" s="46">
        <f>J7+'2 - 8 Nov 2020'!J7+'9 - 15 Nov 2020'!J7+'16 - 22 Nov 2020'!J7+'23 - 29 Nov 2020'!J7+'30 Nov - 6 Dec 2020'!J7</f>
        <v>495</v>
      </c>
      <c r="M7" s="172">
        <f t="shared" si="2"/>
        <v>0.47596153846153844</v>
      </c>
      <c r="N7" s="247">
        <v>18232.21</v>
      </c>
      <c r="O7" s="89">
        <f t="shared" si="5"/>
        <v>4.5684965399399563E-2</v>
      </c>
      <c r="P7" s="247">
        <v>12319.57</v>
      </c>
      <c r="Q7" s="89">
        <f t="shared" si="6"/>
        <v>3.0869495754243775E-2</v>
      </c>
      <c r="R7" s="130">
        <v>19616.099999999999</v>
      </c>
      <c r="S7" s="26"/>
    </row>
    <row r="8" spans="1:22" ht="15.6" customHeight="1" x14ac:dyDescent="0.3">
      <c r="A8" s="409" t="s">
        <v>17</v>
      </c>
      <c r="B8" s="200">
        <f>'30 Nov - 6 Dec 2020'!D8</f>
        <v>103296.92</v>
      </c>
      <c r="C8" s="73">
        <v>129151.53</v>
      </c>
      <c r="D8" s="145">
        <v>105332.63</v>
      </c>
      <c r="E8" s="130">
        <v>200699.98</v>
      </c>
      <c r="F8" s="163">
        <f t="shared" si="0"/>
        <v>-0.1844259994442187</v>
      </c>
      <c r="G8" s="155">
        <f t="shared" si="3"/>
        <v>1.9707363975615212E-2</v>
      </c>
      <c r="H8" s="150">
        <v>384</v>
      </c>
      <c r="I8" s="63">
        <f t="shared" si="4"/>
        <v>274.30372395833336</v>
      </c>
      <c r="J8" s="61">
        <v>35</v>
      </c>
      <c r="K8" s="28">
        <f t="shared" si="1"/>
        <v>9.1145833333333329E-2</v>
      </c>
      <c r="L8" s="46">
        <f>J8+'2 - 8 Nov 2020'!J8+'9 - 15 Nov 2020'!J8+'16 - 22 Nov 2020'!J8+'23 - 29 Nov 2020'!J8+'30 Nov - 6 Dec 2020'!J8</f>
        <v>235</v>
      </c>
      <c r="M8" s="172">
        <f t="shared" si="2"/>
        <v>0.61197916666666663</v>
      </c>
      <c r="N8" s="247">
        <v>24792.48</v>
      </c>
      <c r="O8" s="89">
        <f t="shared" si="5"/>
        <v>0.23537321720724147</v>
      </c>
      <c r="P8" s="247">
        <v>10616.09</v>
      </c>
      <c r="Q8" s="89">
        <f t="shared" si="6"/>
        <v>0.1007863375290259</v>
      </c>
      <c r="R8" s="130">
        <v>3706.5</v>
      </c>
      <c r="S8" s="26"/>
    </row>
    <row r="9" spans="1:22" ht="15.6" customHeight="1" x14ac:dyDescent="0.3">
      <c r="A9" s="409" t="s">
        <v>18</v>
      </c>
      <c r="B9" s="200">
        <f>'30 Nov - 6 Dec 2020'!D9</f>
        <v>269423.21000000002</v>
      </c>
      <c r="C9" s="73">
        <v>461868.74</v>
      </c>
      <c r="D9" s="145">
        <v>348302.25</v>
      </c>
      <c r="E9" s="130">
        <v>591243.23</v>
      </c>
      <c r="F9" s="163">
        <f t="shared" si="0"/>
        <v>-0.24588477237060899</v>
      </c>
      <c r="G9" s="155">
        <f t="shared" si="3"/>
        <v>0.29277002526990892</v>
      </c>
      <c r="H9" s="150">
        <v>1159</v>
      </c>
      <c r="I9" s="63">
        <f t="shared" si="4"/>
        <v>300.51962899050903</v>
      </c>
      <c r="J9" s="61">
        <v>136</v>
      </c>
      <c r="K9" s="28">
        <f t="shared" si="1"/>
        <v>0.11734253666954271</v>
      </c>
      <c r="L9" s="46">
        <f>J9+'2 - 8 Nov 2020'!J9+'9 - 15 Nov 2020'!J9+'16 - 22 Nov 2020'!J9+'23 - 29 Nov 2020'!J9+'30 Nov - 6 Dec 2020'!J9</f>
        <v>491</v>
      </c>
      <c r="M9" s="172">
        <f t="shared" si="2"/>
        <v>0.42364106988783434</v>
      </c>
      <c r="N9" s="247">
        <v>19618.849999999999</v>
      </c>
      <c r="O9" s="89">
        <f t="shared" si="5"/>
        <v>5.6327083732591446E-2</v>
      </c>
      <c r="P9" s="247">
        <v>20722.09</v>
      </c>
      <c r="Q9" s="89">
        <f t="shared" si="6"/>
        <v>5.9494562553069924E-2</v>
      </c>
      <c r="R9" s="130">
        <v>13619.1</v>
      </c>
      <c r="S9" s="26"/>
    </row>
    <row r="10" spans="1:22" ht="15.6" customHeight="1" x14ac:dyDescent="0.3">
      <c r="A10" s="411" t="s">
        <v>20</v>
      </c>
      <c r="B10" s="200">
        <f>'30 Nov - 6 Dec 2020'!D10</f>
        <v>158423.91</v>
      </c>
      <c r="C10" s="73">
        <v>140709.13</v>
      </c>
      <c r="D10" s="145">
        <v>155504.39000000001</v>
      </c>
      <c r="E10" s="130">
        <v>300726.64</v>
      </c>
      <c r="F10" s="163">
        <f t="shared" si="0"/>
        <v>0.10514783226930625</v>
      </c>
      <c r="G10" s="155">
        <f t="shared" si="3"/>
        <v>-1.8428531400342219E-2</v>
      </c>
      <c r="H10" s="150">
        <v>535</v>
      </c>
      <c r="I10" s="63">
        <f t="shared" si="4"/>
        <v>290.66241121495329</v>
      </c>
      <c r="J10" s="61">
        <v>75</v>
      </c>
      <c r="K10" s="28">
        <f t="shared" si="1"/>
        <v>0.14018691588785046</v>
      </c>
      <c r="L10" s="46">
        <f>J10+'2 - 8 Nov 2020'!J10+'9 - 15 Nov 2020'!J10+'16 - 22 Nov 2020'!J10+'23 - 29 Nov 2020'!J10+'30 Nov - 6 Dec 2020'!J10</f>
        <v>365</v>
      </c>
      <c r="M10" s="172">
        <f t="shared" si="2"/>
        <v>0.68224299065420557</v>
      </c>
      <c r="N10" s="247">
        <v>39198.67</v>
      </c>
      <c r="O10" s="89">
        <f t="shared" si="5"/>
        <v>0.25207436265947214</v>
      </c>
      <c r="P10" s="247">
        <v>21482.35</v>
      </c>
      <c r="Q10" s="89">
        <f t="shared" si="6"/>
        <v>0.13814626069399066</v>
      </c>
      <c r="R10" s="130">
        <v>5278.5</v>
      </c>
      <c r="S10" s="26"/>
    </row>
    <row r="11" spans="1:22" ht="15.6" customHeight="1" x14ac:dyDescent="0.3">
      <c r="A11" s="409" t="s">
        <v>21</v>
      </c>
      <c r="B11" s="200">
        <f>'30 Nov - 6 Dec 2020'!D11</f>
        <v>277968.48</v>
      </c>
      <c r="C11" s="73">
        <v>423448.09</v>
      </c>
      <c r="D11" s="145">
        <v>272045.12</v>
      </c>
      <c r="E11" s="130">
        <v>527788.32999999996</v>
      </c>
      <c r="F11" s="163">
        <f t="shared" si="0"/>
        <v>-0.35754788739276172</v>
      </c>
      <c r="G11" s="155">
        <f t="shared" si="3"/>
        <v>-2.1309466454613797E-2</v>
      </c>
      <c r="H11" s="150">
        <v>962</v>
      </c>
      <c r="I11" s="63">
        <f t="shared" si="4"/>
        <v>282.79118503118502</v>
      </c>
      <c r="J11" s="61">
        <v>80</v>
      </c>
      <c r="K11" s="28">
        <f t="shared" si="1"/>
        <v>8.3160083160083165E-2</v>
      </c>
      <c r="L11" s="46">
        <f>J11+'2 - 8 Nov 2020'!J11+'9 - 15 Nov 2020'!J11+'16 - 22 Nov 2020'!J11+'23 - 29 Nov 2020'!J11+'30 Nov - 6 Dec 2020'!J11</f>
        <v>405</v>
      </c>
      <c r="M11" s="172">
        <f t="shared" si="2"/>
        <v>0.42099792099792099</v>
      </c>
      <c r="N11" s="247">
        <v>40563.120000000003</v>
      </c>
      <c r="O11" s="89">
        <f t="shared" si="5"/>
        <v>0.14910438386103012</v>
      </c>
      <c r="P11" s="247">
        <v>19763.13</v>
      </c>
      <c r="Q11" s="89">
        <f t="shared" si="6"/>
        <v>7.2646515401562806E-2</v>
      </c>
      <c r="R11" s="130">
        <v>12094</v>
      </c>
      <c r="S11" s="26"/>
    </row>
    <row r="12" spans="1:22" ht="15.6" customHeight="1" x14ac:dyDescent="0.3">
      <c r="A12" s="198" t="s">
        <v>22</v>
      </c>
      <c r="B12" s="200">
        <f>'30 Nov - 6 Dec 2020'!D12</f>
        <v>107695.94</v>
      </c>
      <c r="C12" s="73">
        <v>163386.12</v>
      </c>
      <c r="D12" s="145">
        <v>110968.88</v>
      </c>
      <c r="E12" s="130">
        <v>206727.04000000001</v>
      </c>
      <c r="F12" s="163">
        <f t="shared" si="0"/>
        <v>-0.32081819434845499</v>
      </c>
      <c r="G12" s="155">
        <f t="shared" si="3"/>
        <v>3.0390560684088949E-2</v>
      </c>
      <c r="H12" s="150">
        <v>423</v>
      </c>
      <c r="I12" s="63">
        <f t="shared" si="4"/>
        <v>262.33777777777777</v>
      </c>
      <c r="J12" s="61">
        <v>35</v>
      </c>
      <c r="K12" s="28">
        <f t="shared" si="1"/>
        <v>8.2742316784869971E-2</v>
      </c>
      <c r="L12" s="46">
        <f>J12+'2 - 8 Nov 2020'!J12+'9 - 15 Nov 2020'!J12+'16 - 22 Nov 2020'!J12+'23 - 29 Nov 2020'!J12+'30 Nov - 6 Dec 2020'!J12</f>
        <v>153</v>
      </c>
      <c r="M12" s="172">
        <f t="shared" si="2"/>
        <v>0.36170212765957449</v>
      </c>
      <c r="N12" s="247">
        <v>15024.35</v>
      </c>
      <c r="O12" s="89">
        <f t="shared" si="5"/>
        <v>0.13539246318427292</v>
      </c>
      <c r="P12" s="247">
        <v>8674.65</v>
      </c>
      <c r="Q12" s="89">
        <f t="shared" si="6"/>
        <v>7.8171916306625774E-2</v>
      </c>
      <c r="R12" s="130">
        <v>9448.5</v>
      </c>
      <c r="S12" s="26"/>
    </row>
    <row r="13" spans="1:22" ht="15.6" customHeight="1" x14ac:dyDescent="0.3">
      <c r="A13" s="198" t="s">
        <v>23</v>
      </c>
      <c r="B13" s="200">
        <f>'30 Nov - 6 Dec 2020'!D13</f>
        <v>190923.7</v>
      </c>
      <c r="C13" s="73">
        <v>219828.87</v>
      </c>
      <c r="D13" s="145">
        <v>221561.43</v>
      </c>
      <c r="E13" s="130">
        <v>389682.87</v>
      </c>
      <c r="F13" s="163">
        <f t="shared" si="0"/>
        <v>7.8814033843689311E-3</v>
      </c>
      <c r="G13" s="155">
        <f t="shared" si="3"/>
        <v>0.16047106776162404</v>
      </c>
      <c r="H13" s="150">
        <v>746</v>
      </c>
      <c r="I13" s="63">
        <f t="shared" si="4"/>
        <v>296.99923592493298</v>
      </c>
      <c r="J13" s="61">
        <v>63</v>
      </c>
      <c r="K13" s="28">
        <f t="shared" si="1"/>
        <v>8.4450402144772119E-2</v>
      </c>
      <c r="L13" s="46">
        <f>J13+'2 - 8 Nov 2020'!J13+'9 - 15 Nov 2020'!J13+'16 - 22 Nov 2020'!J13+'23 - 29 Nov 2020'!J13+'30 Nov - 6 Dec 2020'!J13</f>
        <v>322</v>
      </c>
      <c r="M13" s="172">
        <f t="shared" si="2"/>
        <v>0.43163538873994639</v>
      </c>
      <c r="N13" s="247">
        <v>23855.7</v>
      </c>
      <c r="O13" s="89">
        <f t="shared" si="5"/>
        <v>0.107670816170486</v>
      </c>
      <c r="P13" s="247">
        <v>19497.740000000002</v>
      </c>
      <c r="Q13" s="89">
        <f t="shared" si="6"/>
        <v>8.8001508204744852E-2</v>
      </c>
      <c r="R13" s="130">
        <v>9461</v>
      </c>
      <c r="S13" s="26"/>
    </row>
    <row r="14" spans="1:22" ht="15.6" hidden="1" customHeight="1" x14ac:dyDescent="0.3">
      <c r="A14" s="198" t="s">
        <v>24</v>
      </c>
      <c r="B14" s="200">
        <f>'30 Nov - 6 Dec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'30 Nov - 6 Dec 2020'!D15</f>
        <v>175056.05</v>
      </c>
      <c r="C15" s="73">
        <v>423907.22</v>
      </c>
      <c r="D15" s="145">
        <v>235811.02</v>
      </c>
      <c r="E15" s="130">
        <v>393527.58</v>
      </c>
      <c r="F15" s="163">
        <f t="shared" si="0"/>
        <v>-0.44372020839843207</v>
      </c>
      <c r="G15" s="155">
        <f t="shared" si="3"/>
        <v>0.34706009875122856</v>
      </c>
      <c r="H15" s="150">
        <v>777</v>
      </c>
      <c r="I15" s="63">
        <f t="shared" si="4"/>
        <v>303.48908622908624</v>
      </c>
      <c r="J15" s="61">
        <v>59</v>
      </c>
      <c r="K15" s="28">
        <f t="shared" si="1"/>
        <v>7.5933075933075939E-2</v>
      </c>
      <c r="L15" s="46">
        <f>J15+'2 - 8 Nov 2020'!J15+'9 - 15 Nov 2020'!J15+'16 - 22 Nov 2020'!J15+'23 - 29 Nov 2020'!J15+'30 Nov - 6 Dec 2020'!J15</f>
        <v>142</v>
      </c>
      <c r="M15" s="172">
        <f t="shared" si="2"/>
        <v>0.18275418275418276</v>
      </c>
      <c r="N15" s="247">
        <v>0</v>
      </c>
      <c r="O15" s="89">
        <f t="shared" si="5"/>
        <v>0</v>
      </c>
      <c r="P15" s="247">
        <v>23105.22</v>
      </c>
      <c r="Q15" s="89">
        <f t="shared" si="6"/>
        <v>9.7981934856140318E-2</v>
      </c>
      <c r="R15" s="130">
        <v>5109.05</v>
      </c>
      <c r="S15" s="9"/>
    </row>
    <row r="16" spans="1:22" ht="15.6" customHeight="1" x14ac:dyDescent="0.3">
      <c r="A16" s="198" t="s">
        <v>27</v>
      </c>
      <c r="B16" s="200">
        <f>'30 Nov - 6 Dec 2020'!D16</f>
        <v>148198.57999999999</v>
      </c>
      <c r="C16" s="73">
        <v>171875.61</v>
      </c>
      <c r="D16" s="145">
        <v>149536.15</v>
      </c>
      <c r="E16" s="130">
        <v>279904.03999999998</v>
      </c>
      <c r="F16" s="163">
        <f t="shared" si="0"/>
        <v>-0.12997457870840426</v>
      </c>
      <c r="G16" s="155">
        <f t="shared" si="3"/>
        <v>9.0255250758813424E-3</v>
      </c>
      <c r="H16" s="150">
        <v>491</v>
      </c>
      <c r="I16" s="63">
        <f t="shared" si="4"/>
        <v>304.55427698574334</v>
      </c>
      <c r="J16" s="61">
        <v>51</v>
      </c>
      <c r="K16" s="28">
        <f t="shared" si="1"/>
        <v>0.10386965376782077</v>
      </c>
      <c r="L16" s="46">
        <f>J16+'2 - 8 Nov 2020'!J16+'9 - 15 Nov 2020'!J16+'16 - 22 Nov 2020'!J16+'23 - 29 Nov 2020'!J16+'30 Nov - 6 Dec 2020'!J16</f>
        <v>243</v>
      </c>
      <c r="M16" s="172">
        <f t="shared" si="2"/>
        <v>0.49490835030549896</v>
      </c>
      <c r="N16" s="247">
        <v>28845.96</v>
      </c>
      <c r="O16" s="89">
        <f t="shared" si="5"/>
        <v>0.19290292013001539</v>
      </c>
      <c r="P16" s="247">
        <v>15610.28</v>
      </c>
      <c r="Q16" s="89">
        <f t="shared" si="6"/>
        <v>0.10439134617281508</v>
      </c>
      <c r="R16" s="130">
        <v>11341.8</v>
      </c>
      <c r="S16" s="9"/>
      <c r="V16" s="238"/>
    </row>
    <row r="17" spans="1:19" ht="15.6" customHeight="1" x14ac:dyDescent="0.3">
      <c r="A17" s="251" t="s">
        <v>28</v>
      </c>
      <c r="B17" s="200">
        <f>'30 Nov - 6 Dec 2020'!D17</f>
        <v>192358.53</v>
      </c>
      <c r="C17" s="73">
        <v>248340.4</v>
      </c>
      <c r="D17" s="145">
        <v>185388.01</v>
      </c>
      <c r="E17" s="130">
        <v>360438.27</v>
      </c>
      <c r="F17" s="163">
        <f t="shared" si="0"/>
        <v>-0.2534923435735788</v>
      </c>
      <c r="G17" s="155">
        <f t="shared" si="3"/>
        <v>-3.623712449871596E-2</v>
      </c>
      <c r="H17" s="150">
        <v>647</v>
      </c>
      <c r="I17" s="63">
        <f t="shared" si="4"/>
        <v>286.53479134466772</v>
      </c>
      <c r="J17" s="61">
        <v>50</v>
      </c>
      <c r="K17" s="28">
        <f t="shared" si="1"/>
        <v>7.7279752704791344E-2</v>
      </c>
      <c r="L17" s="46">
        <f>J17+'2 - 8 Nov 2020'!J17+'9 - 15 Nov 2020'!J17+'16 - 22 Nov 2020'!J17+'23 - 29 Nov 2020'!J17+'30 Nov - 6 Dec 2020'!J17</f>
        <v>270</v>
      </c>
      <c r="M17" s="172">
        <f t="shared" si="2"/>
        <v>0.41731066460587324</v>
      </c>
      <c r="N17" s="247">
        <v>38553.699999999997</v>
      </c>
      <c r="O17" s="89">
        <f t="shared" si="5"/>
        <v>0.20796220855922665</v>
      </c>
      <c r="P17" s="247">
        <v>10905.21</v>
      </c>
      <c r="Q17" s="89">
        <f t="shared" si="6"/>
        <v>5.8823707099504428E-2</v>
      </c>
      <c r="R17" s="130">
        <v>2484</v>
      </c>
      <c r="S17" s="9"/>
    </row>
    <row r="18" spans="1:19" ht="15.6" customHeight="1" x14ac:dyDescent="0.3">
      <c r="A18" s="198" t="s">
        <v>33</v>
      </c>
      <c r="B18" s="200">
        <f>'30 Nov - 6 Dec 2020'!D18</f>
        <v>183327.04</v>
      </c>
      <c r="C18" s="73">
        <v>189552.3</v>
      </c>
      <c r="D18" s="145">
        <v>157947.54</v>
      </c>
      <c r="E18" s="130">
        <v>325909.82</v>
      </c>
      <c r="F18" s="163">
        <f t="shared" si="0"/>
        <v>-0.16673371940092513</v>
      </c>
      <c r="G18" s="155">
        <f t="shared" si="3"/>
        <v>-0.13843838857595692</v>
      </c>
      <c r="H18" s="150">
        <v>578</v>
      </c>
      <c r="I18" s="63">
        <f t="shared" si="4"/>
        <v>273.26564013840834</v>
      </c>
      <c r="J18" s="61">
        <v>48</v>
      </c>
      <c r="K18" s="28">
        <f t="shared" si="1"/>
        <v>8.3044982698961933E-2</v>
      </c>
      <c r="L18" s="46">
        <f>J18+'2 - 8 Nov 2020'!J18+'9 - 15 Nov 2020'!J18+'16 - 22 Nov 2020'!J18+'23 - 29 Nov 2020'!J18+'30 Nov - 6 Dec 2020'!J18</f>
        <v>288</v>
      </c>
      <c r="M18" s="172">
        <f t="shared" si="2"/>
        <v>0.4982698961937716</v>
      </c>
      <c r="N18" s="247">
        <v>20554.650000000001</v>
      </c>
      <c r="O18" s="89">
        <f t="shared" si="5"/>
        <v>0.13013592994230869</v>
      </c>
      <c r="P18" s="247">
        <v>11393.74</v>
      </c>
      <c r="Q18" s="89">
        <f t="shared" si="6"/>
        <v>7.2136229535452082E-2</v>
      </c>
      <c r="R18" s="130">
        <v>5648.1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97" priority="9" operator="equal">
      <formula>0</formula>
    </cfRule>
  </conditionalFormatting>
  <conditionalFormatting sqref="D7:E19">
    <cfRule type="cellIs" dxfId="396" priority="8" operator="equal">
      <formula>0</formula>
    </cfRule>
  </conditionalFormatting>
  <conditionalFormatting sqref="F6:R19">
    <cfRule type="cellIs" dxfId="39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V41"/>
  <sheetViews>
    <sheetView zoomScale="70" zoomScaleNormal="70" workbookViewId="0">
      <pane xSplit="1" topLeftCell="B1" activePane="topRight" state="frozen"/>
      <selection pane="topRight" activeCell="F2" sqref="F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-0.20153411213299632</v>
      </c>
      <c r="G2" s="400">
        <f>(((D4-D19-B19)-B4)/D4)</f>
        <v>3.2755252807930464E-2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2553416.9500000002</v>
      </c>
      <c r="C4" s="135">
        <f>SUM(C6:C19)-C14-C19</f>
        <v>3306199</v>
      </c>
      <c r="D4" s="142">
        <f>SUM(D6:D19)-D19</f>
        <v>2639887.1199999996</v>
      </c>
      <c r="E4" s="142">
        <f>SUM(E6:E19)-E19</f>
        <v>7453636.1299999999</v>
      </c>
      <c r="F4" s="217">
        <f t="shared" ref="F4:F19" si="0">IFERROR((SUM(D4-C4)/C4),0)</f>
        <v>-0.20153411213299632</v>
      </c>
      <c r="G4" s="217">
        <f>IFERROR((SUM(D4-B4)/D4),0)</f>
        <v>3.2755252807930464E-2</v>
      </c>
      <c r="H4" s="147">
        <f>SUM(H6:H19)</f>
        <v>8753</v>
      </c>
      <c r="I4" s="218">
        <f>AVERAGE(I5:I19)</f>
        <v>251.26106062711634</v>
      </c>
      <c r="J4" s="219">
        <f>SUM(J6:J19)</f>
        <v>892</v>
      </c>
      <c r="K4" s="220">
        <f t="shared" ref="K4:K19" si="1">IFERROR(J4/H4,0)</f>
        <v>0.10190791728550211</v>
      </c>
      <c r="L4" s="221">
        <f>SUM(L6:L19)</f>
        <v>4673</v>
      </c>
      <c r="M4" s="222">
        <f t="shared" ref="M4:M19" si="2">IFERROR(L4/SUM(H4),0)</f>
        <v>0.53387410030846572</v>
      </c>
      <c r="N4" s="249">
        <f>SUM(N6:N19)</f>
        <v>308043.35999999993</v>
      </c>
      <c r="O4" s="222">
        <f>SUM(N4/D4)</f>
        <v>0.11668808020852042</v>
      </c>
      <c r="P4" s="244">
        <f>SUM(P6:P19)</f>
        <v>184887.78</v>
      </c>
      <c r="Q4" s="222">
        <f>SUM(P4/D4)</f>
        <v>7.0036244580033422E-2</v>
      </c>
      <c r="R4" s="257">
        <f>SUM(R6:R19)</f>
        <v>108321.45000000001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'7 - 13 Dec 2020'!D6</f>
        <v>211933.97</v>
      </c>
      <c r="C6" s="255">
        <v>332934.52</v>
      </c>
      <c r="D6" s="197">
        <v>237883.58</v>
      </c>
      <c r="E6" s="254">
        <v>672238.69</v>
      </c>
      <c r="F6" s="162">
        <f t="shared" si="0"/>
        <v>-0.28549439691624656</v>
      </c>
      <c r="G6" s="154">
        <f t="shared" ref="G6:G19" si="3">IFERROR((SUM(D6-B6)/B6),0)</f>
        <v>0.12244195680381011</v>
      </c>
      <c r="H6" s="149">
        <v>790</v>
      </c>
      <c r="I6" s="256">
        <f t="shared" ref="I6:I19" si="4">IFERROR(D6/H6,0)</f>
        <v>301.11845569620249</v>
      </c>
      <c r="J6" s="125">
        <v>79</v>
      </c>
      <c r="K6" s="126">
        <f t="shared" si="1"/>
        <v>0.1</v>
      </c>
      <c r="L6" s="46">
        <f>J6+'2 - 8 Nov 2020'!J6+'9 - 15 Nov 2020'!J6+'16 - 22 Nov 2020'!J6+'23 - 29 Nov 2020'!J6+'30 Nov - 6 Dec 2020'!J6+'7 - 13 Dec 2020'!J6</f>
        <v>451</v>
      </c>
      <c r="M6" s="171">
        <f t="shared" si="2"/>
        <v>0.57088607594936713</v>
      </c>
      <c r="N6" s="246">
        <v>41859.699999999997</v>
      </c>
      <c r="O6" s="128">
        <f t="shared" ref="O6:O19" si="5">SUM(N6/D6)</f>
        <v>0.17596716847795885</v>
      </c>
      <c r="P6" s="247">
        <v>0</v>
      </c>
      <c r="Q6" s="128">
        <f t="shared" ref="Q6:Q19" si="6">SUM(P6/D6)</f>
        <v>0</v>
      </c>
      <c r="R6" s="129">
        <v>7953.6</v>
      </c>
      <c r="S6" s="26"/>
    </row>
    <row r="7" spans="1:22" ht="15.6" customHeight="1" x14ac:dyDescent="0.3">
      <c r="A7" s="409" t="s">
        <v>16</v>
      </c>
      <c r="B7" s="200">
        <f>'7 - 13 Dec 2020'!D7</f>
        <v>399085.56</v>
      </c>
      <c r="C7" s="73">
        <v>503613.1</v>
      </c>
      <c r="D7" s="145">
        <v>387463.59</v>
      </c>
      <c r="E7" s="130">
        <v>1122959.1000000001</v>
      </c>
      <c r="F7" s="163">
        <f t="shared" si="0"/>
        <v>-0.23063242397785116</v>
      </c>
      <c r="G7" s="155">
        <f t="shared" si="3"/>
        <v>-2.9121499660373511E-2</v>
      </c>
      <c r="H7" s="150">
        <v>1077</v>
      </c>
      <c r="I7" s="63">
        <f t="shared" si="4"/>
        <v>359.76192200557108</v>
      </c>
      <c r="J7" s="61">
        <v>159</v>
      </c>
      <c r="K7" s="28">
        <f t="shared" si="1"/>
        <v>0.14763231197771587</v>
      </c>
      <c r="L7" s="46">
        <f>J7+'2 - 8 Nov 2020'!J7+'9 - 15 Nov 2020'!J7+'16 - 22 Nov 2020'!J7+'23 - 29 Nov 2020'!J7+'30 Nov - 6 Dec 2020'!J7+'7 - 13 Dec 2020'!J7</f>
        <v>654</v>
      </c>
      <c r="M7" s="172">
        <f t="shared" si="2"/>
        <v>0.60724233983286913</v>
      </c>
      <c r="N7" s="247">
        <v>24842.35</v>
      </c>
      <c r="O7" s="89">
        <f t="shared" si="5"/>
        <v>6.4115314680277438E-2</v>
      </c>
      <c r="P7" s="247">
        <v>15419.26</v>
      </c>
      <c r="Q7" s="89">
        <f t="shared" si="6"/>
        <v>3.9795377934737038E-2</v>
      </c>
      <c r="R7" s="130">
        <v>20673.2</v>
      </c>
      <c r="S7" s="26"/>
    </row>
    <row r="8" spans="1:22" ht="15.6" customHeight="1" x14ac:dyDescent="0.3">
      <c r="A8" s="409" t="s">
        <v>17</v>
      </c>
      <c r="B8" s="200">
        <f>'7 - 13 Dec 2020'!D8</f>
        <v>105332.63</v>
      </c>
      <c r="C8" s="73">
        <v>105968.29</v>
      </c>
      <c r="D8" s="145">
        <v>106325.81</v>
      </c>
      <c r="E8" s="130">
        <v>307025.78999999998</v>
      </c>
      <c r="F8" s="163">
        <f t="shared" si="0"/>
        <v>3.3738394759413792E-3</v>
      </c>
      <c r="G8" s="155">
        <f t="shared" si="3"/>
        <v>9.428987010008133E-3</v>
      </c>
      <c r="H8" s="150">
        <v>392</v>
      </c>
      <c r="I8" s="63">
        <f t="shared" si="4"/>
        <v>271.23931122448977</v>
      </c>
      <c r="J8" s="61">
        <v>42</v>
      </c>
      <c r="K8" s="28">
        <f t="shared" si="1"/>
        <v>0.10714285714285714</v>
      </c>
      <c r="L8" s="46">
        <f>J8+'2 - 8 Nov 2020'!J8+'9 - 15 Nov 2020'!J8+'16 - 22 Nov 2020'!J8+'23 - 29 Nov 2020'!J8+'30 Nov - 6 Dec 2020'!J8+'7 - 13 Dec 2020'!J8</f>
        <v>277</v>
      </c>
      <c r="M8" s="172">
        <f t="shared" si="2"/>
        <v>0.70663265306122447</v>
      </c>
      <c r="N8" s="247">
        <v>23105.65</v>
      </c>
      <c r="O8" s="89">
        <f t="shared" si="5"/>
        <v>0.21730988929216719</v>
      </c>
      <c r="P8" s="247">
        <v>19377.39</v>
      </c>
      <c r="Q8" s="89">
        <f t="shared" si="6"/>
        <v>0.18224540212766777</v>
      </c>
      <c r="R8" s="130">
        <v>2778</v>
      </c>
      <c r="S8" s="26"/>
    </row>
    <row r="9" spans="1:22" ht="15.6" customHeight="1" x14ac:dyDescent="0.3">
      <c r="A9" s="409" t="s">
        <v>18</v>
      </c>
      <c r="B9" s="200">
        <f>'7 - 13 Dec 2020'!D9</f>
        <v>348302.25</v>
      </c>
      <c r="C9" s="73">
        <v>376764.91</v>
      </c>
      <c r="D9" s="145">
        <v>315397.28000000003</v>
      </c>
      <c r="E9" s="130">
        <v>860267.56</v>
      </c>
      <c r="F9" s="163">
        <f t="shared" si="0"/>
        <v>-0.16288042854096987</v>
      </c>
      <c r="G9" s="155">
        <f t="shared" si="3"/>
        <v>-9.4472458906021919E-2</v>
      </c>
      <c r="H9" s="150">
        <v>1103</v>
      </c>
      <c r="I9" s="63">
        <f t="shared" si="4"/>
        <v>285.94495013599277</v>
      </c>
      <c r="J9" s="61">
        <v>75</v>
      </c>
      <c r="K9" s="28">
        <f t="shared" si="1"/>
        <v>6.7996373526745243E-2</v>
      </c>
      <c r="L9" s="46">
        <f>J9+'2 - 8 Nov 2020'!J9+'9 - 15 Nov 2020'!J9+'16 - 22 Nov 2020'!J9+'23 - 29 Nov 2020'!J9+'30 Nov - 6 Dec 2020'!J9+'7 - 13 Dec 2020'!J9</f>
        <v>566</v>
      </c>
      <c r="M9" s="172">
        <f t="shared" si="2"/>
        <v>0.51314596554850411</v>
      </c>
      <c r="N9" s="247">
        <v>25111.87</v>
      </c>
      <c r="O9" s="89">
        <f t="shared" si="5"/>
        <v>7.961980521835825E-2</v>
      </c>
      <c r="P9" s="247">
        <v>13542.96</v>
      </c>
      <c r="Q9" s="89">
        <f t="shared" si="6"/>
        <v>4.2939368405459928E-2</v>
      </c>
      <c r="R9" s="130">
        <v>10809.5</v>
      </c>
      <c r="S9" s="26"/>
    </row>
    <row r="10" spans="1:22" ht="15.6" customHeight="1" x14ac:dyDescent="0.3">
      <c r="A10" s="411" t="s">
        <v>20</v>
      </c>
      <c r="B10" s="200">
        <f>'7 - 13 Dec 2020'!D10</f>
        <v>155504.39000000001</v>
      </c>
      <c r="C10" s="73">
        <v>115192.67</v>
      </c>
      <c r="D10" s="145">
        <v>136185.12</v>
      </c>
      <c r="E10" s="130">
        <v>436911.76</v>
      </c>
      <c r="F10" s="163">
        <f t="shared" si="0"/>
        <v>0.18223772398018032</v>
      </c>
      <c r="G10" s="155">
        <f t="shared" si="3"/>
        <v>-0.1242361710817297</v>
      </c>
      <c r="H10" s="150">
        <v>474</v>
      </c>
      <c r="I10" s="63">
        <f t="shared" si="4"/>
        <v>287.31037974683545</v>
      </c>
      <c r="J10" s="61">
        <v>58</v>
      </c>
      <c r="K10" s="28">
        <f t="shared" si="1"/>
        <v>0.12236286919831224</v>
      </c>
      <c r="L10" s="46">
        <f>J10+'2 - 8 Nov 2020'!J10+'9 - 15 Nov 2020'!J10+'16 - 22 Nov 2020'!J10+'23 - 29 Nov 2020'!J10+'30 Nov - 6 Dec 2020'!J10+'7 - 13 Dec 2020'!J10</f>
        <v>423</v>
      </c>
      <c r="M10" s="172">
        <f t="shared" si="2"/>
        <v>0.89240506329113922</v>
      </c>
      <c r="N10" s="247">
        <v>27348.1</v>
      </c>
      <c r="O10" s="89">
        <f t="shared" si="5"/>
        <v>0.20081562508444387</v>
      </c>
      <c r="P10" s="247">
        <v>21669.35</v>
      </c>
      <c r="Q10" s="89">
        <f t="shared" si="6"/>
        <v>0.15911686974318487</v>
      </c>
      <c r="R10" s="130">
        <v>4990.5</v>
      </c>
      <c r="S10" s="26"/>
    </row>
    <row r="11" spans="1:22" ht="15.6" customHeight="1" x14ac:dyDescent="0.3">
      <c r="A11" s="409" t="s">
        <v>21</v>
      </c>
      <c r="B11" s="200">
        <f>'7 - 13 Dec 2020'!D11</f>
        <v>272045.12</v>
      </c>
      <c r="C11" s="73">
        <v>311404.3</v>
      </c>
      <c r="D11" s="145">
        <v>284781.13</v>
      </c>
      <c r="E11" s="130">
        <v>812569.46</v>
      </c>
      <c r="F11" s="163">
        <f t="shared" si="0"/>
        <v>-8.5493906153511642E-2</v>
      </c>
      <c r="G11" s="155">
        <f t="shared" si="3"/>
        <v>4.6815800261368445E-2</v>
      </c>
      <c r="H11" s="150">
        <v>896</v>
      </c>
      <c r="I11" s="63">
        <f t="shared" si="4"/>
        <v>317.8360825892857</v>
      </c>
      <c r="J11" s="61">
        <v>54</v>
      </c>
      <c r="K11" s="28">
        <f t="shared" si="1"/>
        <v>6.0267857142857144E-2</v>
      </c>
      <c r="L11" s="46">
        <f>J11+'2 - 8 Nov 2020'!J11+'9 - 15 Nov 2020'!J11+'16 - 22 Nov 2020'!J11+'23 - 29 Nov 2020'!J11+'30 Nov - 6 Dec 2020'!J11+'7 - 13 Dec 2020'!J11</f>
        <v>459</v>
      </c>
      <c r="M11" s="172">
        <f t="shared" si="2"/>
        <v>0.5122767857142857</v>
      </c>
      <c r="N11" s="247">
        <v>39822.300000000003</v>
      </c>
      <c r="O11" s="89">
        <f t="shared" si="5"/>
        <v>0.13983475660764463</v>
      </c>
      <c r="P11" s="247">
        <v>13690.43</v>
      </c>
      <c r="Q11" s="89">
        <f t="shared" si="6"/>
        <v>4.8073515264160933E-2</v>
      </c>
      <c r="R11" s="130">
        <v>14139</v>
      </c>
      <c r="S11" s="26"/>
    </row>
    <row r="12" spans="1:22" ht="15.6" customHeight="1" x14ac:dyDescent="0.3">
      <c r="A12" s="198" t="s">
        <v>22</v>
      </c>
      <c r="B12" s="200">
        <f>'7 - 13 Dec 2020'!D12</f>
        <v>110968.88</v>
      </c>
      <c r="C12" s="73">
        <v>149883.34</v>
      </c>
      <c r="D12" s="145">
        <v>105426.19</v>
      </c>
      <c r="E12" s="130">
        <v>312153.23</v>
      </c>
      <c r="F12" s="163">
        <f t="shared" si="0"/>
        <v>-0.29661168479432065</v>
      </c>
      <c r="G12" s="155">
        <f t="shared" si="3"/>
        <v>-4.994814762481159E-2</v>
      </c>
      <c r="H12" s="150">
        <v>425</v>
      </c>
      <c r="I12" s="63">
        <f t="shared" si="4"/>
        <v>248.06162352941178</v>
      </c>
      <c r="J12" s="61">
        <v>58</v>
      </c>
      <c r="K12" s="28">
        <f t="shared" si="1"/>
        <v>0.13647058823529412</v>
      </c>
      <c r="L12" s="46">
        <f>J12+'2 - 8 Nov 2020'!J12+'9 - 15 Nov 2020'!J12+'16 - 22 Nov 2020'!J12+'23 - 29 Nov 2020'!J12+'30 Nov - 6 Dec 2020'!J12+'7 - 13 Dec 2020'!J12</f>
        <v>211</v>
      </c>
      <c r="M12" s="172">
        <f t="shared" si="2"/>
        <v>0.49647058823529411</v>
      </c>
      <c r="N12" s="247">
        <v>15840.43</v>
      </c>
      <c r="O12" s="89">
        <f t="shared" si="5"/>
        <v>0.15025137491926815</v>
      </c>
      <c r="P12" s="247">
        <v>2526.09</v>
      </c>
      <c r="Q12" s="89">
        <f t="shared" si="6"/>
        <v>2.3960744479146975E-2</v>
      </c>
      <c r="R12" s="130">
        <v>10901.5</v>
      </c>
      <c r="S12" s="26"/>
    </row>
    <row r="13" spans="1:22" ht="15.6" customHeight="1" x14ac:dyDescent="0.3">
      <c r="A13" s="198" t="s">
        <v>23</v>
      </c>
      <c r="B13" s="200">
        <f>'7 - 13 Dec 2020'!D13</f>
        <v>221561.43</v>
      </c>
      <c r="C13" s="73">
        <v>199187.93</v>
      </c>
      <c r="D13" s="145">
        <v>192989.24</v>
      </c>
      <c r="E13" s="130">
        <v>582672.11</v>
      </c>
      <c r="F13" s="163">
        <f t="shared" si="0"/>
        <v>-3.1119807309609587E-2</v>
      </c>
      <c r="G13" s="155">
        <f t="shared" si="3"/>
        <v>-0.12895832094963461</v>
      </c>
      <c r="H13" s="150">
        <v>692</v>
      </c>
      <c r="I13" s="63">
        <f t="shared" si="4"/>
        <v>278.88618497109826</v>
      </c>
      <c r="J13" s="61">
        <v>58</v>
      </c>
      <c r="K13" s="28">
        <f t="shared" si="1"/>
        <v>8.3815028901734104E-2</v>
      </c>
      <c r="L13" s="46">
        <f>J13+'2 - 8 Nov 2020'!J13+'9 - 15 Nov 2020'!J13+'16 - 22 Nov 2020'!J13+'23 - 29 Nov 2020'!J13+'30 Nov - 6 Dec 2020'!J13+'7 - 13 Dec 2020'!J13</f>
        <v>380</v>
      </c>
      <c r="M13" s="172">
        <f t="shared" si="2"/>
        <v>0.54913294797687862</v>
      </c>
      <c r="N13" s="247">
        <v>28771.3</v>
      </c>
      <c r="O13" s="89">
        <f t="shared" si="5"/>
        <v>0.14908240480142831</v>
      </c>
      <c r="P13" s="247">
        <v>19999.57</v>
      </c>
      <c r="Q13" s="89">
        <f t="shared" si="6"/>
        <v>0.10363049256010336</v>
      </c>
      <c r="R13" s="130">
        <v>8751.5</v>
      </c>
      <c r="S13" s="26"/>
    </row>
    <row r="14" spans="1:22" ht="15.6" hidden="1" customHeight="1" x14ac:dyDescent="0.3">
      <c r="A14" s="198" t="s">
        <v>24</v>
      </c>
      <c r="B14" s="200">
        <f>'7 - 13 Dec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'7 - 13 Dec 2020'!D15</f>
        <v>235811.02</v>
      </c>
      <c r="C15" s="73">
        <v>721819.17</v>
      </c>
      <c r="D15" s="145">
        <v>415182.37</v>
      </c>
      <c r="E15" s="130">
        <v>808709.95</v>
      </c>
      <c r="F15" s="163">
        <f t="shared" si="0"/>
        <v>-0.42481110608353617</v>
      </c>
      <c r="G15" s="155">
        <f t="shared" si="3"/>
        <v>0.76065719914192309</v>
      </c>
      <c r="H15" s="150">
        <v>1259</v>
      </c>
      <c r="I15" s="63">
        <f t="shared" si="4"/>
        <v>329.77154090548055</v>
      </c>
      <c r="J15" s="61">
        <v>138</v>
      </c>
      <c r="K15" s="28">
        <f t="shared" si="1"/>
        <v>0.10961080222398729</v>
      </c>
      <c r="L15" s="46">
        <f>J15+'2 - 8 Nov 2020'!J15+'9 - 15 Nov 2020'!J15+'16 - 22 Nov 2020'!J15+'23 - 29 Nov 2020'!J15+'30 Nov - 6 Dec 2020'!J15+'7 - 13 Dec 2020'!J15</f>
        <v>280</v>
      </c>
      <c r="M15" s="172">
        <f t="shared" si="2"/>
        <v>0.22239872915011913</v>
      </c>
      <c r="N15" s="247">
        <v>0</v>
      </c>
      <c r="O15" s="89">
        <f t="shared" si="5"/>
        <v>0</v>
      </c>
      <c r="P15" s="247">
        <v>46317.39</v>
      </c>
      <c r="Q15" s="89">
        <f t="shared" si="6"/>
        <v>0.11155914447908759</v>
      </c>
      <c r="R15" s="130">
        <v>10700.35</v>
      </c>
      <c r="S15" s="9"/>
    </row>
    <row r="16" spans="1:22" ht="15.6" customHeight="1" x14ac:dyDescent="0.3">
      <c r="A16" s="198" t="s">
        <v>27</v>
      </c>
      <c r="B16" s="200">
        <f>'7 - 13 Dec 2020'!D16</f>
        <v>149536.15</v>
      </c>
      <c r="C16" s="73">
        <v>121137.18</v>
      </c>
      <c r="D16" s="145">
        <v>140278.5</v>
      </c>
      <c r="E16" s="130">
        <v>533806.07999999996</v>
      </c>
      <c r="F16" s="163">
        <f t="shared" si="0"/>
        <v>0.15801358426867795</v>
      </c>
      <c r="G16" s="155">
        <f t="shared" si="3"/>
        <v>-6.190911027199774E-2</v>
      </c>
      <c r="H16" s="150">
        <v>481</v>
      </c>
      <c r="I16" s="63">
        <f t="shared" si="4"/>
        <v>291.63929313929316</v>
      </c>
      <c r="J16" s="61">
        <v>36</v>
      </c>
      <c r="K16" s="28">
        <f t="shared" si="1"/>
        <v>7.4844074844074848E-2</v>
      </c>
      <c r="L16" s="46">
        <f>J16+'2 - 8 Nov 2020'!J16+'9 - 15 Nov 2020'!J16+'16 - 22 Nov 2020'!J16+'23 - 29 Nov 2020'!J16+'30 Nov - 6 Dec 2020'!J16+'7 - 13 Dec 2020'!J16</f>
        <v>279</v>
      </c>
      <c r="M16" s="172">
        <f t="shared" si="2"/>
        <v>0.58004158004158002</v>
      </c>
      <c r="N16" s="247">
        <v>24842.35</v>
      </c>
      <c r="O16" s="89">
        <f t="shared" si="5"/>
        <v>0.17709306843172687</v>
      </c>
      <c r="P16" s="247">
        <v>15419.26</v>
      </c>
      <c r="Q16" s="89">
        <f t="shared" si="6"/>
        <v>0.10991891130857544</v>
      </c>
      <c r="R16" s="130">
        <v>6103</v>
      </c>
      <c r="S16" s="9"/>
      <c r="V16" s="238"/>
    </row>
    <row r="17" spans="1:19" ht="15.6" customHeight="1" x14ac:dyDescent="0.3">
      <c r="A17" s="251" t="s">
        <v>28</v>
      </c>
      <c r="B17" s="200">
        <f>'7 - 13 Dec 2020'!D17</f>
        <v>185388.01</v>
      </c>
      <c r="C17" s="73">
        <v>210622.19</v>
      </c>
      <c r="D17" s="145">
        <v>167200.12</v>
      </c>
      <c r="E17" s="130">
        <v>527638.39</v>
      </c>
      <c r="F17" s="163">
        <f t="shared" si="0"/>
        <v>-0.20616094628965737</v>
      </c>
      <c r="G17" s="155">
        <f t="shared" si="3"/>
        <v>-9.8107153747429579E-2</v>
      </c>
      <c r="H17" s="150">
        <v>605</v>
      </c>
      <c r="I17" s="63">
        <f t="shared" si="4"/>
        <v>276.36383471074379</v>
      </c>
      <c r="J17" s="61">
        <v>62</v>
      </c>
      <c r="K17" s="28">
        <f t="shared" si="1"/>
        <v>0.10247933884297521</v>
      </c>
      <c r="L17" s="46">
        <f>J17+'2 - 8 Nov 2020'!J17+'9 - 15 Nov 2020'!J17+'16 - 22 Nov 2020'!J17+'23 - 29 Nov 2020'!J17+'30 Nov - 6 Dec 2020'!J17+'7 - 13 Dec 2020'!J17</f>
        <v>332</v>
      </c>
      <c r="M17" s="172">
        <f t="shared" si="2"/>
        <v>0.54876033057851237</v>
      </c>
      <c r="N17" s="247">
        <v>36649.57</v>
      </c>
      <c r="O17" s="89">
        <f t="shared" si="5"/>
        <v>0.21919583550538121</v>
      </c>
      <c r="P17" s="247">
        <v>10684.43</v>
      </c>
      <c r="Q17" s="89">
        <f t="shared" si="6"/>
        <v>6.3902047438721937E-2</v>
      </c>
      <c r="R17" s="130">
        <v>4332.8</v>
      </c>
      <c r="S17" s="9"/>
    </row>
    <row r="18" spans="1:19" ht="15.6" customHeight="1" x14ac:dyDescent="0.3">
      <c r="A18" s="198" t="s">
        <v>33</v>
      </c>
      <c r="B18" s="200">
        <f>'7 - 13 Dec 2020'!D18</f>
        <v>157947.54</v>
      </c>
      <c r="C18" s="73">
        <v>157671.4</v>
      </c>
      <c r="D18" s="145">
        <v>150774.19</v>
      </c>
      <c r="E18" s="130">
        <v>476684.01</v>
      </c>
      <c r="F18" s="163">
        <f t="shared" si="0"/>
        <v>-4.3744204719435437E-2</v>
      </c>
      <c r="G18" s="155">
        <f t="shared" si="3"/>
        <v>-4.5416028638369459E-2</v>
      </c>
      <c r="H18" s="150">
        <v>559</v>
      </c>
      <c r="I18" s="63">
        <f t="shared" si="4"/>
        <v>269.72127012522361</v>
      </c>
      <c r="J18" s="61">
        <v>73</v>
      </c>
      <c r="K18" s="28">
        <f t="shared" si="1"/>
        <v>0.13059033989266547</v>
      </c>
      <c r="L18" s="46">
        <f>J18+'2 - 8 Nov 2020'!J18+'9 - 15 Nov 2020'!J18+'16 - 22 Nov 2020'!J18+'23 - 29 Nov 2020'!J18+'30 Nov - 6 Dec 2020'!J18+'7 - 13 Dec 2020'!J18</f>
        <v>361</v>
      </c>
      <c r="M18" s="172">
        <f t="shared" si="2"/>
        <v>0.64579606440071557</v>
      </c>
      <c r="N18" s="247">
        <v>19849.740000000002</v>
      </c>
      <c r="O18" s="89">
        <f t="shared" si="5"/>
        <v>0.13165210836151733</v>
      </c>
      <c r="P18" s="247">
        <v>6241.65</v>
      </c>
      <c r="Q18" s="89">
        <f t="shared" si="6"/>
        <v>4.1397337302889838E-2</v>
      </c>
      <c r="R18" s="130">
        <v>6188.5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94" priority="9" operator="equal">
      <formula>0</formula>
    </cfRule>
  </conditionalFormatting>
  <conditionalFormatting sqref="D7:E19">
    <cfRule type="cellIs" dxfId="393" priority="8" operator="equal">
      <formula>0</formula>
    </cfRule>
  </conditionalFormatting>
  <conditionalFormatting sqref="F6:R19">
    <cfRule type="cellIs" dxfId="39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-0.23310708159562465</v>
      </c>
      <c r="G2" s="400">
        <f>(((D4-D19-B19)-B4)/D4)</f>
        <v>-0.32797481971593689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2639887.1199999996</v>
      </c>
      <c r="C4" s="135">
        <f>SUM(C6:C19)-C14-C19</f>
        <v>2592153.94</v>
      </c>
      <c r="D4" s="142">
        <f>SUM(D6:D19)-D19</f>
        <v>1987904.5</v>
      </c>
      <c r="E4" s="142">
        <f>SUM(E6:E19)-E19</f>
        <v>9327917.0899999999</v>
      </c>
      <c r="F4" s="217">
        <f t="shared" ref="F4:F19" si="0">IFERROR((SUM(D4-C4)/C4),0)</f>
        <v>-0.23310708159562465</v>
      </c>
      <c r="G4" s="217">
        <f>IFERROR((SUM(D4-B4)/D4),0)</f>
        <v>-0.32797481971593689</v>
      </c>
      <c r="H4" s="147">
        <f>SUM(H6:H19)</f>
        <v>6576</v>
      </c>
      <c r="I4" s="218">
        <f>AVERAGE(I5:I19)</f>
        <v>246.31852758418205</v>
      </c>
      <c r="J4" s="219">
        <f>SUM(J6:J19)</f>
        <v>711</v>
      </c>
      <c r="K4" s="220">
        <f t="shared" ref="K4:K19" si="1">IFERROR(J4/H4,0)</f>
        <v>0.10812043795620438</v>
      </c>
      <c r="L4" s="221">
        <f>SUM(L6:L19)</f>
        <v>5384</v>
      </c>
      <c r="M4" s="222">
        <f t="shared" ref="M4:M19" si="2">IFERROR(L4/SUM(H4),0)</f>
        <v>0.81873479318734799</v>
      </c>
      <c r="N4" s="249">
        <f>SUM(N6:N19)</f>
        <v>209285.23999999996</v>
      </c>
      <c r="O4" s="222">
        <f>SUM(N4/D4)</f>
        <v>0.10527932302582944</v>
      </c>
      <c r="P4" s="244">
        <f>SUM(P6:P19)</f>
        <v>184151.7</v>
      </c>
      <c r="Q4" s="222">
        <f>SUM(P4/D4)</f>
        <v>9.2636089912769962E-2</v>
      </c>
      <c r="R4" s="257">
        <f>SUM(R6:R19)</f>
        <v>70064.45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'14 - 20 Dec 2020'!D6</f>
        <v>237883.58</v>
      </c>
      <c r="C6" s="255">
        <v>251356.61</v>
      </c>
      <c r="D6" s="197">
        <v>153645.04</v>
      </c>
      <c r="E6" s="254">
        <v>825883.73</v>
      </c>
      <c r="F6" s="162">
        <f t="shared" si="0"/>
        <v>-0.388736822954447</v>
      </c>
      <c r="G6" s="154">
        <f t="shared" ref="G6:G19" si="3">IFERROR((SUM(D6-B6)/B6),0)</f>
        <v>-0.3541166649669556</v>
      </c>
      <c r="H6" s="149">
        <v>508</v>
      </c>
      <c r="I6" s="256">
        <f t="shared" ref="I6:I19" si="4">IFERROR(D6/H6,0)</f>
        <v>302.45086614173232</v>
      </c>
      <c r="J6" s="125">
        <v>67</v>
      </c>
      <c r="K6" s="126">
        <f t="shared" si="1"/>
        <v>0.13188976377952755</v>
      </c>
      <c r="L6" s="46">
        <f>J6+'2 - 8 Nov 2020'!J6+'9 - 15 Nov 2020'!J6+'16 - 22 Nov 2020'!J6+'23 - 29 Nov 2020'!J6+'30 Nov - 6 Dec 2020'!J6+'7 - 13 Dec 2020'!J6+'14 - 20 Dec 2020'!J6</f>
        <v>518</v>
      </c>
      <c r="M6" s="171">
        <f t="shared" si="2"/>
        <v>1.0196850393700787</v>
      </c>
      <c r="N6" s="246">
        <v>29227.040000000001</v>
      </c>
      <c r="O6" s="128">
        <f t="shared" ref="O6:O19" si="5">SUM(N6/D6)</f>
        <v>0.19022442898254313</v>
      </c>
      <c r="P6" s="247">
        <v>0</v>
      </c>
      <c r="Q6" s="128">
        <f t="shared" ref="Q6:Q19" si="6">SUM(P6/D6)</f>
        <v>0</v>
      </c>
      <c r="R6" s="129">
        <v>4137</v>
      </c>
      <c r="S6" s="26"/>
    </row>
    <row r="7" spans="1:22" ht="15.6" customHeight="1" x14ac:dyDescent="0.3">
      <c r="A7" s="409" t="s">
        <v>16</v>
      </c>
      <c r="B7" s="200">
        <f>'14 - 20 Dec 2020'!D7</f>
        <v>387463.59</v>
      </c>
      <c r="C7" s="73">
        <v>285024.23</v>
      </c>
      <c r="D7" s="145">
        <v>250899.36</v>
      </c>
      <c r="E7" s="130">
        <v>1373858.46</v>
      </c>
      <c r="F7" s="163">
        <f t="shared" si="0"/>
        <v>-0.11972620713684587</v>
      </c>
      <c r="G7" s="155">
        <f t="shared" si="3"/>
        <v>-0.35245693666339084</v>
      </c>
      <c r="H7" s="150">
        <v>742</v>
      </c>
      <c r="I7" s="63">
        <f t="shared" si="4"/>
        <v>338.13929919137462</v>
      </c>
      <c r="J7" s="61">
        <v>87</v>
      </c>
      <c r="K7" s="28">
        <f t="shared" si="1"/>
        <v>0.11725067385444744</v>
      </c>
      <c r="L7" s="46">
        <f>J7+'2 - 8 Nov 2020'!J7+'9 - 15 Nov 2020'!J7+'16 - 22 Nov 2020'!J7+'23 - 29 Nov 2020'!J7+'30 Nov - 6 Dec 2020'!J7+'7 - 13 Dec 2020'!J7+'14 - 20 Dec 2020'!J7</f>
        <v>741</v>
      </c>
      <c r="M7" s="172">
        <f t="shared" si="2"/>
        <v>0.99865229110512133</v>
      </c>
      <c r="N7" s="247">
        <v>16632.599999999999</v>
      </c>
      <c r="O7" s="89">
        <f t="shared" si="5"/>
        <v>6.6291918799633448E-2</v>
      </c>
      <c r="P7" s="247">
        <v>10442.61</v>
      </c>
      <c r="Q7" s="89">
        <f t="shared" si="6"/>
        <v>4.1620711985873547E-2</v>
      </c>
      <c r="R7" s="130">
        <v>17233.45</v>
      </c>
      <c r="S7" s="26"/>
    </row>
    <row r="8" spans="1:22" ht="15.6" customHeight="1" x14ac:dyDescent="0.3">
      <c r="A8" s="409" t="s">
        <v>17</v>
      </c>
      <c r="B8" s="200">
        <f>'14 - 20 Dec 2020'!D8</f>
        <v>106325.81</v>
      </c>
      <c r="C8" s="73">
        <v>47067.040000000001</v>
      </c>
      <c r="D8" s="145">
        <v>54247.96</v>
      </c>
      <c r="E8" s="130">
        <v>361273.75</v>
      </c>
      <c r="F8" s="163">
        <f t="shared" si="0"/>
        <v>0.15256791164262715</v>
      </c>
      <c r="G8" s="155">
        <f t="shared" si="3"/>
        <v>-0.48979499897531936</v>
      </c>
      <c r="H8" s="150">
        <v>207</v>
      </c>
      <c r="I8" s="63">
        <f t="shared" si="4"/>
        <v>262.06743961352657</v>
      </c>
      <c r="J8" s="61">
        <v>23</v>
      </c>
      <c r="K8" s="28">
        <f t="shared" si="1"/>
        <v>0.1111111111111111</v>
      </c>
      <c r="L8" s="46">
        <f>J8+'2 - 8 Nov 2020'!J8+'9 - 15 Nov 2020'!J8+'16 - 22 Nov 2020'!J8+'23 - 29 Nov 2020'!J8+'30 Nov - 6 Dec 2020'!J8+'7 - 13 Dec 2020'!J8+'14 - 20 Dec 2020'!J8</f>
        <v>300</v>
      </c>
      <c r="M8" s="172">
        <f t="shared" si="2"/>
        <v>1.4492753623188406</v>
      </c>
      <c r="N8" s="247">
        <v>13946.43</v>
      </c>
      <c r="O8" s="89">
        <f t="shared" si="5"/>
        <v>0.25708671809962991</v>
      </c>
      <c r="P8" s="247">
        <v>7062.73</v>
      </c>
      <c r="Q8" s="89">
        <f t="shared" si="6"/>
        <v>0.13019346718291341</v>
      </c>
      <c r="R8" s="130">
        <v>1193.5</v>
      </c>
      <c r="S8" s="26"/>
    </row>
    <row r="9" spans="1:22" ht="15.6" customHeight="1" x14ac:dyDescent="0.3">
      <c r="A9" s="409" t="s">
        <v>18</v>
      </c>
      <c r="B9" s="200">
        <f>'14 - 20 Dec 2020'!D9</f>
        <v>315397.28000000003</v>
      </c>
      <c r="C9" s="73">
        <v>252630.01</v>
      </c>
      <c r="D9" s="145">
        <v>188195.54</v>
      </c>
      <c r="E9" s="130">
        <v>1048463.1</v>
      </c>
      <c r="F9" s="163">
        <f t="shared" si="0"/>
        <v>-0.25505469441259176</v>
      </c>
      <c r="G9" s="155">
        <f t="shared" si="3"/>
        <v>-0.40330639503295657</v>
      </c>
      <c r="H9" s="150">
        <v>714</v>
      </c>
      <c r="I9" s="63">
        <f t="shared" si="4"/>
        <v>263.57918767507005</v>
      </c>
      <c r="J9" s="61">
        <v>65</v>
      </c>
      <c r="K9" s="28">
        <f t="shared" si="1"/>
        <v>9.1036414565826326E-2</v>
      </c>
      <c r="L9" s="46">
        <f>J9+'2 - 8 Nov 2020'!J9+'9 - 15 Nov 2020'!J9+'16 - 22 Nov 2020'!J9+'23 - 29 Nov 2020'!J9+'30 Nov - 6 Dec 2020'!J9+'7 - 13 Dec 2020'!J9+'14 - 20 Dec 2020'!J9</f>
        <v>631</v>
      </c>
      <c r="M9" s="172">
        <f t="shared" si="2"/>
        <v>0.88375350140056019</v>
      </c>
      <c r="N9" s="247">
        <v>12473.89</v>
      </c>
      <c r="O9" s="89">
        <f t="shared" si="5"/>
        <v>6.628153887175009E-2</v>
      </c>
      <c r="P9" s="247">
        <v>12776.43</v>
      </c>
      <c r="Q9" s="89">
        <f t="shared" si="6"/>
        <v>6.788912213328753E-2</v>
      </c>
      <c r="R9" s="130">
        <v>6205.9</v>
      </c>
      <c r="S9" s="26"/>
    </row>
    <row r="10" spans="1:22" ht="15.6" customHeight="1" x14ac:dyDescent="0.3">
      <c r="A10" s="411" t="s">
        <v>20</v>
      </c>
      <c r="B10" s="200">
        <f>'14 - 20 Dec 2020'!D10</f>
        <v>136185.12</v>
      </c>
      <c r="C10" s="73">
        <v>89635.6</v>
      </c>
      <c r="D10" s="145">
        <v>91596.78</v>
      </c>
      <c r="E10" s="130">
        <v>528508.54</v>
      </c>
      <c r="F10" s="163">
        <f t="shared" si="0"/>
        <v>2.1879476458014371E-2</v>
      </c>
      <c r="G10" s="155">
        <f t="shared" si="3"/>
        <v>-0.32740977868947796</v>
      </c>
      <c r="H10" s="150">
        <v>331</v>
      </c>
      <c r="I10" s="63">
        <f t="shared" si="4"/>
        <v>276.72743202416916</v>
      </c>
      <c r="J10" s="61">
        <v>57</v>
      </c>
      <c r="K10" s="28">
        <f t="shared" si="1"/>
        <v>0.17220543806646527</v>
      </c>
      <c r="L10" s="46">
        <f>J10+'2 - 8 Nov 2020'!J10+'9 - 15 Nov 2020'!J10+'16 - 22 Nov 2020'!J10+'23 - 29 Nov 2020'!J10+'30 Nov - 6 Dec 2020'!J10+'7 - 13 Dec 2020'!J10+'14 - 20 Dec 2020'!J10</f>
        <v>480</v>
      </c>
      <c r="M10" s="172">
        <f t="shared" si="2"/>
        <v>1.4501510574018126</v>
      </c>
      <c r="N10" s="247">
        <v>20571.39</v>
      </c>
      <c r="O10" s="89">
        <f t="shared" si="5"/>
        <v>0.22458638829880265</v>
      </c>
      <c r="P10" s="247">
        <v>15006.14</v>
      </c>
      <c r="Q10" s="89">
        <f t="shared" si="6"/>
        <v>0.16382824811090521</v>
      </c>
      <c r="R10" s="130">
        <v>3793.1</v>
      </c>
      <c r="S10" s="26"/>
    </row>
    <row r="11" spans="1:22" ht="15.6" customHeight="1" x14ac:dyDescent="0.3">
      <c r="A11" s="409" t="s">
        <v>21</v>
      </c>
      <c r="B11" s="200">
        <f>'14 - 20 Dec 2020'!D11</f>
        <v>284781.13</v>
      </c>
      <c r="C11" s="73">
        <v>234511.26</v>
      </c>
      <c r="D11" s="145">
        <v>201645.67</v>
      </c>
      <c r="E11" s="130">
        <v>1014215.13</v>
      </c>
      <c r="F11" s="163">
        <f t="shared" si="0"/>
        <v>-0.14014504037034298</v>
      </c>
      <c r="G11" s="155">
        <f t="shared" si="3"/>
        <v>-0.29192755854294133</v>
      </c>
      <c r="H11" s="150">
        <v>708</v>
      </c>
      <c r="I11" s="63">
        <f t="shared" si="4"/>
        <v>284.81026836158196</v>
      </c>
      <c r="J11" s="61">
        <v>60</v>
      </c>
      <c r="K11" s="28">
        <f t="shared" si="1"/>
        <v>8.4745762711864403E-2</v>
      </c>
      <c r="L11" s="46">
        <f>J11+'2 - 8 Nov 2020'!J11+'9 - 15 Nov 2020'!J11+'16 - 22 Nov 2020'!J11+'23 - 29 Nov 2020'!J11+'30 Nov - 6 Dec 2020'!J11+'7 - 13 Dec 2020'!J11+'14 - 20 Dec 2020'!J11</f>
        <v>519</v>
      </c>
      <c r="M11" s="172">
        <f t="shared" si="2"/>
        <v>0.73305084745762716</v>
      </c>
      <c r="N11" s="247">
        <v>28100.86</v>
      </c>
      <c r="O11" s="89">
        <f t="shared" si="5"/>
        <v>0.13935761675418074</v>
      </c>
      <c r="P11" s="247">
        <v>27008.39</v>
      </c>
      <c r="Q11" s="89">
        <f t="shared" si="6"/>
        <v>0.13393984606760959</v>
      </c>
      <c r="R11" s="130">
        <v>10005.700000000001</v>
      </c>
      <c r="S11" s="26"/>
    </row>
    <row r="12" spans="1:22" ht="15.6" customHeight="1" x14ac:dyDescent="0.3">
      <c r="A12" s="198" t="s">
        <v>22</v>
      </c>
      <c r="B12" s="200">
        <f>'14 - 20 Dec 2020'!D12</f>
        <v>105426.19</v>
      </c>
      <c r="C12" s="73">
        <v>128991.96</v>
      </c>
      <c r="D12" s="145">
        <v>79915.53</v>
      </c>
      <c r="E12" s="130">
        <v>392068.76</v>
      </c>
      <c r="F12" s="163">
        <f t="shared" si="0"/>
        <v>-0.38046115432310668</v>
      </c>
      <c r="G12" s="155">
        <f t="shared" si="3"/>
        <v>-0.24197649559374196</v>
      </c>
      <c r="H12" s="150">
        <v>306</v>
      </c>
      <c r="I12" s="63">
        <f t="shared" si="4"/>
        <v>261.16186274509806</v>
      </c>
      <c r="J12" s="61">
        <v>26</v>
      </c>
      <c r="K12" s="28">
        <f t="shared" si="1"/>
        <v>8.4967320261437912E-2</v>
      </c>
      <c r="L12" s="46">
        <f>J12+'2 - 8 Nov 2020'!J12+'9 - 15 Nov 2020'!J12+'16 - 22 Nov 2020'!J12+'23 - 29 Nov 2020'!J12+'30 Nov - 6 Dec 2020'!J12+'7 - 13 Dec 2020'!J12+'14 - 20 Dec 2020'!J12</f>
        <v>237</v>
      </c>
      <c r="M12" s="172">
        <f t="shared" si="2"/>
        <v>0.77450980392156865</v>
      </c>
      <c r="N12" s="247">
        <v>17355.740000000002</v>
      </c>
      <c r="O12" s="89">
        <f t="shared" si="5"/>
        <v>0.21717606077316889</v>
      </c>
      <c r="P12" s="247">
        <v>3806.13</v>
      </c>
      <c r="Q12" s="89">
        <f t="shared" si="6"/>
        <v>4.7626913066834448E-2</v>
      </c>
      <c r="R12" s="130">
        <v>4215</v>
      </c>
      <c r="S12" s="26"/>
    </row>
    <row r="13" spans="1:22" ht="15.6" customHeight="1" x14ac:dyDescent="0.3">
      <c r="A13" s="198" t="s">
        <v>23</v>
      </c>
      <c r="B13" s="200">
        <f>'14 - 20 Dec 2020'!D13</f>
        <v>192989.24</v>
      </c>
      <c r="C13" s="73">
        <v>128106.26</v>
      </c>
      <c r="D13" s="145">
        <v>126657.65</v>
      </c>
      <c r="E13" s="130">
        <v>709329.76</v>
      </c>
      <c r="F13" s="163">
        <f t="shared" si="0"/>
        <v>-1.1307878319139132E-2</v>
      </c>
      <c r="G13" s="155">
        <f t="shared" si="3"/>
        <v>-0.34370615688211426</v>
      </c>
      <c r="H13" s="150">
        <v>489</v>
      </c>
      <c r="I13" s="63">
        <f t="shared" si="4"/>
        <v>259.0135991820041</v>
      </c>
      <c r="J13" s="61">
        <v>38</v>
      </c>
      <c r="K13" s="28">
        <f t="shared" si="1"/>
        <v>7.7709611451942745E-2</v>
      </c>
      <c r="L13" s="46">
        <f>J13+'2 - 8 Nov 2020'!J13+'9 - 15 Nov 2020'!J13+'16 - 22 Nov 2020'!J13+'23 - 29 Nov 2020'!J13+'30 Nov - 6 Dec 2020'!J13+'7 - 13 Dec 2020'!J13+'14 - 20 Dec 2020'!J13</f>
        <v>418</v>
      </c>
      <c r="M13" s="172">
        <f t="shared" si="2"/>
        <v>0.85480572597137017</v>
      </c>
      <c r="N13" s="247">
        <v>16534.14</v>
      </c>
      <c r="O13" s="89">
        <f t="shared" si="5"/>
        <v>0.13054197673808096</v>
      </c>
      <c r="P13" s="247">
        <v>14465.75</v>
      </c>
      <c r="Q13" s="89">
        <f t="shared" si="6"/>
        <v>0.11421141952341608</v>
      </c>
      <c r="R13" s="130">
        <v>4431.5</v>
      </c>
      <c r="S13" s="26"/>
    </row>
    <row r="14" spans="1:22" ht="15.6" hidden="1" customHeight="1" x14ac:dyDescent="0.3">
      <c r="A14" s="198" t="s">
        <v>24</v>
      </c>
      <c r="B14" s="200">
        <f>'14 - 20 Dec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'14 - 20 Dec 2020'!D15</f>
        <v>415182.37</v>
      </c>
      <c r="C15" s="73">
        <v>845642.47</v>
      </c>
      <c r="D15" s="145">
        <v>544494.12</v>
      </c>
      <c r="E15" s="130">
        <v>1353204.07</v>
      </c>
      <c r="F15" s="163">
        <f t="shared" si="0"/>
        <v>-0.35611781655195252</v>
      </c>
      <c r="G15" s="155">
        <f t="shared" si="3"/>
        <v>0.31145770953617324</v>
      </c>
      <c r="H15" s="150">
        <v>1511</v>
      </c>
      <c r="I15" s="63">
        <f t="shared" si="4"/>
        <v>360.35348775645269</v>
      </c>
      <c r="J15" s="61">
        <v>164</v>
      </c>
      <c r="K15" s="28">
        <f t="shared" si="1"/>
        <v>0.10853739245532759</v>
      </c>
      <c r="L15" s="46">
        <f>J15+'2 - 8 Nov 2020'!J15+'9 - 15 Nov 2020'!J15+'16 - 22 Nov 2020'!J15+'23 - 29 Nov 2020'!J15+'30 Nov - 6 Dec 2020'!J15+'7 - 13 Dec 2020'!J15+'14 - 20 Dec 2020'!J15</f>
        <v>444</v>
      </c>
      <c r="M15" s="172">
        <f t="shared" si="2"/>
        <v>0.29384513567174059</v>
      </c>
      <c r="N15" s="247">
        <v>0</v>
      </c>
      <c r="O15" s="89">
        <f t="shared" si="5"/>
        <v>0</v>
      </c>
      <c r="P15" s="247">
        <v>65896.960000000006</v>
      </c>
      <c r="Q15" s="89">
        <f t="shared" si="6"/>
        <v>0.12102419030714236</v>
      </c>
      <c r="R15" s="130">
        <v>10801.3</v>
      </c>
      <c r="S15" s="9"/>
    </row>
    <row r="16" spans="1:22" ht="15.6" customHeight="1" x14ac:dyDescent="0.3">
      <c r="A16" s="198" t="s">
        <v>27</v>
      </c>
      <c r="B16" s="200">
        <f>'14 - 20 Dec 2020'!D16</f>
        <v>140278.5</v>
      </c>
      <c r="C16" s="73">
        <v>72195.61</v>
      </c>
      <c r="D16" s="145">
        <v>90716.7</v>
      </c>
      <c r="E16" s="130">
        <v>510899.24</v>
      </c>
      <c r="F16" s="163">
        <f t="shared" si="0"/>
        <v>0.25654039075229085</v>
      </c>
      <c r="G16" s="155">
        <f t="shared" si="3"/>
        <v>-0.35331002256226007</v>
      </c>
      <c r="H16" s="150">
        <v>320</v>
      </c>
      <c r="I16" s="63">
        <f t="shared" si="4"/>
        <v>283.4896875</v>
      </c>
      <c r="J16" s="61">
        <v>45</v>
      </c>
      <c r="K16" s="28">
        <f t="shared" si="1"/>
        <v>0.140625</v>
      </c>
      <c r="L16" s="46">
        <f>J16+'2 - 8 Nov 2020'!J16+'9 - 15 Nov 2020'!J16+'16 - 22 Nov 2020'!J16+'23 - 29 Nov 2020'!J16+'30 Nov - 6 Dec 2020'!J16+'7 - 13 Dec 2020'!J16+'14 - 20 Dec 2020'!J16</f>
        <v>324</v>
      </c>
      <c r="M16" s="172">
        <f t="shared" si="2"/>
        <v>1.0125</v>
      </c>
      <c r="N16" s="247">
        <v>15090.3</v>
      </c>
      <c r="O16" s="89">
        <f t="shared" si="5"/>
        <v>0.1663453366359226</v>
      </c>
      <c r="P16" s="247">
        <v>14104.82</v>
      </c>
      <c r="Q16" s="89">
        <f t="shared" si="6"/>
        <v>0.15548206669775247</v>
      </c>
      <c r="R16" s="130">
        <v>2935</v>
      </c>
      <c r="S16" s="9"/>
      <c r="V16" s="238"/>
    </row>
    <row r="17" spans="1:19" ht="15.6" customHeight="1" x14ac:dyDescent="0.3">
      <c r="A17" s="251" t="s">
        <v>28</v>
      </c>
      <c r="B17" s="200">
        <f>'14 - 20 Dec 2020'!D17</f>
        <v>167200.12</v>
      </c>
      <c r="C17" s="73">
        <v>123472.58</v>
      </c>
      <c r="D17" s="145">
        <v>95656.3</v>
      </c>
      <c r="E17" s="130">
        <v>623294.68999999994</v>
      </c>
      <c r="F17" s="163">
        <f t="shared" si="0"/>
        <v>-0.22528305474786384</v>
      </c>
      <c r="G17" s="155">
        <f t="shared" si="3"/>
        <v>-0.42789335318658861</v>
      </c>
      <c r="H17" s="150">
        <v>342</v>
      </c>
      <c r="I17" s="63">
        <f t="shared" si="4"/>
        <v>279.69678362573103</v>
      </c>
      <c r="J17" s="61">
        <v>43</v>
      </c>
      <c r="K17" s="28">
        <f t="shared" si="1"/>
        <v>0.12573099415204678</v>
      </c>
      <c r="L17" s="46">
        <f>J17+'2 - 8 Nov 2020'!J17+'9 - 15 Nov 2020'!J17+'16 - 22 Nov 2020'!J17+'23 - 29 Nov 2020'!J17+'30 Nov - 6 Dec 2020'!J17+'7 - 13 Dec 2020'!J17+'14 - 20 Dec 2020'!J17</f>
        <v>375</v>
      </c>
      <c r="M17" s="172">
        <f t="shared" si="2"/>
        <v>1.0964912280701755</v>
      </c>
      <c r="N17" s="247">
        <v>23474.28</v>
      </c>
      <c r="O17" s="89">
        <f t="shared" si="5"/>
        <v>0.24540234150808674</v>
      </c>
      <c r="P17" s="247">
        <v>7323.83</v>
      </c>
      <c r="Q17" s="89">
        <f t="shared" si="6"/>
        <v>7.6564010943346125E-2</v>
      </c>
      <c r="R17" s="130">
        <v>2103.5</v>
      </c>
      <c r="S17" s="9"/>
    </row>
    <row r="18" spans="1:19" ht="15.6" customHeight="1" x14ac:dyDescent="0.3">
      <c r="A18" s="198" t="s">
        <v>33</v>
      </c>
      <c r="B18" s="200">
        <f>'14 - 20 Dec 2020'!D18</f>
        <v>150774.19</v>
      </c>
      <c r="C18" s="73">
        <v>133520.31</v>
      </c>
      <c r="D18" s="145">
        <v>110233.85</v>
      </c>
      <c r="E18" s="130">
        <v>586917.86</v>
      </c>
      <c r="F18" s="163">
        <f t="shared" si="0"/>
        <v>-0.17440387908026869</v>
      </c>
      <c r="G18" s="155">
        <f t="shared" si="3"/>
        <v>-0.26888116593430211</v>
      </c>
      <c r="H18" s="150">
        <v>398</v>
      </c>
      <c r="I18" s="63">
        <f t="shared" si="4"/>
        <v>276.96947236180904</v>
      </c>
      <c r="J18" s="61">
        <v>36</v>
      </c>
      <c r="K18" s="28">
        <f t="shared" si="1"/>
        <v>9.0452261306532666E-2</v>
      </c>
      <c r="L18" s="46">
        <f>J18+'2 - 8 Nov 2020'!J18+'9 - 15 Nov 2020'!J18+'16 - 22 Nov 2020'!J18+'23 - 29 Nov 2020'!J18+'30 Nov - 6 Dec 2020'!J18+'7 - 13 Dec 2020'!J18+'14 - 20 Dec 2020'!J18</f>
        <v>397</v>
      </c>
      <c r="M18" s="172">
        <f t="shared" si="2"/>
        <v>0.99748743718592969</v>
      </c>
      <c r="N18" s="247">
        <v>15878.57</v>
      </c>
      <c r="O18" s="89">
        <f t="shared" si="5"/>
        <v>0.14404441104071025</v>
      </c>
      <c r="P18" s="247">
        <v>6257.91</v>
      </c>
      <c r="Q18" s="89">
        <f t="shared" si="6"/>
        <v>5.6769404316369239E-2</v>
      </c>
      <c r="R18" s="130">
        <v>3009.5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91" priority="9" operator="equal">
      <formula>0</formula>
    </cfRule>
  </conditionalFormatting>
  <conditionalFormatting sqref="D7:E19">
    <cfRule type="cellIs" dxfId="390" priority="8" operator="equal">
      <formula>0</formula>
    </cfRule>
  </conditionalFormatting>
  <conditionalFormatting sqref="F6:R19">
    <cfRule type="cellIs" dxfId="38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V41"/>
  <sheetViews>
    <sheetView zoomScale="70" zoomScaleNormal="70" workbookViewId="0">
      <pane xSplit="1" topLeftCell="B1" activePane="topRight" state="frozen"/>
      <selection pane="topRight" activeCell="F7" sqref="F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-0.47679419604386397</v>
      </c>
      <c r="G2" s="400">
        <f>(((D4-D19-B19)-B4)/D4)</f>
        <v>-0.28903436915527686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1987904.5</v>
      </c>
      <c r="C4" s="135">
        <f>SUM(C6:C19)-C14-C19</f>
        <v>2947531.58</v>
      </c>
      <c r="D4" s="142">
        <f>SUM(D6:D19)-D19</f>
        <v>1542165.63</v>
      </c>
      <c r="E4" s="142">
        <f>SUM(E6:E19)-E19</f>
        <v>673625.09000000008</v>
      </c>
      <c r="F4" s="217">
        <f t="shared" ref="F4:F19" si="0">IFERROR((SUM(D4-C4)/C4),0)</f>
        <v>-0.47679419604386397</v>
      </c>
      <c r="G4" s="217">
        <f>IFERROR((SUM(D4-B4)/D4),0)</f>
        <v>-0.28903436915527686</v>
      </c>
      <c r="H4" s="147">
        <f>SUM(H6:H19)</f>
        <v>5779</v>
      </c>
      <c r="I4" s="218">
        <f>AVERAGE(I5:I19)</f>
        <v>213.83697895448111</v>
      </c>
      <c r="J4" s="219">
        <f>SUM(J6:J19)</f>
        <v>657</v>
      </c>
      <c r="K4" s="220">
        <f t="shared" ref="K4:K19" si="1">IFERROR(J4/H4,0)</f>
        <v>0.1136874891849801</v>
      </c>
      <c r="L4" s="221">
        <f>SUM(L6:L19)</f>
        <v>6041</v>
      </c>
      <c r="M4" s="222">
        <f t="shared" ref="M4:M19" si="2">IFERROR(L4/SUM(H4),0)</f>
        <v>1.0453365634192766</v>
      </c>
      <c r="N4" s="249">
        <f>SUM(N6:N19)</f>
        <v>231066.28</v>
      </c>
      <c r="O4" s="222">
        <f>SUM(N4/D4)</f>
        <v>0.14983233675101423</v>
      </c>
      <c r="P4" s="244">
        <f>SUM(P6:P19)</f>
        <v>189690.14999999997</v>
      </c>
      <c r="Q4" s="222">
        <f>SUM(P4/D4)</f>
        <v>0.12300244948397662</v>
      </c>
      <c r="R4" s="257">
        <f>SUM(R6:R19)</f>
        <v>62182.799999999996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'21 - 27 Dec 2020'!D6</f>
        <v>153645.04</v>
      </c>
      <c r="C6" s="255">
        <v>276666.88</v>
      </c>
      <c r="D6" s="197">
        <v>102807.9</v>
      </c>
      <c r="E6" s="254">
        <v>38469.08</v>
      </c>
      <c r="F6" s="162">
        <f t="shared" si="0"/>
        <v>-0.62840546725361568</v>
      </c>
      <c r="G6" s="154">
        <f t="shared" ref="G6:G19" si="3">IFERROR((SUM(D6-B6)/B6),0)</f>
        <v>-0.33087394165148454</v>
      </c>
      <c r="H6" s="149">
        <v>390</v>
      </c>
      <c r="I6" s="256">
        <f t="shared" ref="I6:I19" si="4">IFERROR(D6/H6,0)</f>
        <v>263.60999999999996</v>
      </c>
      <c r="J6" s="125">
        <v>50</v>
      </c>
      <c r="K6" s="126">
        <f t="shared" si="1"/>
        <v>0.12820512820512819</v>
      </c>
      <c r="L6" s="46">
        <f>J6+'2 - 8 Nov 2020'!J6+'9 - 15 Nov 2020'!J6+'16 - 22 Nov 2020'!J6+'23 - 29 Nov 2020'!J6+'30 Nov - 6 Dec 2020'!J6+'7 - 13 Dec 2020'!J6+'14 - 20 Dec 2020'!J6+'21 - 27 Dec 2020'!J6</f>
        <v>568</v>
      </c>
      <c r="M6" s="171">
        <f t="shared" si="2"/>
        <v>1.4564102564102563</v>
      </c>
      <c r="N6" s="246">
        <v>20730.22</v>
      </c>
      <c r="O6" s="128">
        <f t="shared" ref="O6:O19" si="5">SUM(N6/D6)</f>
        <v>0.20164034086874649</v>
      </c>
      <c r="P6" s="247">
        <v>0</v>
      </c>
      <c r="Q6" s="128">
        <f t="shared" ref="Q6:Q19" si="6">SUM(P6/D6)</f>
        <v>0</v>
      </c>
      <c r="R6" s="129">
        <v>4984</v>
      </c>
      <c r="S6" s="26"/>
    </row>
    <row r="7" spans="1:22" ht="15.6" customHeight="1" x14ac:dyDescent="0.3">
      <c r="A7" s="409" t="s">
        <v>16</v>
      </c>
      <c r="B7" s="200">
        <f>'21 - 27 Dec 2020'!D7</f>
        <v>250899.36</v>
      </c>
      <c r="C7" s="73">
        <v>266740.18</v>
      </c>
      <c r="D7" s="145">
        <v>106626.3</v>
      </c>
      <c r="E7" s="130">
        <v>47571.06</v>
      </c>
      <c r="F7" s="163">
        <f t="shared" si="0"/>
        <v>-0.60026157289089332</v>
      </c>
      <c r="G7" s="155">
        <f t="shared" si="3"/>
        <v>-0.57502362700327336</v>
      </c>
      <c r="H7" s="150">
        <v>382</v>
      </c>
      <c r="I7" s="63">
        <f t="shared" si="4"/>
        <v>279.12643979057594</v>
      </c>
      <c r="J7" s="61">
        <v>46</v>
      </c>
      <c r="K7" s="28">
        <f t="shared" si="1"/>
        <v>0.12041884816753927</v>
      </c>
      <c r="L7" s="46">
        <f>J7+'2 - 8 Nov 2020'!J7+'9 - 15 Nov 2020'!J7+'16 - 22 Nov 2020'!J7+'23 - 29 Nov 2020'!J7+'30 Nov - 6 Dec 2020'!J7+'7 - 13 Dec 2020'!J7+'14 - 20 Dec 2020'!J7+'21 - 27 Dec 2020'!J7</f>
        <v>787</v>
      </c>
      <c r="M7" s="172">
        <f t="shared" si="2"/>
        <v>2.0602094240837698</v>
      </c>
      <c r="N7" s="247">
        <v>14824.87</v>
      </c>
      <c r="O7" s="89">
        <f t="shared" si="5"/>
        <v>0.1390357726001934</v>
      </c>
      <c r="P7" s="247">
        <v>5876.52</v>
      </c>
      <c r="Q7" s="89">
        <f t="shared" si="6"/>
        <v>5.5113231913702342E-2</v>
      </c>
      <c r="R7" s="130">
        <v>8220</v>
      </c>
      <c r="S7" s="26"/>
    </row>
    <row r="8" spans="1:22" ht="15.6" customHeight="1" x14ac:dyDescent="0.3">
      <c r="A8" s="409" t="s">
        <v>17</v>
      </c>
      <c r="B8" s="200">
        <f>'21 - 27 Dec 2020'!D8</f>
        <v>54247.96</v>
      </c>
      <c r="C8" s="73">
        <v>67999.53</v>
      </c>
      <c r="D8" s="145">
        <v>49292.77</v>
      </c>
      <c r="E8" s="130">
        <v>16952.68</v>
      </c>
      <c r="F8" s="163">
        <f t="shared" si="0"/>
        <v>-0.27510131320025305</v>
      </c>
      <c r="G8" s="155">
        <f t="shared" si="3"/>
        <v>-9.1343342680535872E-2</v>
      </c>
      <c r="H8" s="150">
        <v>196</v>
      </c>
      <c r="I8" s="63">
        <f t="shared" si="4"/>
        <v>251.49372448979591</v>
      </c>
      <c r="J8" s="61">
        <v>34</v>
      </c>
      <c r="K8" s="28">
        <f t="shared" si="1"/>
        <v>0.17346938775510204</v>
      </c>
      <c r="L8" s="46">
        <f>J8+'2 - 8 Nov 2020'!J8+'9 - 15 Nov 2020'!J8+'16 - 22 Nov 2020'!J8+'23 - 29 Nov 2020'!J8+'30 Nov - 6 Dec 2020'!J8+'7 - 13 Dec 2020'!J8+'14 - 20 Dec 2020'!J8+'21 - 27 Dec 2020'!J8</f>
        <v>334</v>
      </c>
      <c r="M8" s="172">
        <f t="shared" si="2"/>
        <v>1.7040816326530612</v>
      </c>
      <c r="N8" s="247">
        <v>19607.099999999999</v>
      </c>
      <c r="O8" s="89">
        <f t="shared" si="5"/>
        <v>0.39776827311591539</v>
      </c>
      <c r="P8" s="247">
        <v>7677.48</v>
      </c>
      <c r="Q8" s="89">
        <f t="shared" si="6"/>
        <v>0.15575265906135929</v>
      </c>
      <c r="R8" s="130">
        <v>1707</v>
      </c>
      <c r="S8" s="26"/>
    </row>
    <row r="9" spans="1:22" ht="15.6" customHeight="1" x14ac:dyDescent="0.3">
      <c r="A9" s="409" t="s">
        <v>18</v>
      </c>
      <c r="B9" s="200">
        <f>'21 - 27 Dec 2020'!D9</f>
        <v>188195.54</v>
      </c>
      <c r="C9" s="73">
        <v>305260.75</v>
      </c>
      <c r="D9" s="145">
        <v>130613.75</v>
      </c>
      <c r="E9" s="130">
        <v>58960.32</v>
      </c>
      <c r="F9" s="163">
        <f t="shared" si="0"/>
        <v>-0.57212399563324146</v>
      </c>
      <c r="G9" s="155">
        <f t="shared" si="3"/>
        <v>-0.30596787787850871</v>
      </c>
      <c r="H9" s="150">
        <v>537</v>
      </c>
      <c r="I9" s="63">
        <f t="shared" si="4"/>
        <v>243.22858472998138</v>
      </c>
      <c r="J9" s="61">
        <v>59</v>
      </c>
      <c r="K9" s="28">
        <f t="shared" si="1"/>
        <v>0.10986964618249534</v>
      </c>
      <c r="L9" s="46">
        <f>J9+'2 - 8 Nov 2020'!J9+'9 - 15 Nov 2020'!J9+'16 - 22 Nov 2020'!J9+'23 - 29 Nov 2020'!J9+'30 Nov - 6 Dec 2020'!J9+'7 - 13 Dec 2020'!J9+'14 - 20 Dec 2020'!J9+'21 - 27 Dec 2020'!J9</f>
        <v>690</v>
      </c>
      <c r="M9" s="172">
        <f t="shared" si="2"/>
        <v>1.2849162011173185</v>
      </c>
      <c r="N9" s="247">
        <v>20650.189999999999</v>
      </c>
      <c r="O9" s="89">
        <f t="shared" si="5"/>
        <v>0.15810119531825706</v>
      </c>
      <c r="P9" s="247">
        <v>7865.83</v>
      </c>
      <c r="Q9" s="89">
        <f t="shared" si="6"/>
        <v>6.0222066972275126E-2</v>
      </c>
      <c r="R9" s="130">
        <v>7068.5</v>
      </c>
      <c r="S9" s="26"/>
    </row>
    <row r="10" spans="1:22" ht="15.6" customHeight="1" x14ac:dyDescent="0.3">
      <c r="A10" s="411" t="s">
        <v>20</v>
      </c>
      <c r="B10" s="200">
        <f>'21 - 27 Dec 2020'!D10</f>
        <v>91596.78</v>
      </c>
      <c r="C10" s="73">
        <v>112210.71</v>
      </c>
      <c r="D10" s="145">
        <v>72961.5</v>
      </c>
      <c r="E10" s="130">
        <v>26591.39</v>
      </c>
      <c r="F10" s="163">
        <f t="shared" si="0"/>
        <v>-0.34978131766566672</v>
      </c>
      <c r="G10" s="155">
        <f t="shared" si="3"/>
        <v>-0.20344907320977876</v>
      </c>
      <c r="H10" s="150">
        <v>277</v>
      </c>
      <c r="I10" s="63">
        <f t="shared" si="4"/>
        <v>263.39891696750902</v>
      </c>
      <c r="J10" s="61">
        <v>35</v>
      </c>
      <c r="K10" s="28">
        <f t="shared" si="1"/>
        <v>0.1263537906137184</v>
      </c>
      <c r="L10" s="46">
        <f>J10+'2 - 8 Nov 2020'!J10+'9 - 15 Nov 2020'!J10+'16 - 22 Nov 2020'!J10+'23 - 29 Nov 2020'!J10+'30 Nov - 6 Dec 2020'!J10+'7 - 13 Dec 2020'!J10+'14 - 20 Dec 2020'!J10+'21 - 27 Dec 2020'!J10</f>
        <v>515</v>
      </c>
      <c r="M10" s="172">
        <f t="shared" si="2"/>
        <v>1.8592057761732852</v>
      </c>
      <c r="N10" s="247">
        <v>18121.259999999998</v>
      </c>
      <c r="O10" s="89">
        <f t="shared" si="5"/>
        <v>0.24836742665652431</v>
      </c>
      <c r="P10" s="247">
        <v>20193</v>
      </c>
      <c r="Q10" s="89">
        <f t="shared" si="6"/>
        <v>0.27676240208877284</v>
      </c>
      <c r="R10" s="130">
        <v>3194.5</v>
      </c>
      <c r="S10" s="26"/>
    </row>
    <row r="11" spans="1:22" ht="15.6" customHeight="1" x14ac:dyDescent="0.3">
      <c r="A11" s="409" t="s">
        <v>21</v>
      </c>
      <c r="B11" s="200">
        <f>'21 - 27 Dec 2020'!D11</f>
        <v>201645.67</v>
      </c>
      <c r="C11" s="73">
        <v>259688.15</v>
      </c>
      <c r="D11" s="145">
        <v>122773.19</v>
      </c>
      <c r="E11" s="130">
        <v>44613.62</v>
      </c>
      <c r="F11" s="163">
        <f t="shared" si="0"/>
        <v>-0.52722836987363497</v>
      </c>
      <c r="G11" s="155">
        <f t="shared" si="3"/>
        <v>-0.39114393083669985</v>
      </c>
      <c r="H11" s="150">
        <v>526</v>
      </c>
      <c r="I11" s="63">
        <f t="shared" si="4"/>
        <v>233.40910646387835</v>
      </c>
      <c r="J11" s="61">
        <v>25</v>
      </c>
      <c r="K11" s="28">
        <f t="shared" si="1"/>
        <v>4.7528517110266157E-2</v>
      </c>
      <c r="L11" s="46">
        <f>J11+'2 - 8 Nov 2020'!J11+'9 - 15 Nov 2020'!J11+'16 - 22 Nov 2020'!J11+'23 - 29 Nov 2020'!J11+'30 Nov - 6 Dec 2020'!J11+'7 - 13 Dec 2020'!J11+'14 - 20 Dec 2020'!J11+'21 - 27 Dec 2020'!J11</f>
        <v>544</v>
      </c>
      <c r="M11" s="172">
        <f t="shared" si="2"/>
        <v>1.0342205323193916</v>
      </c>
      <c r="N11" s="247">
        <v>19609.11</v>
      </c>
      <c r="O11" s="89">
        <f t="shared" si="5"/>
        <v>0.15971817625655896</v>
      </c>
      <c r="P11" s="247">
        <v>17320.259999999998</v>
      </c>
      <c r="Q11" s="89">
        <f t="shared" si="6"/>
        <v>0.14107526244125446</v>
      </c>
      <c r="R11" s="130">
        <v>6358.1</v>
      </c>
      <c r="S11" s="26"/>
    </row>
    <row r="12" spans="1:22" ht="15.6" customHeight="1" x14ac:dyDescent="0.3">
      <c r="A12" s="198" t="s">
        <v>22</v>
      </c>
      <c r="B12" s="200">
        <f>'21 - 27 Dec 2020'!D12</f>
        <v>79915.53</v>
      </c>
      <c r="C12" s="73">
        <v>172759.05</v>
      </c>
      <c r="D12" s="145">
        <v>76971.94</v>
      </c>
      <c r="E12" s="130">
        <v>38266.99</v>
      </c>
      <c r="F12" s="163">
        <f t="shared" si="0"/>
        <v>-0.55445494751215629</v>
      </c>
      <c r="G12" s="155">
        <f t="shared" si="3"/>
        <v>-3.6833766853576477E-2</v>
      </c>
      <c r="H12" s="150">
        <v>320</v>
      </c>
      <c r="I12" s="63">
        <f t="shared" si="4"/>
        <v>240.53731250000001</v>
      </c>
      <c r="J12" s="61">
        <v>30</v>
      </c>
      <c r="K12" s="28">
        <f t="shared" si="1"/>
        <v>9.375E-2</v>
      </c>
      <c r="L12" s="46">
        <f>J12+'2 - 8 Nov 2020'!J12+'9 - 15 Nov 2020'!J12+'16 - 22 Nov 2020'!J12+'23 - 29 Nov 2020'!J12+'30 Nov - 6 Dec 2020'!J12+'7 - 13 Dec 2020'!J12+'14 - 20 Dec 2020'!J12+'21 - 27 Dec 2020'!J12</f>
        <v>267</v>
      </c>
      <c r="M12" s="172">
        <f t="shared" si="2"/>
        <v>0.83437499999999998</v>
      </c>
      <c r="N12" s="247">
        <v>20050.48</v>
      </c>
      <c r="O12" s="89">
        <f t="shared" si="5"/>
        <v>0.26049077105241208</v>
      </c>
      <c r="P12" s="247">
        <v>5336.83</v>
      </c>
      <c r="Q12" s="89">
        <f t="shared" si="6"/>
        <v>6.9334747181895112E-2</v>
      </c>
      <c r="R12" s="130">
        <v>6656</v>
      </c>
      <c r="S12" s="26"/>
    </row>
    <row r="13" spans="1:22" ht="15.6" customHeight="1" x14ac:dyDescent="0.3">
      <c r="A13" s="198" t="s">
        <v>23</v>
      </c>
      <c r="B13" s="200">
        <f>'21 - 27 Dec 2020'!D13</f>
        <v>126657.65</v>
      </c>
      <c r="C13" s="73">
        <v>155712.35</v>
      </c>
      <c r="D13" s="145">
        <v>105150.61</v>
      </c>
      <c r="E13" s="130">
        <v>48862</v>
      </c>
      <c r="F13" s="163">
        <f t="shared" si="0"/>
        <v>-0.32471245858148057</v>
      </c>
      <c r="G13" s="155">
        <f t="shared" si="3"/>
        <v>-0.16980450845250955</v>
      </c>
      <c r="H13" s="150">
        <v>433</v>
      </c>
      <c r="I13" s="63">
        <f t="shared" si="4"/>
        <v>242.84205542725172</v>
      </c>
      <c r="J13" s="61">
        <v>39</v>
      </c>
      <c r="K13" s="28">
        <f t="shared" si="1"/>
        <v>9.0069284064665134E-2</v>
      </c>
      <c r="L13" s="46">
        <f>J13+'2 - 8 Nov 2020'!J13+'9 - 15 Nov 2020'!J13+'16 - 22 Nov 2020'!J13+'23 - 29 Nov 2020'!J13+'30 Nov - 6 Dec 2020'!J13+'7 - 13 Dec 2020'!J13+'14 - 20 Dec 2020'!J13+'21 - 27 Dec 2020'!J13</f>
        <v>457</v>
      </c>
      <c r="M13" s="172">
        <f t="shared" si="2"/>
        <v>1.0554272517321017</v>
      </c>
      <c r="N13" s="247">
        <v>29679.96</v>
      </c>
      <c r="O13" s="89">
        <f t="shared" si="5"/>
        <v>0.28226141531656351</v>
      </c>
      <c r="P13" s="247">
        <v>17473.009999999998</v>
      </c>
      <c r="Q13" s="89">
        <f t="shared" si="6"/>
        <v>0.16617126614862243</v>
      </c>
      <c r="R13" s="130">
        <v>4706</v>
      </c>
      <c r="S13" s="26"/>
    </row>
    <row r="14" spans="1:22" ht="15.6" hidden="1" customHeight="1" x14ac:dyDescent="0.3">
      <c r="A14" s="198" t="s">
        <v>24</v>
      </c>
      <c r="B14" s="200">
        <f>'21 - 27 Dec 2020'!D14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'21 - 27 Dec 2020'!D15</f>
        <v>544494.12</v>
      </c>
      <c r="C15" s="73">
        <v>877892.31</v>
      </c>
      <c r="D15" s="145">
        <v>528430.30000000005</v>
      </c>
      <c r="E15" s="130">
        <v>238794.37</v>
      </c>
      <c r="F15" s="163">
        <f t="shared" si="0"/>
        <v>-0.3980693372288453</v>
      </c>
      <c r="G15" s="155">
        <f t="shared" si="3"/>
        <v>-2.9502283697755909E-2</v>
      </c>
      <c r="H15" s="150">
        <v>1556</v>
      </c>
      <c r="I15" s="63">
        <f t="shared" si="4"/>
        <v>339.60816195372752</v>
      </c>
      <c r="J15" s="61">
        <v>215</v>
      </c>
      <c r="K15" s="28">
        <f t="shared" si="1"/>
        <v>0.13817480719794345</v>
      </c>
      <c r="L15" s="46">
        <f>J15+'2 - 8 Nov 2020'!J15+'9 - 15 Nov 2020'!J15+'16 - 22 Nov 2020'!J15+'23 - 29 Nov 2020'!J15+'30 Nov - 6 Dec 2020'!J15+'7 - 13 Dec 2020'!J15+'14 - 20 Dec 2020'!J15+'21 - 27 Dec 2020'!J15</f>
        <v>659</v>
      </c>
      <c r="M15" s="172">
        <f t="shared" si="2"/>
        <v>0.42352185089974292</v>
      </c>
      <c r="N15" s="247">
        <v>0</v>
      </c>
      <c r="O15" s="89">
        <f t="shared" si="5"/>
        <v>0</v>
      </c>
      <c r="P15" s="247">
        <v>74042.61</v>
      </c>
      <c r="Q15" s="89">
        <f t="shared" si="6"/>
        <v>0.1401180250261955</v>
      </c>
      <c r="R15" s="130">
        <v>11285.3</v>
      </c>
      <c r="S15" s="9"/>
    </row>
    <row r="16" spans="1:22" ht="15.6" customHeight="1" x14ac:dyDescent="0.3">
      <c r="A16" s="198" t="s">
        <v>27</v>
      </c>
      <c r="B16" s="200">
        <f>'21 - 27 Dec 2020'!D16</f>
        <v>90716.7</v>
      </c>
      <c r="C16" s="73">
        <v>104178.02</v>
      </c>
      <c r="D16" s="145">
        <v>63938.09</v>
      </c>
      <c r="E16" s="130">
        <v>29109.42</v>
      </c>
      <c r="F16" s="163">
        <f t="shared" si="0"/>
        <v>-0.38626122861617074</v>
      </c>
      <c r="G16" s="155">
        <f t="shared" si="3"/>
        <v>-0.29518941936820897</v>
      </c>
      <c r="H16" s="150">
        <v>396</v>
      </c>
      <c r="I16" s="63">
        <f t="shared" si="4"/>
        <v>161.45982323232323</v>
      </c>
      <c r="J16" s="61">
        <v>34</v>
      </c>
      <c r="K16" s="28">
        <f t="shared" si="1"/>
        <v>8.5858585858585856E-2</v>
      </c>
      <c r="L16" s="46">
        <f>J16+'2 - 8 Nov 2020'!J16+'9 - 15 Nov 2020'!J16+'16 - 22 Nov 2020'!J16+'23 - 29 Nov 2020'!J16+'30 Nov - 6 Dec 2020'!J16+'7 - 13 Dec 2020'!J16+'14 - 20 Dec 2020'!J16+'21 - 27 Dec 2020'!J16</f>
        <v>358</v>
      </c>
      <c r="M16" s="172">
        <f t="shared" si="2"/>
        <v>0.90404040404040409</v>
      </c>
      <c r="N16" s="247">
        <v>14554.22</v>
      </c>
      <c r="O16" s="89">
        <f t="shared" si="5"/>
        <v>0.22762988384545113</v>
      </c>
      <c r="P16" s="247">
        <v>12269.04</v>
      </c>
      <c r="Q16" s="89">
        <f t="shared" si="6"/>
        <v>0.19188937298564912</v>
      </c>
      <c r="R16" s="130">
        <v>2684</v>
      </c>
      <c r="S16" s="9"/>
      <c r="V16" s="238"/>
    </row>
    <row r="17" spans="1:19" ht="15.6" customHeight="1" x14ac:dyDescent="0.3">
      <c r="A17" s="251" t="s">
        <v>28</v>
      </c>
      <c r="B17" s="200">
        <f>'21 - 27 Dec 2020'!D17</f>
        <v>95656.3</v>
      </c>
      <c r="C17" s="73">
        <v>153893.73000000001</v>
      </c>
      <c r="D17" s="145">
        <v>79557.17</v>
      </c>
      <c r="E17" s="130">
        <v>38211.79</v>
      </c>
      <c r="F17" s="163">
        <f t="shared" si="0"/>
        <v>-0.48303826283241041</v>
      </c>
      <c r="G17" s="155">
        <f t="shared" si="3"/>
        <v>-0.16830182643485064</v>
      </c>
      <c r="H17" s="150">
        <v>350</v>
      </c>
      <c r="I17" s="63">
        <f t="shared" si="4"/>
        <v>227.30619999999999</v>
      </c>
      <c r="J17" s="61">
        <v>39</v>
      </c>
      <c r="K17" s="28">
        <f t="shared" si="1"/>
        <v>0.11142857142857143</v>
      </c>
      <c r="L17" s="46">
        <f>J17+'2 - 8 Nov 2020'!J17+'9 - 15 Nov 2020'!J17+'16 - 22 Nov 2020'!J17+'23 - 29 Nov 2020'!J17+'30 Nov - 6 Dec 2020'!J17+'7 - 13 Dec 2020'!J17+'14 - 20 Dec 2020'!J17+'21 - 27 Dec 2020'!J17</f>
        <v>414</v>
      </c>
      <c r="M17" s="172">
        <f t="shared" si="2"/>
        <v>1.1828571428571428</v>
      </c>
      <c r="N17" s="247">
        <v>30453</v>
      </c>
      <c r="O17" s="89">
        <f t="shared" si="5"/>
        <v>0.38278133825021682</v>
      </c>
      <c r="P17" s="247">
        <v>9767.74</v>
      </c>
      <c r="Q17" s="89">
        <f t="shared" si="6"/>
        <v>0.12277636321151192</v>
      </c>
      <c r="R17" s="130">
        <v>1242.4000000000001</v>
      </c>
      <c r="S17" s="9"/>
    </row>
    <row r="18" spans="1:19" ht="15.6" customHeight="1" x14ac:dyDescent="0.3">
      <c r="A18" s="198" t="s">
        <v>33</v>
      </c>
      <c r="B18" s="200">
        <f>'21 - 27 Dec 2020'!D18</f>
        <v>110233.85</v>
      </c>
      <c r="C18" s="73">
        <v>194529.92000000001</v>
      </c>
      <c r="D18" s="145">
        <v>103042.11</v>
      </c>
      <c r="E18" s="130">
        <v>47222.37</v>
      </c>
      <c r="F18" s="163">
        <f t="shared" si="0"/>
        <v>-0.47030199775952208</v>
      </c>
      <c r="G18" s="155">
        <f t="shared" si="3"/>
        <v>-6.5240758623598877E-2</v>
      </c>
      <c r="H18" s="150">
        <v>416</v>
      </c>
      <c r="I18" s="258">
        <f t="shared" si="4"/>
        <v>247.6973798076923</v>
      </c>
      <c r="J18" s="61">
        <v>51</v>
      </c>
      <c r="K18" s="28">
        <f t="shared" si="1"/>
        <v>0.12259615384615384</v>
      </c>
      <c r="L18" s="46">
        <f>J18+'2 - 8 Nov 2020'!J18+'9 - 15 Nov 2020'!J18+'16 - 22 Nov 2020'!J18+'23 - 29 Nov 2020'!J18+'30 Nov - 6 Dec 2020'!J18+'7 - 13 Dec 2020'!J18+'14 - 20 Dec 2020'!J18+'21 - 27 Dec 2020'!J18</f>
        <v>448</v>
      </c>
      <c r="M18" s="172">
        <f t="shared" si="2"/>
        <v>1.0769230769230769</v>
      </c>
      <c r="N18" s="247">
        <v>22785.87</v>
      </c>
      <c r="O18" s="89">
        <f t="shared" si="5"/>
        <v>0.22113163249471501</v>
      </c>
      <c r="P18" s="247">
        <v>11867.83</v>
      </c>
      <c r="Q18" s="89">
        <f t="shared" si="6"/>
        <v>0.1151745630985235</v>
      </c>
      <c r="R18" s="130">
        <v>4077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88" priority="10" operator="equal">
      <formula>0</formula>
    </cfRule>
  </conditionalFormatting>
  <conditionalFormatting sqref="D7:E19">
    <cfRule type="cellIs" dxfId="387" priority="9" operator="equal">
      <formula>0</formula>
    </cfRule>
  </conditionalFormatting>
  <conditionalFormatting sqref="F6:R19">
    <cfRule type="cellIs" dxfId="38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V41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-0.48934771730136711</v>
      </c>
      <c r="G2" s="400">
        <f>(((D4-D19-B19)-B4)/D4)</f>
        <v>-0.15165307457487259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1542165.63</v>
      </c>
      <c r="C4" s="135">
        <f>SUM(C6:C19)-C14-C19</f>
        <v>2622310.2400000002</v>
      </c>
      <c r="D4" s="142">
        <f>SUM(D6:D19)-D19</f>
        <v>1339088.71</v>
      </c>
      <c r="E4" s="142">
        <f>SUM(E6:E19)-E19</f>
        <v>2012843.7999999998</v>
      </c>
      <c r="F4" s="217">
        <f t="shared" ref="F4:F19" si="0">IFERROR((SUM(D4-C4)/C4),0)</f>
        <v>-0.48934771730136711</v>
      </c>
      <c r="G4" s="217">
        <f>IFERROR((SUM(D4-B4)/D4),0)</f>
        <v>-0.15165307457487259</v>
      </c>
      <c r="H4" s="147">
        <f>SUM(H6:H19)</f>
        <v>5416</v>
      </c>
      <c r="I4" s="218">
        <f>AVERAGE(I5:I19)</f>
        <v>206.55353856480798</v>
      </c>
      <c r="J4" s="219">
        <f>SUM(J6:J19)</f>
        <v>562</v>
      </c>
      <c r="K4" s="220">
        <f t="shared" ref="K4:K19" si="1">IFERROR(J4/H4,0)</f>
        <v>0.10376661742983752</v>
      </c>
      <c r="L4" s="221">
        <f>SUM(L6:L19)</f>
        <v>5946</v>
      </c>
      <c r="M4" s="222">
        <f t="shared" ref="M4:M19" si="2">IFERROR(L4/SUM(H4),0)</f>
        <v>1.0978581979320532</v>
      </c>
      <c r="N4" s="249">
        <f>SUM(N6:N19)</f>
        <v>298442.63999999996</v>
      </c>
      <c r="O4" s="222">
        <f>SUM(N4/D4)</f>
        <v>0.22286995459770545</v>
      </c>
      <c r="P4" s="244">
        <f>SUM(P6:P19)</f>
        <v>173484.94</v>
      </c>
      <c r="Q4" s="222">
        <f>SUM(P4/D4)</f>
        <v>0.12955447888138794</v>
      </c>
      <c r="R4" s="257">
        <f>SUM(R6:R19)</f>
        <v>53583.57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'28 Dec 2020 - 3 Jan 2021'!D6</f>
        <v>102807.9</v>
      </c>
      <c r="C6" s="255">
        <v>296675.38</v>
      </c>
      <c r="D6" s="197">
        <v>132428.34</v>
      </c>
      <c r="E6" s="254">
        <v>170897.42</v>
      </c>
      <c r="F6" s="162">
        <f t="shared" si="0"/>
        <v>-0.55362544745034115</v>
      </c>
      <c r="G6" s="154">
        <f t="shared" ref="G6:G19" si="3">IFERROR((SUM(D6-B6)/B6),0)</f>
        <v>0.28811443478565368</v>
      </c>
      <c r="H6" s="149">
        <v>489</v>
      </c>
      <c r="I6" s="256">
        <f t="shared" ref="I6:I19" si="4">IFERROR(D6/H6,0)</f>
        <v>270.81460122699383</v>
      </c>
      <c r="J6" s="125">
        <v>50</v>
      </c>
      <c r="K6" s="126">
        <f t="shared" si="1"/>
        <v>0.10224948875255624</v>
      </c>
      <c r="L6" s="46">
        <f>J6+'2 - 8 Nov 2020'!J6+'9 - 15 Nov 2020'!J6+'16 - 22 Nov 2020'!J6+'23 - 29 Nov 2020'!J6+'30 Nov - 6 Dec 2020'!J6+'7 - 13 Dec 2020'!J6+'14 - 20 Dec 2020'!J6+'21 - 27 Dec 2020'!J6</f>
        <v>568</v>
      </c>
      <c r="M6" s="171">
        <f t="shared" si="2"/>
        <v>1.1615541922290389</v>
      </c>
      <c r="N6" s="246">
        <v>34572.910000000003</v>
      </c>
      <c r="O6" s="128">
        <f t="shared" ref="O6:O19" si="5">SUM(N6/D6)</f>
        <v>0.26106881653881642</v>
      </c>
      <c r="P6" s="247">
        <v>0</v>
      </c>
      <c r="Q6" s="128">
        <f t="shared" ref="Q6:Q19" si="6">SUM(P6/D6)</f>
        <v>0</v>
      </c>
      <c r="R6" s="129">
        <v>6349</v>
      </c>
      <c r="S6" s="26"/>
    </row>
    <row r="7" spans="1:22" ht="15.6" customHeight="1" x14ac:dyDescent="0.3">
      <c r="A7" s="409" t="s">
        <v>16</v>
      </c>
      <c r="B7" s="200">
        <f>'28 Dec 2020 - 3 Jan 2021'!D7</f>
        <v>106626.3</v>
      </c>
      <c r="C7" s="73">
        <v>198130.76</v>
      </c>
      <c r="D7" s="145">
        <v>83309.19</v>
      </c>
      <c r="E7" s="130">
        <v>130880.25</v>
      </c>
      <c r="F7" s="163">
        <f t="shared" si="0"/>
        <v>-0.57952419906934194</v>
      </c>
      <c r="G7" s="155">
        <f t="shared" si="3"/>
        <v>-0.21868066321348487</v>
      </c>
      <c r="H7" s="150">
        <v>320</v>
      </c>
      <c r="I7" s="63">
        <f t="shared" si="4"/>
        <v>260.34121875</v>
      </c>
      <c r="J7" s="61">
        <v>48</v>
      </c>
      <c r="K7" s="28">
        <f t="shared" si="1"/>
        <v>0.15</v>
      </c>
      <c r="L7" s="46">
        <f>J7+'2 - 8 Nov 2020'!J7+'9 - 15 Nov 2020'!J7+'16 - 22 Nov 2020'!J7+'23 - 29 Nov 2020'!J7+'30 Nov - 6 Dec 2020'!J7+'7 - 13 Dec 2020'!J7+'14 - 20 Dec 2020'!J7+'21 - 27 Dec 2020'!J7</f>
        <v>789</v>
      </c>
      <c r="M7" s="172">
        <f t="shared" si="2"/>
        <v>2.4656250000000002</v>
      </c>
      <c r="N7" s="247">
        <v>16834.78</v>
      </c>
      <c r="O7" s="89">
        <f t="shared" si="5"/>
        <v>0.20207590543132153</v>
      </c>
      <c r="P7" s="247">
        <v>8622.61</v>
      </c>
      <c r="Q7" s="89">
        <f t="shared" si="6"/>
        <v>0.10350130639848977</v>
      </c>
      <c r="R7" s="130">
        <v>4694.6000000000004</v>
      </c>
      <c r="S7" s="26"/>
    </row>
    <row r="8" spans="1:22" ht="15.6" customHeight="1" x14ac:dyDescent="0.3">
      <c r="A8" s="409" t="s">
        <v>17</v>
      </c>
      <c r="B8" s="200">
        <f>'28 Dec 2020 - 3 Jan 2021'!D8</f>
        <v>49292.77</v>
      </c>
      <c r="C8" s="73">
        <v>81968.13</v>
      </c>
      <c r="D8" s="145">
        <v>52090.83</v>
      </c>
      <c r="E8" s="130">
        <v>69043.509999999995</v>
      </c>
      <c r="F8" s="163">
        <f t="shared" si="0"/>
        <v>-0.36449898271437936</v>
      </c>
      <c r="G8" s="155">
        <f t="shared" si="3"/>
        <v>5.6764105567611745E-2</v>
      </c>
      <c r="H8" s="150">
        <v>248</v>
      </c>
      <c r="I8" s="63">
        <f t="shared" si="4"/>
        <v>210.04366935483873</v>
      </c>
      <c r="J8" s="61">
        <v>22</v>
      </c>
      <c r="K8" s="28">
        <f t="shared" si="1"/>
        <v>8.8709677419354843E-2</v>
      </c>
      <c r="L8" s="46">
        <f>J8+'2 - 8 Nov 2020'!J8+'9 - 15 Nov 2020'!J8+'16 - 22 Nov 2020'!J8+'23 - 29 Nov 2020'!J8+'30 Nov - 6 Dec 2020'!J8+'7 - 13 Dec 2020'!J8+'14 - 20 Dec 2020'!J8+'21 - 27 Dec 2020'!J8</f>
        <v>322</v>
      </c>
      <c r="M8" s="172">
        <f t="shared" si="2"/>
        <v>1.2983870967741935</v>
      </c>
      <c r="N8" s="247">
        <v>25218.85</v>
      </c>
      <c r="O8" s="89">
        <f t="shared" si="5"/>
        <v>0.48413223594248733</v>
      </c>
      <c r="P8" s="247">
        <v>8961.09</v>
      </c>
      <c r="Q8" s="89">
        <f t="shared" si="6"/>
        <v>0.17202816695376133</v>
      </c>
      <c r="R8" s="130">
        <v>1591</v>
      </c>
      <c r="S8" s="26"/>
    </row>
    <row r="9" spans="1:22" ht="15.6" customHeight="1" x14ac:dyDescent="0.3">
      <c r="A9" s="409" t="s">
        <v>18</v>
      </c>
      <c r="B9" s="200">
        <f>'28 Dec 2020 - 3 Jan 2021'!D9</f>
        <v>130613.75</v>
      </c>
      <c r="C9" s="73">
        <v>287972.86</v>
      </c>
      <c r="D9" s="145">
        <v>114208.02</v>
      </c>
      <c r="E9" s="130">
        <v>173168.34</v>
      </c>
      <c r="F9" s="163">
        <f t="shared" si="0"/>
        <v>-0.60340700161813854</v>
      </c>
      <c r="G9" s="155">
        <f t="shared" si="3"/>
        <v>-0.12560492291202111</v>
      </c>
      <c r="H9" s="150">
        <v>498</v>
      </c>
      <c r="I9" s="63">
        <f t="shared" si="4"/>
        <v>229.3333734939759</v>
      </c>
      <c r="J9" s="61">
        <v>45</v>
      </c>
      <c r="K9" s="28">
        <f t="shared" si="1"/>
        <v>9.036144578313253E-2</v>
      </c>
      <c r="L9" s="46">
        <f>J9+'2 - 8 Nov 2020'!J9+'9 - 15 Nov 2020'!J9+'16 - 22 Nov 2020'!J9+'23 - 29 Nov 2020'!J9+'30 Nov - 6 Dec 2020'!J9+'7 - 13 Dec 2020'!J9+'14 - 20 Dec 2020'!J9+'21 - 27 Dec 2020'!J9</f>
        <v>676</v>
      </c>
      <c r="M9" s="172">
        <f t="shared" si="2"/>
        <v>1.357429718875502</v>
      </c>
      <c r="N9" s="247">
        <v>19531.96</v>
      </c>
      <c r="O9" s="89">
        <f t="shared" si="5"/>
        <v>0.17102091429305927</v>
      </c>
      <c r="P9" s="247">
        <v>7015.35</v>
      </c>
      <c r="Q9" s="89">
        <f t="shared" si="6"/>
        <v>6.1426071479043241E-2</v>
      </c>
      <c r="R9" s="130">
        <v>5903</v>
      </c>
      <c r="S9" s="26"/>
    </row>
    <row r="10" spans="1:22" ht="15.6" customHeight="1" x14ac:dyDescent="0.3">
      <c r="A10" s="411" t="s">
        <v>20</v>
      </c>
      <c r="B10" s="200">
        <f>'28 Dec 2020 - 3 Jan 2021'!D10</f>
        <v>72961.5</v>
      </c>
      <c r="C10" s="73">
        <v>132580.56</v>
      </c>
      <c r="D10" s="145">
        <v>81183.02</v>
      </c>
      <c r="E10" s="130">
        <v>107774.41</v>
      </c>
      <c r="F10" s="163">
        <f t="shared" si="0"/>
        <v>-0.38767025874683281</v>
      </c>
      <c r="G10" s="155">
        <f t="shared" si="3"/>
        <v>0.11268299034422269</v>
      </c>
      <c r="H10" s="150">
        <v>312</v>
      </c>
      <c r="I10" s="63">
        <f t="shared" si="4"/>
        <v>260.20198717948722</v>
      </c>
      <c r="J10" s="61">
        <v>45</v>
      </c>
      <c r="K10" s="28">
        <f t="shared" si="1"/>
        <v>0.14423076923076922</v>
      </c>
      <c r="L10" s="46">
        <f>J10+'2 - 8 Nov 2020'!J10+'9 - 15 Nov 2020'!J10+'16 - 22 Nov 2020'!J10+'23 - 29 Nov 2020'!J10+'30 Nov - 6 Dec 2020'!J10+'7 - 13 Dec 2020'!J10+'14 - 20 Dec 2020'!J10+'21 - 27 Dec 2020'!J10</f>
        <v>525</v>
      </c>
      <c r="M10" s="172">
        <f t="shared" si="2"/>
        <v>1.6826923076923077</v>
      </c>
      <c r="N10" s="247">
        <v>30164.87</v>
      </c>
      <c r="O10" s="89">
        <f t="shared" si="5"/>
        <v>0.37156624624213286</v>
      </c>
      <c r="P10" s="247">
        <v>15430.39</v>
      </c>
      <c r="Q10" s="89">
        <f t="shared" si="6"/>
        <v>0.1900691794909822</v>
      </c>
      <c r="R10" s="130">
        <v>3596.5</v>
      </c>
      <c r="S10" s="26"/>
    </row>
    <row r="11" spans="1:22" ht="15.6" customHeight="1" x14ac:dyDescent="0.3">
      <c r="A11" s="409" t="s">
        <v>21</v>
      </c>
      <c r="B11" s="200">
        <f>'28 Dec 2020 - 3 Jan 2021'!D11</f>
        <v>122773.19</v>
      </c>
      <c r="C11" s="73">
        <v>330215.89</v>
      </c>
      <c r="D11" s="145">
        <v>157522.23000000001</v>
      </c>
      <c r="E11" s="130">
        <v>202165.85</v>
      </c>
      <c r="F11" s="163">
        <f t="shared" si="0"/>
        <v>-0.52297198659943345</v>
      </c>
      <c r="G11" s="155">
        <f t="shared" si="3"/>
        <v>0.28303443121417637</v>
      </c>
      <c r="H11" s="150">
        <v>693</v>
      </c>
      <c r="I11" s="63">
        <f t="shared" si="4"/>
        <v>227.3048051948052</v>
      </c>
      <c r="J11" s="61">
        <v>60</v>
      </c>
      <c r="K11" s="28">
        <f t="shared" si="1"/>
        <v>8.6580086580086577E-2</v>
      </c>
      <c r="L11" s="46">
        <f>J11+'2 - 8 Nov 2020'!J11+'9 - 15 Nov 2020'!J11+'16 - 22 Nov 2020'!J11+'23 - 29 Nov 2020'!J11+'30 Nov - 6 Dec 2020'!J11+'7 - 13 Dec 2020'!J11+'14 - 20 Dec 2020'!J11+'21 - 27 Dec 2020'!J11</f>
        <v>579</v>
      </c>
      <c r="M11" s="172">
        <f t="shared" si="2"/>
        <v>0.83549783549783552</v>
      </c>
      <c r="N11" s="247">
        <v>39472.65</v>
      </c>
      <c r="O11" s="89">
        <f t="shared" si="5"/>
        <v>0.250584631769116</v>
      </c>
      <c r="P11" s="247">
        <v>23384.35</v>
      </c>
      <c r="Q11" s="89">
        <f t="shared" si="6"/>
        <v>0.14845111067815633</v>
      </c>
      <c r="R11" s="130">
        <v>6522.3</v>
      </c>
      <c r="S11" s="26"/>
    </row>
    <row r="12" spans="1:22" ht="15.6" customHeight="1" x14ac:dyDescent="0.3">
      <c r="A12" s="198" t="s">
        <v>22</v>
      </c>
      <c r="B12" s="200">
        <f>'28 Dec 2020 - 3 Jan 2021'!D12</f>
        <v>76971.94</v>
      </c>
      <c r="C12" s="73">
        <v>132864.84</v>
      </c>
      <c r="D12" s="145">
        <v>67869.490000000005</v>
      </c>
      <c r="E12" s="130">
        <v>106136.48</v>
      </c>
      <c r="F12" s="163">
        <f t="shared" si="0"/>
        <v>-0.48918397071791148</v>
      </c>
      <c r="G12" s="155">
        <f t="shared" si="3"/>
        <v>-0.11825673095935996</v>
      </c>
      <c r="H12" s="150">
        <v>300</v>
      </c>
      <c r="I12" s="63">
        <f t="shared" si="4"/>
        <v>226.23163333333335</v>
      </c>
      <c r="J12" s="61">
        <v>19</v>
      </c>
      <c r="K12" s="28">
        <f t="shared" si="1"/>
        <v>6.3333333333333339E-2</v>
      </c>
      <c r="L12" s="46">
        <f>J12+'2 - 8 Nov 2020'!J12+'9 - 15 Nov 2020'!J12+'16 - 22 Nov 2020'!J12+'23 - 29 Nov 2020'!J12+'30 Nov - 6 Dec 2020'!J12+'7 - 13 Dec 2020'!J12+'14 - 20 Dec 2020'!J12+'21 - 27 Dec 2020'!J12</f>
        <v>256</v>
      </c>
      <c r="M12" s="172">
        <f t="shared" si="2"/>
        <v>0.85333333333333339</v>
      </c>
      <c r="N12" s="247">
        <v>27423.3</v>
      </c>
      <c r="O12" s="89">
        <f t="shared" si="5"/>
        <v>0.40405932032198855</v>
      </c>
      <c r="P12" s="247">
        <v>2972.65</v>
      </c>
      <c r="Q12" s="89">
        <f t="shared" si="6"/>
        <v>4.3799504018668771E-2</v>
      </c>
      <c r="R12" s="130">
        <v>6302.5</v>
      </c>
      <c r="S12" s="26"/>
    </row>
    <row r="13" spans="1:22" ht="15.6" customHeight="1" x14ac:dyDescent="0.3">
      <c r="A13" s="198" t="s">
        <v>23</v>
      </c>
      <c r="B13" s="200">
        <f>'28 Dec 2020 - 3 Jan 2021'!D13</f>
        <v>105150.61</v>
      </c>
      <c r="C13" s="73">
        <v>219689.71</v>
      </c>
      <c r="D13" s="145">
        <v>111534.91</v>
      </c>
      <c r="E13" s="130">
        <v>160396.91</v>
      </c>
      <c r="F13" s="163">
        <f t="shared" si="0"/>
        <v>-0.49230708165621406</v>
      </c>
      <c r="G13" s="155">
        <f t="shared" si="3"/>
        <v>6.0715767602299242E-2</v>
      </c>
      <c r="H13" s="150">
        <v>493</v>
      </c>
      <c r="I13" s="63">
        <f t="shared" si="4"/>
        <v>226.23713995943206</v>
      </c>
      <c r="J13" s="61">
        <v>53</v>
      </c>
      <c r="K13" s="28">
        <f t="shared" si="1"/>
        <v>0.10750507099391481</v>
      </c>
      <c r="L13" s="46">
        <f>J13+'2 - 8 Nov 2020'!J13+'9 - 15 Nov 2020'!J13+'16 - 22 Nov 2020'!J13+'23 - 29 Nov 2020'!J13+'30 Nov - 6 Dec 2020'!J13+'7 - 13 Dec 2020'!J13+'14 - 20 Dec 2020'!J13+'21 - 27 Dec 2020'!J13</f>
        <v>471</v>
      </c>
      <c r="M13" s="172">
        <f t="shared" si="2"/>
        <v>0.95537525354969577</v>
      </c>
      <c r="N13" s="247">
        <v>30107.96</v>
      </c>
      <c r="O13" s="89">
        <f t="shared" si="5"/>
        <v>0.26994202980932158</v>
      </c>
      <c r="P13" s="247">
        <v>17747.59</v>
      </c>
      <c r="Q13" s="89">
        <f t="shared" si="6"/>
        <v>0.15912139078249132</v>
      </c>
      <c r="R13" s="130">
        <v>3297</v>
      </c>
      <c r="S13" s="26"/>
    </row>
    <row r="14" spans="1:22" ht="15.6" hidden="1" customHeight="1" x14ac:dyDescent="0.3">
      <c r="A14" s="198" t="s">
        <v>24</v>
      </c>
      <c r="B14" s="200">
        <f>'28 Dec 2020 - 3 Jan 2021'!D14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'28 Dec 2020 - 3 Jan 2021'!D15</f>
        <v>528430.30000000005</v>
      </c>
      <c r="C15" s="73">
        <v>440887.85</v>
      </c>
      <c r="D15" s="145">
        <v>285822.7</v>
      </c>
      <c r="E15" s="130">
        <v>524617.06999999995</v>
      </c>
      <c r="F15" s="163">
        <f t="shared" si="0"/>
        <v>-0.35171109841198839</v>
      </c>
      <c r="G15" s="155">
        <f t="shared" si="3"/>
        <v>-0.45910993370365027</v>
      </c>
      <c r="H15" s="150">
        <v>943</v>
      </c>
      <c r="I15" s="63">
        <f t="shared" si="4"/>
        <v>303.09936373276776</v>
      </c>
      <c r="J15" s="61">
        <v>107</v>
      </c>
      <c r="K15" s="28">
        <f t="shared" si="1"/>
        <v>0.11346765641569459</v>
      </c>
      <c r="L15" s="46">
        <f>J15+'2 - 8 Nov 2020'!J15+'9 - 15 Nov 2020'!J15+'16 - 22 Nov 2020'!J15+'23 - 29 Nov 2020'!J15+'30 Nov - 6 Dec 2020'!J15+'7 - 13 Dec 2020'!J15+'14 - 20 Dec 2020'!J15+'21 - 27 Dec 2020'!J15</f>
        <v>551</v>
      </c>
      <c r="M15" s="172">
        <f t="shared" si="2"/>
        <v>0.58430540827147404</v>
      </c>
      <c r="N15" s="247">
        <v>0</v>
      </c>
      <c r="O15" s="89">
        <f t="shared" si="5"/>
        <v>0</v>
      </c>
      <c r="P15" s="247">
        <v>54798.17</v>
      </c>
      <c r="Q15" s="89">
        <f t="shared" si="6"/>
        <v>0.19172084652478616</v>
      </c>
      <c r="R15" s="130">
        <v>3018.37</v>
      </c>
      <c r="S15" s="9"/>
    </row>
    <row r="16" spans="1:22" ht="15.6" customHeight="1" x14ac:dyDescent="0.3">
      <c r="A16" s="198" t="s">
        <v>27</v>
      </c>
      <c r="B16" s="200">
        <f>'28 Dec 2020 - 3 Jan 2021'!D16</f>
        <v>63938.09</v>
      </c>
      <c r="C16" s="73">
        <v>115805.88</v>
      </c>
      <c r="D16" s="145">
        <v>67752.66</v>
      </c>
      <c r="E16" s="130">
        <v>96862.080000000002</v>
      </c>
      <c r="F16" s="163">
        <f t="shared" si="0"/>
        <v>-0.41494628770145348</v>
      </c>
      <c r="G16" s="155">
        <f t="shared" si="3"/>
        <v>5.966036833443112E-2</v>
      </c>
      <c r="H16" s="150">
        <v>299</v>
      </c>
      <c r="I16" s="63">
        <f t="shared" si="4"/>
        <v>226.59752508361206</v>
      </c>
      <c r="J16" s="61">
        <v>39</v>
      </c>
      <c r="K16" s="28">
        <f t="shared" si="1"/>
        <v>0.13043478260869565</v>
      </c>
      <c r="L16" s="46">
        <f>J16+'2 - 8 Nov 2020'!J16+'9 - 15 Nov 2020'!J16+'16 - 22 Nov 2020'!J16+'23 - 29 Nov 2020'!J16+'30 Nov - 6 Dec 2020'!J16+'7 - 13 Dec 2020'!J16+'14 - 20 Dec 2020'!J16+'21 - 27 Dec 2020'!J16</f>
        <v>363</v>
      </c>
      <c r="M16" s="172">
        <f t="shared" si="2"/>
        <v>1.214046822742475</v>
      </c>
      <c r="N16" s="247">
        <v>21486.6</v>
      </c>
      <c r="O16" s="89">
        <f t="shared" si="5"/>
        <v>0.31713293618287458</v>
      </c>
      <c r="P16" s="247">
        <v>15425.87</v>
      </c>
      <c r="Q16" s="89">
        <f t="shared" si="6"/>
        <v>0.22767917894293743</v>
      </c>
      <c r="R16" s="130">
        <v>4525</v>
      </c>
      <c r="S16" s="9"/>
      <c r="V16" s="238"/>
    </row>
    <row r="17" spans="1:19" ht="15.6" customHeight="1" x14ac:dyDescent="0.3">
      <c r="A17" s="251" t="s">
        <v>28</v>
      </c>
      <c r="B17" s="200">
        <f>'28 Dec 2020 - 3 Jan 2021'!D17</f>
        <v>79557.17</v>
      </c>
      <c r="C17" s="73">
        <v>208806.41</v>
      </c>
      <c r="D17" s="145">
        <v>89115.75</v>
      </c>
      <c r="E17" s="130">
        <v>127427.54</v>
      </c>
      <c r="F17" s="163">
        <f t="shared" si="0"/>
        <v>-0.57321353305197864</v>
      </c>
      <c r="G17" s="155">
        <f t="shared" si="3"/>
        <v>0.12014731041840732</v>
      </c>
      <c r="H17" s="150">
        <v>410</v>
      </c>
      <c r="I17" s="63">
        <f t="shared" si="4"/>
        <v>217.35548780487804</v>
      </c>
      <c r="J17" s="61">
        <v>34</v>
      </c>
      <c r="K17" s="28">
        <f t="shared" si="1"/>
        <v>8.2926829268292687E-2</v>
      </c>
      <c r="L17" s="46">
        <f>J17+'2 - 8 Nov 2020'!J17+'9 - 15 Nov 2020'!J17+'16 - 22 Nov 2020'!J17+'23 - 29 Nov 2020'!J17+'30 Nov - 6 Dec 2020'!J17+'7 - 13 Dec 2020'!J17+'14 - 20 Dec 2020'!J17+'21 - 27 Dec 2020'!J17</f>
        <v>409</v>
      </c>
      <c r="M17" s="172">
        <f t="shared" si="2"/>
        <v>0.9975609756097561</v>
      </c>
      <c r="N17" s="247">
        <v>32115.63</v>
      </c>
      <c r="O17" s="89">
        <f t="shared" si="5"/>
        <v>0.36038107741897479</v>
      </c>
      <c r="P17" s="247">
        <v>7480.91</v>
      </c>
      <c r="Q17" s="89">
        <f t="shared" si="6"/>
        <v>8.3945991589589944E-2</v>
      </c>
      <c r="R17" s="130">
        <v>3558</v>
      </c>
      <c r="S17" s="9"/>
    </row>
    <row r="18" spans="1:19" ht="15.6" customHeight="1" x14ac:dyDescent="0.3">
      <c r="A18" s="198" t="s">
        <v>33</v>
      </c>
      <c r="B18" s="200">
        <f>'28 Dec 2020 - 3 Jan 2021'!D18</f>
        <v>103042.11</v>
      </c>
      <c r="C18" s="73">
        <v>176711.97</v>
      </c>
      <c r="D18" s="145">
        <v>96251.57</v>
      </c>
      <c r="E18" s="130">
        <v>143473.94</v>
      </c>
      <c r="F18" s="163">
        <f t="shared" si="0"/>
        <v>-0.45531946704006521</v>
      </c>
      <c r="G18" s="155">
        <f t="shared" si="3"/>
        <v>-6.5900630334530155E-2</v>
      </c>
      <c r="H18" s="150">
        <v>411</v>
      </c>
      <c r="I18" s="258">
        <f t="shared" si="4"/>
        <v>234.18873479318736</v>
      </c>
      <c r="J18" s="61">
        <v>40</v>
      </c>
      <c r="K18" s="28">
        <f t="shared" si="1"/>
        <v>9.7323600973236016E-2</v>
      </c>
      <c r="L18" s="46">
        <f>J18+'2 - 8 Nov 2020'!J18+'9 - 15 Nov 2020'!J18+'16 - 22 Nov 2020'!J18+'23 - 29 Nov 2020'!J18+'30 Nov - 6 Dec 2020'!J18+'7 - 13 Dec 2020'!J18+'14 - 20 Dec 2020'!J18+'21 - 27 Dec 2020'!J18</f>
        <v>437</v>
      </c>
      <c r="M18" s="172">
        <f t="shared" si="2"/>
        <v>1.0632603406326033</v>
      </c>
      <c r="N18" s="247">
        <v>21513.13</v>
      </c>
      <c r="O18" s="89">
        <f t="shared" si="5"/>
        <v>0.22350939314548324</v>
      </c>
      <c r="P18" s="247">
        <v>11645.96</v>
      </c>
      <c r="Q18" s="89">
        <f t="shared" si="6"/>
        <v>0.12099501338004147</v>
      </c>
      <c r="R18" s="130">
        <v>4226.3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85" priority="9" operator="equal">
      <formula>0</formula>
    </cfRule>
  </conditionalFormatting>
  <conditionalFormatting sqref="D7:E19">
    <cfRule type="cellIs" dxfId="384" priority="8" operator="equal">
      <formula>0</formula>
    </cfRule>
  </conditionalFormatting>
  <conditionalFormatting sqref="F6:R19">
    <cfRule type="cellIs" dxfId="38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V41"/>
  <sheetViews>
    <sheetView zoomScale="70" zoomScaleNormal="70" workbookViewId="0">
      <pane xSplit="1" topLeftCell="B1" activePane="topRight" state="frozen"/>
      <selection pane="topRight" activeCell="D8" sqref="D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-0.49361316609798567</v>
      </c>
      <c r="G2" s="400">
        <f>(((D4-D19-B19)-B4)/D4)</f>
        <v>-0.17716267400975289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1339088.71</v>
      </c>
      <c r="C4" s="135">
        <f>SUM(C6:C19)-C14-C19</f>
        <v>2246417.4300000002</v>
      </c>
      <c r="D4" s="142">
        <f>SUM(D6:D19)-D19</f>
        <v>1137556.21</v>
      </c>
      <c r="E4" s="142">
        <f>SUM(E6:E19)-E19</f>
        <v>3150399.0100000002</v>
      </c>
      <c r="F4" s="217">
        <f t="shared" ref="F4:F19" si="0">IFERROR((SUM(D4-C4)/C4),0)</f>
        <v>-0.49361316609798567</v>
      </c>
      <c r="G4" s="217">
        <f>IFERROR((SUM(D4-B4)/D4),0)</f>
        <v>-0.17716267400975289</v>
      </c>
      <c r="H4" s="147">
        <f>SUM(H6:H19)</f>
        <v>4948</v>
      </c>
      <c r="I4" s="218">
        <f>AVERAGE(I5:I19)</f>
        <v>195.89141834479659</v>
      </c>
      <c r="J4" s="219">
        <f>SUM(J6:J19)</f>
        <v>485</v>
      </c>
      <c r="K4" s="220">
        <f t="shared" ref="K4:K19" si="1">IFERROR(J4/H4,0)</f>
        <v>9.8019401778496357E-2</v>
      </c>
      <c r="L4" s="221">
        <f>SUM(L6:L19)</f>
        <v>6431</v>
      </c>
      <c r="M4" s="222">
        <f t="shared" ref="M4:M19" si="2">IFERROR(L4/SUM(H4),0)</f>
        <v>1.2997170573969281</v>
      </c>
      <c r="N4" s="249">
        <f>SUM(N6:N19)</f>
        <v>268936.70000000007</v>
      </c>
      <c r="O4" s="222">
        <f>SUM(N4/D4)</f>
        <v>0.23641618553513069</v>
      </c>
      <c r="P4" s="244">
        <f>SUM(P6:P19)</f>
        <v>153196.33000000002</v>
      </c>
      <c r="Q4" s="222">
        <f>SUM(P4/D4)</f>
        <v>0.1346714374668132</v>
      </c>
      <c r="R4" s="257">
        <f>SUM(R6:R19)</f>
        <v>49483.8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'4 - 10 Jan 2021'!D6</f>
        <v>132428.34</v>
      </c>
      <c r="C6" s="255">
        <v>249678.67</v>
      </c>
      <c r="D6" s="197">
        <v>102020.09</v>
      </c>
      <c r="E6" s="254">
        <v>272917.51</v>
      </c>
      <c r="F6" s="162">
        <f t="shared" si="0"/>
        <v>-0.59139445111590838</v>
      </c>
      <c r="G6" s="154">
        <f t="shared" ref="G6:G19" si="3">IFERROR((SUM(D6-B6)/B6),0)</f>
        <v>-0.22962041206587655</v>
      </c>
      <c r="H6" s="149">
        <v>417</v>
      </c>
      <c r="I6" s="256">
        <f t="shared" ref="I6:I19" si="4">IFERROR(D6/H6,0)</f>
        <v>244.65249400479615</v>
      </c>
      <c r="J6" s="125">
        <v>42</v>
      </c>
      <c r="K6" s="126">
        <f t="shared" si="1"/>
        <v>0.10071942446043165</v>
      </c>
      <c r="L6" s="46">
        <f>J6+'2 - 8 Nov 2020'!J6+'9 - 15 Nov 2020'!J6+'16 - 22 Nov 2020'!J6+'23 - 29 Nov 2020'!J6+'30 Nov - 6 Dec 2020'!J6+'7 - 13 Dec 2020'!J6+'14 - 20 Dec 2020'!J6+'21 - 27 Dec 2020'!J6+'4 - 10 Jan 2021'!J6</f>
        <v>610</v>
      </c>
      <c r="M6" s="171">
        <f t="shared" si="2"/>
        <v>1.4628297362110312</v>
      </c>
      <c r="N6" s="246">
        <v>21694.61</v>
      </c>
      <c r="O6" s="128">
        <f t="shared" ref="O6:O19" si="5">SUM(N6/D6)</f>
        <v>0.21265037111808077</v>
      </c>
      <c r="P6" s="247">
        <v>413.04</v>
      </c>
      <c r="Q6" s="128">
        <f t="shared" ref="Q6:Q19" si="6">SUM(P6/D6)</f>
        <v>4.0486143464488226E-3</v>
      </c>
      <c r="R6" s="129">
        <v>5496.5</v>
      </c>
      <c r="S6" s="26"/>
    </row>
    <row r="7" spans="1:22" ht="15.6" customHeight="1" x14ac:dyDescent="0.3">
      <c r="A7" s="409" t="s">
        <v>16</v>
      </c>
      <c r="B7" s="200">
        <f>'4 - 10 Jan 2021'!D7</f>
        <v>83309.19</v>
      </c>
      <c r="C7" s="73">
        <v>184174.36</v>
      </c>
      <c r="D7" s="145">
        <v>73159.12</v>
      </c>
      <c r="E7" s="130">
        <v>204039.37</v>
      </c>
      <c r="F7" s="163">
        <f t="shared" si="0"/>
        <v>-0.60277250318665421</v>
      </c>
      <c r="G7" s="155">
        <f t="shared" si="3"/>
        <v>-0.12183613836600748</v>
      </c>
      <c r="H7" s="150">
        <v>321</v>
      </c>
      <c r="I7" s="63">
        <f t="shared" si="4"/>
        <v>227.91003115264797</v>
      </c>
      <c r="J7" s="61">
        <v>42</v>
      </c>
      <c r="K7" s="28">
        <f t="shared" si="1"/>
        <v>0.13084112149532709</v>
      </c>
      <c r="L7" s="46">
        <f>J7+'2 - 8 Nov 2020'!J7+'9 - 15 Nov 2020'!J7+'16 - 22 Nov 2020'!J7+'23 - 29 Nov 2020'!J7+'30 Nov - 6 Dec 2020'!J7+'7 - 13 Dec 2020'!J7+'14 - 20 Dec 2020'!J7+'21 - 27 Dec 2020'!J7+'4 - 10 Jan 2021'!J7</f>
        <v>831</v>
      </c>
      <c r="M7" s="172">
        <f t="shared" si="2"/>
        <v>2.5887850467289719</v>
      </c>
      <c r="N7" s="247">
        <v>13975.47</v>
      </c>
      <c r="O7" s="89">
        <f t="shared" si="5"/>
        <v>0.1910284049343404</v>
      </c>
      <c r="P7" s="247">
        <v>9578.26</v>
      </c>
      <c r="Q7" s="89">
        <f t="shared" si="6"/>
        <v>0.13092366337922054</v>
      </c>
      <c r="R7" s="130">
        <v>3907.75</v>
      </c>
      <c r="S7" s="26"/>
    </row>
    <row r="8" spans="1:22" ht="15.6" customHeight="1" x14ac:dyDescent="0.3">
      <c r="A8" s="409" t="s">
        <v>17</v>
      </c>
      <c r="B8" s="200">
        <f>'4 - 10 Jan 2021'!D8</f>
        <v>52090.83</v>
      </c>
      <c r="C8" s="73">
        <v>92094.41</v>
      </c>
      <c r="D8" s="145">
        <v>56114.02</v>
      </c>
      <c r="E8" s="130">
        <v>125157.53</v>
      </c>
      <c r="F8" s="163">
        <f t="shared" si="0"/>
        <v>-0.39069027099473252</v>
      </c>
      <c r="G8" s="155">
        <f t="shared" si="3"/>
        <v>7.7234131228087463E-2</v>
      </c>
      <c r="H8" s="150">
        <v>266</v>
      </c>
      <c r="I8" s="63">
        <f t="shared" si="4"/>
        <v>210.95496240601503</v>
      </c>
      <c r="J8" s="61">
        <v>35</v>
      </c>
      <c r="K8" s="28">
        <f t="shared" si="1"/>
        <v>0.13157894736842105</v>
      </c>
      <c r="L8" s="46">
        <f>J8+'2 - 8 Nov 2020'!J8+'9 - 15 Nov 2020'!J8+'16 - 22 Nov 2020'!J8+'23 - 29 Nov 2020'!J8+'30 Nov - 6 Dec 2020'!J8+'7 - 13 Dec 2020'!J8+'14 - 20 Dec 2020'!J8+'21 - 27 Dec 2020'!J8+'4 - 10 Jan 2021'!J8</f>
        <v>357</v>
      </c>
      <c r="M8" s="172">
        <f t="shared" si="2"/>
        <v>1.3421052631578947</v>
      </c>
      <c r="N8" s="247">
        <v>23688.7</v>
      </c>
      <c r="O8" s="89">
        <f t="shared" si="5"/>
        <v>0.42215296640661287</v>
      </c>
      <c r="P8" s="247">
        <v>10800.78</v>
      </c>
      <c r="Q8" s="89">
        <f t="shared" si="6"/>
        <v>0.19247917008975657</v>
      </c>
      <c r="R8" s="130">
        <v>2816</v>
      </c>
      <c r="S8" s="26"/>
    </row>
    <row r="9" spans="1:22" ht="15.6" customHeight="1" x14ac:dyDescent="0.3">
      <c r="A9" s="409" t="s">
        <v>18</v>
      </c>
      <c r="B9" s="200">
        <f>'4 - 10 Jan 2021'!D9</f>
        <v>114208.02</v>
      </c>
      <c r="C9" s="73">
        <v>282534.18</v>
      </c>
      <c r="D9" s="145">
        <v>108730.35</v>
      </c>
      <c r="E9" s="130">
        <v>281898.69</v>
      </c>
      <c r="F9" s="163">
        <f t="shared" si="0"/>
        <v>-0.61516036749960656</v>
      </c>
      <c r="G9" s="155">
        <f t="shared" si="3"/>
        <v>-4.7962218415134053E-2</v>
      </c>
      <c r="H9" s="150">
        <v>501</v>
      </c>
      <c r="I9" s="63">
        <f t="shared" si="4"/>
        <v>217.02664670658683</v>
      </c>
      <c r="J9" s="61">
        <v>39</v>
      </c>
      <c r="K9" s="28">
        <f t="shared" si="1"/>
        <v>7.7844311377245512E-2</v>
      </c>
      <c r="L9" s="46">
        <f>J9+'2 - 8 Nov 2020'!J9+'9 - 15 Nov 2020'!J9+'16 - 22 Nov 2020'!J9+'23 - 29 Nov 2020'!J9+'30 Nov - 6 Dec 2020'!J9+'7 - 13 Dec 2020'!J9+'14 - 20 Dec 2020'!J9+'21 - 27 Dec 2020'!J9+'4 - 10 Jan 2021'!J9</f>
        <v>715</v>
      </c>
      <c r="M9" s="172">
        <f t="shared" si="2"/>
        <v>1.4271457085828343</v>
      </c>
      <c r="N9" s="247">
        <v>18826.189999999999</v>
      </c>
      <c r="O9" s="89">
        <f t="shared" si="5"/>
        <v>0.17314567643716772</v>
      </c>
      <c r="P9" s="247">
        <v>6818.87</v>
      </c>
      <c r="Q9" s="89">
        <f t="shared" si="6"/>
        <v>6.2713584569533715E-2</v>
      </c>
      <c r="R9" s="130">
        <v>5014</v>
      </c>
      <c r="S9" s="26"/>
    </row>
    <row r="10" spans="1:22" ht="15.6" customHeight="1" x14ac:dyDescent="0.3">
      <c r="A10" s="411" t="s">
        <v>20</v>
      </c>
      <c r="B10" s="200">
        <f>'4 - 10 Jan 2021'!D10</f>
        <v>81183.02</v>
      </c>
      <c r="C10" s="73">
        <v>160577.06</v>
      </c>
      <c r="D10" s="145">
        <v>77116.800000000003</v>
      </c>
      <c r="E10" s="130">
        <v>184891.21</v>
      </c>
      <c r="F10" s="163">
        <f t="shared" si="0"/>
        <v>-0.51975207417547686</v>
      </c>
      <c r="G10" s="155">
        <f t="shared" si="3"/>
        <v>-5.0087074858757422E-2</v>
      </c>
      <c r="H10" s="150">
        <v>329</v>
      </c>
      <c r="I10" s="63">
        <f t="shared" si="4"/>
        <v>234.39756838905777</v>
      </c>
      <c r="J10" s="61">
        <v>37</v>
      </c>
      <c r="K10" s="28">
        <f t="shared" si="1"/>
        <v>0.11246200607902736</v>
      </c>
      <c r="L10" s="46">
        <f>J10+'2 - 8 Nov 2020'!J10+'9 - 15 Nov 2020'!J10+'16 - 22 Nov 2020'!J10+'23 - 29 Nov 2020'!J10+'30 Nov - 6 Dec 2020'!J10+'7 - 13 Dec 2020'!J10+'14 - 20 Dec 2020'!J10+'21 - 27 Dec 2020'!J10+'4 - 10 Jan 2021'!J10</f>
        <v>562</v>
      </c>
      <c r="M10" s="172">
        <f t="shared" si="2"/>
        <v>1.7082066869300911</v>
      </c>
      <c r="N10" s="247">
        <v>25050.77</v>
      </c>
      <c r="O10" s="89">
        <f t="shared" si="5"/>
        <v>0.32484192808830242</v>
      </c>
      <c r="P10" s="247">
        <v>17650.650000000001</v>
      </c>
      <c r="Q10" s="89">
        <f t="shared" si="6"/>
        <v>0.2288820334868667</v>
      </c>
      <c r="R10" s="130">
        <v>5419.5</v>
      </c>
      <c r="S10" s="26"/>
    </row>
    <row r="11" spans="1:22" ht="15.6" customHeight="1" x14ac:dyDescent="0.3">
      <c r="A11" s="409" t="s">
        <v>21</v>
      </c>
      <c r="B11" s="200">
        <f>'4 - 10 Jan 2021'!D11</f>
        <v>157522.23000000001</v>
      </c>
      <c r="C11" s="73">
        <v>287900.99</v>
      </c>
      <c r="D11" s="145">
        <v>157715.56</v>
      </c>
      <c r="E11" s="130">
        <v>359881.41</v>
      </c>
      <c r="F11" s="163">
        <f t="shared" si="0"/>
        <v>-0.45218819844975178</v>
      </c>
      <c r="G11" s="155">
        <f t="shared" si="3"/>
        <v>1.2273188362048148E-3</v>
      </c>
      <c r="H11" s="150">
        <v>710</v>
      </c>
      <c r="I11" s="63">
        <f t="shared" si="4"/>
        <v>222.13459154929578</v>
      </c>
      <c r="J11" s="61">
        <v>64</v>
      </c>
      <c r="K11" s="28">
        <f t="shared" si="1"/>
        <v>9.014084507042254E-2</v>
      </c>
      <c r="L11" s="46">
        <f>J11+'2 - 8 Nov 2020'!J11+'9 - 15 Nov 2020'!J11+'16 - 22 Nov 2020'!J11+'23 - 29 Nov 2020'!J11+'30 Nov - 6 Dec 2020'!J11+'7 - 13 Dec 2020'!J11+'14 - 20 Dec 2020'!J11+'21 - 27 Dec 2020'!J11+'4 - 10 Jan 2021'!J11</f>
        <v>643</v>
      </c>
      <c r="M11" s="172">
        <f t="shared" si="2"/>
        <v>0.90563380281690142</v>
      </c>
      <c r="N11" s="247">
        <v>38689.089999999997</v>
      </c>
      <c r="O11" s="89">
        <f t="shared" si="5"/>
        <v>0.24530927703011673</v>
      </c>
      <c r="P11" s="247">
        <v>23986.09</v>
      </c>
      <c r="Q11" s="89">
        <f t="shared" si="6"/>
        <v>0.15208448678113942</v>
      </c>
      <c r="R11" s="130">
        <v>8462.9</v>
      </c>
      <c r="S11" s="26"/>
    </row>
    <row r="12" spans="1:22" ht="15.6" customHeight="1" x14ac:dyDescent="0.3">
      <c r="A12" s="198" t="s">
        <v>22</v>
      </c>
      <c r="B12" s="200">
        <f>'4 - 10 Jan 2021'!D12</f>
        <v>67869.490000000005</v>
      </c>
      <c r="C12" s="73">
        <v>167794.96</v>
      </c>
      <c r="D12" s="145">
        <v>55044.09</v>
      </c>
      <c r="E12" s="130">
        <v>161180.57</v>
      </c>
      <c r="F12" s="163">
        <f t="shared" si="0"/>
        <v>-0.67195623754134215</v>
      </c>
      <c r="G12" s="155">
        <f t="shared" si="3"/>
        <v>-0.18897150987873945</v>
      </c>
      <c r="H12" s="150">
        <v>254</v>
      </c>
      <c r="I12" s="63">
        <f t="shared" si="4"/>
        <v>216.70901574803148</v>
      </c>
      <c r="J12" s="61">
        <v>16</v>
      </c>
      <c r="K12" s="28">
        <f t="shared" si="1"/>
        <v>6.2992125984251968E-2</v>
      </c>
      <c r="L12" s="46">
        <f>J12+'2 - 8 Nov 2020'!J12+'9 - 15 Nov 2020'!J12+'16 - 22 Nov 2020'!J12+'23 - 29 Nov 2020'!J12+'30 Nov - 6 Dec 2020'!J12+'7 - 13 Dec 2020'!J12+'14 - 20 Dec 2020'!J12+'21 - 27 Dec 2020'!J12+'4 - 10 Jan 2021'!J12</f>
        <v>272</v>
      </c>
      <c r="M12" s="172">
        <f t="shared" si="2"/>
        <v>1.0708661417322836</v>
      </c>
      <c r="N12" s="247">
        <v>18353.7</v>
      </c>
      <c r="O12" s="89">
        <f t="shared" si="5"/>
        <v>0.3334363416671981</v>
      </c>
      <c r="P12" s="247">
        <v>3455.7</v>
      </c>
      <c r="Q12" s="89">
        <f t="shared" si="6"/>
        <v>6.2780581893532986E-2</v>
      </c>
      <c r="R12" s="130">
        <v>4186.3</v>
      </c>
      <c r="S12" s="26"/>
    </row>
    <row r="13" spans="1:22" ht="15.6" customHeight="1" x14ac:dyDescent="0.3">
      <c r="A13" s="198" t="s">
        <v>23</v>
      </c>
      <c r="B13" s="200">
        <f>'4 - 10 Jan 2021'!D13</f>
        <v>111534.91</v>
      </c>
      <c r="C13" s="73">
        <v>173601.74</v>
      </c>
      <c r="D13" s="145">
        <v>118995.01</v>
      </c>
      <c r="E13" s="130">
        <v>279391.92</v>
      </c>
      <c r="F13" s="163">
        <f t="shared" si="0"/>
        <v>-0.31455174354819254</v>
      </c>
      <c r="G13" s="155">
        <f t="shared" si="3"/>
        <v>6.6885784908061435E-2</v>
      </c>
      <c r="H13" s="150">
        <v>532</v>
      </c>
      <c r="I13" s="63">
        <f t="shared" si="4"/>
        <v>223.67483082706767</v>
      </c>
      <c r="J13" s="61">
        <v>44</v>
      </c>
      <c r="K13" s="28">
        <f t="shared" si="1"/>
        <v>8.2706766917293228E-2</v>
      </c>
      <c r="L13" s="46">
        <f>J13+'2 - 8 Nov 2020'!J13+'9 - 15 Nov 2020'!J13+'16 - 22 Nov 2020'!J13+'23 - 29 Nov 2020'!J13+'30 Nov - 6 Dec 2020'!J13+'7 - 13 Dec 2020'!J13+'14 - 20 Dec 2020'!J13+'21 - 27 Dec 2020'!J13+'4 - 10 Jan 2021'!J13</f>
        <v>515</v>
      </c>
      <c r="M13" s="172">
        <f t="shared" si="2"/>
        <v>0.96804511278195493</v>
      </c>
      <c r="N13" s="247">
        <v>27790.83</v>
      </c>
      <c r="O13" s="89">
        <f t="shared" si="5"/>
        <v>0.23354617979358969</v>
      </c>
      <c r="P13" s="247">
        <v>24173.67</v>
      </c>
      <c r="Q13" s="89">
        <f t="shared" si="6"/>
        <v>0.20314860261787449</v>
      </c>
      <c r="R13" s="130">
        <v>2083</v>
      </c>
      <c r="S13" s="26"/>
    </row>
    <row r="14" spans="1:22" ht="15.6" hidden="1" customHeight="1" x14ac:dyDescent="0.3">
      <c r="A14" s="198" t="s">
        <v>24</v>
      </c>
      <c r="B14" s="200">
        <f>'4 - 10 Jan 2021'!D14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'4 - 10 Jan 2021'!D15</f>
        <v>285822.7</v>
      </c>
      <c r="C15" s="73">
        <v>187166.99</v>
      </c>
      <c r="D15" s="145">
        <v>138069.18</v>
      </c>
      <c r="E15" s="130">
        <v>662685.25</v>
      </c>
      <c r="F15" s="163">
        <f t="shared" si="0"/>
        <v>-0.2623208825445128</v>
      </c>
      <c r="G15" s="155">
        <f t="shared" si="3"/>
        <v>-0.51694116667430545</v>
      </c>
      <c r="H15" s="150">
        <v>488</v>
      </c>
      <c r="I15" s="63">
        <f t="shared" si="4"/>
        <v>282.9286475409836</v>
      </c>
      <c r="J15" s="61">
        <v>42</v>
      </c>
      <c r="K15" s="28">
        <f t="shared" si="1"/>
        <v>8.6065573770491802E-2</v>
      </c>
      <c r="L15" s="46">
        <f>J15+'2 - 8 Nov 2020'!J15+'9 - 15 Nov 2020'!J15+'16 - 22 Nov 2020'!J15+'23 - 29 Nov 2020'!J15+'30 Nov - 6 Dec 2020'!J15+'7 - 13 Dec 2020'!J15+'14 - 20 Dec 2020'!J15+'21 - 27 Dec 2020'!J15+'4 - 10 Jan 2021'!J15</f>
        <v>593</v>
      </c>
      <c r="M15" s="172">
        <f t="shared" si="2"/>
        <v>1.2151639344262295</v>
      </c>
      <c r="N15" s="247">
        <v>0</v>
      </c>
      <c r="O15" s="89">
        <f t="shared" si="5"/>
        <v>0</v>
      </c>
      <c r="P15" s="247">
        <v>24923.65</v>
      </c>
      <c r="Q15" s="89">
        <f t="shared" si="6"/>
        <v>0.18051566613200717</v>
      </c>
      <c r="R15" s="130">
        <v>3015.95</v>
      </c>
      <c r="S15" s="9"/>
    </row>
    <row r="16" spans="1:22" ht="15.6" customHeight="1" x14ac:dyDescent="0.3">
      <c r="A16" s="198" t="s">
        <v>27</v>
      </c>
      <c r="B16" s="200">
        <f>'4 - 10 Jan 2021'!D16</f>
        <v>67752.66</v>
      </c>
      <c r="C16" s="73">
        <v>114412.28</v>
      </c>
      <c r="D16" s="145">
        <v>60443.66</v>
      </c>
      <c r="E16" s="130">
        <v>157305.74</v>
      </c>
      <c r="F16" s="163">
        <f t="shared" si="0"/>
        <v>-0.47170303747115255</v>
      </c>
      <c r="G16" s="155">
        <f t="shared" si="3"/>
        <v>-0.10787768332638158</v>
      </c>
      <c r="H16" s="150">
        <v>279</v>
      </c>
      <c r="I16" s="63">
        <f t="shared" si="4"/>
        <v>216.64394265232977</v>
      </c>
      <c r="J16" s="61">
        <v>48</v>
      </c>
      <c r="K16" s="28">
        <f t="shared" si="1"/>
        <v>0.17204301075268819</v>
      </c>
      <c r="L16" s="46">
        <f>J16+'2 - 8 Nov 2020'!J16+'9 - 15 Nov 2020'!J16+'16 - 22 Nov 2020'!J16+'23 - 29 Nov 2020'!J16+'30 Nov - 6 Dec 2020'!J16+'7 - 13 Dec 2020'!J16+'14 - 20 Dec 2020'!J16+'21 - 27 Dec 2020'!J16+'4 - 10 Jan 2021'!J16</f>
        <v>411</v>
      </c>
      <c r="M16" s="172">
        <f t="shared" si="2"/>
        <v>1.4731182795698925</v>
      </c>
      <c r="N16" s="247">
        <v>16111.51</v>
      </c>
      <c r="O16" s="89">
        <f t="shared" si="5"/>
        <v>0.26655417623618421</v>
      </c>
      <c r="P16" s="247">
        <v>12652.17</v>
      </c>
      <c r="Q16" s="89">
        <f t="shared" si="6"/>
        <v>0.20932170553536963</v>
      </c>
      <c r="R16" s="130">
        <v>4105.5</v>
      </c>
      <c r="S16" s="9"/>
      <c r="V16" s="238"/>
    </row>
    <row r="17" spans="1:19" ht="15.6" customHeight="1" x14ac:dyDescent="0.3">
      <c r="A17" s="251" t="s">
        <v>28</v>
      </c>
      <c r="B17" s="200">
        <f>'4 - 10 Jan 2021'!D17</f>
        <v>89115.75</v>
      </c>
      <c r="C17" s="73">
        <v>173816.25</v>
      </c>
      <c r="D17" s="145">
        <v>83735.3</v>
      </c>
      <c r="E17" s="130">
        <v>211162.84</v>
      </c>
      <c r="F17" s="163">
        <f t="shared" si="0"/>
        <v>-0.51825390318799303</v>
      </c>
      <c r="G17" s="155">
        <f t="shared" si="3"/>
        <v>-6.0375971699727568E-2</v>
      </c>
      <c r="H17" s="150">
        <v>392</v>
      </c>
      <c r="I17" s="63">
        <f t="shared" si="4"/>
        <v>213.61045918367347</v>
      </c>
      <c r="J17" s="61">
        <v>35</v>
      </c>
      <c r="K17" s="28">
        <f t="shared" si="1"/>
        <v>8.9285714285714288E-2</v>
      </c>
      <c r="L17" s="46">
        <f>J17+'2 - 8 Nov 2020'!J17+'9 - 15 Nov 2020'!J17+'16 - 22 Nov 2020'!J17+'23 - 29 Nov 2020'!J17+'30 Nov - 6 Dec 2020'!J17+'7 - 13 Dec 2020'!J17+'14 - 20 Dec 2020'!J17+'21 - 27 Dec 2020'!J17+'4 - 10 Jan 2021'!J17</f>
        <v>444</v>
      </c>
      <c r="M17" s="172">
        <f t="shared" si="2"/>
        <v>1.1326530612244898</v>
      </c>
      <c r="N17" s="247">
        <v>32377.74</v>
      </c>
      <c r="O17" s="89">
        <f t="shared" si="5"/>
        <v>0.38666774944378296</v>
      </c>
      <c r="P17" s="247">
        <v>7788.04</v>
      </c>
      <c r="Q17" s="89">
        <f t="shared" si="6"/>
        <v>9.3007847347534423E-2</v>
      </c>
      <c r="R17" s="130">
        <v>1053.4000000000001</v>
      </c>
      <c r="S17" s="9"/>
    </row>
    <row r="18" spans="1:19" ht="15.6" customHeight="1" x14ac:dyDescent="0.3">
      <c r="A18" s="198" t="s">
        <v>33</v>
      </c>
      <c r="B18" s="200">
        <f>'4 - 10 Jan 2021'!D18</f>
        <v>96251.57</v>
      </c>
      <c r="C18" s="73">
        <v>172665.54</v>
      </c>
      <c r="D18" s="145">
        <v>106413.03</v>
      </c>
      <c r="E18" s="130">
        <v>249886.97</v>
      </c>
      <c r="F18" s="163">
        <f t="shared" si="0"/>
        <v>-0.38370429907438397</v>
      </c>
      <c r="G18" s="155">
        <f t="shared" si="3"/>
        <v>0.10557188833387332</v>
      </c>
      <c r="H18" s="150">
        <v>459</v>
      </c>
      <c r="I18" s="258">
        <f t="shared" si="4"/>
        <v>231.83666666666667</v>
      </c>
      <c r="J18" s="61">
        <v>41</v>
      </c>
      <c r="K18" s="28">
        <f t="shared" si="1"/>
        <v>8.9324618736383449E-2</v>
      </c>
      <c r="L18" s="46">
        <f>J18+'2 - 8 Nov 2020'!J18+'9 - 15 Nov 2020'!J18+'16 - 22 Nov 2020'!J18+'23 - 29 Nov 2020'!J18+'30 Nov - 6 Dec 2020'!J18+'7 - 13 Dec 2020'!J18+'14 - 20 Dec 2020'!J18+'21 - 27 Dec 2020'!J18+'4 - 10 Jan 2021'!J18</f>
        <v>478</v>
      </c>
      <c r="M18" s="172">
        <f t="shared" si="2"/>
        <v>1.0413943355119826</v>
      </c>
      <c r="N18" s="247">
        <v>32378.09</v>
      </c>
      <c r="O18" s="89">
        <f t="shared" si="5"/>
        <v>0.30426809573977925</v>
      </c>
      <c r="P18" s="247">
        <v>10955.41</v>
      </c>
      <c r="Q18" s="89">
        <f t="shared" si="6"/>
        <v>0.10295177197754823</v>
      </c>
      <c r="R18" s="130">
        <v>3923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82" priority="9" operator="equal">
      <formula>0</formula>
    </cfRule>
  </conditionalFormatting>
  <conditionalFormatting sqref="D7:E19">
    <cfRule type="cellIs" dxfId="381" priority="8" operator="equal">
      <formula>0</formula>
    </cfRule>
  </conditionalFormatting>
  <conditionalFormatting sqref="F6:R19">
    <cfRule type="cellIs" dxfId="38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-0.53776473737610286</v>
      </c>
      <c r="G2" s="400">
        <f>(((D4-D19-B19)-B4)/D4)</f>
        <v>-1.6226390508901969E-2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1137556.21</v>
      </c>
      <c r="C4" s="135">
        <f>SUM(C6:C19)-C14-C19</f>
        <v>2421694.3200000003</v>
      </c>
      <c r="D4" s="142">
        <f>SUM(D6:D19)-D19</f>
        <v>1119392.51</v>
      </c>
      <c r="E4" s="142">
        <f>SUM(E6:E19)-E19</f>
        <v>4269792.5199999996</v>
      </c>
      <c r="F4" s="217">
        <f t="shared" ref="F4:F19" si="0">IFERROR((SUM(D4-C4)/C4),0)</f>
        <v>-0.53776473737610286</v>
      </c>
      <c r="G4" s="217">
        <f>IFERROR((SUM(D4-B4)/D4),0)</f>
        <v>-1.6226390508901969E-2</v>
      </c>
      <c r="H4" s="147">
        <f>SUM(H6:H19)</f>
        <v>4854</v>
      </c>
      <c r="I4" s="218">
        <f>AVERAGE(I5:I19)</f>
        <v>197.1844409864249</v>
      </c>
      <c r="J4" s="219">
        <f>SUM(J6:J19)</f>
        <v>447</v>
      </c>
      <c r="K4" s="220">
        <f t="shared" ref="K4:K19" si="1">IFERROR(J4/H4,0)</f>
        <v>9.2088998763906055E-2</v>
      </c>
      <c r="L4" s="221">
        <f>SUM(L6:L19)</f>
        <v>6878</v>
      </c>
      <c r="M4" s="222">
        <f t="shared" ref="M4:M19" si="2">IFERROR(L4/SUM(H4),0)</f>
        <v>1.4169756901524515</v>
      </c>
      <c r="N4" s="249">
        <f>SUM(N6:N19)</f>
        <v>282358.68</v>
      </c>
      <c r="O4" s="222">
        <f>SUM(N4/D4)</f>
        <v>0.25224278122068189</v>
      </c>
      <c r="P4" s="244">
        <f>SUM(P6:P19)</f>
        <v>158492.34</v>
      </c>
      <c r="Q4" s="222">
        <f>SUM(P4/D4)</f>
        <v>0.14158781534101922</v>
      </c>
      <c r="R4" s="257">
        <f>SUM(R6:R19)</f>
        <v>49991.199999999997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'11 - 17 Jan 2021'!D6</f>
        <v>102020.09</v>
      </c>
      <c r="C6" s="255">
        <v>244971.94</v>
      </c>
      <c r="D6" s="197">
        <v>112369.07</v>
      </c>
      <c r="E6" s="254">
        <v>385286.58</v>
      </c>
      <c r="F6" s="162">
        <f t="shared" si="0"/>
        <v>-0.54129819929580503</v>
      </c>
      <c r="G6" s="154">
        <f t="shared" ref="G6:G19" si="3">IFERROR((SUM(D6-B6)/B6),0)</f>
        <v>0.10144060841349983</v>
      </c>
      <c r="H6" s="149">
        <v>442</v>
      </c>
      <c r="I6" s="256">
        <f t="shared" ref="I6:I19" si="4">IFERROR(D6/H6,0)</f>
        <v>254.22866515837106</v>
      </c>
      <c r="J6" s="125">
        <v>48</v>
      </c>
      <c r="K6" s="126">
        <f t="shared" si="1"/>
        <v>0.10859728506787331</v>
      </c>
      <c r="L6" s="46">
        <f>J6+'2 - 8 Nov 2020'!J6+'9 - 15 Nov 2020'!J6+'16 - 22 Nov 2020'!J6+'23 - 29 Nov 2020'!J6+'30 Nov - 6 Dec 2020'!J6+'7 - 13 Dec 2020'!J6+'14 - 20 Dec 2020'!J6+'21 - 27 Dec 2020'!J6+'4 - 10 Jan 2021'!J6+'11 - 17 Jan 2021'!J6</f>
        <v>658</v>
      </c>
      <c r="M6" s="171">
        <f t="shared" si="2"/>
        <v>1.4886877828054299</v>
      </c>
      <c r="N6" s="246">
        <v>30342.22</v>
      </c>
      <c r="O6" s="128">
        <f t="shared" ref="O6:O19" si="5">SUM(N6/D6)</f>
        <v>0.27002288085146564</v>
      </c>
      <c r="P6" s="247">
        <v>1753.43</v>
      </c>
      <c r="Q6" s="128">
        <f t="shared" ref="Q6:Q19" si="6">SUM(P6/D6)</f>
        <v>1.5604204964942754E-2</v>
      </c>
      <c r="R6" s="129">
        <v>4845.5</v>
      </c>
      <c r="S6" s="26"/>
    </row>
    <row r="7" spans="1:22" ht="15.6" customHeight="1" x14ac:dyDescent="0.3">
      <c r="A7" s="409" t="s">
        <v>16</v>
      </c>
      <c r="B7" s="200">
        <f>'11 - 17 Jan 2021'!D7</f>
        <v>73159.12</v>
      </c>
      <c r="C7" s="73">
        <v>212211.86</v>
      </c>
      <c r="D7" s="145">
        <v>76215.509999999995</v>
      </c>
      <c r="E7" s="130">
        <v>280254.88</v>
      </c>
      <c r="F7" s="163">
        <f t="shared" si="0"/>
        <v>-0.6408517883967465</v>
      </c>
      <c r="G7" s="155">
        <f t="shared" si="3"/>
        <v>4.1777293111234792E-2</v>
      </c>
      <c r="H7" s="150">
        <v>338</v>
      </c>
      <c r="I7" s="63">
        <f t="shared" si="4"/>
        <v>225.489674556213</v>
      </c>
      <c r="J7" s="61">
        <v>41</v>
      </c>
      <c r="K7" s="28">
        <f t="shared" si="1"/>
        <v>0.12130177514792899</v>
      </c>
      <c r="L7" s="46">
        <f>J7+'2 - 8 Nov 2020'!J7+'9 - 15 Nov 2020'!J7+'16 - 22 Nov 2020'!J7+'23 - 29 Nov 2020'!J7+'30 Nov - 6 Dec 2020'!J7+'7 - 13 Dec 2020'!J7+'14 - 20 Dec 2020'!J7+'21 - 27 Dec 2020'!J7+'4 - 10 Jan 2021'!J7+'11 - 17 Jan 2021'!J7</f>
        <v>872</v>
      </c>
      <c r="M7" s="172">
        <f t="shared" si="2"/>
        <v>2.5798816568047336</v>
      </c>
      <c r="N7" s="247">
        <v>17479.7</v>
      </c>
      <c r="O7" s="89">
        <f t="shared" si="5"/>
        <v>0.22934570666784232</v>
      </c>
      <c r="P7" s="247">
        <v>14073.22</v>
      </c>
      <c r="Q7" s="89">
        <f t="shared" si="6"/>
        <v>0.18465034216788684</v>
      </c>
      <c r="R7" s="130">
        <v>3991.95</v>
      </c>
      <c r="S7" s="26"/>
    </row>
    <row r="8" spans="1:22" ht="15.6" customHeight="1" x14ac:dyDescent="0.3">
      <c r="A8" s="409" t="s">
        <v>17</v>
      </c>
      <c r="B8" s="200">
        <f>'11 - 17 Jan 2021'!D8</f>
        <v>56114.02</v>
      </c>
      <c r="C8" s="73">
        <v>104090</v>
      </c>
      <c r="D8" s="145">
        <v>47315.59</v>
      </c>
      <c r="E8" s="130">
        <v>172473.12</v>
      </c>
      <c r="F8" s="163">
        <f t="shared" si="0"/>
        <v>-0.54543577673167454</v>
      </c>
      <c r="G8" s="155">
        <f t="shared" si="3"/>
        <v>-0.15679557443932909</v>
      </c>
      <c r="H8" s="150">
        <v>233</v>
      </c>
      <c r="I8" s="63">
        <f t="shared" si="4"/>
        <v>203.07120171673819</v>
      </c>
      <c r="J8" s="61">
        <v>32</v>
      </c>
      <c r="K8" s="28">
        <f t="shared" si="1"/>
        <v>0.13733905579399142</v>
      </c>
      <c r="L8" s="46">
        <f>J8+'2 - 8 Nov 2020'!J8+'9 - 15 Nov 2020'!J8+'16 - 22 Nov 2020'!J8+'23 - 29 Nov 2020'!J8+'30 Nov - 6 Dec 2020'!J8+'7 - 13 Dec 2020'!J8+'14 - 20 Dec 2020'!J8+'21 - 27 Dec 2020'!J8+'4 - 10 Jan 2021'!J8+'11 - 17 Jan 2021'!J8</f>
        <v>389</v>
      </c>
      <c r="M8" s="172">
        <f t="shared" si="2"/>
        <v>1.6695278969957081</v>
      </c>
      <c r="N8" s="247">
        <v>23240.92</v>
      </c>
      <c r="O8" s="89">
        <f t="shared" si="5"/>
        <v>0.49118947898567894</v>
      </c>
      <c r="P8" s="247">
        <v>10088.959999999999</v>
      </c>
      <c r="Q8" s="89">
        <f t="shared" si="6"/>
        <v>0.21322697233617927</v>
      </c>
      <c r="R8" s="130">
        <v>3113</v>
      </c>
      <c r="S8" s="26"/>
    </row>
    <row r="9" spans="1:22" ht="15.6" customHeight="1" x14ac:dyDescent="0.3">
      <c r="A9" s="409" t="s">
        <v>18</v>
      </c>
      <c r="B9" s="200">
        <f>'11 - 17 Jan 2021'!D9</f>
        <v>108730.35</v>
      </c>
      <c r="C9" s="73">
        <v>326457.8</v>
      </c>
      <c r="D9" s="145">
        <v>100356.98</v>
      </c>
      <c r="E9" s="130">
        <v>382255.67</v>
      </c>
      <c r="F9" s="163">
        <f t="shared" si="0"/>
        <v>-0.69258819976119435</v>
      </c>
      <c r="G9" s="155">
        <f t="shared" si="3"/>
        <v>-7.701042073349354E-2</v>
      </c>
      <c r="H9" s="150">
        <v>448</v>
      </c>
      <c r="I9" s="63">
        <f t="shared" si="4"/>
        <v>224.01111607142857</v>
      </c>
      <c r="J9" s="61">
        <v>51</v>
      </c>
      <c r="K9" s="28">
        <f t="shared" si="1"/>
        <v>0.11383928571428571</v>
      </c>
      <c r="L9" s="46">
        <f>J9+'2 - 8 Nov 2020'!J9+'9 - 15 Nov 2020'!J9+'16 - 22 Nov 2020'!J9+'23 - 29 Nov 2020'!J9+'30 Nov - 6 Dec 2020'!J9+'7 - 13 Dec 2020'!J9+'14 - 20 Dec 2020'!J9+'21 - 27 Dec 2020'!J9+'4 - 10 Jan 2021'!J9+'11 - 17 Jan 2021'!J9</f>
        <v>766</v>
      </c>
      <c r="M9" s="172">
        <f t="shared" si="2"/>
        <v>1.7098214285714286</v>
      </c>
      <c r="N9" s="247">
        <v>16777.91</v>
      </c>
      <c r="O9" s="89">
        <f t="shared" si="5"/>
        <v>0.16718229265169199</v>
      </c>
      <c r="P9" s="247">
        <v>10431.17</v>
      </c>
      <c r="Q9" s="89">
        <f t="shared" si="6"/>
        <v>0.10394065265814097</v>
      </c>
      <c r="R9" s="130">
        <v>5829</v>
      </c>
      <c r="S9" s="26"/>
    </row>
    <row r="10" spans="1:22" ht="15.6" customHeight="1" x14ac:dyDescent="0.3">
      <c r="A10" s="411" t="s">
        <v>20</v>
      </c>
      <c r="B10" s="200">
        <f>'11 - 17 Jan 2021'!D10</f>
        <v>77116.800000000003</v>
      </c>
      <c r="C10" s="73">
        <v>168531.62</v>
      </c>
      <c r="D10" s="145">
        <v>86299.71</v>
      </c>
      <c r="E10" s="130">
        <v>271190.92</v>
      </c>
      <c r="F10" s="163">
        <f t="shared" si="0"/>
        <v>-0.48793164155189389</v>
      </c>
      <c r="G10" s="155">
        <f t="shared" si="3"/>
        <v>0.11907794410556459</v>
      </c>
      <c r="H10" s="150">
        <v>352</v>
      </c>
      <c r="I10" s="63">
        <f t="shared" si="4"/>
        <v>245.16963068181821</v>
      </c>
      <c r="J10" s="61">
        <v>43</v>
      </c>
      <c r="K10" s="28">
        <f t="shared" si="1"/>
        <v>0.12215909090909091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</f>
        <v>605</v>
      </c>
      <c r="M10" s="172">
        <f t="shared" si="2"/>
        <v>1.71875</v>
      </c>
      <c r="N10" s="247">
        <v>30393.48</v>
      </c>
      <c r="O10" s="89">
        <f t="shared" si="5"/>
        <v>0.35218519274282611</v>
      </c>
      <c r="P10" s="247">
        <v>24089.9</v>
      </c>
      <c r="Q10" s="89">
        <f t="shared" si="6"/>
        <v>0.27914230534494267</v>
      </c>
      <c r="R10" s="130">
        <v>4789</v>
      </c>
      <c r="S10" s="26"/>
    </row>
    <row r="11" spans="1:22" ht="15.6" customHeight="1" x14ac:dyDescent="0.3">
      <c r="A11" s="409" t="s">
        <v>21</v>
      </c>
      <c r="B11" s="200">
        <f>'11 - 17 Jan 2021'!D11</f>
        <v>157715.56</v>
      </c>
      <c r="C11" s="73">
        <v>291680.28999999998</v>
      </c>
      <c r="D11" s="145">
        <v>141673.04</v>
      </c>
      <c r="E11" s="130">
        <v>501554.45</v>
      </c>
      <c r="F11" s="163">
        <f t="shared" si="0"/>
        <v>-0.51428654983852351</v>
      </c>
      <c r="G11" s="155">
        <f t="shared" si="3"/>
        <v>-0.10171805495919356</v>
      </c>
      <c r="H11" s="150">
        <v>658</v>
      </c>
      <c r="I11" s="63">
        <f t="shared" si="4"/>
        <v>215.30857142857144</v>
      </c>
      <c r="J11" s="61">
        <v>49</v>
      </c>
      <c r="K11" s="28">
        <f t="shared" si="1"/>
        <v>7.4468085106382975E-2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</f>
        <v>692</v>
      </c>
      <c r="M11" s="172">
        <f t="shared" si="2"/>
        <v>1.0516717325227964</v>
      </c>
      <c r="N11" s="247">
        <v>32562.959999999999</v>
      </c>
      <c r="O11" s="89">
        <f t="shared" si="5"/>
        <v>0.22984584787620846</v>
      </c>
      <c r="P11" s="247">
        <v>20516.52</v>
      </c>
      <c r="Q11" s="89">
        <f t="shared" si="6"/>
        <v>0.14481597910230484</v>
      </c>
      <c r="R11" s="130">
        <v>6432.4</v>
      </c>
      <c r="S11" s="26"/>
    </row>
    <row r="12" spans="1:22" ht="15.6" customHeight="1" x14ac:dyDescent="0.3">
      <c r="A12" s="198" t="s">
        <v>22</v>
      </c>
      <c r="B12" s="200">
        <f>'11 - 17 Jan 2021'!D12</f>
        <v>55044.09</v>
      </c>
      <c r="C12" s="73">
        <v>156281.82</v>
      </c>
      <c r="D12" s="145">
        <v>71651.850000000006</v>
      </c>
      <c r="E12" s="130">
        <v>232832.42</v>
      </c>
      <c r="F12" s="163">
        <f t="shared" si="0"/>
        <v>-0.54152152822382027</v>
      </c>
      <c r="G12" s="155">
        <f t="shared" si="3"/>
        <v>0.30171740508381573</v>
      </c>
      <c r="H12" s="150">
        <v>312</v>
      </c>
      <c r="I12" s="63">
        <f t="shared" si="4"/>
        <v>229.6533653846154</v>
      </c>
      <c r="J12" s="61">
        <v>18</v>
      </c>
      <c r="K12" s="28">
        <f t="shared" si="1"/>
        <v>5.7692307692307696E-2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</f>
        <v>290</v>
      </c>
      <c r="M12" s="172">
        <f t="shared" si="2"/>
        <v>0.92948717948717952</v>
      </c>
      <c r="N12" s="247">
        <v>21133.22</v>
      </c>
      <c r="O12" s="89">
        <f t="shared" si="5"/>
        <v>0.29494311730960193</v>
      </c>
      <c r="P12" s="247">
        <v>5984.57</v>
      </c>
      <c r="Q12" s="89">
        <f t="shared" si="6"/>
        <v>8.3522895780081027E-2</v>
      </c>
      <c r="R12" s="130">
        <v>5059.5</v>
      </c>
      <c r="S12" s="26"/>
    </row>
    <row r="13" spans="1:22" ht="15.6" customHeight="1" x14ac:dyDescent="0.3">
      <c r="A13" s="198" t="s">
        <v>23</v>
      </c>
      <c r="B13" s="200">
        <f>'11 - 17 Jan 2021'!D13</f>
        <v>118995.01</v>
      </c>
      <c r="C13" s="73">
        <v>195672.15</v>
      </c>
      <c r="D13" s="145">
        <v>125906.05</v>
      </c>
      <c r="E13" s="130">
        <v>405297.97</v>
      </c>
      <c r="F13" s="163">
        <f t="shared" si="0"/>
        <v>-0.35654588555397382</v>
      </c>
      <c r="G13" s="155">
        <f t="shared" si="3"/>
        <v>5.8078401774998872E-2</v>
      </c>
      <c r="H13" s="150">
        <v>532</v>
      </c>
      <c r="I13" s="63">
        <f t="shared" si="4"/>
        <v>236.665507518797</v>
      </c>
      <c r="J13" s="61">
        <v>40</v>
      </c>
      <c r="K13" s="28">
        <f t="shared" si="1"/>
        <v>7.5187969924812026E-2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</f>
        <v>555</v>
      </c>
      <c r="M13" s="172">
        <f t="shared" si="2"/>
        <v>1.0432330827067668</v>
      </c>
      <c r="N13" s="247">
        <v>38515.65</v>
      </c>
      <c r="O13" s="89">
        <f t="shared" si="5"/>
        <v>0.30590785748579991</v>
      </c>
      <c r="P13" s="247">
        <v>16844.37</v>
      </c>
      <c r="Q13" s="89">
        <f t="shared" si="6"/>
        <v>0.13378523113067242</v>
      </c>
      <c r="R13" s="130">
        <v>2121.5</v>
      </c>
      <c r="S13" s="26"/>
    </row>
    <row r="14" spans="1:22" ht="15.6" hidden="1" customHeight="1" x14ac:dyDescent="0.3">
      <c r="A14" s="198" t="s">
        <v>24</v>
      </c>
      <c r="B14" s="200">
        <f>'11 - 17 Jan 2021'!D14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'11 - 17 Jan 2021'!D15</f>
        <v>138069.18</v>
      </c>
      <c r="C15" s="73">
        <v>177959.61</v>
      </c>
      <c r="D15" s="145">
        <v>106853.6</v>
      </c>
      <c r="E15" s="130">
        <v>769539.85</v>
      </c>
      <c r="F15" s="163">
        <f t="shared" si="0"/>
        <v>-0.39956263109365087</v>
      </c>
      <c r="G15" s="155">
        <f t="shared" si="3"/>
        <v>-0.22608651691854756</v>
      </c>
      <c r="H15" s="150">
        <v>417</v>
      </c>
      <c r="I15" s="63">
        <f t="shared" si="4"/>
        <v>256.24364508393285</v>
      </c>
      <c r="J15" s="61">
        <v>31</v>
      </c>
      <c r="K15" s="28">
        <f t="shared" si="1"/>
        <v>7.4340527577937646E-2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</f>
        <v>624</v>
      </c>
      <c r="M15" s="172">
        <f t="shared" si="2"/>
        <v>1.4964028776978417</v>
      </c>
      <c r="N15" s="247">
        <v>0</v>
      </c>
      <c r="O15" s="89">
        <f t="shared" si="5"/>
        <v>0</v>
      </c>
      <c r="P15" s="247">
        <v>25961.74</v>
      </c>
      <c r="Q15" s="89">
        <f t="shared" si="6"/>
        <v>0.24296551543420156</v>
      </c>
      <c r="R15" s="130">
        <v>3658.6</v>
      </c>
      <c r="S15" s="9"/>
    </row>
    <row r="16" spans="1:22" ht="15.6" customHeight="1" x14ac:dyDescent="0.3">
      <c r="A16" s="198" t="s">
        <v>27</v>
      </c>
      <c r="B16" s="200">
        <f>'11 - 17 Jan 2021'!D16</f>
        <v>60443.66</v>
      </c>
      <c r="C16" s="73">
        <v>127667.08</v>
      </c>
      <c r="D16" s="145">
        <v>62660.29</v>
      </c>
      <c r="E16" s="130">
        <v>219966.03</v>
      </c>
      <c r="F16" s="163">
        <f t="shared" si="0"/>
        <v>-0.50918991802741942</v>
      </c>
      <c r="G16" s="155">
        <f t="shared" si="3"/>
        <v>3.6672663435668808E-2</v>
      </c>
      <c r="H16" s="150">
        <v>276</v>
      </c>
      <c r="I16" s="63">
        <f t="shared" si="4"/>
        <v>227.03003623188405</v>
      </c>
      <c r="J16" s="61">
        <v>28</v>
      </c>
      <c r="K16" s="28">
        <f t="shared" si="1"/>
        <v>0.10144927536231885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</f>
        <v>439</v>
      </c>
      <c r="M16" s="172">
        <f t="shared" si="2"/>
        <v>1.5905797101449275</v>
      </c>
      <c r="N16" s="247">
        <v>15726.96</v>
      </c>
      <c r="O16" s="89">
        <f t="shared" si="5"/>
        <v>0.25098766698973146</v>
      </c>
      <c r="P16" s="247">
        <v>13413.77</v>
      </c>
      <c r="Q16" s="89">
        <f t="shared" si="6"/>
        <v>0.21407130417047224</v>
      </c>
      <c r="R16" s="130">
        <v>3713.6</v>
      </c>
      <c r="S16" s="9"/>
      <c r="V16" s="238"/>
    </row>
    <row r="17" spans="1:19" ht="15.6" customHeight="1" x14ac:dyDescent="0.3">
      <c r="A17" s="251" t="s">
        <v>28</v>
      </c>
      <c r="B17" s="200">
        <f>'11 - 17 Jan 2021'!D17</f>
        <v>83735.3</v>
      </c>
      <c r="C17" s="73">
        <v>217452</v>
      </c>
      <c r="D17" s="145">
        <v>85253.73</v>
      </c>
      <c r="E17" s="130">
        <v>296416.57</v>
      </c>
      <c r="F17" s="163">
        <f t="shared" si="0"/>
        <v>-0.60794230450858133</v>
      </c>
      <c r="G17" s="155">
        <f t="shared" si="3"/>
        <v>1.8133690331317773E-2</v>
      </c>
      <c r="H17" s="150">
        <v>400</v>
      </c>
      <c r="I17" s="63">
        <f t="shared" si="4"/>
        <v>213.13432499999999</v>
      </c>
      <c r="J17" s="61">
        <v>33</v>
      </c>
      <c r="K17" s="28">
        <f t="shared" si="1"/>
        <v>8.2500000000000004E-2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</f>
        <v>477</v>
      </c>
      <c r="M17" s="172">
        <f t="shared" si="2"/>
        <v>1.1924999999999999</v>
      </c>
      <c r="N17" s="247">
        <v>31173.7</v>
      </c>
      <c r="O17" s="89">
        <f t="shared" si="5"/>
        <v>0.36565790141967985</v>
      </c>
      <c r="P17" s="247">
        <v>4029.57</v>
      </c>
      <c r="Q17" s="89">
        <f t="shared" si="6"/>
        <v>4.7265615240529656E-2</v>
      </c>
      <c r="R17" s="130">
        <v>2930</v>
      </c>
      <c r="S17" s="9"/>
    </row>
    <row r="18" spans="1:19" ht="15.6" customHeight="1" x14ac:dyDescent="0.3">
      <c r="A18" s="198" t="s">
        <v>33</v>
      </c>
      <c r="B18" s="200">
        <f>'11 - 17 Jan 2021'!D18</f>
        <v>106413.03</v>
      </c>
      <c r="C18" s="73">
        <v>198718.15</v>
      </c>
      <c r="D18" s="145">
        <v>102837.09</v>
      </c>
      <c r="E18" s="130">
        <v>352724.06</v>
      </c>
      <c r="F18" s="163">
        <f t="shared" si="0"/>
        <v>-0.48249774869582873</v>
      </c>
      <c r="G18" s="155">
        <f t="shared" si="3"/>
        <v>-3.3604343377873956E-2</v>
      </c>
      <c r="H18" s="150">
        <v>446</v>
      </c>
      <c r="I18" s="258">
        <f t="shared" si="4"/>
        <v>230.57643497757846</v>
      </c>
      <c r="J18" s="61">
        <v>33</v>
      </c>
      <c r="K18" s="28">
        <f t="shared" si="1"/>
        <v>7.3991031390134535E-2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</f>
        <v>511</v>
      </c>
      <c r="M18" s="172">
        <f t="shared" si="2"/>
        <v>1.1457399103139014</v>
      </c>
      <c r="N18" s="247">
        <v>25011.96</v>
      </c>
      <c r="O18" s="89">
        <f t="shared" si="5"/>
        <v>0.24321925095313374</v>
      </c>
      <c r="P18" s="247">
        <v>11305.12</v>
      </c>
      <c r="Q18" s="89">
        <f t="shared" si="6"/>
        <v>0.10993232111099216</v>
      </c>
      <c r="R18" s="130">
        <v>3507.15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79" priority="9" operator="equal">
      <formula>0</formula>
    </cfRule>
  </conditionalFormatting>
  <conditionalFormatting sqref="D7:E19">
    <cfRule type="cellIs" dxfId="378" priority="8" operator="equal">
      <formula>0</formula>
    </cfRule>
  </conditionalFormatting>
  <conditionalFormatting sqref="F6:R19">
    <cfRule type="cellIs" dxfId="37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V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-0.50918178209634668</v>
      </c>
      <c r="G2" s="400">
        <f>(((D4-D19-B19)-B4)/D4)</f>
        <v>9.0318177933313343E-2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1119392.51</v>
      </c>
      <c r="C4" s="135">
        <f>SUM(C6:C19)-C14-C19</f>
        <v>2507103.17</v>
      </c>
      <c r="D4" s="142">
        <f>SUM(D6:D19)-D19</f>
        <v>1230531.9099999999</v>
      </c>
      <c r="E4" s="142">
        <f>SUM(E6:E19)-E19</f>
        <v>5500324.4299999997</v>
      </c>
      <c r="F4" s="217">
        <f t="shared" ref="F4:F19" si="0">IFERROR((SUM(D4-C4)/C4),0)</f>
        <v>-0.50918178209634668</v>
      </c>
      <c r="G4" s="217">
        <f>IFERROR((SUM(D4-B4)/D4),0)</f>
        <v>9.0318177933313343E-2</v>
      </c>
      <c r="H4" s="147">
        <f>SUM(H6:H19)</f>
        <v>5303</v>
      </c>
      <c r="I4" s="218">
        <f>AVERAGE(I5:I19)</f>
        <v>198.01280692783641</v>
      </c>
      <c r="J4" s="219">
        <f>SUM(J6:J19)</f>
        <v>506</v>
      </c>
      <c r="K4" s="220">
        <f t="shared" ref="K4:K19" si="1">IFERROR(J4/H4,0)</f>
        <v>9.5417688101074857E-2</v>
      </c>
      <c r="L4" s="221">
        <f>SUM(L6:L19)</f>
        <v>7384</v>
      </c>
      <c r="M4" s="222">
        <f t="shared" ref="M4:M19" si="2">IFERROR(L4/SUM(H4),0)</f>
        <v>1.39241938525363</v>
      </c>
      <c r="N4" s="249">
        <f>SUM(N6:N19)</f>
        <v>288315.25</v>
      </c>
      <c r="O4" s="222">
        <f>SUM(N4/D4)</f>
        <v>0.2343013193375863</v>
      </c>
      <c r="P4" s="244">
        <f>SUM(P6:P19)</f>
        <v>170514.89</v>
      </c>
      <c r="Q4" s="222">
        <f>SUM(P4/D4)</f>
        <v>0.13857006763847354</v>
      </c>
      <c r="R4" s="257">
        <f>SUM(R6:R19)</f>
        <v>57492.95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'18 - 24 Jan 2021'!D6</f>
        <v>112369.07</v>
      </c>
      <c r="C6" s="255">
        <v>253886.48</v>
      </c>
      <c r="D6" s="197">
        <v>126561.93</v>
      </c>
      <c r="E6" s="254">
        <v>511848.51</v>
      </c>
      <c r="F6" s="162">
        <f t="shared" si="0"/>
        <v>-0.50150189171160275</v>
      </c>
      <c r="G6" s="154">
        <f t="shared" ref="G6:G19" si="3">IFERROR((SUM(D6-B6)/B6),0)</f>
        <v>0.12630575299768865</v>
      </c>
      <c r="H6" s="149">
        <v>484</v>
      </c>
      <c r="I6" s="256">
        <f t="shared" ref="I6:I19" si="4">IFERROR(D6/H6,0)</f>
        <v>261.49159090909092</v>
      </c>
      <c r="J6" s="125">
        <v>55</v>
      </c>
      <c r="K6" s="126">
        <f t="shared" si="1"/>
        <v>0.11363636363636363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</f>
        <v>713</v>
      </c>
      <c r="M6" s="171">
        <f t="shared" si="2"/>
        <v>1.4731404958677685</v>
      </c>
      <c r="N6" s="246">
        <v>39407.699999999997</v>
      </c>
      <c r="O6" s="128">
        <f t="shared" ref="O6:O19" si="5">SUM(N6/D6)</f>
        <v>0.31137088380368411</v>
      </c>
      <c r="P6" s="247">
        <v>1587.48</v>
      </c>
      <c r="Q6" s="128">
        <f t="shared" ref="Q6:Q19" si="6">SUM(P6/D6)</f>
        <v>1.2543108342295349E-2</v>
      </c>
      <c r="R6" s="129">
        <v>5084</v>
      </c>
      <c r="S6" s="26"/>
    </row>
    <row r="7" spans="1:22" ht="15.6" customHeight="1" x14ac:dyDescent="0.3">
      <c r="A7" s="409" t="s">
        <v>16</v>
      </c>
      <c r="B7" s="200">
        <f>'18 - 24 Jan 2021'!D7</f>
        <v>76215.509999999995</v>
      </c>
      <c r="C7" s="73">
        <v>219670.06</v>
      </c>
      <c r="D7" s="145">
        <v>93776.87</v>
      </c>
      <c r="E7" s="130">
        <v>374031.75</v>
      </c>
      <c r="F7" s="163">
        <f t="shared" si="0"/>
        <v>-0.57310126832942099</v>
      </c>
      <c r="G7" s="155">
        <f t="shared" si="3"/>
        <v>0.23041714212763256</v>
      </c>
      <c r="H7" s="150">
        <v>366</v>
      </c>
      <c r="I7" s="63">
        <f t="shared" si="4"/>
        <v>256.22095628415298</v>
      </c>
      <c r="J7" s="61">
        <v>35</v>
      </c>
      <c r="K7" s="28">
        <f t="shared" si="1"/>
        <v>9.5628415300546443E-2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</f>
        <v>907</v>
      </c>
      <c r="M7" s="172">
        <f t="shared" si="2"/>
        <v>2.4781420765027322</v>
      </c>
      <c r="N7" s="247">
        <v>17975.169999999998</v>
      </c>
      <c r="O7" s="89">
        <f t="shared" si="5"/>
        <v>0.19168020856315635</v>
      </c>
      <c r="P7" s="247">
        <v>12044.61</v>
      </c>
      <c r="Q7" s="89">
        <f t="shared" si="6"/>
        <v>0.12843902766215168</v>
      </c>
      <c r="R7" s="130">
        <v>4794.8500000000004</v>
      </c>
      <c r="S7" s="26"/>
    </row>
    <row r="8" spans="1:22" ht="15.6" customHeight="1" x14ac:dyDescent="0.3">
      <c r="A8" s="409" t="s">
        <v>17</v>
      </c>
      <c r="B8" s="200">
        <f>'18 - 24 Jan 2021'!D8</f>
        <v>47315.59</v>
      </c>
      <c r="C8" s="73">
        <v>108989.56</v>
      </c>
      <c r="D8" s="145">
        <v>57360.480000000003</v>
      </c>
      <c r="E8" s="130">
        <v>229833.60000000001</v>
      </c>
      <c r="F8" s="163">
        <f t="shared" si="0"/>
        <v>-0.47370665594025702</v>
      </c>
      <c r="G8" s="155">
        <f t="shared" si="3"/>
        <v>0.21229556685227866</v>
      </c>
      <c r="H8" s="150">
        <v>285</v>
      </c>
      <c r="I8" s="63">
        <f t="shared" si="4"/>
        <v>201.26484210526317</v>
      </c>
      <c r="J8" s="61">
        <v>45</v>
      </c>
      <c r="K8" s="28">
        <f t="shared" si="1"/>
        <v>0.15789473684210525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</f>
        <v>434</v>
      </c>
      <c r="M8" s="172">
        <f t="shared" si="2"/>
        <v>1.5228070175438597</v>
      </c>
      <c r="N8" s="247">
        <v>29040.49</v>
      </c>
      <c r="O8" s="89">
        <f t="shared" si="5"/>
        <v>0.50628045650942943</v>
      </c>
      <c r="P8" s="247">
        <v>12929.96</v>
      </c>
      <c r="Q8" s="89">
        <f t="shared" si="6"/>
        <v>0.22541582636686441</v>
      </c>
      <c r="R8" s="130">
        <v>2571</v>
      </c>
      <c r="S8" s="26"/>
    </row>
    <row r="9" spans="1:22" ht="15.6" customHeight="1" x14ac:dyDescent="0.3">
      <c r="A9" s="409" t="s">
        <v>18</v>
      </c>
      <c r="B9" s="200">
        <f>'18 - 24 Jan 2021'!D9</f>
        <v>100356.98</v>
      </c>
      <c r="C9" s="73">
        <v>304035.96000000002</v>
      </c>
      <c r="D9" s="145">
        <v>126300.8</v>
      </c>
      <c r="E9" s="130">
        <v>508556.47</v>
      </c>
      <c r="F9" s="163">
        <f t="shared" si="0"/>
        <v>-0.58458598121090688</v>
      </c>
      <c r="G9" s="155">
        <f t="shared" si="3"/>
        <v>0.25851535189679886</v>
      </c>
      <c r="H9" s="150">
        <v>549</v>
      </c>
      <c r="I9" s="63">
        <f t="shared" si="4"/>
        <v>230.05610200364299</v>
      </c>
      <c r="J9" s="61">
        <v>65</v>
      </c>
      <c r="K9" s="28">
        <f t="shared" si="1"/>
        <v>0.11839708561020036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</f>
        <v>831</v>
      </c>
      <c r="M9" s="172">
        <f t="shared" si="2"/>
        <v>1.5136612021857923</v>
      </c>
      <c r="N9" s="247">
        <v>14333.48</v>
      </c>
      <c r="O9" s="89">
        <f t="shared" si="5"/>
        <v>0.11348685043958549</v>
      </c>
      <c r="P9" s="247">
        <v>12644.19</v>
      </c>
      <c r="Q9" s="89">
        <f t="shared" si="6"/>
        <v>0.10011171742380096</v>
      </c>
      <c r="R9" s="130">
        <v>7302.6</v>
      </c>
      <c r="S9" s="26"/>
    </row>
    <row r="10" spans="1:22" ht="15.6" customHeight="1" x14ac:dyDescent="0.3">
      <c r="A10" s="411" t="s">
        <v>20</v>
      </c>
      <c r="B10" s="200">
        <f>'18 - 24 Jan 2021'!D10</f>
        <v>86299.71</v>
      </c>
      <c r="C10" s="73">
        <v>157219.01</v>
      </c>
      <c r="D10" s="145">
        <v>84843.93</v>
      </c>
      <c r="E10" s="130">
        <v>356034.85</v>
      </c>
      <c r="F10" s="163">
        <f t="shared" si="0"/>
        <v>-0.46034560324479851</v>
      </c>
      <c r="G10" s="155">
        <f t="shared" si="3"/>
        <v>-1.6868886349676183E-2</v>
      </c>
      <c r="H10" s="150">
        <v>356</v>
      </c>
      <c r="I10" s="63">
        <f t="shared" si="4"/>
        <v>238.3256460674157</v>
      </c>
      <c r="J10" s="61">
        <v>35</v>
      </c>
      <c r="K10" s="28">
        <f t="shared" si="1"/>
        <v>9.8314606741573038E-2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</f>
        <v>640</v>
      </c>
      <c r="M10" s="172">
        <f t="shared" si="2"/>
        <v>1.797752808988764</v>
      </c>
      <c r="N10" s="247">
        <v>22469.07</v>
      </c>
      <c r="O10" s="89">
        <f t="shared" si="5"/>
        <v>0.26482825583397657</v>
      </c>
      <c r="P10" s="247">
        <v>21507.19</v>
      </c>
      <c r="Q10" s="89">
        <f t="shared" si="6"/>
        <v>0.25349120437961797</v>
      </c>
      <c r="R10" s="130">
        <v>4465.7</v>
      </c>
      <c r="S10" s="26"/>
    </row>
    <row r="11" spans="1:22" ht="15.6" customHeight="1" x14ac:dyDescent="0.3">
      <c r="A11" s="409" t="s">
        <v>21</v>
      </c>
      <c r="B11" s="200">
        <f>'18 - 24 Jan 2021'!D11</f>
        <v>141673.04</v>
      </c>
      <c r="C11" s="73">
        <v>317481.25</v>
      </c>
      <c r="D11" s="145">
        <v>166326.35999999999</v>
      </c>
      <c r="E11" s="130">
        <v>667880.81000000006</v>
      </c>
      <c r="F11" s="163">
        <f t="shared" si="0"/>
        <v>-0.47610651022698197</v>
      </c>
      <c r="G11" s="155">
        <f t="shared" si="3"/>
        <v>0.17401560663906115</v>
      </c>
      <c r="H11" s="150">
        <v>712</v>
      </c>
      <c r="I11" s="63">
        <f t="shared" si="4"/>
        <v>233.60443820224717</v>
      </c>
      <c r="J11" s="61">
        <v>62</v>
      </c>
      <c r="K11" s="28">
        <f t="shared" si="1"/>
        <v>8.7078651685393263E-2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</f>
        <v>754</v>
      </c>
      <c r="M11" s="172">
        <f t="shared" si="2"/>
        <v>1.0589887640449438</v>
      </c>
      <c r="N11" s="247">
        <v>33020.22</v>
      </c>
      <c r="O11" s="89">
        <f t="shared" si="5"/>
        <v>0.19852667971571075</v>
      </c>
      <c r="P11" s="247">
        <v>28116.61</v>
      </c>
      <c r="Q11" s="89">
        <f t="shared" si="6"/>
        <v>0.16904482248033326</v>
      </c>
      <c r="R11" s="130">
        <v>11517.6</v>
      </c>
      <c r="S11" s="26"/>
    </row>
    <row r="12" spans="1:22" ht="15.6" customHeight="1" x14ac:dyDescent="0.3">
      <c r="A12" s="198" t="s">
        <v>22</v>
      </c>
      <c r="B12" s="200">
        <f>'18 - 24 Jan 2021'!D12</f>
        <v>71651.850000000006</v>
      </c>
      <c r="C12" s="73">
        <v>171217.16</v>
      </c>
      <c r="D12" s="145">
        <v>69138.12</v>
      </c>
      <c r="E12" s="130">
        <v>301970.53999999998</v>
      </c>
      <c r="F12" s="163">
        <f t="shared" si="0"/>
        <v>-0.59619631583656685</v>
      </c>
      <c r="G12" s="155">
        <f t="shared" si="3"/>
        <v>-3.5082555439950404E-2</v>
      </c>
      <c r="H12" s="150">
        <v>322</v>
      </c>
      <c r="I12" s="63">
        <f t="shared" si="4"/>
        <v>214.71465838509314</v>
      </c>
      <c r="J12" s="61">
        <v>27</v>
      </c>
      <c r="K12" s="28">
        <f t="shared" si="1"/>
        <v>8.3850931677018639E-2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</f>
        <v>317</v>
      </c>
      <c r="M12" s="172">
        <f t="shared" si="2"/>
        <v>0.98447204968944102</v>
      </c>
      <c r="N12" s="247">
        <v>19394.78</v>
      </c>
      <c r="O12" s="89">
        <f t="shared" si="5"/>
        <v>0.28052223577962493</v>
      </c>
      <c r="P12" s="247">
        <v>2313.96</v>
      </c>
      <c r="Q12" s="89">
        <f t="shared" si="6"/>
        <v>3.3468656654245157E-2</v>
      </c>
      <c r="R12" s="130">
        <v>6304.5</v>
      </c>
      <c r="S12" s="26"/>
    </row>
    <row r="13" spans="1:22" ht="15.6" customHeight="1" x14ac:dyDescent="0.3">
      <c r="A13" s="198" t="s">
        <v>23</v>
      </c>
      <c r="B13" s="200">
        <f>'18 - 24 Jan 2021'!D13</f>
        <v>125906.05</v>
      </c>
      <c r="C13" s="73">
        <v>252185.47</v>
      </c>
      <c r="D13" s="145">
        <v>132147.5</v>
      </c>
      <c r="E13" s="130">
        <v>537445.47</v>
      </c>
      <c r="F13" s="163">
        <f t="shared" si="0"/>
        <v>-0.47599082532391734</v>
      </c>
      <c r="G13" s="155">
        <f t="shared" si="3"/>
        <v>4.9572280283592382E-2</v>
      </c>
      <c r="H13" s="150">
        <v>557</v>
      </c>
      <c r="I13" s="63">
        <f t="shared" si="4"/>
        <v>237.24865350089766</v>
      </c>
      <c r="J13" s="61">
        <v>38</v>
      </c>
      <c r="K13" s="28">
        <f t="shared" si="1"/>
        <v>6.8222621184919216E-2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</f>
        <v>593</v>
      </c>
      <c r="M13" s="172">
        <f t="shared" si="2"/>
        <v>1.0646319569120288</v>
      </c>
      <c r="N13" s="247">
        <v>33102.43</v>
      </c>
      <c r="O13" s="89">
        <f t="shared" si="5"/>
        <v>0.25049607446224864</v>
      </c>
      <c r="P13" s="247">
        <v>24111.17</v>
      </c>
      <c r="Q13" s="89">
        <f t="shared" si="6"/>
        <v>0.18245649747441306</v>
      </c>
      <c r="R13" s="130">
        <v>2754.5</v>
      </c>
      <c r="S13" s="26"/>
    </row>
    <row r="14" spans="1:22" ht="15.6" hidden="1" customHeight="1" x14ac:dyDescent="0.3">
      <c r="A14" s="198" t="s">
        <v>24</v>
      </c>
      <c r="B14" s="200">
        <f>'18 - 24 Jan 2021'!D14</f>
        <v>0</v>
      </c>
      <c r="C14" s="73"/>
      <c r="D14" s="145"/>
      <c r="E14" s="130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</f>
        <v>0</v>
      </c>
      <c r="M14" s="172">
        <f t="shared" si="2"/>
        <v>0</v>
      </c>
      <c r="N14" s="247"/>
      <c r="O14" s="89" t="e">
        <f t="shared" si="5"/>
        <v>#DIV/0!</v>
      </c>
      <c r="P14" s="247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'18 - 24 Jan 2021'!D15</f>
        <v>106853.6</v>
      </c>
      <c r="C15" s="73">
        <v>177284.39</v>
      </c>
      <c r="D15" s="145">
        <v>102350.02</v>
      </c>
      <c r="E15" s="130">
        <v>871889.87</v>
      </c>
      <c r="F15" s="163">
        <f t="shared" si="0"/>
        <v>-0.42267889462800423</v>
      </c>
      <c r="G15" s="155">
        <f t="shared" si="3"/>
        <v>-4.2147199532818751E-2</v>
      </c>
      <c r="H15" s="150">
        <v>410</v>
      </c>
      <c r="I15" s="63">
        <f t="shared" si="4"/>
        <v>249.63419512195122</v>
      </c>
      <c r="J15" s="61">
        <v>32</v>
      </c>
      <c r="K15" s="28">
        <f t="shared" si="1"/>
        <v>7.8048780487804878E-2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</f>
        <v>656</v>
      </c>
      <c r="M15" s="172">
        <f t="shared" si="2"/>
        <v>1.6</v>
      </c>
      <c r="N15" s="247">
        <v>0</v>
      </c>
      <c r="O15" s="89">
        <f t="shared" si="5"/>
        <v>0</v>
      </c>
      <c r="P15" s="247">
        <v>14062.17</v>
      </c>
      <c r="Q15" s="89">
        <f t="shared" si="6"/>
        <v>0.13739293846742776</v>
      </c>
      <c r="R15" s="130">
        <v>2597.1999999999998</v>
      </c>
      <c r="S15" s="9"/>
    </row>
    <row r="16" spans="1:22" ht="15.6" customHeight="1" x14ac:dyDescent="0.3">
      <c r="A16" s="198" t="s">
        <v>27</v>
      </c>
      <c r="B16" s="200">
        <f>'18 - 24 Jan 2021'!D16</f>
        <v>62660.29</v>
      </c>
      <c r="C16" s="73">
        <v>129067.81</v>
      </c>
      <c r="D16" s="145">
        <v>69979.259999999995</v>
      </c>
      <c r="E16" s="130">
        <v>289945.28999999998</v>
      </c>
      <c r="F16" s="163">
        <f t="shared" si="0"/>
        <v>-0.45781012322127418</v>
      </c>
      <c r="G16" s="155">
        <f t="shared" si="3"/>
        <v>0.1168039598923017</v>
      </c>
      <c r="H16" s="150">
        <v>311</v>
      </c>
      <c r="I16" s="63">
        <f t="shared" si="4"/>
        <v>225.01369774919613</v>
      </c>
      <c r="J16" s="61">
        <v>31</v>
      </c>
      <c r="K16" s="28">
        <f t="shared" si="1"/>
        <v>9.9678456591639875E-2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</f>
        <v>470</v>
      </c>
      <c r="M16" s="172">
        <f t="shared" si="2"/>
        <v>1.5112540192926045</v>
      </c>
      <c r="N16" s="247">
        <v>17198.830000000002</v>
      </c>
      <c r="O16" s="89">
        <f t="shared" si="5"/>
        <v>0.24577038968402928</v>
      </c>
      <c r="P16" s="247">
        <v>17052.46</v>
      </c>
      <c r="Q16" s="89">
        <f t="shared" si="6"/>
        <v>0.24367876996698737</v>
      </c>
      <c r="R16" s="130">
        <v>4188</v>
      </c>
      <c r="S16" s="9"/>
      <c r="V16" s="238"/>
    </row>
    <row r="17" spans="1:19" ht="15.6" customHeight="1" x14ac:dyDescent="0.3">
      <c r="A17" s="251" t="s">
        <v>28</v>
      </c>
      <c r="B17" s="200">
        <f>'18 - 24 Jan 2021'!D17</f>
        <v>85253.73</v>
      </c>
      <c r="C17" s="73">
        <v>226675.96</v>
      </c>
      <c r="D17" s="145">
        <v>98293.32</v>
      </c>
      <c r="E17" s="130">
        <v>394709.89</v>
      </c>
      <c r="F17" s="163">
        <f t="shared" si="0"/>
        <v>-0.56637077879806919</v>
      </c>
      <c r="G17" s="155">
        <f t="shared" si="3"/>
        <v>0.1529503753090922</v>
      </c>
      <c r="H17" s="150">
        <v>455</v>
      </c>
      <c r="I17" s="63">
        <f t="shared" si="4"/>
        <v>216.02927472527475</v>
      </c>
      <c r="J17" s="61">
        <v>47</v>
      </c>
      <c r="K17" s="28">
        <f t="shared" si="1"/>
        <v>0.10329670329670329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</f>
        <v>524</v>
      </c>
      <c r="M17" s="172">
        <f t="shared" si="2"/>
        <v>1.1516483516483516</v>
      </c>
      <c r="N17" s="247">
        <v>35881.43</v>
      </c>
      <c r="O17" s="89">
        <f t="shared" si="5"/>
        <v>0.36504444045638096</v>
      </c>
      <c r="P17" s="247">
        <v>9818.39</v>
      </c>
      <c r="Q17" s="89">
        <f t="shared" si="6"/>
        <v>9.9888680125973961E-2</v>
      </c>
      <c r="R17" s="130">
        <v>1928.5</v>
      </c>
      <c r="S17" s="9"/>
    </row>
    <row r="18" spans="1:19" ht="15.6" customHeight="1" x14ac:dyDescent="0.3">
      <c r="A18" s="198" t="s">
        <v>33</v>
      </c>
      <c r="B18" s="200">
        <f>'18 - 24 Jan 2021'!D18</f>
        <v>102837.09</v>
      </c>
      <c r="C18" s="73">
        <v>189390.06</v>
      </c>
      <c r="D18" s="145">
        <v>103453.32</v>
      </c>
      <c r="E18" s="130">
        <v>456177.38</v>
      </c>
      <c r="F18" s="163">
        <f t="shared" si="0"/>
        <v>-0.45375528156018319</v>
      </c>
      <c r="G18" s="155">
        <f t="shared" si="3"/>
        <v>5.9922932475044806E-3</v>
      </c>
      <c r="H18" s="150">
        <v>496</v>
      </c>
      <c r="I18" s="258">
        <f t="shared" si="4"/>
        <v>208.57524193548389</v>
      </c>
      <c r="J18" s="61">
        <v>34</v>
      </c>
      <c r="K18" s="28">
        <f t="shared" si="1"/>
        <v>6.8548387096774188E-2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</f>
        <v>545</v>
      </c>
      <c r="M18" s="172">
        <f t="shared" si="2"/>
        <v>1.0987903225806452</v>
      </c>
      <c r="N18" s="247">
        <v>26491.65</v>
      </c>
      <c r="O18" s="89">
        <f t="shared" si="5"/>
        <v>0.25607346385790231</v>
      </c>
      <c r="P18" s="247">
        <v>14326.7</v>
      </c>
      <c r="Q18" s="89">
        <f t="shared" si="6"/>
        <v>0.13848468082029652</v>
      </c>
      <c r="R18" s="130">
        <v>3984.5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48">
        <v>0</v>
      </c>
      <c r="O19" s="116" t="e">
        <f t="shared" si="5"/>
        <v>#DIV/0!</v>
      </c>
      <c r="P19" s="248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76" priority="9" operator="equal">
      <formula>0</formula>
    </cfRule>
  </conditionalFormatting>
  <conditionalFormatting sqref="D7:E19">
    <cfRule type="cellIs" dxfId="375" priority="8" operator="equal">
      <formula>0</formula>
    </cfRule>
  </conditionalFormatting>
  <conditionalFormatting sqref="F6:R19">
    <cfRule type="cellIs" dxfId="37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-0.14320533381203376</v>
      </c>
      <c r="G2" s="400">
        <f>(((D4-D19-B19)-B4)/D4)</f>
        <v>0.30530084054724843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1230531.9099999999</v>
      </c>
      <c r="C4" s="135">
        <f>SUM(C6:C19)-C14-C19</f>
        <v>2067375.4400000002</v>
      </c>
      <c r="D4" s="142">
        <f>SUM(D6:D19)-D19</f>
        <v>1771316.25</v>
      </c>
      <c r="E4" s="142">
        <f>SUM(E6:E19)-E19</f>
        <v>1771316.25</v>
      </c>
      <c r="F4" s="217">
        <f t="shared" ref="F4:F19" si="0">IFERROR((SUM(D4-C4)/C4),0)</f>
        <v>-0.14320533381203376</v>
      </c>
      <c r="G4" s="217">
        <f>IFERROR((SUM(D4-B4)/D4),0)</f>
        <v>0.30530084054724843</v>
      </c>
      <c r="H4" s="147">
        <f>SUM(H6:H19)</f>
        <v>6718</v>
      </c>
      <c r="I4" s="218">
        <f>AVERAGE(I5:I19)</f>
        <v>224.82654265836541</v>
      </c>
      <c r="J4" s="219">
        <f>SUM(J6:J19)</f>
        <v>832</v>
      </c>
      <c r="K4" s="220">
        <f t="shared" ref="K4:K19" si="1">IFERROR(J4/H4,0)</f>
        <v>0.12384638285203929</v>
      </c>
      <c r="L4" s="221">
        <f>SUM(L6:L19)</f>
        <v>8216</v>
      </c>
      <c r="M4" s="222">
        <f t="shared" ref="M4:M19" si="2">IFERROR(L4/SUM(H4),0)</f>
        <v>1.222983030663888</v>
      </c>
      <c r="N4" s="249">
        <f>SUM(N6:N19)</f>
        <v>310128.23</v>
      </c>
      <c r="O4" s="222">
        <f>SUM(N4/D4)</f>
        <v>0.17508348946722527</v>
      </c>
      <c r="P4" s="244">
        <f>SUM(P6:P19)</f>
        <v>165910.48000000001</v>
      </c>
      <c r="Q4" s="222">
        <f>SUM(P4/D4)</f>
        <v>9.3665080981445298E-2</v>
      </c>
      <c r="R4" s="257">
        <f>SUM(R6:R19)</f>
        <v>69661.19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>
        <f>J5+'Nov 19 - Nov 25'!I5+'Nov 26 - Dec 2'!I5+'Dec 3 - Dec 9'!I5+'Dec 10 - Dec 16'!I5+'Dec 17 - Dec 23'!I5+'Dec 24 - Dec 30'!I5</f>
        <v>0</v>
      </c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'25 - 31 Jan 2021'!D6</f>
        <v>126561.93</v>
      </c>
      <c r="C6" s="255">
        <v>237293.22</v>
      </c>
      <c r="D6" s="197">
        <v>174135.04000000001</v>
      </c>
      <c r="E6" s="197">
        <v>174135.04000000001</v>
      </c>
      <c r="F6" s="162">
        <f t="shared" si="0"/>
        <v>-0.26616091264638742</v>
      </c>
      <c r="G6" s="154">
        <f t="shared" ref="G6:G19" si="3">IFERROR((SUM(D6-B6)/B6),0)</f>
        <v>0.37588799412271934</v>
      </c>
      <c r="H6" s="149">
        <v>599</v>
      </c>
      <c r="I6" s="256">
        <f t="shared" ref="I6:I19" si="4">IFERROR(D6/H6,0)</f>
        <v>290.70958263772957</v>
      </c>
      <c r="J6" s="125">
        <v>91</v>
      </c>
      <c r="K6" s="126">
        <f t="shared" si="1"/>
        <v>0.15191986644407346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</f>
        <v>804</v>
      </c>
      <c r="M6" s="171">
        <f t="shared" si="2"/>
        <v>1.342237061769616</v>
      </c>
      <c r="N6" s="259">
        <v>47139.26</v>
      </c>
      <c r="O6" s="128">
        <f t="shared" ref="O6:O19" si="5">SUM(N6/D6)</f>
        <v>0.27070519523238978</v>
      </c>
      <c r="P6" s="260">
        <v>0</v>
      </c>
      <c r="Q6" s="128">
        <f t="shared" ref="Q6:Q19" si="6">SUM(P6/D6)</f>
        <v>0</v>
      </c>
      <c r="R6" s="129">
        <v>5353.53</v>
      </c>
      <c r="S6" s="26"/>
    </row>
    <row r="7" spans="1:22" ht="15.6" customHeight="1" x14ac:dyDescent="0.3">
      <c r="A7" s="409" t="s">
        <v>16</v>
      </c>
      <c r="B7" s="200">
        <f>'25 - 31 Jan 2021'!D7</f>
        <v>93776.87</v>
      </c>
      <c r="C7" s="73">
        <v>220030.82</v>
      </c>
      <c r="D7" s="145">
        <v>142494.72</v>
      </c>
      <c r="E7" s="145">
        <v>142494.72</v>
      </c>
      <c r="F7" s="163">
        <f t="shared" si="0"/>
        <v>-0.35238745190332882</v>
      </c>
      <c r="G7" s="155">
        <f t="shared" si="3"/>
        <v>0.51950816869874217</v>
      </c>
      <c r="H7" s="150">
        <v>505</v>
      </c>
      <c r="I7" s="63">
        <f t="shared" si="4"/>
        <v>282.16776237623765</v>
      </c>
      <c r="J7" s="61">
        <v>53</v>
      </c>
      <c r="K7" s="28">
        <f t="shared" si="1"/>
        <v>0.10495049504950495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</f>
        <v>960</v>
      </c>
      <c r="M7" s="172">
        <f t="shared" si="2"/>
        <v>1.9009900990099009</v>
      </c>
      <c r="N7" s="260">
        <v>16842.78</v>
      </c>
      <c r="O7" s="89">
        <f t="shared" si="5"/>
        <v>0.11819932696453594</v>
      </c>
      <c r="P7" s="260">
        <v>10549.74</v>
      </c>
      <c r="Q7" s="89">
        <f t="shared" si="6"/>
        <v>7.4036006386762956E-2</v>
      </c>
      <c r="R7" s="130">
        <v>7359.85</v>
      </c>
      <c r="S7" s="26"/>
    </row>
    <row r="8" spans="1:22" ht="15.6" customHeight="1" x14ac:dyDescent="0.3">
      <c r="A8" s="409" t="s">
        <v>17</v>
      </c>
      <c r="B8" s="200">
        <f>'25 - 31 Jan 2021'!D8</f>
        <v>57360.480000000003</v>
      </c>
      <c r="C8" s="73">
        <v>109046.25</v>
      </c>
      <c r="D8" s="145">
        <v>83932.42</v>
      </c>
      <c r="E8" s="145">
        <v>83932.42</v>
      </c>
      <c r="F8" s="163">
        <f t="shared" si="0"/>
        <v>-0.23030438919265908</v>
      </c>
      <c r="G8" s="155">
        <f t="shared" si="3"/>
        <v>0.46324472877493345</v>
      </c>
      <c r="H8" s="150">
        <v>349</v>
      </c>
      <c r="I8" s="63">
        <f t="shared" si="4"/>
        <v>240.49404011461317</v>
      </c>
      <c r="J8" s="61">
        <v>64</v>
      </c>
      <c r="K8" s="28">
        <f t="shared" si="1"/>
        <v>0.18338108882521489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</f>
        <v>498</v>
      </c>
      <c r="M8" s="172">
        <f t="shared" si="2"/>
        <v>1.4269340974212035</v>
      </c>
      <c r="N8" s="260">
        <v>34751.040000000001</v>
      </c>
      <c r="O8" s="89">
        <f t="shared" si="5"/>
        <v>0.41403595892981521</v>
      </c>
      <c r="P8" s="260">
        <v>10123.39</v>
      </c>
      <c r="Q8" s="89">
        <f t="shared" si="6"/>
        <v>0.12061358411922353</v>
      </c>
      <c r="R8" s="130">
        <v>2588.6999999999998</v>
      </c>
      <c r="S8" s="26"/>
    </row>
    <row r="9" spans="1:22" ht="15.6" customHeight="1" x14ac:dyDescent="0.3">
      <c r="A9" s="409" t="s">
        <v>18</v>
      </c>
      <c r="B9" s="200">
        <f>'25 - 31 Jan 2021'!D9</f>
        <v>126300.8</v>
      </c>
      <c r="C9" s="73">
        <v>0</v>
      </c>
      <c r="D9" s="145">
        <v>179928.28</v>
      </c>
      <c r="E9" s="145">
        <v>179928.28</v>
      </c>
      <c r="F9" s="163">
        <f t="shared" si="0"/>
        <v>0</v>
      </c>
      <c r="G9" s="155">
        <f t="shared" si="3"/>
        <v>0.42460126935062958</v>
      </c>
      <c r="H9" s="150">
        <v>700</v>
      </c>
      <c r="I9" s="63">
        <f t="shared" si="4"/>
        <v>257.04039999999998</v>
      </c>
      <c r="J9" s="61">
        <v>88</v>
      </c>
      <c r="K9" s="28">
        <f t="shared" si="1"/>
        <v>0.12571428571428572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</f>
        <v>919</v>
      </c>
      <c r="M9" s="172">
        <f t="shared" si="2"/>
        <v>1.3128571428571429</v>
      </c>
      <c r="N9" s="260">
        <v>20855.830000000002</v>
      </c>
      <c r="O9" s="89">
        <f t="shared" si="5"/>
        <v>0.11591190667748284</v>
      </c>
      <c r="P9" s="260">
        <v>14666.43</v>
      </c>
      <c r="Q9" s="89">
        <f t="shared" si="6"/>
        <v>8.1512644927189876E-2</v>
      </c>
      <c r="R9" s="130">
        <v>8300.9</v>
      </c>
      <c r="S9" s="26"/>
    </row>
    <row r="10" spans="1:22" ht="15.6" customHeight="1" x14ac:dyDescent="0.3">
      <c r="A10" s="411" t="s">
        <v>20</v>
      </c>
      <c r="B10" s="200">
        <f>'25 - 31 Jan 2021'!D10</f>
        <v>84843.93</v>
      </c>
      <c r="C10" s="73">
        <v>162465.92000000001</v>
      </c>
      <c r="D10" s="145">
        <v>109234.04</v>
      </c>
      <c r="E10" s="145">
        <v>109234.04</v>
      </c>
      <c r="F10" s="163">
        <f t="shared" si="0"/>
        <v>-0.32764951566457762</v>
      </c>
      <c r="G10" s="155">
        <f t="shared" si="3"/>
        <v>0.28747029987884815</v>
      </c>
      <c r="H10" s="150">
        <v>430</v>
      </c>
      <c r="I10" s="63">
        <f t="shared" si="4"/>
        <v>254.03265116279067</v>
      </c>
      <c r="J10" s="61">
        <v>68</v>
      </c>
      <c r="K10" s="28">
        <f t="shared" si="1"/>
        <v>0.15813953488372093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</f>
        <v>708</v>
      </c>
      <c r="M10" s="172">
        <f t="shared" si="2"/>
        <v>1.6465116279069767</v>
      </c>
      <c r="N10" s="260">
        <v>24742.78</v>
      </c>
      <c r="O10" s="89">
        <f t="shared" si="5"/>
        <v>0.22651162586314669</v>
      </c>
      <c r="P10" s="260">
        <v>21196.54</v>
      </c>
      <c r="Q10" s="89">
        <f t="shared" si="6"/>
        <v>0.19404702050752679</v>
      </c>
      <c r="R10" s="130">
        <v>6914.05</v>
      </c>
      <c r="S10" s="26"/>
    </row>
    <row r="11" spans="1:22" ht="15.6" customHeight="1" x14ac:dyDescent="0.3">
      <c r="A11" s="409" t="s">
        <v>21</v>
      </c>
      <c r="B11" s="200">
        <f>'25 - 31 Jan 2021'!D11</f>
        <v>166326.35999999999</v>
      </c>
      <c r="C11" s="73">
        <v>296440.63</v>
      </c>
      <c r="D11" s="145">
        <v>253363.15</v>
      </c>
      <c r="E11" s="145">
        <v>253363.15</v>
      </c>
      <c r="F11" s="163">
        <f t="shared" si="0"/>
        <v>-0.14531570790414258</v>
      </c>
      <c r="G11" s="155">
        <f t="shared" si="3"/>
        <v>0.52328921284635832</v>
      </c>
      <c r="H11" s="150">
        <v>947</v>
      </c>
      <c r="I11" s="63">
        <f t="shared" si="4"/>
        <v>267.54292502639913</v>
      </c>
      <c r="J11" s="61">
        <v>87</v>
      </c>
      <c r="K11" s="28">
        <f t="shared" si="1"/>
        <v>9.1869060190073917E-2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</f>
        <v>841</v>
      </c>
      <c r="M11" s="172">
        <f t="shared" si="2"/>
        <v>0.88806758183738121</v>
      </c>
      <c r="N11" s="260">
        <v>43814.68</v>
      </c>
      <c r="O11" s="89">
        <f t="shared" si="5"/>
        <v>0.17293233053030799</v>
      </c>
      <c r="P11" s="260">
        <v>21037.78</v>
      </c>
      <c r="Q11" s="89">
        <f t="shared" si="6"/>
        <v>8.3034095526519941E-2</v>
      </c>
      <c r="R11" s="130">
        <v>14006.66</v>
      </c>
      <c r="S11" s="26"/>
    </row>
    <row r="12" spans="1:22" ht="15.6" customHeight="1" x14ac:dyDescent="0.3">
      <c r="A12" s="198" t="s">
        <v>22</v>
      </c>
      <c r="B12" s="200">
        <f>'25 - 31 Jan 2021'!D12</f>
        <v>69138.12</v>
      </c>
      <c r="C12" s="73">
        <v>153633.79999999999</v>
      </c>
      <c r="D12" s="145">
        <v>94925.62</v>
      </c>
      <c r="E12" s="145">
        <v>94925.62</v>
      </c>
      <c r="F12" s="163">
        <f t="shared" si="0"/>
        <v>-0.38213062490155159</v>
      </c>
      <c r="G12" s="155">
        <f t="shared" si="3"/>
        <v>0.37298526485822875</v>
      </c>
      <c r="H12" s="150">
        <v>382</v>
      </c>
      <c r="I12" s="63">
        <f t="shared" si="4"/>
        <v>248.49638743455498</v>
      </c>
      <c r="J12" s="61">
        <v>38</v>
      </c>
      <c r="K12" s="28">
        <f t="shared" si="1"/>
        <v>9.947643979057591E-2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</f>
        <v>355</v>
      </c>
      <c r="M12" s="172">
        <f t="shared" si="2"/>
        <v>0.9293193717277487</v>
      </c>
      <c r="N12" s="260">
        <v>17128.78</v>
      </c>
      <c r="O12" s="89">
        <f t="shared" si="5"/>
        <v>0.1804442257000797</v>
      </c>
      <c r="P12" s="260">
        <v>7419.61</v>
      </c>
      <c r="Q12" s="89">
        <f t="shared" si="6"/>
        <v>7.8162354904819167E-2</v>
      </c>
      <c r="R12" s="130">
        <v>6625</v>
      </c>
      <c r="S12" s="26"/>
    </row>
    <row r="13" spans="1:22" ht="15.6" customHeight="1" x14ac:dyDescent="0.3">
      <c r="A13" s="198" t="s">
        <v>23</v>
      </c>
      <c r="B13" s="200">
        <f>'25 - 31 Jan 2021'!D13</f>
        <v>132147.5</v>
      </c>
      <c r="C13" s="73">
        <v>206977.96</v>
      </c>
      <c r="D13" s="145">
        <v>172280.88</v>
      </c>
      <c r="E13" s="145">
        <v>172280.88</v>
      </c>
      <c r="F13" s="163">
        <f t="shared" si="0"/>
        <v>-0.1676365928043739</v>
      </c>
      <c r="G13" s="155">
        <f t="shared" si="3"/>
        <v>0.30370139427533632</v>
      </c>
      <c r="H13" s="150">
        <v>663</v>
      </c>
      <c r="I13" s="63">
        <f t="shared" si="4"/>
        <v>259.85049773755657</v>
      </c>
      <c r="J13" s="61">
        <v>87</v>
      </c>
      <c r="K13" s="28">
        <f t="shared" si="1"/>
        <v>0.13122171945701358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</f>
        <v>680</v>
      </c>
      <c r="M13" s="172">
        <f t="shared" si="2"/>
        <v>1.0256410256410255</v>
      </c>
      <c r="N13" s="260">
        <v>27634.65</v>
      </c>
      <c r="O13" s="89">
        <f t="shared" si="5"/>
        <v>0.16040462528401295</v>
      </c>
      <c r="P13" s="260">
        <v>21368.400000000001</v>
      </c>
      <c r="Q13" s="89">
        <f t="shared" si="6"/>
        <v>0.12403233603171751</v>
      </c>
      <c r="R13" s="130">
        <v>2185.5</v>
      </c>
      <c r="S13" s="26"/>
    </row>
    <row r="14" spans="1:22" ht="15.6" hidden="1" customHeight="1" x14ac:dyDescent="0.3">
      <c r="A14" s="198" t="s">
        <v>24</v>
      </c>
      <c r="B14" s="200">
        <f>'25 - 31 Jan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'25 - 31 Jan 2021'!D15</f>
        <v>102350.02</v>
      </c>
      <c r="C15" s="73">
        <v>184245.92</v>
      </c>
      <c r="D15" s="145">
        <v>160228.96</v>
      </c>
      <c r="E15" s="145">
        <v>160228.96</v>
      </c>
      <c r="F15" s="163">
        <f t="shared" si="0"/>
        <v>-0.13035273725464325</v>
      </c>
      <c r="G15" s="155">
        <f t="shared" si="3"/>
        <v>0.5655000360527529</v>
      </c>
      <c r="H15" s="150">
        <v>545</v>
      </c>
      <c r="I15" s="63">
        <f t="shared" si="4"/>
        <v>293.99809174311923</v>
      </c>
      <c r="J15" s="61">
        <v>27</v>
      </c>
      <c r="K15" s="28">
        <f t="shared" si="1"/>
        <v>4.9541284403669728E-2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</f>
        <v>683</v>
      </c>
      <c r="M15" s="172">
        <f t="shared" si="2"/>
        <v>1.2532110091743118</v>
      </c>
      <c r="N15" s="260">
        <v>0</v>
      </c>
      <c r="O15" s="89">
        <f t="shared" si="5"/>
        <v>0</v>
      </c>
      <c r="P15" s="260">
        <v>18291.650000000001</v>
      </c>
      <c r="Q15" s="89">
        <f t="shared" si="6"/>
        <v>0.11415945032658267</v>
      </c>
      <c r="R15" s="130">
        <v>3623</v>
      </c>
      <c r="S15" s="9"/>
    </row>
    <row r="16" spans="1:22" ht="15.6" customHeight="1" x14ac:dyDescent="0.3">
      <c r="A16" s="198" t="s">
        <v>27</v>
      </c>
      <c r="B16" s="200">
        <f>'25 - 31 Jan 2021'!D16</f>
        <v>69979.259999999995</v>
      </c>
      <c r="C16" s="73">
        <v>136872.09</v>
      </c>
      <c r="D16" s="145">
        <v>103278.04</v>
      </c>
      <c r="E16" s="145">
        <v>103278.04</v>
      </c>
      <c r="F16" s="163">
        <f t="shared" si="0"/>
        <v>-0.2454411998823135</v>
      </c>
      <c r="G16" s="155">
        <f t="shared" si="3"/>
        <v>0.47583784109749089</v>
      </c>
      <c r="H16" s="150">
        <v>407</v>
      </c>
      <c r="I16" s="63">
        <f t="shared" si="4"/>
        <v>253.75439803439801</v>
      </c>
      <c r="J16" s="61">
        <v>59</v>
      </c>
      <c r="K16" s="28">
        <f t="shared" si="1"/>
        <v>0.14496314496314497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</f>
        <v>529</v>
      </c>
      <c r="M16" s="172">
        <f t="shared" si="2"/>
        <v>1.2997542997542997</v>
      </c>
      <c r="N16" s="260">
        <v>21093.48</v>
      </c>
      <c r="O16" s="89">
        <f t="shared" si="5"/>
        <v>0.20423973963874606</v>
      </c>
      <c r="P16" s="260">
        <v>11207.21</v>
      </c>
      <c r="Q16" s="89">
        <f t="shared" si="6"/>
        <v>0.10851493696046129</v>
      </c>
      <c r="R16" s="130">
        <v>5049</v>
      </c>
      <c r="S16" s="9"/>
      <c r="V16" s="238"/>
    </row>
    <row r="17" spans="1:19" ht="15.6" customHeight="1" x14ac:dyDescent="0.3">
      <c r="A17" s="251" t="s">
        <v>28</v>
      </c>
      <c r="B17" s="200">
        <f>'25 - 31 Jan 2021'!D17</f>
        <v>98293.32</v>
      </c>
      <c r="C17" s="73">
        <v>183593.77</v>
      </c>
      <c r="D17" s="145">
        <v>153397.76000000001</v>
      </c>
      <c r="E17" s="145">
        <v>153397.76000000001</v>
      </c>
      <c r="F17" s="163">
        <f t="shared" si="0"/>
        <v>-0.16447186633838382</v>
      </c>
      <c r="G17" s="155">
        <f t="shared" si="3"/>
        <v>0.56061225727241681</v>
      </c>
      <c r="H17" s="150">
        <v>604</v>
      </c>
      <c r="I17" s="63">
        <f t="shared" si="4"/>
        <v>253.96980132450332</v>
      </c>
      <c r="J17" s="61">
        <v>106</v>
      </c>
      <c r="K17" s="28">
        <f t="shared" si="1"/>
        <v>0.17549668874172186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</f>
        <v>630</v>
      </c>
      <c r="M17" s="172">
        <f t="shared" si="2"/>
        <v>1.0430463576158941</v>
      </c>
      <c r="N17" s="260">
        <v>36152.519999999997</v>
      </c>
      <c r="O17" s="89">
        <f t="shared" si="5"/>
        <v>0.23567827848333636</v>
      </c>
      <c r="P17" s="260">
        <v>11710.78</v>
      </c>
      <c r="Q17" s="89">
        <f t="shared" si="6"/>
        <v>7.6342575015436995E-2</v>
      </c>
      <c r="R17" s="130">
        <v>1914</v>
      </c>
      <c r="S17" s="9"/>
    </row>
    <row r="18" spans="1:19" ht="15.6" customHeight="1" x14ac:dyDescent="0.3">
      <c r="A18" s="198" t="s">
        <v>33</v>
      </c>
      <c r="B18" s="200">
        <f>'25 - 31 Jan 2021'!D18</f>
        <v>103453.32</v>
      </c>
      <c r="C18" s="73">
        <v>176775.06</v>
      </c>
      <c r="D18" s="145">
        <v>144117.34</v>
      </c>
      <c r="E18" s="145">
        <v>144117.34</v>
      </c>
      <c r="F18" s="163">
        <f t="shared" si="0"/>
        <v>-0.18474167113845133</v>
      </c>
      <c r="G18" s="155">
        <f t="shared" si="3"/>
        <v>0.39306636075091633</v>
      </c>
      <c r="H18" s="150">
        <v>587</v>
      </c>
      <c r="I18" s="258">
        <f t="shared" si="4"/>
        <v>245.51505962521293</v>
      </c>
      <c r="J18" s="61">
        <v>64</v>
      </c>
      <c r="K18" s="28">
        <f t="shared" si="1"/>
        <v>0.10902896081771721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</f>
        <v>609</v>
      </c>
      <c r="M18" s="172">
        <f t="shared" si="2"/>
        <v>1.0374787052810903</v>
      </c>
      <c r="N18" s="260">
        <v>19972.43</v>
      </c>
      <c r="O18" s="89">
        <f t="shared" si="5"/>
        <v>0.13858450343310527</v>
      </c>
      <c r="P18" s="260">
        <v>18338.95</v>
      </c>
      <c r="Q18" s="89">
        <f t="shared" si="6"/>
        <v>0.1272501282635386</v>
      </c>
      <c r="R18" s="130">
        <v>5741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73" priority="11" operator="equal">
      <formula>0</formula>
    </cfRule>
  </conditionalFormatting>
  <conditionalFormatting sqref="D7:E19">
    <cfRule type="cellIs" dxfId="372" priority="2" operator="equal">
      <formula>0</formula>
    </cfRule>
  </conditionalFormatting>
  <conditionalFormatting sqref="F6:R19">
    <cfRule type="cellIs" dxfId="37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V41"/>
  <sheetViews>
    <sheetView zoomScale="70" zoomScaleNormal="70" workbookViewId="0">
      <pane xSplit="1" topLeftCell="B1" activePane="topRight" state="frozen"/>
      <selection pane="topRight" activeCell="I4" sqref="I4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-0.12722320393706862</v>
      </c>
      <c r="G2" s="400">
        <f>(((D4-D19-B19)-B4)/D4)</f>
        <v>0.10865971438021685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1771316.25</v>
      </c>
      <c r="C4" s="135">
        <f>SUM(C6:C19)-C14-C19</f>
        <v>2276928.4299999997</v>
      </c>
      <c r="D4" s="142">
        <f>SUM(D6:D19)-D19</f>
        <v>1987250.3000000003</v>
      </c>
      <c r="E4" s="142">
        <f>SUM(E6:E19)-E19</f>
        <v>3758566.5500000003</v>
      </c>
      <c r="F4" s="217">
        <f t="shared" ref="F4:F19" si="0">IFERROR((SUM(D4-C4)/C4),0)</f>
        <v>-0.12722320393706862</v>
      </c>
      <c r="G4" s="217">
        <f>IFERROR((SUM(D4-B4)/D4),0)</f>
        <v>0.10865971438021685</v>
      </c>
      <c r="H4" s="147">
        <f>SUM(H6:H19)</f>
        <v>7458</v>
      </c>
      <c r="I4" s="218">
        <f>AVERAGE(I5:I19)</f>
        <v>227.84380175588709</v>
      </c>
      <c r="J4" s="219">
        <f>SUM(J6:J19)</f>
        <v>618</v>
      </c>
      <c r="K4" s="220">
        <f t="shared" ref="K4:K19" si="1">IFERROR(J4/H4,0)</f>
        <v>8.286403861625101E-2</v>
      </c>
      <c r="L4" s="221">
        <f>SUM(L6:L19)</f>
        <v>8834</v>
      </c>
      <c r="M4" s="222">
        <f t="shared" ref="M4:M19" si="2">IFERROR(L4/SUM(H4),0)</f>
        <v>1.184499865915795</v>
      </c>
      <c r="N4" s="249">
        <f>SUM(N6:N19)</f>
        <v>295586.52999999997</v>
      </c>
      <c r="O4" s="222">
        <f>SUM(N4/D4)</f>
        <v>0.14874146955720671</v>
      </c>
      <c r="P4" s="244">
        <f>SUM(P6:P19)</f>
        <v>161823.55000000002</v>
      </c>
      <c r="Q4" s="222">
        <f>SUM(P4/D4)</f>
        <v>8.1430884675171511E-2</v>
      </c>
      <c r="R4" s="257">
        <f>SUM(R6:R19)</f>
        <v>70544.2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'1 - 7 Feb 2021'!D6</f>
        <v>174135.04000000001</v>
      </c>
      <c r="C6" s="255">
        <v>280895.78000000003</v>
      </c>
      <c r="D6" s="197">
        <v>202762.61</v>
      </c>
      <c r="E6" s="197">
        <v>376897.65</v>
      </c>
      <c r="F6" s="162">
        <f t="shared" si="0"/>
        <v>-0.27815715138191122</v>
      </c>
      <c r="G6" s="154">
        <f t="shared" ref="G6:G19" si="3">IFERROR((SUM(D6-B6)/B6),0)</f>
        <v>0.16439867587821483</v>
      </c>
      <c r="H6" s="149">
        <v>700</v>
      </c>
      <c r="I6" s="256">
        <f t="shared" ref="I6:I19" si="4">IFERROR(D6/H6,0)</f>
        <v>289.6608714285714</v>
      </c>
      <c r="J6" s="125">
        <v>62</v>
      </c>
      <c r="K6" s="126">
        <f t="shared" si="1"/>
        <v>8.8571428571428565E-2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</f>
        <v>866</v>
      </c>
      <c r="M6" s="171">
        <f t="shared" si="2"/>
        <v>1.2371428571428571</v>
      </c>
      <c r="N6" s="259">
        <v>44473.17</v>
      </c>
      <c r="O6" s="128">
        <f t="shared" ref="O6:O19" si="5">SUM(N6/D6)</f>
        <v>0.21933614880968438</v>
      </c>
      <c r="P6" s="260">
        <v>910.35</v>
      </c>
      <c r="Q6" s="128">
        <f t="shared" ref="Q6:Q19" si="6">SUM(P6/D6)</f>
        <v>4.4897330923092775E-3</v>
      </c>
      <c r="R6" s="129">
        <v>6422</v>
      </c>
      <c r="S6" s="26"/>
    </row>
    <row r="7" spans="1:22" ht="15.6" customHeight="1" x14ac:dyDescent="0.3">
      <c r="A7" s="409" t="s">
        <v>16</v>
      </c>
      <c r="B7" s="200">
        <f>'1 - 7 Feb 2021'!D7</f>
        <v>142494.72</v>
      </c>
      <c r="C7" s="73">
        <v>224075.5</v>
      </c>
      <c r="D7" s="145">
        <v>178474.03</v>
      </c>
      <c r="E7" s="145">
        <v>320968.75</v>
      </c>
      <c r="F7" s="163">
        <f t="shared" si="0"/>
        <v>-0.20350939750218119</v>
      </c>
      <c r="G7" s="155">
        <f t="shared" si="3"/>
        <v>0.25249574159660088</v>
      </c>
      <c r="H7" s="150">
        <v>647</v>
      </c>
      <c r="I7" s="63">
        <f t="shared" si="4"/>
        <v>275.84857805255024</v>
      </c>
      <c r="J7" s="61">
        <v>49</v>
      </c>
      <c r="K7" s="28">
        <f t="shared" si="1"/>
        <v>7.5734157650695522E-2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</f>
        <v>1009</v>
      </c>
      <c r="M7" s="172">
        <f t="shared" si="2"/>
        <v>1.5595054095826892</v>
      </c>
      <c r="N7" s="260">
        <v>16871.23</v>
      </c>
      <c r="O7" s="89">
        <f t="shared" si="5"/>
        <v>9.4530447931276046E-2</v>
      </c>
      <c r="P7" s="260">
        <v>13392.17</v>
      </c>
      <c r="Q7" s="89">
        <f t="shared" si="6"/>
        <v>7.5037079624413708E-2</v>
      </c>
      <c r="R7" s="130">
        <v>7990.2</v>
      </c>
      <c r="S7" s="26"/>
    </row>
    <row r="8" spans="1:22" ht="15.6" customHeight="1" x14ac:dyDescent="0.3">
      <c r="A8" s="409" t="s">
        <v>17</v>
      </c>
      <c r="B8" s="200">
        <f>'1 - 7 Feb 2021'!D8</f>
        <v>83932.42</v>
      </c>
      <c r="C8" s="73">
        <v>133786.9</v>
      </c>
      <c r="D8" s="145">
        <v>110711.03999999999</v>
      </c>
      <c r="E8" s="145">
        <v>194643.46</v>
      </c>
      <c r="F8" s="163">
        <f t="shared" si="0"/>
        <v>-0.17248220864673597</v>
      </c>
      <c r="G8" s="155">
        <f t="shared" si="3"/>
        <v>0.31904977838122617</v>
      </c>
      <c r="H8" s="150">
        <v>417</v>
      </c>
      <c r="I8" s="63">
        <f t="shared" si="4"/>
        <v>265.49410071942447</v>
      </c>
      <c r="J8" s="61">
        <v>34</v>
      </c>
      <c r="K8" s="28">
        <f t="shared" si="1"/>
        <v>8.1534772182254203E-2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</f>
        <v>532</v>
      </c>
      <c r="M8" s="172">
        <f t="shared" si="2"/>
        <v>1.275779376498801</v>
      </c>
      <c r="N8" s="260">
        <v>30057.95</v>
      </c>
      <c r="O8" s="89">
        <f t="shared" si="5"/>
        <v>0.27149912059357406</v>
      </c>
      <c r="P8" s="260">
        <v>15087.35</v>
      </c>
      <c r="Q8" s="89">
        <f t="shared" si="6"/>
        <v>0.13627683381892178</v>
      </c>
      <c r="R8" s="130">
        <v>2249.8000000000002</v>
      </c>
      <c r="S8" s="26"/>
    </row>
    <row r="9" spans="1:22" ht="15.6" customHeight="1" x14ac:dyDescent="0.3">
      <c r="A9" s="409" t="s">
        <v>18</v>
      </c>
      <c r="B9" s="200">
        <f>'1 - 7 Feb 2021'!D9</f>
        <v>179928.28</v>
      </c>
      <c r="C9" s="73">
        <v>0</v>
      </c>
      <c r="D9" s="145">
        <v>198799.16</v>
      </c>
      <c r="E9" s="145">
        <v>378727.44</v>
      </c>
      <c r="F9" s="163">
        <f t="shared" si="0"/>
        <v>0</v>
      </c>
      <c r="G9" s="155">
        <f t="shared" si="3"/>
        <v>0.10488001107997033</v>
      </c>
      <c r="H9" s="150">
        <v>776</v>
      </c>
      <c r="I9" s="63">
        <f t="shared" si="4"/>
        <v>256.18448453608249</v>
      </c>
      <c r="J9" s="61">
        <v>63</v>
      </c>
      <c r="K9" s="28">
        <f t="shared" si="1"/>
        <v>8.1185567010309281E-2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</f>
        <v>982</v>
      </c>
      <c r="M9" s="172">
        <f t="shared" si="2"/>
        <v>1.2654639175257731</v>
      </c>
      <c r="N9" s="260">
        <v>18117.39</v>
      </c>
      <c r="O9" s="89">
        <f t="shared" si="5"/>
        <v>9.113413758891134E-2</v>
      </c>
      <c r="P9" s="260">
        <v>12682.91</v>
      </c>
      <c r="Q9" s="89">
        <f t="shared" si="6"/>
        <v>6.3797603571363173E-2</v>
      </c>
      <c r="R9" s="130">
        <v>8770.9</v>
      </c>
      <c r="S9" s="26"/>
    </row>
    <row r="10" spans="1:22" ht="15.6" customHeight="1" x14ac:dyDescent="0.3">
      <c r="A10" s="411" t="s">
        <v>20</v>
      </c>
      <c r="B10" s="200">
        <f>'1 - 7 Feb 2021'!D10</f>
        <v>109234.04</v>
      </c>
      <c r="C10" s="73">
        <v>182605.54</v>
      </c>
      <c r="D10" s="145">
        <v>135409.76999999999</v>
      </c>
      <c r="E10" s="145">
        <v>244643.81</v>
      </c>
      <c r="F10" s="163">
        <f t="shared" si="0"/>
        <v>-0.2584574925820981</v>
      </c>
      <c r="G10" s="155">
        <f t="shared" si="3"/>
        <v>0.23962978939532034</v>
      </c>
      <c r="H10" s="150">
        <v>471</v>
      </c>
      <c r="I10" s="63">
        <f t="shared" si="4"/>
        <v>287.49420382165601</v>
      </c>
      <c r="J10" s="61">
        <v>53</v>
      </c>
      <c r="K10" s="28">
        <f t="shared" si="1"/>
        <v>0.11252653927813164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</f>
        <v>761</v>
      </c>
      <c r="M10" s="172">
        <f t="shared" si="2"/>
        <v>1.6157112526539279</v>
      </c>
      <c r="N10" s="260">
        <v>24877.9</v>
      </c>
      <c r="O10" s="89">
        <f t="shared" si="5"/>
        <v>0.18372307995205961</v>
      </c>
      <c r="P10" s="260">
        <v>17433.3</v>
      </c>
      <c r="Q10" s="89">
        <f t="shared" si="6"/>
        <v>0.12874477225683198</v>
      </c>
      <c r="R10" s="130">
        <v>6770.4</v>
      </c>
      <c r="S10" s="26"/>
    </row>
    <row r="11" spans="1:22" ht="15.6" customHeight="1" x14ac:dyDescent="0.3">
      <c r="A11" s="409" t="s">
        <v>21</v>
      </c>
      <c r="B11" s="200">
        <f>'1 - 7 Feb 2021'!D11</f>
        <v>253363.15</v>
      </c>
      <c r="C11" s="73">
        <v>308009.71999999997</v>
      </c>
      <c r="D11" s="145">
        <v>261595.82</v>
      </c>
      <c r="E11" s="145">
        <v>514958.97</v>
      </c>
      <c r="F11" s="163">
        <f t="shared" si="0"/>
        <v>-0.15068972498660096</v>
      </c>
      <c r="G11" s="155">
        <f t="shared" si="3"/>
        <v>3.2493557172777542E-2</v>
      </c>
      <c r="H11" s="150">
        <v>1002</v>
      </c>
      <c r="I11" s="63">
        <f t="shared" si="4"/>
        <v>261.07367265469065</v>
      </c>
      <c r="J11" s="61">
        <v>83</v>
      </c>
      <c r="K11" s="28">
        <f t="shared" si="1"/>
        <v>8.2834331337325345E-2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</f>
        <v>924</v>
      </c>
      <c r="M11" s="172">
        <f t="shared" si="2"/>
        <v>0.92215568862275454</v>
      </c>
      <c r="N11" s="260">
        <v>40146.25</v>
      </c>
      <c r="O11" s="89">
        <f t="shared" si="5"/>
        <v>0.15346671059193528</v>
      </c>
      <c r="P11" s="260">
        <v>23541.83</v>
      </c>
      <c r="Q11" s="89">
        <f t="shared" si="6"/>
        <v>8.9993142856793357E-2</v>
      </c>
      <c r="R11" s="130">
        <v>11362.4</v>
      </c>
      <c r="S11" s="26"/>
    </row>
    <row r="12" spans="1:22" ht="15.6" customHeight="1" x14ac:dyDescent="0.3">
      <c r="A12" s="198" t="s">
        <v>22</v>
      </c>
      <c r="B12" s="200">
        <f>'1 - 7 Feb 2021'!D12</f>
        <v>94925.62</v>
      </c>
      <c r="C12" s="73">
        <v>160405.70000000001</v>
      </c>
      <c r="D12" s="145">
        <v>91358.63</v>
      </c>
      <c r="E12" s="145">
        <v>186284.25</v>
      </c>
      <c r="F12" s="163">
        <f t="shared" si="0"/>
        <v>-0.43045272081977137</v>
      </c>
      <c r="G12" s="155">
        <f t="shared" si="3"/>
        <v>-3.7576683723529972E-2</v>
      </c>
      <c r="H12" s="150">
        <v>400</v>
      </c>
      <c r="I12" s="63">
        <f t="shared" si="4"/>
        <v>228.39657500000001</v>
      </c>
      <c r="J12" s="61">
        <v>33</v>
      </c>
      <c r="K12" s="28">
        <f t="shared" si="1"/>
        <v>8.2500000000000004E-2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</f>
        <v>388</v>
      </c>
      <c r="M12" s="172">
        <f t="shared" si="2"/>
        <v>0.97</v>
      </c>
      <c r="N12" s="260">
        <v>15644.35</v>
      </c>
      <c r="O12" s="89">
        <f t="shared" si="5"/>
        <v>0.17124107487163501</v>
      </c>
      <c r="P12" s="260">
        <v>6590.22</v>
      </c>
      <c r="Q12" s="89">
        <f t="shared" si="6"/>
        <v>7.2135713944046664E-2</v>
      </c>
      <c r="R12" s="130">
        <v>6680.5</v>
      </c>
      <c r="S12" s="26"/>
    </row>
    <row r="13" spans="1:22" ht="15.6" customHeight="1" x14ac:dyDescent="0.3">
      <c r="A13" s="198" t="s">
        <v>23</v>
      </c>
      <c r="B13" s="200">
        <f>'1 - 7 Feb 2021'!D13</f>
        <v>172280.88</v>
      </c>
      <c r="C13" s="73">
        <v>212599.32</v>
      </c>
      <c r="D13" s="145">
        <v>177641.09</v>
      </c>
      <c r="E13" s="145">
        <v>349921.97</v>
      </c>
      <c r="F13" s="163">
        <f t="shared" si="0"/>
        <v>-0.1644324638479559</v>
      </c>
      <c r="G13" s="155">
        <f t="shared" si="3"/>
        <v>3.1113203043773584E-2</v>
      </c>
      <c r="H13" s="150">
        <v>672</v>
      </c>
      <c r="I13" s="63">
        <f t="shared" si="4"/>
        <v>264.34686011904762</v>
      </c>
      <c r="J13" s="61">
        <v>65</v>
      </c>
      <c r="K13" s="28">
        <f t="shared" si="1"/>
        <v>9.6726190476190479E-2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</f>
        <v>745</v>
      </c>
      <c r="M13" s="172">
        <f t="shared" si="2"/>
        <v>1.1086309523809523</v>
      </c>
      <c r="N13" s="260">
        <v>27144.48</v>
      </c>
      <c r="O13" s="89">
        <f t="shared" si="5"/>
        <v>0.15280518713322463</v>
      </c>
      <c r="P13" s="260">
        <v>19981.689999999999</v>
      </c>
      <c r="Q13" s="89">
        <f t="shared" si="6"/>
        <v>0.1124834912913448</v>
      </c>
      <c r="R13" s="130">
        <v>2945</v>
      </c>
      <c r="S13" s="26"/>
    </row>
    <row r="14" spans="1:22" ht="15.6" hidden="1" customHeight="1" x14ac:dyDescent="0.3">
      <c r="A14" s="198" t="s">
        <v>24</v>
      </c>
      <c r="B14" s="200">
        <f>'1 - 7 Feb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'1 - 7 Feb 2021'!D15</f>
        <v>160228.96</v>
      </c>
      <c r="C15" s="73">
        <v>209317.26</v>
      </c>
      <c r="D15" s="145">
        <v>182308.79</v>
      </c>
      <c r="E15" s="145">
        <v>342537.75</v>
      </c>
      <c r="F15" s="163">
        <f t="shared" si="0"/>
        <v>-0.12903126096720358</v>
      </c>
      <c r="G15" s="155">
        <f t="shared" si="3"/>
        <v>0.13780174320547309</v>
      </c>
      <c r="H15" s="150">
        <v>645</v>
      </c>
      <c r="I15" s="63">
        <f t="shared" si="4"/>
        <v>282.64928682170546</v>
      </c>
      <c r="J15" s="61">
        <v>48</v>
      </c>
      <c r="K15" s="28">
        <f t="shared" si="1"/>
        <v>7.441860465116279E-2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</f>
        <v>731</v>
      </c>
      <c r="M15" s="172">
        <f t="shared" si="2"/>
        <v>1.1333333333333333</v>
      </c>
      <c r="N15" s="260">
        <v>0</v>
      </c>
      <c r="O15" s="89">
        <f t="shared" si="5"/>
        <v>0</v>
      </c>
      <c r="P15" s="260">
        <v>14100.87</v>
      </c>
      <c r="Q15" s="89">
        <f t="shared" si="6"/>
        <v>7.7346078595552092E-2</v>
      </c>
      <c r="R15" s="130">
        <v>3573.2</v>
      </c>
      <c r="S15" s="9"/>
    </row>
    <row r="16" spans="1:22" ht="15.6" customHeight="1" x14ac:dyDescent="0.3">
      <c r="A16" s="198" t="s">
        <v>27</v>
      </c>
      <c r="B16" s="200">
        <f>'1 - 7 Feb 2021'!D16</f>
        <v>103278.04</v>
      </c>
      <c r="C16" s="73">
        <v>180239.49</v>
      </c>
      <c r="D16" s="145">
        <v>129098.68</v>
      </c>
      <c r="E16" s="145">
        <v>232376.72</v>
      </c>
      <c r="F16" s="163">
        <f t="shared" si="0"/>
        <v>-0.28373809757229118</v>
      </c>
      <c r="G16" s="155">
        <f t="shared" si="3"/>
        <v>0.25001094133854596</v>
      </c>
      <c r="H16" s="150">
        <v>494</v>
      </c>
      <c r="I16" s="63">
        <f t="shared" si="4"/>
        <v>261.33336032388661</v>
      </c>
      <c r="J16" s="61">
        <v>39</v>
      </c>
      <c r="K16" s="28">
        <f t="shared" si="1"/>
        <v>7.8947368421052627E-2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</f>
        <v>568</v>
      </c>
      <c r="M16" s="172">
        <f t="shared" si="2"/>
        <v>1.1497975708502024</v>
      </c>
      <c r="N16" s="260">
        <v>18802.3</v>
      </c>
      <c r="O16" s="89">
        <f t="shared" si="5"/>
        <v>0.14564285242885519</v>
      </c>
      <c r="P16" s="260">
        <v>16247.95</v>
      </c>
      <c r="Q16" s="89">
        <f t="shared" si="6"/>
        <v>0.12585682518210103</v>
      </c>
      <c r="R16" s="130">
        <v>5813</v>
      </c>
      <c r="S16" s="9"/>
      <c r="V16" s="238"/>
    </row>
    <row r="17" spans="1:19" ht="15.6" customHeight="1" x14ac:dyDescent="0.3">
      <c r="A17" s="251" t="s">
        <v>28</v>
      </c>
      <c r="B17" s="200">
        <f>'1 - 7 Feb 2021'!D17</f>
        <v>153397.76000000001</v>
      </c>
      <c r="C17" s="73">
        <v>209714.26</v>
      </c>
      <c r="D17" s="145">
        <v>160471.09</v>
      </c>
      <c r="E17" s="145">
        <v>313868.84999999998</v>
      </c>
      <c r="F17" s="163">
        <f t="shared" si="0"/>
        <v>-0.23481078492230337</v>
      </c>
      <c r="G17" s="155">
        <f t="shared" si="3"/>
        <v>4.6111038388044173E-2</v>
      </c>
      <c r="H17" s="150">
        <v>630</v>
      </c>
      <c r="I17" s="63">
        <f t="shared" si="4"/>
        <v>254.71601587301586</v>
      </c>
      <c r="J17" s="61">
        <v>48</v>
      </c>
      <c r="K17" s="28">
        <f t="shared" si="1"/>
        <v>7.6190476190476197E-2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</f>
        <v>678</v>
      </c>
      <c r="M17" s="172">
        <f t="shared" si="2"/>
        <v>1.0761904761904761</v>
      </c>
      <c r="N17" s="260">
        <v>39632.26</v>
      </c>
      <c r="O17" s="89">
        <f t="shared" si="5"/>
        <v>0.24697445502488954</v>
      </c>
      <c r="P17" s="260">
        <v>5705.13</v>
      </c>
      <c r="Q17" s="89">
        <f t="shared" si="6"/>
        <v>3.5552385167945205E-2</v>
      </c>
      <c r="R17" s="130">
        <v>2829.45</v>
      </c>
      <c r="S17" s="9"/>
    </row>
    <row r="18" spans="1:19" ht="15.6" customHeight="1" x14ac:dyDescent="0.3">
      <c r="A18" s="198" t="s">
        <v>33</v>
      </c>
      <c r="B18" s="200">
        <f>'1 - 7 Feb 2021'!D18</f>
        <v>144117.34</v>
      </c>
      <c r="C18" s="73">
        <v>175278.96</v>
      </c>
      <c r="D18" s="145">
        <v>158619.59</v>
      </c>
      <c r="E18" s="145">
        <v>302736.93</v>
      </c>
      <c r="F18" s="163">
        <f t="shared" si="0"/>
        <v>-9.5044893009406245E-2</v>
      </c>
      <c r="G18" s="155">
        <f t="shared" si="3"/>
        <v>0.10062807154225856</v>
      </c>
      <c r="H18" s="150">
        <v>604</v>
      </c>
      <c r="I18" s="258">
        <f t="shared" si="4"/>
        <v>262.61521523178806</v>
      </c>
      <c r="J18" s="61">
        <v>41</v>
      </c>
      <c r="K18" s="28">
        <f t="shared" si="1"/>
        <v>6.7880794701986755E-2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</f>
        <v>650</v>
      </c>
      <c r="M18" s="172">
        <f t="shared" si="2"/>
        <v>1.076158940397351</v>
      </c>
      <c r="N18" s="260">
        <v>19819.25</v>
      </c>
      <c r="O18" s="89">
        <f t="shared" si="5"/>
        <v>0.12494831186992729</v>
      </c>
      <c r="P18" s="260">
        <v>16149.78</v>
      </c>
      <c r="Q18" s="89">
        <f t="shared" si="6"/>
        <v>0.10181453627512214</v>
      </c>
      <c r="R18" s="130">
        <v>5137.3500000000004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70" priority="10" operator="equal">
      <formula>0</formula>
    </cfRule>
  </conditionalFormatting>
  <conditionalFormatting sqref="D7:E19">
    <cfRule type="cellIs" dxfId="369" priority="2" operator="equal">
      <formula>0</formula>
    </cfRule>
  </conditionalFormatting>
  <conditionalFormatting sqref="F6:R19">
    <cfRule type="cellIs" dxfId="36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V41"/>
  <sheetViews>
    <sheetView zoomScale="70" zoomScaleNormal="70" workbookViewId="0">
      <pane xSplit="1" topLeftCell="B1" activePane="topRight" state="frozen"/>
      <selection pane="topRight" activeCell="D16" sqref="D16:D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-0.14723733419873625</v>
      </c>
      <c r="G2" s="400">
        <f>(((D4-D19-B19)-B4)/D4)</f>
        <v>-0.140705334580807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1987250.3000000003</v>
      </c>
      <c r="C4" s="135">
        <f>SUM(C6:C19)-C14-C19</f>
        <v>2042917.9300000002</v>
      </c>
      <c r="D4" s="142">
        <f>SUM(D6:D19)-D19</f>
        <v>1742124.1399999997</v>
      </c>
      <c r="E4" s="142">
        <f>SUM(E6:E19)-E19</f>
        <v>5500690.6899999995</v>
      </c>
      <c r="F4" s="217">
        <f t="shared" ref="F4:F19" si="0">IFERROR((SUM(D4-C4)/C4),0)</f>
        <v>-0.14723733419873625</v>
      </c>
      <c r="G4" s="217">
        <f>IFERROR((SUM(D4-B4)/D4),0)</f>
        <v>-0.140705334580807</v>
      </c>
      <c r="H4" s="147">
        <f>SUM(H6:H19)</f>
        <v>6711</v>
      </c>
      <c r="I4" s="218">
        <f>AVERAGE(I5:I19)</f>
        <v>222.29750115776935</v>
      </c>
      <c r="J4" s="219">
        <f>SUM(J6:J19)</f>
        <v>562</v>
      </c>
      <c r="K4" s="220">
        <f t="shared" ref="K4:K19" si="1">IFERROR(J4/H4,0)</f>
        <v>8.3743108329608101E-2</v>
      </c>
      <c r="L4" s="221">
        <f>SUM(L6:L19)</f>
        <v>9396</v>
      </c>
      <c r="M4" s="222">
        <f t="shared" ref="M4:M19" si="2">IFERROR(L4/SUM(H4),0)</f>
        <v>1.4000894054537327</v>
      </c>
      <c r="N4" s="249">
        <f>SUM(N6:N19)</f>
        <v>283978.15999999997</v>
      </c>
      <c r="O4" s="222">
        <f>SUM(N4/D4)</f>
        <v>0.16300684519531428</v>
      </c>
      <c r="P4" s="244">
        <f>SUM(P6:P19)</f>
        <v>146971.4</v>
      </c>
      <c r="Q4" s="222">
        <f>SUM(P4/D4)</f>
        <v>8.4363333602621465E-2</v>
      </c>
      <c r="R4" s="257">
        <f>SUM(R6:R19)</f>
        <v>67697.05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'8 - 14 Feb 2021'!D6</f>
        <v>202762.61</v>
      </c>
      <c r="C6" s="255">
        <v>222785.95</v>
      </c>
      <c r="D6" s="197">
        <v>165200.45000000001</v>
      </c>
      <c r="E6" s="197">
        <v>542098.1</v>
      </c>
      <c r="F6" s="162">
        <f t="shared" si="0"/>
        <v>-0.2584790468160133</v>
      </c>
      <c r="G6" s="154">
        <f t="shared" ref="G6:G19" si="3">IFERROR((SUM(D6-B6)/B6),0)</f>
        <v>-0.18525190615764897</v>
      </c>
      <c r="H6" s="149">
        <v>567</v>
      </c>
      <c r="I6" s="256">
        <f t="shared" ref="I6:I19" si="4">IFERROR(D6/H6,0)</f>
        <v>291.35881834215172</v>
      </c>
      <c r="J6" s="125">
        <v>79</v>
      </c>
      <c r="K6" s="126">
        <f t="shared" si="1"/>
        <v>0.13932980599647266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</f>
        <v>945</v>
      </c>
      <c r="M6" s="171">
        <f t="shared" si="2"/>
        <v>1.6666666666666667</v>
      </c>
      <c r="N6" s="259">
        <v>45175.22</v>
      </c>
      <c r="O6" s="128">
        <f t="shared" ref="O6:O19" si="5">SUM(N6/D6)</f>
        <v>0.27345700329508787</v>
      </c>
      <c r="P6" s="260">
        <v>2808.35</v>
      </c>
      <c r="Q6" s="128">
        <f t="shared" ref="Q6:Q19" si="6">SUM(P6/D6)</f>
        <v>1.6999651030006273E-2</v>
      </c>
      <c r="R6" s="129">
        <v>7815</v>
      </c>
      <c r="S6" s="26"/>
    </row>
    <row r="7" spans="1:22" ht="15.6" customHeight="1" x14ac:dyDescent="0.3">
      <c r="A7" s="409" t="s">
        <v>16</v>
      </c>
      <c r="B7" s="200">
        <f>'8 - 14 Feb 2021'!D7</f>
        <v>178474.03</v>
      </c>
      <c r="C7" s="73">
        <v>232321.08</v>
      </c>
      <c r="D7" s="145">
        <v>184331.41</v>
      </c>
      <c r="E7" s="145">
        <v>505300.16</v>
      </c>
      <c r="F7" s="163">
        <f t="shared" si="0"/>
        <v>-0.20656614543975083</v>
      </c>
      <c r="G7" s="155">
        <f t="shared" si="3"/>
        <v>3.2819228657525158E-2</v>
      </c>
      <c r="H7" s="150">
        <v>598</v>
      </c>
      <c r="I7" s="63">
        <f t="shared" si="4"/>
        <v>308.24650501672244</v>
      </c>
      <c r="J7" s="61">
        <v>41</v>
      </c>
      <c r="K7" s="28">
        <f t="shared" si="1"/>
        <v>6.8561872909698993E-2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</f>
        <v>1050</v>
      </c>
      <c r="M7" s="172">
        <f t="shared" si="2"/>
        <v>1.7558528428093645</v>
      </c>
      <c r="N7" s="260">
        <v>14020.09</v>
      </c>
      <c r="O7" s="89">
        <f t="shared" si="5"/>
        <v>7.6059148031255228E-2</v>
      </c>
      <c r="P7" s="260">
        <v>9672.17</v>
      </c>
      <c r="Q7" s="89">
        <f t="shared" si="6"/>
        <v>5.2471632479781934E-2</v>
      </c>
      <c r="R7" s="130">
        <v>8864.15</v>
      </c>
      <c r="S7" s="26"/>
    </row>
    <row r="8" spans="1:22" ht="15.6" customHeight="1" x14ac:dyDescent="0.3">
      <c r="A8" s="409" t="s">
        <v>17</v>
      </c>
      <c r="B8" s="200">
        <f>'8 - 14 Feb 2021'!D8</f>
        <v>110711.03999999999</v>
      </c>
      <c r="C8" s="73">
        <v>89875.17</v>
      </c>
      <c r="D8" s="145">
        <v>98951.05</v>
      </c>
      <c r="E8" s="145">
        <v>293594.51</v>
      </c>
      <c r="F8" s="163">
        <f t="shared" si="0"/>
        <v>0.10098317477452343</v>
      </c>
      <c r="G8" s="155">
        <f t="shared" si="3"/>
        <v>-0.1062223785450845</v>
      </c>
      <c r="H8" s="150">
        <v>388</v>
      </c>
      <c r="I8" s="63">
        <f t="shared" si="4"/>
        <v>255.0284793814433</v>
      </c>
      <c r="J8" s="61">
        <v>40</v>
      </c>
      <c r="K8" s="28">
        <f t="shared" si="1"/>
        <v>0.10309278350515463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</f>
        <v>572</v>
      </c>
      <c r="M8" s="172">
        <f t="shared" si="2"/>
        <v>1.4742268041237114</v>
      </c>
      <c r="N8" s="260">
        <v>32574.59</v>
      </c>
      <c r="O8" s="89">
        <f t="shared" si="5"/>
        <v>0.32919903325937422</v>
      </c>
      <c r="P8" s="260">
        <v>9733.2999999999993</v>
      </c>
      <c r="Q8" s="89">
        <f t="shared" si="6"/>
        <v>9.8364797543836063E-2</v>
      </c>
      <c r="R8" s="130">
        <v>2858</v>
      </c>
      <c r="S8" s="26"/>
    </row>
    <row r="9" spans="1:22" ht="15.6" customHeight="1" x14ac:dyDescent="0.3">
      <c r="A9" s="409" t="s">
        <v>18</v>
      </c>
      <c r="B9" s="200">
        <f>'8 - 14 Feb 2021'!D9</f>
        <v>198799.16</v>
      </c>
      <c r="C9" s="73">
        <v>0</v>
      </c>
      <c r="D9" s="145">
        <v>162718.67000000001</v>
      </c>
      <c r="E9" s="145">
        <v>541446.11</v>
      </c>
      <c r="F9" s="163">
        <f t="shared" si="0"/>
        <v>0</v>
      </c>
      <c r="G9" s="155">
        <f t="shared" si="3"/>
        <v>-0.18149216525864592</v>
      </c>
      <c r="H9" s="150">
        <v>669</v>
      </c>
      <c r="I9" s="63">
        <f t="shared" si="4"/>
        <v>243.22671150971601</v>
      </c>
      <c r="J9" s="61">
        <v>56</v>
      </c>
      <c r="K9" s="28">
        <f t="shared" si="1"/>
        <v>8.3707025411061287E-2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</f>
        <v>1038</v>
      </c>
      <c r="M9" s="172">
        <f t="shared" si="2"/>
        <v>1.5515695067264574</v>
      </c>
      <c r="N9" s="260">
        <v>14881.65</v>
      </c>
      <c r="O9" s="89">
        <f t="shared" si="5"/>
        <v>9.1456315369342678E-2</v>
      </c>
      <c r="P9" s="260">
        <v>10774.04</v>
      </c>
      <c r="Q9" s="89">
        <f t="shared" si="6"/>
        <v>6.621268475215536E-2</v>
      </c>
      <c r="R9" s="130">
        <v>9068</v>
      </c>
      <c r="S9" s="26"/>
    </row>
    <row r="10" spans="1:22" ht="15.6" customHeight="1" x14ac:dyDescent="0.3">
      <c r="A10" s="411" t="s">
        <v>20</v>
      </c>
      <c r="B10" s="200">
        <f>'8 - 14 Feb 2021'!D10</f>
        <v>135409.76999999999</v>
      </c>
      <c r="C10" s="73">
        <v>172889.65</v>
      </c>
      <c r="D10" s="145">
        <v>122033.43</v>
      </c>
      <c r="E10" s="145">
        <v>366677.24</v>
      </c>
      <c r="F10" s="163">
        <f t="shared" si="0"/>
        <v>-0.29415421917969065</v>
      </c>
      <c r="G10" s="155">
        <f t="shared" si="3"/>
        <v>-9.8784157154982219E-2</v>
      </c>
      <c r="H10" s="150">
        <v>469</v>
      </c>
      <c r="I10" s="63">
        <f t="shared" si="4"/>
        <v>260.19921108742005</v>
      </c>
      <c r="J10" s="61">
        <v>56</v>
      </c>
      <c r="K10" s="28">
        <f t="shared" si="1"/>
        <v>0.11940298507462686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</f>
        <v>817</v>
      </c>
      <c r="M10" s="172">
        <f t="shared" si="2"/>
        <v>1.7420042643923241</v>
      </c>
      <c r="N10" s="260">
        <v>24767.77</v>
      </c>
      <c r="O10" s="89">
        <f t="shared" si="5"/>
        <v>0.20295889413253404</v>
      </c>
      <c r="P10" s="260">
        <v>15792.35</v>
      </c>
      <c r="Q10" s="89">
        <f t="shared" si="6"/>
        <v>0.12941003133321746</v>
      </c>
      <c r="R10" s="130">
        <v>4236.3999999999996</v>
      </c>
      <c r="S10" s="26"/>
    </row>
    <row r="11" spans="1:22" ht="15.6" customHeight="1" x14ac:dyDescent="0.3">
      <c r="A11" s="409" t="s">
        <v>21</v>
      </c>
      <c r="B11" s="200">
        <f>'8 - 14 Feb 2021'!D11</f>
        <v>261595.82</v>
      </c>
      <c r="C11" s="73">
        <v>295782.3</v>
      </c>
      <c r="D11" s="145">
        <v>221002.14</v>
      </c>
      <c r="E11" s="145">
        <v>735961.11</v>
      </c>
      <c r="F11" s="163">
        <f t="shared" si="0"/>
        <v>-0.25282161914353896</v>
      </c>
      <c r="G11" s="155">
        <f t="shared" si="3"/>
        <v>-0.15517709724872511</v>
      </c>
      <c r="H11" s="150">
        <v>877</v>
      </c>
      <c r="I11" s="63">
        <f t="shared" si="4"/>
        <v>251.99787913340936</v>
      </c>
      <c r="J11" s="61">
        <v>61</v>
      </c>
      <c r="K11" s="28">
        <f t="shared" si="1"/>
        <v>6.9555302166476624E-2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</f>
        <v>985</v>
      </c>
      <c r="M11" s="172">
        <f t="shared" si="2"/>
        <v>1.1231470923603193</v>
      </c>
      <c r="N11" s="260">
        <v>38122.22</v>
      </c>
      <c r="O11" s="89">
        <f t="shared" si="5"/>
        <v>0.1724970626981259</v>
      </c>
      <c r="P11" s="260">
        <v>20189.57</v>
      </c>
      <c r="Q11" s="89">
        <f t="shared" si="6"/>
        <v>9.1354635751490901E-2</v>
      </c>
      <c r="R11" s="130">
        <v>9517</v>
      </c>
      <c r="S11" s="26"/>
    </row>
    <row r="12" spans="1:22" ht="15.6" customHeight="1" x14ac:dyDescent="0.3">
      <c r="A12" s="198" t="s">
        <v>22</v>
      </c>
      <c r="B12" s="200">
        <f>'8 - 14 Feb 2021'!D12</f>
        <v>91358.63</v>
      </c>
      <c r="C12" s="73">
        <v>155166.48000000001</v>
      </c>
      <c r="D12" s="145">
        <v>88183.52</v>
      </c>
      <c r="E12" s="145">
        <v>274467.77</v>
      </c>
      <c r="F12" s="163">
        <f t="shared" si="0"/>
        <v>-0.43168447205865595</v>
      </c>
      <c r="G12" s="155">
        <f t="shared" si="3"/>
        <v>-3.47543521613667E-2</v>
      </c>
      <c r="H12" s="150">
        <v>368</v>
      </c>
      <c r="I12" s="63">
        <f t="shared" si="4"/>
        <v>239.62913043478261</v>
      </c>
      <c r="J12" s="61">
        <v>35</v>
      </c>
      <c r="K12" s="28">
        <f t="shared" si="1"/>
        <v>9.5108695652173919E-2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</f>
        <v>423</v>
      </c>
      <c r="M12" s="172">
        <f t="shared" si="2"/>
        <v>1.1494565217391304</v>
      </c>
      <c r="N12" s="260">
        <v>17750.96</v>
      </c>
      <c r="O12" s="89">
        <f t="shared" si="5"/>
        <v>0.2012956615930051</v>
      </c>
      <c r="P12" s="260">
        <v>5113.4799999999996</v>
      </c>
      <c r="Q12" s="89">
        <f t="shared" si="6"/>
        <v>5.7986798440343497E-2</v>
      </c>
      <c r="R12" s="130">
        <v>6714</v>
      </c>
      <c r="S12" s="26"/>
    </row>
    <row r="13" spans="1:22" ht="15.6" customHeight="1" x14ac:dyDescent="0.3">
      <c r="A13" s="198" t="s">
        <v>23</v>
      </c>
      <c r="B13" s="200">
        <f>'8 - 14 Feb 2021'!D13</f>
        <v>177641.09</v>
      </c>
      <c r="C13" s="73">
        <v>207016.53</v>
      </c>
      <c r="D13" s="145">
        <v>149010.01999999999</v>
      </c>
      <c r="E13" s="145">
        <v>498931.99</v>
      </c>
      <c r="F13" s="163">
        <f t="shared" si="0"/>
        <v>-0.28020231041453553</v>
      </c>
      <c r="G13" s="155">
        <f t="shared" si="3"/>
        <v>-0.1611736901636891</v>
      </c>
      <c r="H13" s="150">
        <v>627</v>
      </c>
      <c r="I13" s="63">
        <f t="shared" si="4"/>
        <v>237.65553429027111</v>
      </c>
      <c r="J13" s="61">
        <v>33</v>
      </c>
      <c r="K13" s="28">
        <f t="shared" si="1"/>
        <v>5.2631578947368418E-2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</f>
        <v>778</v>
      </c>
      <c r="M13" s="172">
        <f t="shared" si="2"/>
        <v>1.2408293460925039</v>
      </c>
      <c r="N13" s="260">
        <v>26042.39</v>
      </c>
      <c r="O13" s="89">
        <f t="shared" si="5"/>
        <v>0.17476938799149214</v>
      </c>
      <c r="P13" s="260">
        <v>16887.3</v>
      </c>
      <c r="Q13" s="89">
        <f t="shared" si="6"/>
        <v>0.11332996264278067</v>
      </c>
      <c r="R13" s="130">
        <v>1650</v>
      </c>
      <c r="S13" s="26"/>
    </row>
    <row r="14" spans="1:22" ht="15.6" hidden="1" customHeight="1" x14ac:dyDescent="0.3">
      <c r="A14" s="198" t="s">
        <v>24</v>
      </c>
      <c r="B14" s="200">
        <f>'8 - 14 Feb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'8 - 14 Feb 2021'!D15</f>
        <v>182308.79</v>
      </c>
      <c r="C15" s="73">
        <v>186665.69</v>
      </c>
      <c r="D15" s="145">
        <v>156007.67000000001</v>
      </c>
      <c r="E15" s="145">
        <v>498545.42</v>
      </c>
      <c r="F15" s="163">
        <f t="shared" si="0"/>
        <v>-0.16424025218560512</v>
      </c>
      <c r="G15" s="155">
        <f t="shared" si="3"/>
        <v>-0.14426687819056883</v>
      </c>
      <c r="H15" s="150">
        <v>544</v>
      </c>
      <c r="I15" s="63">
        <f t="shared" si="4"/>
        <v>286.77880514705885</v>
      </c>
      <c r="J15" s="61">
        <v>35</v>
      </c>
      <c r="K15" s="28">
        <f t="shared" si="1"/>
        <v>6.4338235294117641E-2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</f>
        <v>766</v>
      </c>
      <c r="M15" s="172">
        <f t="shared" si="2"/>
        <v>1.4080882352941178</v>
      </c>
      <c r="N15" s="260">
        <v>0</v>
      </c>
      <c r="O15" s="89">
        <f t="shared" si="5"/>
        <v>0</v>
      </c>
      <c r="P15" s="260">
        <v>17506.09</v>
      </c>
      <c r="Q15" s="89">
        <f t="shared" si="6"/>
        <v>0.11221300850144098</v>
      </c>
      <c r="R15" s="130">
        <v>4019.2</v>
      </c>
      <c r="S15" s="9"/>
    </row>
    <row r="16" spans="1:22" ht="15.6" customHeight="1" x14ac:dyDescent="0.3">
      <c r="A16" s="198" t="s">
        <v>27</v>
      </c>
      <c r="B16" s="200">
        <f>'8 - 14 Feb 2021'!D16</f>
        <v>129098.68</v>
      </c>
      <c r="C16" s="73">
        <v>120536.7</v>
      </c>
      <c r="D16" s="145">
        <v>102794.63</v>
      </c>
      <c r="E16" s="145">
        <v>335171.34999999998</v>
      </c>
      <c r="F16" s="163">
        <f t="shared" si="0"/>
        <v>-0.14719226592398824</v>
      </c>
      <c r="G16" s="155">
        <f t="shared" si="3"/>
        <v>-0.2037515023391408</v>
      </c>
      <c r="H16" s="150">
        <v>420</v>
      </c>
      <c r="I16" s="63">
        <f t="shared" si="4"/>
        <v>244.74911904761905</v>
      </c>
      <c r="J16" s="61">
        <v>50</v>
      </c>
      <c r="K16" s="28">
        <f t="shared" si="1"/>
        <v>0.11904761904761904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</f>
        <v>618</v>
      </c>
      <c r="M16" s="172">
        <f t="shared" si="2"/>
        <v>1.4714285714285715</v>
      </c>
      <c r="N16" s="260">
        <v>20373.22</v>
      </c>
      <c r="O16" s="89">
        <f t="shared" si="5"/>
        <v>0.1981934270301863</v>
      </c>
      <c r="P16" s="260">
        <v>13660.52</v>
      </c>
      <c r="Q16" s="89">
        <f t="shared" si="6"/>
        <v>0.13289137769161677</v>
      </c>
      <c r="R16" s="130">
        <v>5176</v>
      </c>
      <c r="S16" s="9"/>
      <c r="V16" s="238"/>
    </row>
    <row r="17" spans="1:19" ht="15.6" customHeight="1" x14ac:dyDescent="0.3">
      <c r="A17" s="251" t="s">
        <v>28</v>
      </c>
      <c r="B17" s="200">
        <f>'8 - 14 Feb 2021'!D17</f>
        <v>160471.09</v>
      </c>
      <c r="C17" s="73">
        <v>194445.82</v>
      </c>
      <c r="D17" s="145">
        <v>154232.44</v>
      </c>
      <c r="E17" s="145">
        <v>468101.29</v>
      </c>
      <c r="F17" s="163">
        <f t="shared" si="0"/>
        <v>-0.20681020553694598</v>
      </c>
      <c r="G17" s="155">
        <f t="shared" si="3"/>
        <v>-3.8877096179754211E-2</v>
      </c>
      <c r="H17" s="150">
        <v>630</v>
      </c>
      <c r="I17" s="63">
        <f t="shared" si="4"/>
        <v>244.81339682539684</v>
      </c>
      <c r="J17" s="61">
        <v>47</v>
      </c>
      <c r="K17" s="28">
        <f t="shared" si="1"/>
        <v>7.4603174603174602E-2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</f>
        <v>725</v>
      </c>
      <c r="M17" s="172">
        <f t="shared" si="2"/>
        <v>1.1507936507936507</v>
      </c>
      <c r="N17" s="260">
        <v>28045.09</v>
      </c>
      <c r="O17" s="89">
        <f t="shared" si="5"/>
        <v>0.18183651895800909</v>
      </c>
      <c r="P17" s="260">
        <v>10643.82</v>
      </c>
      <c r="Q17" s="89">
        <f t="shared" si="6"/>
        <v>6.9011551655410494E-2</v>
      </c>
      <c r="R17" s="130">
        <v>2729.3</v>
      </c>
      <c r="S17" s="9"/>
    </row>
    <row r="18" spans="1:19" ht="15.6" customHeight="1" x14ac:dyDescent="0.3">
      <c r="A18" s="198" t="s">
        <v>33</v>
      </c>
      <c r="B18" s="200">
        <f>'8 - 14 Feb 2021'!D18</f>
        <v>158619.59</v>
      </c>
      <c r="C18" s="73">
        <v>165432.56</v>
      </c>
      <c r="D18" s="145">
        <v>137658.71</v>
      </c>
      <c r="E18" s="145">
        <v>440395.64</v>
      </c>
      <c r="F18" s="163">
        <f t="shared" si="0"/>
        <v>-0.16788623714702841</v>
      </c>
      <c r="G18" s="155">
        <f t="shared" si="3"/>
        <v>-0.13214559437456624</v>
      </c>
      <c r="H18" s="150">
        <v>554</v>
      </c>
      <c r="I18" s="258">
        <f t="shared" si="4"/>
        <v>248.48142599277978</v>
      </c>
      <c r="J18" s="61">
        <v>29</v>
      </c>
      <c r="K18" s="28">
        <f t="shared" si="1"/>
        <v>5.2346570397111915E-2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</f>
        <v>679</v>
      </c>
      <c r="M18" s="172">
        <f t="shared" si="2"/>
        <v>1.2256317689530687</v>
      </c>
      <c r="N18" s="260">
        <v>22224.959999999999</v>
      </c>
      <c r="O18" s="89">
        <f t="shared" si="5"/>
        <v>0.16144971865565208</v>
      </c>
      <c r="P18" s="260">
        <v>14190.41</v>
      </c>
      <c r="Q18" s="89">
        <f t="shared" si="6"/>
        <v>0.103083996646489</v>
      </c>
      <c r="R18" s="130">
        <v>5050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67" priority="10" operator="equal">
      <formula>0</formula>
    </cfRule>
  </conditionalFormatting>
  <conditionalFormatting sqref="D7:E19">
    <cfRule type="cellIs" dxfId="366" priority="2" operator="equal">
      <formula>0</formula>
    </cfRule>
  </conditionalFormatting>
  <conditionalFormatting sqref="F6:R19">
    <cfRule type="cellIs" dxfId="36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V41"/>
  <sheetViews>
    <sheetView zoomScale="70" zoomScaleNormal="70" workbookViewId="0">
      <pane xSplit="1" topLeftCell="B1" activePane="topRight" state="frozen"/>
      <selection pane="topRight" activeCell="J13" sqref="J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-7.918719772393118E-2</v>
      </c>
      <c r="G2" s="400">
        <f>(((D4-D19-B19)-B4)/D4)</f>
        <v>0.12106537851545991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1742124.1399999997</v>
      </c>
      <c r="C4" s="135">
        <f>SUM(C6:C19)-C14-C19</f>
        <v>2152539.7399999998</v>
      </c>
      <c r="D4" s="142">
        <f>SUM(D6:D19)-D19</f>
        <v>1982086.1500000004</v>
      </c>
      <c r="E4" s="142">
        <f>SUM(E6:E19)-E19</f>
        <v>7482776.8399999999</v>
      </c>
      <c r="F4" s="217">
        <f t="shared" ref="F4:F19" si="0">IFERROR((SUM(D4-C4)/C4),0)</f>
        <v>-7.918719772393118E-2</v>
      </c>
      <c r="G4" s="217">
        <f>IFERROR((SUM(D4-B4)/D4),0)</f>
        <v>0.12106537851545991</v>
      </c>
      <c r="H4" s="147">
        <f>SUM(H6:H19)</f>
        <v>7356</v>
      </c>
      <c r="I4" s="218">
        <f>AVERAGE(I5:I19)</f>
        <v>230.3076187642267</v>
      </c>
      <c r="J4" s="219">
        <f>SUM(J6:J19)</f>
        <v>734</v>
      </c>
      <c r="K4" s="220">
        <f t="shared" ref="K4:K19" si="1">IFERROR(J4/H4,0)</f>
        <v>9.9782490483958666E-2</v>
      </c>
      <c r="L4" s="221">
        <f>SUM(L6:L19)</f>
        <v>10130</v>
      </c>
      <c r="M4" s="222">
        <f t="shared" ref="M4:M19" si="2">IFERROR(L4/SUM(H4),0)</f>
        <v>1.3771071234366503</v>
      </c>
      <c r="N4" s="249">
        <f>SUM(N6:N19)</f>
        <v>303026.83</v>
      </c>
      <c r="O4" s="222">
        <f>SUM(N4/D4)</f>
        <v>0.15288277454539498</v>
      </c>
      <c r="P4" s="244">
        <f>SUM(P6:P19)</f>
        <v>168286.72000000003</v>
      </c>
      <c r="Q4" s="222">
        <f>SUM(P4/D4)</f>
        <v>8.490383730293459E-2</v>
      </c>
      <c r="R4" s="257">
        <f>SUM(R6:R19)</f>
        <v>81999.33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'15 - 21 Feb 2021'!D6</f>
        <v>165200.45000000001</v>
      </c>
      <c r="C6" s="255">
        <v>230798.84</v>
      </c>
      <c r="D6" s="197">
        <v>196903.92</v>
      </c>
      <c r="E6" s="197">
        <v>739002.02</v>
      </c>
      <c r="F6" s="162">
        <f t="shared" si="0"/>
        <v>-0.14685914365947414</v>
      </c>
      <c r="G6" s="154">
        <f t="shared" ref="G6:G19" si="3">IFERROR((SUM(D6-B6)/B6),0)</f>
        <v>0.19190910194251892</v>
      </c>
      <c r="H6" s="149">
        <v>662</v>
      </c>
      <c r="I6" s="256">
        <f t="shared" ref="I6:I19" si="4">IFERROR(D6/H6,0)</f>
        <v>297.43794561933538</v>
      </c>
      <c r="J6" s="125">
        <v>56</v>
      </c>
      <c r="K6" s="126">
        <f t="shared" si="1"/>
        <v>8.4592145015105744E-2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</f>
        <v>1001</v>
      </c>
      <c r="M6" s="171">
        <f t="shared" si="2"/>
        <v>1.512084592145015</v>
      </c>
      <c r="N6" s="259">
        <v>50566.13</v>
      </c>
      <c r="O6" s="128">
        <f t="shared" ref="O6:O19" si="5">SUM(N6/D6)</f>
        <v>0.25680611132576736</v>
      </c>
      <c r="P6" s="260">
        <v>185</v>
      </c>
      <c r="Q6" s="128">
        <f t="shared" ref="Q6:Q19" si="6">SUM(P6/D6)</f>
        <v>9.3954452506582898E-4</v>
      </c>
      <c r="R6" s="129">
        <v>8944.7800000000007</v>
      </c>
      <c r="S6" s="26"/>
    </row>
    <row r="7" spans="1:22" ht="15.6" customHeight="1" x14ac:dyDescent="0.3">
      <c r="A7" s="409" t="s">
        <v>16</v>
      </c>
      <c r="B7" s="200">
        <f>'15 - 21 Feb 2021'!D7</f>
        <v>184331.41</v>
      </c>
      <c r="C7" s="73">
        <v>228520.15</v>
      </c>
      <c r="D7" s="145">
        <v>173960.86</v>
      </c>
      <c r="E7" s="145">
        <v>679261.02</v>
      </c>
      <c r="F7" s="163">
        <f t="shared" si="0"/>
        <v>-0.23875045592259592</v>
      </c>
      <c r="G7" s="155">
        <f t="shared" si="3"/>
        <v>-5.626035193893443E-2</v>
      </c>
      <c r="H7" s="150">
        <v>634</v>
      </c>
      <c r="I7" s="63">
        <f t="shared" si="4"/>
        <v>274.38621451104098</v>
      </c>
      <c r="J7" s="61">
        <v>46</v>
      </c>
      <c r="K7" s="28">
        <f t="shared" si="1"/>
        <v>7.2555205047318619E-2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</f>
        <v>1096</v>
      </c>
      <c r="M7" s="172">
        <f t="shared" si="2"/>
        <v>1.7287066246056781</v>
      </c>
      <c r="N7" s="260">
        <v>17309.57</v>
      </c>
      <c r="O7" s="89">
        <f t="shared" si="5"/>
        <v>9.950266973846876E-2</v>
      </c>
      <c r="P7" s="260">
        <v>11723.04</v>
      </c>
      <c r="Q7" s="89">
        <f t="shared" si="6"/>
        <v>6.738895174466257E-2</v>
      </c>
      <c r="R7" s="130">
        <v>7366.45</v>
      </c>
      <c r="S7" s="26"/>
    </row>
    <row r="8" spans="1:22" ht="15.6" customHeight="1" x14ac:dyDescent="0.3">
      <c r="A8" s="409" t="s">
        <v>17</v>
      </c>
      <c r="B8" s="200">
        <f>'15 - 21 Feb 2021'!D8</f>
        <v>98951.05</v>
      </c>
      <c r="C8" s="73">
        <v>118987.48</v>
      </c>
      <c r="D8" s="145">
        <v>111469.73</v>
      </c>
      <c r="E8" s="145">
        <v>405064.24</v>
      </c>
      <c r="F8" s="163">
        <f t="shared" si="0"/>
        <v>-6.3181017028010003E-2</v>
      </c>
      <c r="G8" s="155">
        <f t="shared" si="3"/>
        <v>0.12651386721010027</v>
      </c>
      <c r="H8" s="150">
        <v>432</v>
      </c>
      <c r="I8" s="63">
        <f t="shared" si="4"/>
        <v>258.03178240740738</v>
      </c>
      <c r="J8" s="61">
        <v>51</v>
      </c>
      <c r="K8" s="28">
        <f t="shared" si="1"/>
        <v>0.11805555555555555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</f>
        <v>623</v>
      </c>
      <c r="M8" s="172">
        <f t="shared" si="2"/>
        <v>1.4421296296296295</v>
      </c>
      <c r="N8" s="260">
        <v>33563.24</v>
      </c>
      <c r="O8" s="89">
        <f t="shared" si="5"/>
        <v>0.30109734723498477</v>
      </c>
      <c r="P8" s="260">
        <v>11781.91</v>
      </c>
      <c r="Q8" s="89">
        <f t="shared" si="6"/>
        <v>0.10569604860440587</v>
      </c>
      <c r="R8" s="130">
        <v>2092</v>
      </c>
      <c r="S8" s="26"/>
    </row>
    <row r="9" spans="1:22" ht="15.6" customHeight="1" x14ac:dyDescent="0.3">
      <c r="A9" s="409" t="s">
        <v>18</v>
      </c>
      <c r="B9" s="200">
        <f>'15 - 21 Feb 2021'!D9</f>
        <v>162718.67000000001</v>
      </c>
      <c r="C9" s="73">
        <v>0</v>
      </c>
      <c r="D9" s="145">
        <v>190614.69</v>
      </c>
      <c r="E9" s="145">
        <v>732060.8</v>
      </c>
      <c r="F9" s="163">
        <f t="shared" si="0"/>
        <v>0</v>
      </c>
      <c r="G9" s="155">
        <f t="shared" si="3"/>
        <v>0.17143711904724876</v>
      </c>
      <c r="H9" s="150">
        <v>732</v>
      </c>
      <c r="I9" s="63">
        <f t="shared" si="4"/>
        <v>260.40258196721311</v>
      </c>
      <c r="J9" s="61">
        <v>86</v>
      </c>
      <c r="K9" s="28">
        <f t="shared" si="1"/>
        <v>0.11748633879781421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</f>
        <v>1124</v>
      </c>
      <c r="M9" s="172">
        <f t="shared" si="2"/>
        <v>1.53551912568306</v>
      </c>
      <c r="N9" s="260">
        <v>16250.48</v>
      </c>
      <c r="O9" s="89">
        <f t="shared" si="5"/>
        <v>8.5253030603255175E-2</v>
      </c>
      <c r="P9" s="260">
        <v>13086.52</v>
      </c>
      <c r="Q9" s="89">
        <f t="shared" si="6"/>
        <v>6.8654309906544975E-2</v>
      </c>
      <c r="R9" s="130">
        <v>11567</v>
      </c>
      <c r="S9" s="26"/>
    </row>
    <row r="10" spans="1:22" ht="15.6" customHeight="1" x14ac:dyDescent="0.3">
      <c r="A10" s="411" t="s">
        <v>20</v>
      </c>
      <c r="B10" s="200">
        <f>'15 - 21 Feb 2021'!D10</f>
        <v>122033.43</v>
      </c>
      <c r="C10" s="73">
        <v>180376.85</v>
      </c>
      <c r="D10" s="145">
        <v>116160.61</v>
      </c>
      <c r="E10" s="145">
        <v>482837.85</v>
      </c>
      <c r="F10" s="163">
        <f t="shared" si="0"/>
        <v>-0.35601153917478878</v>
      </c>
      <c r="G10" s="155">
        <f t="shared" si="3"/>
        <v>-4.8124681900688956E-2</v>
      </c>
      <c r="H10" s="150">
        <v>445</v>
      </c>
      <c r="I10" s="63">
        <f t="shared" si="4"/>
        <v>261.03507865168541</v>
      </c>
      <c r="J10" s="61">
        <v>57</v>
      </c>
      <c r="K10" s="28">
        <f t="shared" si="1"/>
        <v>0.12808988764044943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</f>
        <v>874</v>
      </c>
      <c r="M10" s="172">
        <f t="shared" si="2"/>
        <v>1.9640449438202248</v>
      </c>
      <c r="N10" s="260">
        <v>20071.73</v>
      </c>
      <c r="O10" s="89">
        <f t="shared" si="5"/>
        <v>0.17279291146973144</v>
      </c>
      <c r="P10" s="260">
        <v>20631.650000000001</v>
      </c>
      <c r="Q10" s="89">
        <f t="shared" si="6"/>
        <v>0.17761313409080756</v>
      </c>
      <c r="R10" s="130">
        <v>4575</v>
      </c>
      <c r="S10" s="26"/>
    </row>
    <row r="11" spans="1:22" ht="15.6" customHeight="1" x14ac:dyDescent="0.3">
      <c r="A11" s="409" t="s">
        <v>21</v>
      </c>
      <c r="B11" s="200">
        <f>'15 - 21 Feb 2021'!D11</f>
        <v>221002.14</v>
      </c>
      <c r="C11" s="73">
        <v>300655.83</v>
      </c>
      <c r="D11" s="145">
        <v>254389.59</v>
      </c>
      <c r="E11" s="145">
        <v>990350.7</v>
      </c>
      <c r="F11" s="163">
        <f t="shared" si="0"/>
        <v>-0.15388439332774628</v>
      </c>
      <c r="G11" s="155">
        <f t="shared" si="3"/>
        <v>0.15107297151059251</v>
      </c>
      <c r="H11" s="150">
        <v>912</v>
      </c>
      <c r="I11" s="63">
        <f t="shared" si="4"/>
        <v>278.93595394736843</v>
      </c>
      <c r="J11" s="61">
        <v>80</v>
      </c>
      <c r="K11" s="28">
        <f t="shared" si="1"/>
        <v>8.771929824561403E-2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</f>
        <v>1065</v>
      </c>
      <c r="M11" s="172">
        <f t="shared" si="2"/>
        <v>1.1677631578947369</v>
      </c>
      <c r="N11" s="260">
        <v>34305.78</v>
      </c>
      <c r="O11" s="89">
        <f t="shared" si="5"/>
        <v>0.13485528240365496</v>
      </c>
      <c r="P11" s="260">
        <v>20423.13</v>
      </c>
      <c r="Q11" s="89">
        <f t="shared" si="6"/>
        <v>8.0282884217078229E-2</v>
      </c>
      <c r="R11" s="130">
        <v>13760.8</v>
      </c>
      <c r="S11" s="26"/>
    </row>
    <row r="12" spans="1:22" ht="15.6" customHeight="1" x14ac:dyDescent="0.3">
      <c r="A12" s="198" t="s">
        <v>22</v>
      </c>
      <c r="B12" s="200">
        <f>'15 - 21 Feb 2021'!D12</f>
        <v>88183.52</v>
      </c>
      <c r="C12" s="73">
        <v>152782.65</v>
      </c>
      <c r="D12" s="145">
        <v>107281.25</v>
      </c>
      <c r="E12" s="145">
        <v>381749.02</v>
      </c>
      <c r="F12" s="163">
        <f t="shared" si="0"/>
        <v>-0.29781784777263648</v>
      </c>
      <c r="G12" s="155">
        <f t="shared" si="3"/>
        <v>0.21656801633683931</v>
      </c>
      <c r="H12" s="150">
        <v>414</v>
      </c>
      <c r="I12" s="63">
        <f t="shared" si="4"/>
        <v>259.13345410628017</v>
      </c>
      <c r="J12" s="61">
        <v>58</v>
      </c>
      <c r="K12" s="28">
        <f t="shared" si="1"/>
        <v>0.14009661835748793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</f>
        <v>481</v>
      </c>
      <c r="M12" s="172">
        <f t="shared" si="2"/>
        <v>1.1618357487922706</v>
      </c>
      <c r="N12" s="260">
        <v>15685.22</v>
      </c>
      <c r="O12" s="89">
        <f t="shared" si="5"/>
        <v>0.14620653655694726</v>
      </c>
      <c r="P12" s="260">
        <v>9390.85</v>
      </c>
      <c r="Q12" s="89">
        <f t="shared" si="6"/>
        <v>8.7534867462860474E-2</v>
      </c>
      <c r="R12" s="130">
        <v>6698</v>
      </c>
      <c r="S12" s="26"/>
    </row>
    <row r="13" spans="1:22" ht="15.6" customHeight="1" x14ac:dyDescent="0.3">
      <c r="A13" s="198" t="s">
        <v>23</v>
      </c>
      <c r="B13" s="200">
        <f>'15 - 21 Feb 2021'!D13</f>
        <v>149010.01999999999</v>
      </c>
      <c r="C13" s="73">
        <v>243304.13</v>
      </c>
      <c r="D13" s="145">
        <v>205505.59</v>
      </c>
      <c r="E13" s="145">
        <v>704437.58</v>
      </c>
      <c r="F13" s="163">
        <f t="shared" si="0"/>
        <v>-0.15535511049483627</v>
      </c>
      <c r="G13" s="155">
        <f t="shared" si="3"/>
        <v>0.37913940284015807</v>
      </c>
      <c r="H13" s="150">
        <v>769</v>
      </c>
      <c r="I13" s="63">
        <f t="shared" si="4"/>
        <v>267.23743823146941</v>
      </c>
      <c r="J13" s="61">
        <v>64</v>
      </c>
      <c r="K13" s="28">
        <f t="shared" si="1"/>
        <v>8.3224967490247076E-2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</f>
        <v>842</v>
      </c>
      <c r="M13" s="172">
        <f t="shared" si="2"/>
        <v>1.0949284785435631</v>
      </c>
      <c r="N13" s="260">
        <v>32826.300000000003</v>
      </c>
      <c r="O13" s="89">
        <f t="shared" si="5"/>
        <v>0.159734341046392</v>
      </c>
      <c r="P13" s="260">
        <v>21052.98</v>
      </c>
      <c r="Q13" s="89">
        <f t="shared" si="6"/>
        <v>0.1024448045427864</v>
      </c>
      <c r="R13" s="130">
        <v>4157</v>
      </c>
      <c r="S13" s="26"/>
    </row>
    <row r="14" spans="1:22" ht="15.6" hidden="1" customHeight="1" x14ac:dyDescent="0.3">
      <c r="A14" s="198" t="s">
        <v>24</v>
      </c>
      <c r="B14" s="200">
        <f>'15 - 21 Feb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'15 - 21 Feb 2021'!D15</f>
        <v>156007.67000000001</v>
      </c>
      <c r="C15" s="73">
        <v>176302.74</v>
      </c>
      <c r="D15" s="145">
        <v>183950.38</v>
      </c>
      <c r="E15" s="145">
        <v>682495.8</v>
      </c>
      <c r="F15" s="163">
        <f t="shared" si="0"/>
        <v>4.3377885108308666E-2</v>
      </c>
      <c r="G15" s="155">
        <f t="shared" si="3"/>
        <v>0.17911112960023048</v>
      </c>
      <c r="H15" s="150">
        <v>609</v>
      </c>
      <c r="I15" s="63">
        <f t="shared" si="4"/>
        <v>302.05316912972086</v>
      </c>
      <c r="J15" s="61">
        <v>46</v>
      </c>
      <c r="K15" s="28">
        <f t="shared" si="1"/>
        <v>7.5533661740558297E-2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</f>
        <v>812</v>
      </c>
      <c r="M15" s="172">
        <f t="shared" si="2"/>
        <v>1.3333333333333333</v>
      </c>
      <c r="N15" s="260">
        <v>0</v>
      </c>
      <c r="O15" s="89">
        <f t="shared" si="5"/>
        <v>0</v>
      </c>
      <c r="P15" s="260">
        <v>17211.650000000001</v>
      </c>
      <c r="Q15" s="89">
        <f t="shared" si="6"/>
        <v>9.3566808614366559E-2</v>
      </c>
      <c r="R15" s="130">
        <v>4242.3</v>
      </c>
      <c r="S15" s="9"/>
    </row>
    <row r="16" spans="1:22" ht="15.6" customHeight="1" x14ac:dyDescent="0.3">
      <c r="A16" s="198" t="s">
        <v>27</v>
      </c>
      <c r="B16" s="200">
        <f>'15 - 21 Feb 2021'!D16</f>
        <v>102794.63</v>
      </c>
      <c r="C16" s="73">
        <v>133954.56</v>
      </c>
      <c r="D16" s="145">
        <v>124746.86</v>
      </c>
      <c r="E16" s="145">
        <v>459918.21</v>
      </c>
      <c r="F16" s="163">
        <f t="shared" si="0"/>
        <v>-6.8737488294538074E-2</v>
      </c>
      <c r="G16" s="155">
        <f t="shared" si="3"/>
        <v>0.21355424889412994</v>
      </c>
      <c r="H16" s="150">
        <v>451</v>
      </c>
      <c r="I16" s="63">
        <f t="shared" si="4"/>
        <v>276.60057649667408</v>
      </c>
      <c r="J16" s="61">
        <v>53</v>
      </c>
      <c r="K16" s="28">
        <f t="shared" si="1"/>
        <v>0.11751662971175167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</f>
        <v>671</v>
      </c>
      <c r="M16" s="172">
        <f t="shared" si="2"/>
        <v>1.4878048780487805</v>
      </c>
      <c r="N16" s="260">
        <v>19376.91</v>
      </c>
      <c r="O16" s="89">
        <f t="shared" si="5"/>
        <v>0.15532984156875773</v>
      </c>
      <c r="P16" s="260">
        <v>18206.560000000001</v>
      </c>
      <c r="Q16" s="89">
        <f t="shared" si="6"/>
        <v>0.1459480422994214</v>
      </c>
      <c r="R16" s="130">
        <v>6053</v>
      </c>
      <c r="S16" s="9"/>
      <c r="V16" s="238"/>
    </row>
    <row r="17" spans="1:19" ht="15.6" customHeight="1" x14ac:dyDescent="0.3">
      <c r="A17" s="251" t="s">
        <v>28</v>
      </c>
      <c r="B17" s="200">
        <f>'15 - 21 Feb 2021'!D17</f>
        <v>154232.44</v>
      </c>
      <c r="C17" s="73">
        <v>200596.69</v>
      </c>
      <c r="D17" s="145">
        <v>149742.82999999999</v>
      </c>
      <c r="E17" s="145">
        <v>617844.12</v>
      </c>
      <c r="F17" s="163">
        <f t="shared" si="0"/>
        <v>-0.25351295676912722</v>
      </c>
      <c r="G17" s="155">
        <f t="shared" si="3"/>
        <v>-2.9109375433598893E-2</v>
      </c>
      <c r="H17" s="150">
        <v>622</v>
      </c>
      <c r="I17" s="63">
        <f t="shared" si="4"/>
        <v>240.74409967845656</v>
      </c>
      <c r="J17" s="61">
        <v>52</v>
      </c>
      <c r="K17" s="28">
        <f t="shared" si="1"/>
        <v>8.3601286173633438E-2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</f>
        <v>777</v>
      </c>
      <c r="M17" s="172">
        <f t="shared" si="2"/>
        <v>1.2491961414790997</v>
      </c>
      <c r="N17" s="260">
        <v>31006.83</v>
      </c>
      <c r="O17" s="89">
        <f t="shared" si="5"/>
        <v>0.20706720982901153</v>
      </c>
      <c r="P17" s="260">
        <v>13925.04</v>
      </c>
      <c r="Q17" s="89">
        <f t="shared" si="6"/>
        <v>9.2993033456092708E-2</v>
      </c>
      <c r="R17" s="130">
        <v>4425</v>
      </c>
      <c r="S17" s="9"/>
    </row>
    <row r="18" spans="1:19" ht="15.6" customHeight="1" x14ac:dyDescent="0.3">
      <c r="A18" s="198" t="s">
        <v>33</v>
      </c>
      <c r="B18" s="200">
        <f>'15 - 21 Feb 2021'!D18</f>
        <v>137658.71</v>
      </c>
      <c r="C18" s="73">
        <v>186259.82</v>
      </c>
      <c r="D18" s="145">
        <v>167359.84</v>
      </c>
      <c r="E18" s="145">
        <v>607755.48</v>
      </c>
      <c r="F18" s="163">
        <f t="shared" si="0"/>
        <v>-0.10147105264033869</v>
      </c>
      <c r="G18" s="155">
        <f t="shared" si="3"/>
        <v>0.21575917717084525</v>
      </c>
      <c r="H18" s="150">
        <v>674</v>
      </c>
      <c r="I18" s="258">
        <f t="shared" si="4"/>
        <v>248.30836795252225</v>
      </c>
      <c r="J18" s="61">
        <v>85</v>
      </c>
      <c r="K18" s="28">
        <f t="shared" si="1"/>
        <v>0.12611275964391691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</f>
        <v>764</v>
      </c>
      <c r="M18" s="172">
        <f t="shared" si="2"/>
        <v>1.1335311572700297</v>
      </c>
      <c r="N18" s="260">
        <v>32064.639999999999</v>
      </c>
      <c r="O18" s="89">
        <f t="shared" si="5"/>
        <v>0.19159100534512941</v>
      </c>
      <c r="P18" s="260">
        <v>10668.39</v>
      </c>
      <c r="Q18" s="89">
        <f t="shared" si="6"/>
        <v>6.3745221075737157E-2</v>
      </c>
      <c r="R18" s="130">
        <v>8118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64" priority="10" operator="equal">
      <formula>0</formula>
    </cfRule>
  </conditionalFormatting>
  <conditionalFormatting sqref="D7:E19">
    <cfRule type="cellIs" dxfId="363" priority="2" operator="equal">
      <formula>0</formula>
    </cfRule>
  </conditionalFormatting>
  <conditionalFormatting sqref="F6:R19">
    <cfRule type="cellIs" dxfId="36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V41"/>
  <sheetViews>
    <sheetView zoomScale="70" zoomScaleNormal="70" workbookViewId="0">
      <pane xSplit="1" topLeftCell="B1" activePane="topRight" state="frozen"/>
      <selection pane="topRight" activeCell="C17" sqref="C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-0.14983404214883878</v>
      </c>
      <c r="G2" s="400">
        <f>(((D4-D19-B19)-B4)/D4)</f>
        <v>-2.0486529941899836E-2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1982086.1500000004</v>
      </c>
      <c r="C4" s="135">
        <f>SUM(C6:C19)-C14-C19</f>
        <v>2284607.1900000004</v>
      </c>
      <c r="D4" s="142">
        <f>SUM(D6:D19)-D19</f>
        <v>1942295.2600000002</v>
      </c>
      <c r="E4" s="142">
        <f>SUM(E6:E19)-E19</f>
        <v>1942295.2600000002</v>
      </c>
      <c r="F4" s="217">
        <f t="shared" ref="F4:F19" si="0">IFERROR((SUM(D4-C4)/C4),0)</f>
        <v>-0.14983404214883878</v>
      </c>
      <c r="G4" s="217">
        <f>IFERROR((SUM(D4-B4)/D4),0)</f>
        <v>-2.0486529941899836E-2</v>
      </c>
      <c r="H4" s="147">
        <f>SUM(H6:H19)</f>
        <v>7321</v>
      </c>
      <c r="I4" s="218">
        <f>AVERAGE(I5:I19)</f>
        <v>227.21322719240172</v>
      </c>
      <c r="J4" s="219">
        <f>SUM(J6:J19)</f>
        <v>670</v>
      </c>
      <c r="K4" s="220">
        <f t="shared" ref="K4:K19" si="1">IFERROR(J4/H4,0)</f>
        <v>9.1517552246960801E-2</v>
      </c>
      <c r="L4" s="221">
        <f>SUM(L6:L19)</f>
        <v>10800</v>
      </c>
      <c r="M4" s="222">
        <f t="shared" ref="M4:M19" si="2">IFERROR(L4/SUM(H4),0)</f>
        <v>1.4752083048763831</v>
      </c>
      <c r="N4" s="249">
        <f>SUM(N6:N19)</f>
        <v>287573.73</v>
      </c>
      <c r="O4" s="222">
        <f>SUM(N4/D4)</f>
        <v>0.14805870967321413</v>
      </c>
      <c r="P4" s="244">
        <f>SUM(P6:P19)</f>
        <v>158712.13999999996</v>
      </c>
      <c r="Q4" s="222">
        <f>SUM(P4/D4)</f>
        <v>8.1713704022528449E-2</v>
      </c>
      <c r="R4" s="257">
        <f>SUM(R6:R19)</f>
        <v>79020.700000000012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'22 - 28 Feb 2021'!D6</f>
        <v>196903.92</v>
      </c>
      <c r="C6" s="255">
        <v>224764.48</v>
      </c>
      <c r="D6" s="197">
        <v>183695.37</v>
      </c>
      <c r="E6" s="129">
        <v>183695.37</v>
      </c>
      <c r="F6" s="162">
        <f t="shared" si="0"/>
        <v>-0.18272064162451296</v>
      </c>
      <c r="G6" s="154">
        <f t="shared" ref="G6:G19" si="3">IFERROR((SUM(D6-B6)/B6),0)</f>
        <v>-6.7081193711125794E-2</v>
      </c>
      <c r="H6" s="149">
        <v>686</v>
      </c>
      <c r="I6" s="256">
        <f t="shared" ref="I6:I19" si="4">IFERROR(D6/H6,0)</f>
        <v>267.77750728862975</v>
      </c>
      <c r="J6" s="125">
        <v>69</v>
      </c>
      <c r="K6" s="126">
        <f t="shared" si="1"/>
        <v>0.10058309037900874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</f>
        <v>1070</v>
      </c>
      <c r="M6" s="171">
        <f t="shared" si="2"/>
        <v>1.5597667638483965</v>
      </c>
      <c r="N6" s="259">
        <v>44480.43</v>
      </c>
      <c r="O6" s="128">
        <f t="shared" ref="O6:O19" si="5">SUM(N6/D6)</f>
        <v>0.24214235775240281</v>
      </c>
      <c r="P6" s="260">
        <v>1220.52</v>
      </c>
      <c r="Q6" s="128">
        <f t="shared" ref="Q6:Q19" si="6">SUM(P6/D6)</f>
        <v>6.644261093788047E-3</v>
      </c>
      <c r="R6" s="129">
        <v>8075</v>
      </c>
      <c r="S6" s="26"/>
    </row>
    <row r="7" spans="1:22" ht="15.6" customHeight="1" x14ac:dyDescent="0.3">
      <c r="A7" s="409" t="s">
        <v>16</v>
      </c>
      <c r="B7" s="200">
        <f>'22 - 28 Feb 2021'!D7</f>
        <v>173960.86</v>
      </c>
      <c r="C7" s="73">
        <v>216682.01</v>
      </c>
      <c r="D7" s="145">
        <v>174386.29</v>
      </c>
      <c r="E7" s="145">
        <v>174386.29</v>
      </c>
      <c r="F7" s="163">
        <f t="shared" si="0"/>
        <v>-0.1951971924203583</v>
      </c>
      <c r="G7" s="155">
        <f t="shared" si="3"/>
        <v>2.4455501082256215E-3</v>
      </c>
      <c r="H7" s="150">
        <v>636</v>
      </c>
      <c r="I7" s="63">
        <f t="shared" si="4"/>
        <v>274.19227987421385</v>
      </c>
      <c r="J7" s="61">
        <v>53</v>
      </c>
      <c r="K7" s="28">
        <f t="shared" si="1"/>
        <v>8.3333333333333329E-2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</f>
        <v>1149</v>
      </c>
      <c r="M7" s="172">
        <f t="shared" si="2"/>
        <v>1.8066037735849056</v>
      </c>
      <c r="N7" s="260">
        <v>17109.169999999998</v>
      </c>
      <c r="O7" s="89">
        <f t="shared" si="5"/>
        <v>9.8110751711043331E-2</v>
      </c>
      <c r="P7" s="260">
        <v>14046.96</v>
      </c>
      <c r="Q7" s="89">
        <f t="shared" si="6"/>
        <v>8.0550827705549555E-2</v>
      </c>
      <c r="R7" s="130">
        <v>6265.05</v>
      </c>
      <c r="S7" s="26"/>
    </row>
    <row r="8" spans="1:22" ht="15.6" customHeight="1" x14ac:dyDescent="0.3">
      <c r="A8" s="409" t="s">
        <v>17</v>
      </c>
      <c r="B8" s="200">
        <f>'22 - 28 Feb 2021'!D8</f>
        <v>111469.73</v>
      </c>
      <c r="C8" s="73">
        <v>106995.52</v>
      </c>
      <c r="D8" s="145">
        <v>115000.01</v>
      </c>
      <c r="E8" s="145">
        <v>115000.01</v>
      </c>
      <c r="F8" s="163">
        <f t="shared" si="0"/>
        <v>7.4811450049497311E-2</v>
      </c>
      <c r="G8" s="155">
        <f t="shared" si="3"/>
        <v>3.1670301883749058E-2</v>
      </c>
      <c r="H8" s="150">
        <v>483</v>
      </c>
      <c r="I8" s="63">
        <f t="shared" si="4"/>
        <v>238.09525879917183</v>
      </c>
      <c r="J8" s="61">
        <v>62</v>
      </c>
      <c r="K8" s="28">
        <f t="shared" si="1"/>
        <v>0.12836438923395446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</f>
        <v>685</v>
      </c>
      <c r="M8" s="172">
        <f t="shared" si="2"/>
        <v>1.4182194616977226</v>
      </c>
      <c r="N8" s="260">
        <v>39515.75</v>
      </c>
      <c r="O8" s="89">
        <f t="shared" si="5"/>
        <v>0.34361518751172282</v>
      </c>
      <c r="P8" s="260">
        <v>8608</v>
      </c>
      <c r="Q8" s="89">
        <f t="shared" si="6"/>
        <v>7.4852167404159356E-2</v>
      </c>
      <c r="R8" s="130">
        <v>5219.1499999999996</v>
      </c>
      <c r="S8" s="26"/>
    </row>
    <row r="9" spans="1:22" ht="15.6" customHeight="1" x14ac:dyDescent="0.3">
      <c r="A9" s="409" t="s">
        <v>18</v>
      </c>
      <c r="B9" s="200">
        <f>'22 - 28 Feb 2021'!D9</f>
        <v>190614.69</v>
      </c>
      <c r="C9" s="73">
        <v>242061.31</v>
      </c>
      <c r="D9" s="145">
        <v>192189.52</v>
      </c>
      <c r="E9" s="145">
        <v>192189.52</v>
      </c>
      <c r="F9" s="163">
        <f t="shared" si="0"/>
        <v>-0.20602957986139961</v>
      </c>
      <c r="G9" s="155">
        <f t="shared" si="3"/>
        <v>8.2618501228839559E-3</v>
      </c>
      <c r="H9" s="150">
        <v>739</v>
      </c>
      <c r="I9" s="63">
        <f t="shared" si="4"/>
        <v>260.06700947225977</v>
      </c>
      <c r="J9" s="61">
        <v>58</v>
      </c>
      <c r="K9" s="28">
        <f t="shared" si="1"/>
        <v>7.8484438430311235E-2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</f>
        <v>1182</v>
      </c>
      <c r="M9" s="172">
        <f t="shared" si="2"/>
        <v>1.5994587280108254</v>
      </c>
      <c r="N9" s="260">
        <v>20209.87</v>
      </c>
      <c r="O9" s="89">
        <f t="shared" si="5"/>
        <v>0.10515594190567727</v>
      </c>
      <c r="P9" s="260">
        <v>9226.35</v>
      </c>
      <c r="Q9" s="89">
        <f t="shared" si="6"/>
        <v>4.8006519814399871E-2</v>
      </c>
      <c r="R9" s="130">
        <v>10235.5</v>
      </c>
      <c r="S9" s="26"/>
    </row>
    <row r="10" spans="1:22" ht="15.6" customHeight="1" x14ac:dyDescent="0.3">
      <c r="A10" s="411" t="s">
        <v>20</v>
      </c>
      <c r="B10" s="200">
        <f>'22 - 28 Feb 2021'!D10</f>
        <v>116160.61</v>
      </c>
      <c r="C10" s="73">
        <v>159016.18</v>
      </c>
      <c r="D10" s="145">
        <v>125510.9</v>
      </c>
      <c r="E10" s="145">
        <v>125510.9</v>
      </c>
      <c r="F10" s="163">
        <f t="shared" si="0"/>
        <v>-0.21070359003718994</v>
      </c>
      <c r="G10" s="155">
        <f t="shared" si="3"/>
        <v>8.0494498091909075E-2</v>
      </c>
      <c r="H10" s="150">
        <v>445</v>
      </c>
      <c r="I10" s="63">
        <f t="shared" si="4"/>
        <v>282.04696629213481</v>
      </c>
      <c r="J10" s="61">
        <v>57</v>
      </c>
      <c r="K10" s="28">
        <f t="shared" si="1"/>
        <v>0.12808988764044943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</f>
        <v>931</v>
      </c>
      <c r="M10" s="172">
        <f t="shared" si="2"/>
        <v>2.0921348314606742</v>
      </c>
      <c r="N10" s="260">
        <v>21792.6</v>
      </c>
      <c r="O10" s="89">
        <f t="shared" si="5"/>
        <v>0.17363113482574022</v>
      </c>
      <c r="P10" s="260">
        <v>15520.32</v>
      </c>
      <c r="Q10" s="89">
        <f t="shared" si="6"/>
        <v>0.12365714850264001</v>
      </c>
      <c r="R10" s="130">
        <v>5268.8</v>
      </c>
      <c r="S10" s="26"/>
    </row>
    <row r="11" spans="1:22" ht="15.6" customHeight="1" x14ac:dyDescent="0.3">
      <c r="A11" s="409" t="s">
        <v>21</v>
      </c>
      <c r="B11" s="200">
        <f>'22 - 28 Feb 2021'!D11</f>
        <v>254389.59</v>
      </c>
      <c r="C11" s="73">
        <v>270331.87</v>
      </c>
      <c r="D11" s="145">
        <v>236841.47</v>
      </c>
      <c r="E11" s="145">
        <v>236841.47</v>
      </c>
      <c r="F11" s="163">
        <f t="shared" si="0"/>
        <v>-0.12388624397116031</v>
      </c>
      <c r="G11" s="155">
        <f t="shared" si="3"/>
        <v>-6.8981281820533605E-2</v>
      </c>
      <c r="H11" s="150">
        <v>871</v>
      </c>
      <c r="I11" s="63">
        <f t="shared" si="4"/>
        <v>271.91902411021812</v>
      </c>
      <c r="J11" s="61">
        <v>73</v>
      </c>
      <c r="K11" s="28">
        <f t="shared" si="1"/>
        <v>8.3811710677382315E-2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</f>
        <v>1138</v>
      </c>
      <c r="M11" s="172">
        <f t="shared" si="2"/>
        <v>1.3065442020665901</v>
      </c>
      <c r="N11" s="260">
        <v>33579.449999999997</v>
      </c>
      <c r="O11" s="89">
        <f t="shared" si="5"/>
        <v>0.14178028028621845</v>
      </c>
      <c r="P11" s="260">
        <v>17871.3</v>
      </c>
      <c r="Q11" s="89">
        <f t="shared" si="6"/>
        <v>7.5456802391912187E-2</v>
      </c>
      <c r="R11" s="130">
        <v>12175.8</v>
      </c>
      <c r="S11" s="26"/>
    </row>
    <row r="12" spans="1:22" ht="15.6" customHeight="1" x14ac:dyDescent="0.3">
      <c r="A12" s="198" t="s">
        <v>22</v>
      </c>
      <c r="B12" s="200">
        <f>'22 - 28 Feb 2021'!D12</f>
        <v>107281.25</v>
      </c>
      <c r="C12" s="73">
        <v>157839.24</v>
      </c>
      <c r="D12" s="145">
        <v>121011.83</v>
      </c>
      <c r="E12" s="145">
        <v>121011.83</v>
      </c>
      <c r="F12" s="163">
        <f t="shared" si="0"/>
        <v>-0.23332227144530088</v>
      </c>
      <c r="G12" s="155">
        <f t="shared" si="3"/>
        <v>0.12798676376347221</v>
      </c>
      <c r="H12" s="150">
        <v>446</v>
      </c>
      <c r="I12" s="63">
        <f t="shared" si="4"/>
        <v>271.3269730941704</v>
      </c>
      <c r="J12" s="61">
        <v>32</v>
      </c>
      <c r="K12" s="28">
        <f t="shared" si="1"/>
        <v>7.1748878923766815E-2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</f>
        <v>513</v>
      </c>
      <c r="M12" s="172">
        <f t="shared" si="2"/>
        <v>1.1502242152466369</v>
      </c>
      <c r="N12" s="260">
        <v>16874.169999999998</v>
      </c>
      <c r="O12" s="89">
        <f t="shared" si="5"/>
        <v>0.13944231733376811</v>
      </c>
      <c r="P12" s="260">
        <v>7288.73</v>
      </c>
      <c r="Q12" s="89">
        <f t="shared" si="6"/>
        <v>6.0231549262580356E-2</v>
      </c>
      <c r="R12" s="130">
        <v>7364.5</v>
      </c>
      <c r="S12" s="26"/>
    </row>
    <row r="13" spans="1:22" ht="15.6" customHeight="1" x14ac:dyDescent="0.3">
      <c r="A13" s="198" t="s">
        <v>23</v>
      </c>
      <c r="B13" s="200">
        <f>'22 - 28 Feb 2021'!D13</f>
        <v>205505.59</v>
      </c>
      <c r="C13" s="73">
        <v>217934.76</v>
      </c>
      <c r="D13" s="145">
        <v>199536.55</v>
      </c>
      <c r="E13" s="145">
        <v>199536.55</v>
      </c>
      <c r="F13" s="163">
        <f t="shared" si="0"/>
        <v>-8.4420722972324475E-2</v>
      </c>
      <c r="G13" s="155">
        <f t="shared" si="3"/>
        <v>-2.9045633259903093E-2</v>
      </c>
      <c r="H13" s="150">
        <v>751</v>
      </c>
      <c r="I13" s="63">
        <f t="shared" si="4"/>
        <v>265.6944740346205</v>
      </c>
      <c r="J13" s="61">
        <v>73</v>
      </c>
      <c r="K13" s="28">
        <f t="shared" si="1"/>
        <v>9.7203728362183758E-2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</f>
        <v>915</v>
      </c>
      <c r="M13" s="172">
        <f t="shared" si="2"/>
        <v>1.2183754993342211</v>
      </c>
      <c r="N13" s="260">
        <v>30592.3</v>
      </c>
      <c r="O13" s="89">
        <f t="shared" si="5"/>
        <v>0.15331677329291302</v>
      </c>
      <c r="P13" s="260">
        <v>26558.43</v>
      </c>
      <c r="Q13" s="89">
        <f t="shared" si="6"/>
        <v>0.13310057731277805</v>
      </c>
      <c r="R13" s="130">
        <v>4171.3</v>
      </c>
      <c r="S13" s="26"/>
    </row>
    <row r="14" spans="1:22" ht="15.6" hidden="1" customHeight="1" x14ac:dyDescent="0.3">
      <c r="A14" s="198" t="s">
        <v>24</v>
      </c>
      <c r="B14" s="200">
        <f>'22 - 28 Feb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'22 - 28 Feb 2021'!D15</f>
        <v>183950.38</v>
      </c>
      <c r="C15" s="73">
        <v>183776.76</v>
      </c>
      <c r="D15" s="145">
        <v>174523.57</v>
      </c>
      <c r="E15" s="145">
        <v>174523.57</v>
      </c>
      <c r="F15" s="163">
        <f t="shared" si="0"/>
        <v>-5.0350163970678347E-2</v>
      </c>
      <c r="G15" s="155">
        <f t="shared" si="3"/>
        <v>-5.1246482883047034E-2</v>
      </c>
      <c r="H15" s="150">
        <v>612</v>
      </c>
      <c r="I15" s="63">
        <f t="shared" si="4"/>
        <v>285.16923202614379</v>
      </c>
      <c r="J15" s="61">
        <v>36</v>
      </c>
      <c r="K15" s="28">
        <f t="shared" si="1"/>
        <v>5.8823529411764705E-2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</f>
        <v>848</v>
      </c>
      <c r="M15" s="172">
        <f t="shared" si="2"/>
        <v>1.3856209150326797</v>
      </c>
      <c r="N15" s="260">
        <v>0</v>
      </c>
      <c r="O15" s="89">
        <f t="shared" si="5"/>
        <v>0</v>
      </c>
      <c r="P15" s="260">
        <v>13912.61</v>
      </c>
      <c r="Q15" s="89">
        <f t="shared" si="6"/>
        <v>7.9717656474709978E-2</v>
      </c>
      <c r="R15" s="130">
        <v>4854.6000000000004</v>
      </c>
      <c r="S15" s="9"/>
    </row>
    <row r="16" spans="1:22" ht="15.6" customHeight="1" x14ac:dyDescent="0.3">
      <c r="A16" s="198" t="s">
        <v>27</v>
      </c>
      <c r="B16" s="200">
        <f>'22 - 28 Feb 2021'!D16</f>
        <v>124746.86</v>
      </c>
      <c r="C16" s="73">
        <v>127255.26</v>
      </c>
      <c r="D16" s="145">
        <v>117847.8</v>
      </c>
      <c r="E16" s="145">
        <v>117847.8</v>
      </c>
      <c r="F16" s="163">
        <f t="shared" si="0"/>
        <v>-7.3925902944994112E-2</v>
      </c>
      <c r="G16" s="155">
        <f t="shared" si="3"/>
        <v>-5.5304478204902294E-2</v>
      </c>
      <c r="H16" s="150">
        <v>440</v>
      </c>
      <c r="I16" s="63">
        <f t="shared" si="4"/>
        <v>267.83590909090907</v>
      </c>
      <c r="J16" s="61">
        <v>49</v>
      </c>
      <c r="K16" s="28">
        <f t="shared" si="1"/>
        <v>0.11136363636363636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</f>
        <v>720</v>
      </c>
      <c r="M16" s="172">
        <f t="shared" si="2"/>
        <v>1.6363636363636365</v>
      </c>
      <c r="N16" s="260">
        <v>21588.13</v>
      </c>
      <c r="O16" s="89">
        <f t="shared" si="5"/>
        <v>0.18318653381734745</v>
      </c>
      <c r="P16" s="260">
        <v>15852.26</v>
      </c>
      <c r="Q16" s="89">
        <f t="shared" si="6"/>
        <v>0.13451468758856763</v>
      </c>
      <c r="R16" s="130">
        <v>5861</v>
      </c>
      <c r="S16" s="9"/>
      <c r="V16" s="238"/>
    </row>
    <row r="17" spans="1:19" ht="15.6" customHeight="1" x14ac:dyDescent="0.3">
      <c r="A17" s="251" t="s">
        <v>28</v>
      </c>
      <c r="B17" s="200">
        <f>'22 - 28 Feb 2021'!D17</f>
        <v>149742.82999999999</v>
      </c>
      <c r="C17" s="73">
        <v>208721.29</v>
      </c>
      <c r="D17" s="145">
        <v>164974.12</v>
      </c>
      <c r="E17" s="145">
        <v>164974.12</v>
      </c>
      <c r="F17" s="163">
        <f t="shared" si="0"/>
        <v>-0.2095961078048148</v>
      </c>
      <c r="G17" s="155">
        <f t="shared" si="3"/>
        <v>0.10171632257784903</v>
      </c>
      <c r="H17" s="150">
        <v>637</v>
      </c>
      <c r="I17" s="63">
        <f t="shared" si="4"/>
        <v>258.98605965463105</v>
      </c>
      <c r="J17" s="61">
        <v>51</v>
      </c>
      <c r="K17" s="28">
        <f t="shared" si="1"/>
        <v>8.0062794348508631E-2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</f>
        <v>828</v>
      </c>
      <c r="M17" s="172">
        <f t="shared" si="2"/>
        <v>1.2998430141287285</v>
      </c>
      <c r="N17" s="260">
        <v>23602.35</v>
      </c>
      <c r="O17" s="89">
        <f t="shared" si="5"/>
        <v>0.14306698529442072</v>
      </c>
      <c r="P17" s="260">
        <v>18163.36</v>
      </c>
      <c r="Q17" s="89">
        <f t="shared" si="6"/>
        <v>0.11009823843885333</v>
      </c>
      <c r="R17" s="130">
        <v>4286.5</v>
      </c>
      <c r="S17" s="9"/>
    </row>
    <row r="18" spans="1:19" ht="15.6" customHeight="1" x14ac:dyDescent="0.3">
      <c r="A18" s="198" t="s">
        <v>33</v>
      </c>
      <c r="B18" s="200">
        <f>'22 - 28 Feb 2021'!D18</f>
        <v>167359.84</v>
      </c>
      <c r="C18" s="73">
        <v>169228.51</v>
      </c>
      <c r="D18" s="145">
        <v>136777.82999999999</v>
      </c>
      <c r="E18" s="145">
        <v>136777.82999999999</v>
      </c>
      <c r="F18" s="163">
        <f t="shared" si="0"/>
        <v>-0.19175657813213637</v>
      </c>
      <c r="G18" s="155">
        <f t="shared" si="3"/>
        <v>-0.18273207001153927</v>
      </c>
      <c r="H18" s="150">
        <v>575</v>
      </c>
      <c r="I18" s="258">
        <f t="shared" si="4"/>
        <v>237.87448695652171</v>
      </c>
      <c r="J18" s="61">
        <v>57</v>
      </c>
      <c r="K18" s="28">
        <f t="shared" si="1"/>
        <v>9.913043478260869E-2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</f>
        <v>821</v>
      </c>
      <c r="M18" s="172">
        <f t="shared" si="2"/>
        <v>1.4278260869565218</v>
      </c>
      <c r="N18" s="260">
        <v>18229.509999999998</v>
      </c>
      <c r="O18" s="89">
        <f t="shared" si="5"/>
        <v>0.13327825130724769</v>
      </c>
      <c r="P18" s="260">
        <v>10443.299999999999</v>
      </c>
      <c r="Q18" s="89">
        <f t="shared" si="6"/>
        <v>7.6352286039338399E-2</v>
      </c>
      <c r="R18" s="130">
        <v>5243.5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61" priority="10" operator="equal">
      <formula>0</formula>
    </cfRule>
  </conditionalFormatting>
  <conditionalFormatting sqref="D7:E19">
    <cfRule type="cellIs" dxfId="360" priority="2" operator="equal">
      <formula>0</formula>
    </cfRule>
  </conditionalFormatting>
  <conditionalFormatting sqref="F6:R19">
    <cfRule type="cellIs" dxfId="35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V41"/>
  <sheetViews>
    <sheetView zoomScale="70" zoomScaleNormal="70" workbookViewId="0">
      <pane xSplit="1" topLeftCell="B1" activePane="topRight" state="frozen"/>
      <selection pane="topRight" activeCell="H8" sqref="H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-0.18536397713216998</v>
      </c>
      <c r="G2" s="400">
        <f>(((D4-D19-B19)-B4)/D4)</f>
        <v>-4.1513225562884084E-3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1942295.2600000002</v>
      </c>
      <c r="C4" s="135">
        <f>SUM(C6:C19)-C14-C19</f>
        <v>2374392.3000000003</v>
      </c>
      <c r="D4" s="142">
        <f>SUM(D6:D19)-D19</f>
        <v>1934265.4999999998</v>
      </c>
      <c r="E4" s="142">
        <f>SUM(E6:E19)-E19</f>
        <v>3856560.76</v>
      </c>
      <c r="F4" s="217">
        <f t="shared" ref="F4:F19" si="0">IFERROR((SUM(D4-C4)/C4),0)</f>
        <v>-0.18536397713216998</v>
      </c>
      <c r="G4" s="217">
        <f>IFERROR((SUM(D4-B4)/D4),0)</f>
        <v>-4.1513225562884084E-3</v>
      </c>
      <c r="H4" s="147">
        <f>SUM(H6:H19)</f>
        <v>7350</v>
      </c>
      <c r="I4" s="218">
        <f>AVERAGE(I5:I19)</f>
        <v>224.9664792993519</v>
      </c>
      <c r="J4" s="219">
        <f>SUM(J6:J19)</f>
        <v>656</v>
      </c>
      <c r="K4" s="220">
        <f t="shared" ref="K4:K19" si="1">IFERROR(J4/H4,0)</f>
        <v>8.9251700680272106E-2</v>
      </c>
      <c r="L4" s="221">
        <f>SUM(L6:L19)</f>
        <v>11456</v>
      </c>
      <c r="M4" s="222">
        <f t="shared" ref="M4:M19" si="2">IFERROR(L4/SUM(H4),0)</f>
        <v>1.5586394557823129</v>
      </c>
      <c r="N4" s="249">
        <f>SUM(N6:N19)</f>
        <v>296142.3</v>
      </c>
      <c r="O4" s="222">
        <f>SUM(N4/D4)</f>
        <v>0.15310323220881519</v>
      </c>
      <c r="P4" s="244">
        <f>SUM(P6:P19)</f>
        <v>192091.65999999997</v>
      </c>
      <c r="Q4" s="222">
        <f>SUM(P4/D4)</f>
        <v>9.9309872403762559E-2</v>
      </c>
      <c r="R4" s="257">
        <f>SUM(R6:R19)</f>
        <v>88831.7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'1 - 7 March 2021'!D6</f>
        <v>183695.37</v>
      </c>
      <c r="C6" s="255">
        <v>228544.88</v>
      </c>
      <c r="D6" s="197">
        <v>198648.1</v>
      </c>
      <c r="E6" s="129">
        <v>382343.47</v>
      </c>
      <c r="F6" s="162">
        <f t="shared" si="0"/>
        <v>-0.130813606500395</v>
      </c>
      <c r="G6" s="154">
        <f t="shared" ref="G6:G19" si="3">IFERROR((SUM(D6-B6)/B6),0)</f>
        <v>8.1399601960572068E-2</v>
      </c>
      <c r="H6" s="149">
        <v>720</v>
      </c>
      <c r="I6" s="256">
        <f t="shared" ref="I6:I19" si="4">IFERROR(D6/H6,0)</f>
        <v>275.90013888888888</v>
      </c>
      <c r="J6" s="125">
        <v>87</v>
      </c>
      <c r="K6" s="126">
        <f t="shared" si="1"/>
        <v>0.12083333333333333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</f>
        <v>1157</v>
      </c>
      <c r="M6" s="171">
        <f t="shared" si="2"/>
        <v>1.6069444444444445</v>
      </c>
      <c r="N6" s="259">
        <v>50691.13</v>
      </c>
      <c r="O6" s="128">
        <f t="shared" ref="O6:O19" si="5">SUM(N6/D6)</f>
        <v>0.25518054287959457</v>
      </c>
      <c r="P6" s="260">
        <v>8867.2199999999993</v>
      </c>
      <c r="Q6" s="128">
        <f t="shared" ref="Q6:Q19" si="6">SUM(P6/D6)</f>
        <v>4.4637829407882579E-2</v>
      </c>
      <c r="R6" s="129">
        <v>16951</v>
      </c>
      <c r="S6" s="26"/>
    </row>
    <row r="7" spans="1:22" ht="15.6" customHeight="1" x14ac:dyDescent="0.3">
      <c r="A7" s="409" t="s">
        <v>16</v>
      </c>
      <c r="B7" s="200">
        <f>'1 - 7 March 2021'!D7</f>
        <v>174386.29</v>
      </c>
      <c r="C7" s="73">
        <v>173162.7</v>
      </c>
      <c r="D7" s="145">
        <v>173140.42</v>
      </c>
      <c r="E7" s="145">
        <v>347526.71</v>
      </c>
      <c r="F7" s="163">
        <f t="shared" si="0"/>
        <v>-1.2866512245419387E-4</v>
      </c>
      <c r="G7" s="155">
        <f t="shared" si="3"/>
        <v>-7.1443116313787925E-3</v>
      </c>
      <c r="H7" s="150">
        <v>614</v>
      </c>
      <c r="I7" s="63">
        <f t="shared" si="4"/>
        <v>281.98765472312704</v>
      </c>
      <c r="J7" s="61">
        <v>47</v>
      </c>
      <c r="K7" s="28">
        <f t="shared" si="1"/>
        <v>7.6547231270358312E-2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</f>
        <v>1196</v>
      </c>
      <c r="M7" s="172">
        <f t="shared" si="2"/>
        <v>1.9478827361563518</v>
      </c>
      <c r="N7" s="260">
        <v>21707.3</v>
      </c>
      <c r="O7" s="89">
        <f t="shared" si="5"/>
        <v>0.12537395947173974</v>
      </c>
      <c r="P7" s="260">
        <v>11756.52</v>
      </c>
      <c r="Q7" s="89">
        <f t="shared" si="6"/>
        <v>6.7901648846641349E-2</v>
      </c>
      <c r="R7" s="130">
        <v>8282.01</v>
      </c>
      <c r="S7" s="26"/>
    </row>
    <row r="8" spans="1:22" ht="15.6" customHeight="1" x14ac:dyDescent="0.3">
      <c r="A8" s="409" t="s">
        <v>17</v>
      </c>
      <c r="B8" s="200">
        <f>'1 - 7 March 2021'!D8</f>
        <v>115000.01</v>
      </c>
      <c r="C8" s="73">
        <v>111287.99</v>
      </c>
      <c r="D8" s="145">
        <v>99515.73</v>
      </c>
      <c r="E8" s="145">
        <v>214515.74</v>
      </c>
      <c r="F8" s="163">
        <f t="shared" si="0"/>
        <v>-0.10578194466446926</v>
      </c>
      <c r="G8" s="155">
        <f t="shared" si="3"/>
        <v>-0.13464590133513901</v>
      </c>
      <c r="H8" s="150">
        <v>414</v>
      </c>
      <c r="I8" s="63">
        <f t="shared" si="4"/>
        <v>240.37615942028984</v>
      </c>
      <c r="J8" s="61">
        <v>50</v>
      </c>
      <c r="K8" s="28">
        <f t="shared" si="1"/>
        <v>0.12077294685990338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</f>
        <v>735</v>
      </c>
      <c r="M8" s="172">
        <f t="shared" si="2"/>
        <v>1.7753623188405796</v>
      </c>
      <c r="N8" s="260">
        <v>30457.78</v>
      </c>
      <c r="O8" s="89">
        <f t="shared" si="5"/>
        <v>0.3060599565515924</v>
      </c>
      <c r="P8" s="260">
        <v>10944.43</v>
      </c>
      <c r="Q8" s="89">
        <f t="shared" si="6"/>
        <v>0.10997688506128629</v>
      </c>
      <c r="R8" s="130">
        <v>2802</v>
      </c>
      <c r="S8" s="26"/>
    </row>
    <row r="9" spans="1:22" ht="15.6" customHeight="1" x14ac:dyDescent="0.3">
      <c r="A9" s="409" t="s">
        <v>18</v>
      </c>
      <c r="B9" s="200">
        <f>'1 - 7 March 2021'!D9</f>
        <v>192189.52</v>
      </c>
      <c r="C9" s="73">
        <v>273777</v>
      </c>
      <c r="D9" s="145">
        <v>172867.87</v>
      </c>
      <c r="E9" s="145">
        <v>365057.39</v>
      </c>
      <c r="F9" s="163">
        <f t="shared" si="0"/>
        <v>-0.36858147324282176</v>
      </c>
      <c r="G9" s="155">
        <f t="shared" si="3"/>
        <v>-0.10053435796082948</v>
      </c>
      <c r="H9" s="150">
        <v>682</v>
      </c>
      <c r="I9" s="63">
        <f t="shared" si="4"/>
        <v>253.47195014662756</v>
      </c>
      <c r="J9" s="61">
        <v>58</v>
      </c>
      <c r="K9" s="28">
        <f t="shared" si="1"/>
        <v>8.5043988269794715E-2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</f>
        <v>1240</v>
      </c>
      <c r="M9" s="172">
        <f t="shared" si="2"/>
        <v>1.8181818181818181</v>
      </c>
      <c r="N9" s="260">
        <v>13473.39</v>
      </c>
      <c r="O9" s="89">
        <f t="shared" si="5"/>
        <v>7.7940394591545559E-2</v>
      </c>
      <c r="P9" s="260">
        <v>13311.97</v>
      </c>
      <c r="Q9" s="89">
        <f t="shared" si="6"/>
        <v>7.7006617828981175E-2</v>
      </c>
      <c r="R9" s="130">
        <v>9442.5</v>
      </c>
      <c r="S9" s="26"/>
    </row>
    <row r="10" spans="1:22" ht="15.6" customHeight="1" x14ac:dyDescent="0.3">
      <c r="A10" s="411" t="s">
        <v>20</v>
      </c>
      <c r="B10" s="200">
        <f>'1 - 7 March 2021'!D10</f>
        <v>125510.9</v>
      </c>
      <c r="C10" s="73">
        <v>157896.94</v>
      </c>
      <c r="D10" s="145">
        <v>127052.23</v>
      </c>
      <c r="E10" s="145">
        <v>252563.13</v>
      </c>
      <c r="F10" s="163">
        <f t="shared" si="0"/>
        <v>-0.19534710425673865</v>
      </c>
      <c r="G10" s="155">
        <f t="shared" si="3"/>
        <v>1.2280447355568335E-2</v>
      </c>
      <c r="H10" s="150">
        <v>472</v>
      </c>
      <c r="I10" s="63">
        <f t="shared" si="4"/>
        <v>269.17845338983051</v>
      </c>
      <c r="J10" s="61">
        <v>44</v>
      </c>
      <c r="K10" s="28">
        <f t="shared" si="1"/>
        <v>9.3220338983050849E-2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</f>
        <v>975</v>
      </c>
      <c r="M10" s="172">
        <f t="shared" si="2"/>
        <v>2.0656779661016951</v>
      </c>
      <c r="N10" s="260">
        <v>29149.61</v>
      </c>
      <c r="O10" s="89">
        <f t="shared" si="5"/>
        <v>0.22943013278869645</v>
      </c>
      <c r="P10" s="260">
        <v>24074.48</v>
      </c>
      <c r="Q10" s="89">
        <f t="shared" si="6"/>
        <v>0.18948490711261032</v>
      </c>
      <c r="R10" s="130">
        <v>7464.5</v>
      </c>
      <c r="S10" s="26"/>
    </row>
    <row r="11" spans="1:22" ht="15.6" customHeight="1" x14ac:dyDescent="0.3">
      <c r="A11" s="409" t="s">
        <v>21</v>
      </c>
      <c r="B11" s="200">
        <f>'1 - 7 March 2021'!D11</f>
        <v>236841.47</v>
      </c>
      <c r="C11" s="73">
        <v>316971.75</v>
      </c>
      <c r="D11" s="145">
        <v>241525.48</v>
      </c>
      <c r="E11" s="145">
        <v>478366.95</v>
      </c>
      <c r="F11" s="163">
        <f t="shared" si="0"/>
        <v>-0.23802206348042054</v>
      </c>
      <c r="G11" s="155">
        <f t="shared" si="3"/>
        <v>1.9776984157377546E-2</v>
      </c>
      <c r="H11" s="150">
        <v>915</v>
      </c>
      <c r="I11" s="63">
        <f t="shared" si="4"/>
        <v>263.96227322404371</v>
      </c>
      <c r="J11" s="61">
        <v>85</v>
      </c>
      <c r="K11" s="28">
        <f t="shared" si="1"/>
        <v>9.2896174863387984E-2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</f>
        <v>1223</v>
      </c>
      <c r="M11" s="172">
        <f t="shared" si="2"/>
        <v>1.3366120218579236</v>
      </c>
      <c r="N11" s="260">
        <v>33682.660000000003</v>
      </c>
      <c r="O11" s="89">
        <f t="shared" si="5"/>
        <v>0.13945799838592599</v>
      </c>
      <c r="P11" s="260">
        <v>21516.17</v>
      </c>
      <c r="Q11" s="89">
        <f t="shared" si="6"/>
        <v>8.9084472578214099E-2</v>
      </c>
      <c r="R11" s="130">
        <v>12254.9</v>
      </c>
      <c r="S11" s="26"/>
    </row>
    <row r="12" spans="1:22" ht="15.6" customHeight="1" x14ac:dyDescent="0.3">
      <c r="A12" s="198" t="s">
        <v>22</v>
      </c>
      <c r="B12" s="200">
        <f>'1 - 7 March 2021'!D12</f>
        <v>121011.83</v>
      </c>
      <c r="C12" s="73">
        <v>142886.70000000001</v>
      </c>
      <c r="D12" s="145">
        <v>125360.51</v>
      </c>
      <c r="E12" s="145">
        <v>246372.34</v>
      </c>
      <c r="F12" s="163">
        <f t="shared" si="0"/>
        <v>-0.12265795206971689</v>
      </c>
      <c r="G12" s="155">
        <f t="shared" si="3"/>
        <v>3.5935990720907147E-2</v>
      </c>
      <c r="H12" s="150">
        <v>484</v>
      </c>
      <c r="I12" s="63">
        <f t="shared" si="4"/>
        <v>259.00931818181817</v>
      </c>
      <c r="J12" s="61">
        <v>52</v>
      </c>
      <c r="K12" s="28">
        <f t="shared" si="1"/>
        <v>0.10743801652892562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</f>
        <v>565</v>
      </c>
      <c r="M12" s="172">
        <f t="shared" si="2"/>
        <v>1.1673553719008265</v>
      </c>
      <c r="N12" s="260">
        <v>20100.169999999998</v>
      </c>
      <c r="O12" s="89">
        <f t="shared" si="5"/>
        <v>0.16033892969963187</v>
      </c>
      <c r="P12" s="260">
        <v>10234.83</v>
      </c>
      <c r="Q12" s="89">
        <f t="shared" si="6"/>
        <v>8.1643174553134801E-2</v>
      </c>
      <c r="R12" s="130">
        <v>8879.5</v>
      </c>
      <c r="S12" s="26"/>
    </row>
    <row r="13" spans="1:22" ht="15.6" customHeight="1" x14ac:dyDescent="0.3">
      <c r="A13" s="198" t="s">
        <v>23</v>
      </c>
      <c r="B13" s="200">
        <f>'1 - 7 March 2021'!D13</f>
        <v>199536.55</v>
      </c>
      <c r="C13" s="73">
        <v>227804.08</v>
      </c>
      <c r="D13" s="145">
        <v>194657.22</v>
      </c>
      <c r="E13" s="145">
        <v>374193.77</v>
      </c>
      <c r="F13" s="163">
        <f t="shared" si="0"/>
        <v>-0.1455059979610549</v>
      </c>
      <c r="G13" s="155">
        <f t="shared" si="3"/>
        <v>-2.445331444289273E-2</v>
      </c>
      <c r="H13" s="150">
        <v>730</v>
      </c>
      <c r="I13" s="63">
        <f t="shared" si="4"/>
        <v>266.65372602739728</v>
      </c>
      <c r="J13" s="61">
        <v>40</v>
      </c>
      <c r="K13" s="28">
        <f t="shared" si="1"/>
        <v>5.4794520547945202E-2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</f>
        <v>955</v>
      </c>
      <c r="M13" s="172">
        <f t="shared" si="2"/>
        <v>1.3082191780821917</v>
      </c>
      <c r="N13" s="260">
        <v>27972.3</v>
      </c>
      <c r="O13" s="89">
        <f t="shared" si="5"/>
        <v>0.14370029531912559</v>
      </c>
      <c r="P13" s="260">
        <v>23418.65</v>
      </c>
      <c r="Q13" s="89">
        <f t="shared" si="6"/>
        <v>0.12030712243809914</v>
      </c>
      <c r="R13" s="130">
        <v>2539.5</v>
      </c>
      <c r="S13" s="26"/>
    </row>
    <row r="14" spans="1:22" ht="15.6" hidden="1" customHeight="1" x14ac:dyDescent="0.3">
      <c r="A14" s="198" t="s">
        <v>24</v>
      </c>
      <c r="B14" s="200">
        <f>'1 - 7 March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'1 - 7 March 2021'!D15</f>
        <v>174523.57</v>
      </c>
      <c r="C15" s="73">
        <v>199136.28</v>
      </c>
      <c r="D15" s="145">
        <v>172209.53</v>
      </c>
      <c r="E15" s="145">
        <v>346733.1</v>
      </c>
      <c r="F15" s="163">
        <f t="shared" si="0"/>
        <v>-0.13521770116424792</v>
      </c>
      <c r="G15" s="155">
        <f t="shared" si="3"/>
        <v>-1.3259183272494415E-2</v>
      </c>
      <c r="H15" s="150">
        <v>629</v>
      </c>
      <c r="I15" s="63">
        <f t="shared" si="4"/>
        <v>273.78303656597774</v>
      </c>
      <c r="J15" s="61">
        <v>32</v>
      </c>
      <c r="K15" s="28">
        <f t="shared" si="1"/>
        <v>5.0874403815580289E-2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</f>
        <v>880</v>
      </c>
      <c r="M15" s="172">
        <f t="shared" si="2"/>
        <v>1.3990461049284579</v>
      </c>
      <c r="N15" s="260">
        <v>0</v>
      </c>
      <c r="O15" s="89">
        <f t="shared" si="5"/>
        <v>0</v>
      </c>
      <c r="P15" s="260">
        <v>19886.96</v>
      </c>
      <c r="Q15" s="89">
        <f t="shared" si="6"/>
        <v>0.11548118155830284</v>
      </c>
      <c r="R15" s="130">
        <v>4605.1499999999996</v>
      </c>
      <c r="S15" s="9"/>
    </row>
    <row r="16" spans="1:22" ht="15.6" customHeight="1" x14ac:dyDescent="0.3">
      <c r="A16" s="198" t="s">
        <v>27</v>
      </c>
      <c r="B16" s="200">
        <f>'1 - 7 March 2021'!D16</f>
        <v>117847.8</v>
      </c>
      <c r="C16" s="73">
        <v>138626.42000000001</v>
      </c>
      <c r="D16" s="145">
        <v>128763</v>
      </c>
      <c r="E16" s="145">
        <v>246610.8</v>
      </c>
      <c r="F16" s="163">
        <f t="shared" si="0"/>
        <v>-7.1151083610180604E-2</v>
      </c>
      <c r="G16" s="155">
        <f t="shared" si="3"/>
        <v>9.2621160513815248E-2</v>
      </c>
      <c r="H16" s="150">
        <v>480</v>
      </c>
      <c r="I16" s="63">
        <f t="shared" si="4"/>
        <v>268.25625000000002</v>
      </c>
      <c r="J16" s="61">
        <v>52</v>
      </c>
      <c r="K16" s="28">
        <f t="shared" si="1"/>
        <v>0.10833333333333334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</f>
        <v>772</v>
      </c>
      <c r="M16" s="172">
        <f t="shared" si="2"/>
        <v>1.6083333333333334</v>
      </c>
      <c r="N16" s="260">
        <v>22133.48</v>
      </c>
      <c r="O16" s="89">
        <f t="shared" si="5"/>
        <v>0.17189316806846686</v>
      </c>
      <c r="P16" s="260">
        <v>15225.78</v>
      </c>
      <c r="Q16" s="89">
        <f t="shared" si="6"/>
        <v>0.1182465459798234</v>
      </c>
      <c r="R16" s="130">
        <v>6371.5</v>
      </c>
      <c r="S16" s="9"/>
      <c r="V16" s="238"/>
    </row>
    <row r="17" spans="1:19" ht="15.6" customHeight="1" x14ac:dyDescent="0.3">
      <c r="A17" s="251" t="s">
        <v>28</v>
      </c>
      <c r="B17" s="200">
        <f>'1 - 7 March 2021'!D17</f>
        <v>164974.12</v>
      </c>
      <c r="C17" s="73">
        <v>218588.98</v>
      </c>
      <c r="D17" s="145">
        <v>163994.21</v>
      </c>
      <c r="E17" s="145">
        <v>328968.33</v>
      </c>
      <c r="F17" s="163">
        <f t="shared" si="0"/>
        <v>-0.24975993757782308</v>
      </c>
      <c r="G17" s="155">
        <f t="shared" si="3"/>
        <v>-5.9397801303622865E-3</v>
      </c>
      <c r="H17" s="150">
        <v>663</v>
      </c>
      <c r="I17" s="63">
        <f t="shared" si="4"/>
        <v>247.35174962292609</v>
      </c>
      <c r="J17" s="61">
        <v>68</v>
      </c>
      <c r="K17" s="28">
        <f t="shared" si="1"/>
        <v>0.10256410256410256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</f>
        <v>896</v>
      </c>
      <c r="M17" s="172">
        <f t="shared" si="2"/>
        <v>1.3514328808446456</v>
      </c>
      <c r="N17" s="260">
        <v>30824.61</v>
      </c>
      <c r="O17" s="89">
        <f t="shared" si="5"/>
        <v>0.18796157498487295</v>
      </c>
      <c r="P17" s="260">
        <v>20383.39</v>
      </c>
      <c r="Q17" s="89">
        <f t="shared" si="6"/>
        <v>0.12429335157625382</v>
      </c>
      <c r="R17" s="130">
        <v>4617.6400000000003</v>
      </c>
      <c r="S17" s="9"/>
    </row>
    <row r="18" spans="1:19" ht="15.6" customHeight="1" x14ac:dyDescent="0.3">
      <c r="A18" s="198" t="s">
        <v>33</v>
      </c>
      <c r="B18" s="200">
        <f>'1 - 7 March 2021'!D18</f>
        <v>136777.82999999999</v>
      </c>
      <c r="C18" s="73">
        <v>185708.58</v>
      </c>
      <c r="D18" s="145">
        <v>136531.20000000001</v>
      </c>
      <c r="E18" s="145">
        <v>273309.03000000003</v>
      </c>
      <c r="F18" s="163">
        <f t="shared" si="0"/>
        <v>-0.26480941268303265</v>
      </c>
      <c r="G18" s="155">
        <f t="shared" si="3"/>
        <v>-1.8031430970938461E-3</v>
      </c>
      <c r="H18" s="150">
        <v>547</v>
      </c>
      <c r="I18" s="258">
        <f t="shared" si="4"/>
        <v>249.60000000000002</v>
      </c>
      <c r="J18" s="61">
        <v>41</v>
      </c>
      <c r="K18" s="28">
        <f t="shared" si="1"/>
        <v>7.4954296160877509E-2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</f>
        <v>862</v>
      </c>
      <c r="M18" s="172">
        <f t="shared" si="2"/>
        <v>1.5758683729433272</v>
      </c>
      <c r="N18" s="260">
        <v>15949.87</v>
      </c>
      <c r="O18" s="89">
        <f t="shared" si="5"/>
        <v>0.11682216226034782</v>
      </c>
      <c r="P18" s="260">
        <v>12471.26</v>
      </c>
      <c r="Q18" s="89">
        <f t="shared" si="6"/>
        <v>9.1343663572868314E-2</v>
      </c>
      <c r="R18" s="130">
        <v>4621.5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58" priority="10" operator="equal">
      <formula>0</formula>
    </cfRule>
  </conditionalFormatting>
  <conditionalFormatting sqref="D7:E19">
    <cfRule type="cellIs" dxfId="357" priority="2" operator="equal">
      <formula>0</formula>
    </cfRule>
  </conditionalFormatting>
  <conditionalFormatting sqref="F6:R19">
    <cfRule type="cellIs" dxfId="35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V41"/>
  <sheetViews>
    <sheetView zoomScale="70" zoomScaleNormal="70" workbookViewId="0">
      <pane xSplit="1" topLeftCell="B1" activePane="topRight" state="frozen"/>
      <selection pane="topRight" activeCell="C7" sqref="C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0.64529739149924736</v>
      </c>
      <c r="G2" s="400">
        <f>(((D4-D19-B19)-B4)/D4)</f>
        <v>-2.8977470364396254E-2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1934265.4999999998</v>
      </c>
      <c r="C4" s="135">
        <f>SUM(C6:C19)-C14-C19</f>
        <v>1142525.2600000002</v>
      </c>
      <c r="D4" s="142">
        <f>SUM(D6:D19)-D19</f>
        <v>1879793.8299999998</v>
      </c>
      <c r="E4" s="142">
        <f>SUM(E6:E19)-E19</f>
        <v>5756354.5899999999</v>
      </c>
      <c r="F4" s="217">
        <f t="shared" ref="F4:F19" si="0">IFERROR((SUM(D4-C4)/C4),0)</f>
        <v>0.64529739149924736</v>
      </c>
      <c r="G4" s="217">
        <f>IFERROR((SUM(D4-B4)/D4),0)</f>
        <v>-2.8977470364396254E-2</v>
      </c>
      <c r="H4" s="147">
        <f>SUM(H6:H19)</f>
        <v>7105</v>
      </c>
      <c r="I4" s="218">
        <f>AVERAGE(I5:I19)</f>
        <v>225.85197527884634</v>
      </c>
      <c r="J4" s="219">
        <f>SUM(J6:J19)</f>
        <v>585</v>
      </c>
      <c r="K4" s="220">
        <f t="shared" ref="K4:K19" si="1">IFERROR(J4/H4,0)</f>
        <v>8.2336382828993665E-2</v>
      </c>
      <c r="L4" s="221">
        <f>SUM(L6:L19)</f>
        <v>12041</v>
      </c>
      <c r="M4" s="222">
        <f t="shared" ref="M4:M19" si="2">IFERROR(L4/SUM(H4),0)</f>
        <v>1.6947220267417311</v>
      </c>
      <c r="N4" s="249">
        <f>SUM(N6:N19)</f>
        <v>303463.2</v>
      </c>
      <c r="O4" s="222">
        <f>SUM(N4/D4)</f>
        <v>0.16143429941995291</v>
      </c>
      <c r="P4" s="244">
        <f>SUM(P6:P19)</f>
        <v>161084.22999999998</v>
      </c>
      <c r="Q4" s="222">
        <f>SUM(P4/D4)</f>
        <v>8.569249852256404E-2</v>
      </c>
      <c r="R4" s="257">
        <f>SUM(R6:R19)</f>
        <v>73417.7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'8 - 14 March 2021'!D6</f>
        <v>198648.1</v>
      </c>
      <c r="C6" s="255">
        <v>111844.41</v>
      </c>
      <c r="D6" s="197">
        <v>206498.35</v>
      </c>
      <c r="E6" s="129">
        <v>588841.81999999995</v>
      </c>
      <c r="F6" s="162">
        <f t="shared" si="0"/>
        <v>0.84630014141967402</v>
      </c>
      <c r="G6" s="154">
        <f t="shared" ref="G6:G19" si="3">IFERROR((SUM(D6-B6)/B6),0)</f>
        <v>3.9518374452109033E-2</v>
      </c>
      <c r="H6" s="149">
        <v>702</v>
      </c>
      <c r="I6" s="256">
        <f t="shared" ref="I6:I19" si="4">IFERROR(D6/H6,0)</f>
        <v>294.15719373219372</v>
      </c>
      <c r="J6" s="125">
        <v>73</v>
      </c>
      <c r="K6" s="126">
        <f t="shared" si="1"/>
        <v>0.10398860398860399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</f>
        <v>1230</v>
      </c>
      <c r="M6" s="171">
        <f t="shared" si="2"/>
        <v>1.7521367521367521</v>
      </c>
      <c r="N6" s="259">
        <v>60358.78</v>
      </c>
      <c r="O6" s="128">
        <f t="shared" ref="O6:O19" si="5">SUM(N6/D6)</f>
        <v>0.2922966696828328</v>
      </c>
      <c r="P6" s="260">
        <v>1531.13</v>
      </c>
      <c r="Q6" s="128">
        <f t="shared" ref="Q6:Q19" si="6">SUM(P6/D6)</f>
        <v>7.4147323695322506E-3</v>
      </c>
      <c r="R6" s="129">
        <v>6651</v>
      </c>
      <c r="S6" s="26"/>
    </row>
    <row r="7" spans="1:22" ht="15.6" customHeight="1" x14ac:dyDescent="0.3">
      <c r="A7" s="409" t="s">
        <v>16</v>
      </c>
      <c r="B7" s="200">
        <f>'8 - 14 March 2021'!D7</f>
        <v>173140.42</v>
      </c>
      <c r="C7" s="73">
        <v>25855.03</v>
      </c>
      <c r="D7" s="145">
        <v>147714.4</v>
      </c>
      <c r="E7" s="145">
        <v>495241.11</v>
      </c>
      <c r="F7" s="163">
        <f t="shared" si="0"/>
        <v>4.7131784414870141</v>
      </c>
      <c r="G7" s="155">
        <f t="shared" si="3"/>
        <v>-0.14685201757047844</v>
      </c>
      <c r="H7" s="150">
        <v>577</v>
      </c>
      <c r="I7" s="63">
        <f t="shared" si="4"/>
        <v>256.00415944540725</v>
      </c>
      <c r="J7" s="61">
        <v>36</v>
      </c>
      <c r="K7" s="28">
        <f t="shared" si="1"/>
        <v>6.2391681109185443E-2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</f>
        <v>1232</v>
      </c>
      <c r="M7" s="172">
        <f t="shared" si="2"/>
        <v>2.1351819757365686</v>
      </c>
      <c r="N7" s="260">
        <v>26236.7</v>
      </c>
      <c r="O7" s="89">
        <f t="shared" si="5"/>
        <v>0.17761775426092516</v>
      </c>
      <c r="P7" s="260">
        <v>11107.74</v>
      </c>
      <c r="Q7" s="89">
        <f t="shared" si="6"/>
        <v>7.5197407971057659E-2</v>
      </c>
      <c r="R7" s="130">
        <v>6633.4</v>
      </c>
      <c r="S7" s="26"/>
    </row>
    <row r="8" spans="1:22" ht="15.6" customHeight="1" x14ac:dyDescent="0.3">
      <c r="A8" s="409" t="s">
        <v>17</v>
      </c>
      <c r="B8" s="200">
        <f>'8 - 14 March 2021'!D8</f>
        <v>99515.73</v>
      </c>
      <c r="C8" s="73">
        <v>63419.32</v>
      </c>
      <c r="D8" s="145">
        <v>108914.78</v>
      </c>
      <c r="E8" s="145">
        <v>323430.52</v>
      </c>
      <c r="F8" s="163">
        <f t="shared" si="0"/>
        <v>0.7173753991685814</v>
      </c>
      <c r="G8" s="155">
        <f t="shared" si="3"/>
        <v>9.4447882761850843E-2</v>
      </c>
      <c r="H8" s="150">
        <v>423</v>
      </c>
      <c r="I8" s="63">
        <f t="shared" si="4"/>
        <v>257.48174940898343</v>
      </c>
      <c r="J8" s="61">
        <v>43</v>
      </c>
      <c r="K8" s="28">
        <f t="shared" si="1"/>
        <v>0.10165484633569739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</f>
        <v>778</v>
      </c>
      <c r="M8" s="172">
        <f t="shared" si="2"/>
        <v>1.8392434988179669</v>
      </c>
      <c r="N8" s="260">
        <v>32594.78</v>
      </c>
      <c r="O8" s="89">
        <f t="shared" si="5"/>
        <v>0.29926865756878912</v>
      </c>
      <c r="P8" s="260">
        <v>16701.61</v>
      </c>
      <c r="Q8" s="89">
        <f t="shared" si="6"/>
        <v>0.15334567080794728</v>
      </c>
      <c r="R8" s="130">
        <v>2402</v>
      </c>
      <c r="S8" s="26"/>
    </row>
    <row r="9" spans="1:22" ht="15.6" customHeight="1" x14ac:dyDescent="0.3">
      <c r="A9" s="409" t="s">
        <v>18</v>
      </c>
      <c r="B9" s="200">
        <f>'8 - 14 March 2021'!D9</f>
        <v>172867.87</v>
      </c>
      <c r="C9" s="73">
        <v>100528.78</v>
      </c>
      <c r="D9" s="145">
        <v>155464.65</v>
      </c>
      <c r="E9" s="145">
        <v>520522.04</v>
      </c>
      <c r="F9" s="163">
        <f t="shared" si="0"/>
        <v>0.54646908079457446</v>
      </c>
      <c r="G9" s="155">
        <f t="shared" si="3"/>
        <v>-0.10067353754055049</v>
      </c>
      <c r="H9" s="150">
        <v>649</v>
      </c>
      <c r="I9" s="63">
        <f t="shared" si="4"/>
        <v>239.54491525423728</v>
      </c>
      <c r="J9" s="61">
        <v>49</v>
      </c>
      <c r="K9" s="28">
        <f t="shared" si="1"/>
        <v>7.5500770416024654E-2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</f>
        <v>1289</v>
      </c>
      <c r="M9" s="172">
        <f t="shared" si="2"/>
        <v>1.9861325115562403</v>
      </c>
      <c r="N9" s="260">
        <v>14333.45</v>
      </c>
      <c r="O9" s="89">
        <f t="shared" si="5"/>
        <v>9.2197486695528547E-2</v>
      </c>
      <c r="P9" s="260">
        <v>11729.83</v>
      </c>
      <c r="Q9" s="89">
        <f t="shared" si="6"/>
        <v>7.5450142524361649E-2</v>
      </c>
      <c r="R9" s="130">
        <v>7653.1</v>
      </c>
      <c r="S9" s="26"/>
    </row>
    <row r="10" spans="1:22" ht="15.6" customHeight="1" x14ac:dyDescent="0.3">
      <c r="A10" s="411" t="s">
        <v>20</v>
      </c>
      <c r="B10" s="200">
        <f>'8 - 14 March 2021'!D10</f>
        <v>127052.23</v>
      </c>
      <c r="C10" s="73">
        <v>92887.66</v>
      </c>
      <c r="D10" s="145">
        <v>133790.07999999999</v>
      </c>
      <c r="E10" s="145">
        <v>386353.21</v>
      </c>
      <c r="F10" s="163">
        <f t="shared" si="0"/>
        <v>0.44034288300512664</v>
      </c>
      <c r="G10" s="155">
        <f t="shared" si="3"/>
        <v>5.3032127023665714E-2</v>
      </c>
      <c r="H10" s="150">
        <v>516</v>
      </c>
      <c r="I10" s="63">
        <f t="shared" si="4"/>
        <v>259.28310077519376</v>
      </c>
      <c r="J10" s="61">
        <v>58</v>
      </c>
      <c r="K10" s="28">
        <f t="shared" si="1"/>
        <v>0.1124031007751938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</f>
        <v>1033</v>
      </c>
      <c r="M10" s="172">
        <f t="shared" si="2"/>
        <v>2.001937984496124</v>
      </c>
      <c r="N10" s="260">
        <v>26697.01</v>
      </c>
      <c r="O10" s="89">
        <f t="shared" si="5"/>
        <v>0.19954401701531235</v>
      </c>
      <c r="P10" s="260">
        <v>16955.3</v>
      </c>
      <c r="Q10" s="89">
        <f t="shared" si="6"/>
        <v>0.12673062158270629</v>
      </c>
      <c r="R10" s="130">
        <v>5587</v>
      </c>
      <c r="S10" s="26"/>
    </row>
    <row r="11" spans="1:22" ht="15.6" customHeight="1" x14ac:dyDescent="0.3">
      <c r="A11" s="409" t="s">
        <v>21</v>
      </c>
      <c r="B11" s="200">
        <f>'8 - 14 March 2021'!D11</f>
        <v>241525.48</v>
      </c>
      <c r="C11" s="73">
        <v>136221.63</v>
      </c>
      <c r="D11" s="145">
        <v>243817.58</v>
      </c>
      <c r="E11" s="145">
        <v>722184.53</v>
      </c>
      <c r="F11" s="163">
        <f t="shared" si="0"/>
        <v>0.78985951056377746</v>
      </c>
      <c r="G11" s="155">
        <f t="shared" si="3"/>
        <v>9.4900960345880546E-3</v>
      </c>
      <c r="H11" s="150">
        <v>892</v>
      </c>
      <c r="I11" s="63">
        <f t="shared" si="4"/>
        <v>273.33809417040356</v>
      </c>
      <c r="J11" s="61">
        <v>56</v>
      </c>
      <c r="K11" s="28">
        <f t="shared" si="1"/>
        <v>6.2780269058295965E-2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</f>
        <v>1279</v>
      </c>
      <c r="M11" s="172">
        <f t="shared" si="2"/>
        <v>1.4338565022421526</v>
      </c>
      <c r="N11" s="260">
        <v>35416.39</v>
      </c>
      <c r="O11" s="89">
        <f t="shared" si="5"/>
        <v>0.14525773736249864</v>
      </c>
      <c r="P11" s="260">
        <v>19306.349999999999</v>
      </c>
      <c r="Q11" s="89">
        <f t="shared" si="6"/>
        <v>7.9183584711159868E-2</v>
      </c>
      <c r="R11" s="130">
        <v>12884.5</v>
      </c>
      <c r="S11" s="26"/>
    </row>
    <row r="12" spans="1:22" ht="15.6" customHeight="1" x14ac:dyDescent="0.3">
      <c r="A12" s="198" t="s">
        <v>22</v>
      </c>
      <c r="B12" s="200">
        <f>'8 - 14 March 2021'!D12</f>
        <v>125360.51</v>
      </c>
      <c r="C12" s="73">
        <v>70519.100000000006</v>
      </c>
      <c r="D12" s="145">
        <v>106568.05</v>
      </c>
      <c r="E12" s="145">
        <v>352940.39</v>
      </c>
      <c r="F12" s="163">
        <f t="shared" si="0"/>
        <v>0.51119413038453398</v>
      </c>
      <c r="G12" s="155">
        <f t="shared" si="3"/>
        <v>-0.14990733525254479</v>
      </c>
      <c r="H12" s="150">
        <v>421</v>
      </c>
      <c r="I12" s="63">
        <f t="shared" si="4"/>
        <v>253.13076009501188</v>
      </c>
      <c r="J12" s="61">
        <v>30</v>
      </c>
      <c r="K12" s="28">
        <f t="shared" si="1"/>
        <v>7.1258907363420429E-2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</f>
        <v>595</v>
      </c>
      <c r="M12" s="172">
        <f t="shared" si="2"/>
        <v>1.4133016627078385</v>
      </c>
      <c r="N12" s="260">
        <v>13240.87</v>
      </c>
      <c r="O12" s="89">
        <f t="shared" si="5"/>
        <v>0.1242480274341137</v>
      </c>
      <c r="P12" s="260">
        <v>9792.2999999999993</v>
      </c>
      <c r="Q12" s="89">
        <f t="shared" si="6"/>
        <v>9.1887765610799851E-2</v>
      </c>
      <c r="R12" s="130">
        <v>7484</v>
      </c>
      <c r="S12" s="26"/>
    </row>
    <row r="13" spans="1:22" ht="15.6" customHeight="1" x14ac:dyDescent="0.3">
      <c r="A13" s="198" t="s">
        <v>23</v>
      </c>
      <c r="B13" s="200">
        <f>'8 - 14 March 2021'!D13</f>
        <v>194657.22</v>
      </c>
      <c r="C13" s="73">
        <v>128530.38</v>
      </c>
      <c r="D13" s="145">
        <v>174962.19</v>
      </c>
      <c r="E13" s="145">
        <v>569155.96</v>
      </c>
      <c r="F13" s="163">
        <f t="shared" si="0"/>
        <v>0.36125163560552764</v>
      </c>
      <c r="G13" s="155">
        <f t="shared" si="3"/>
        <v>-0.10117800922051594</v>
      </c>
      <c r="H13" s="150">
        <v>689</v>
      </c>
      <c r="I13" s="63">
        <f t="shared" si="4"/>
        <v>253.93641509433962</v>
      </c>
      <c r="J13" s="61">
        <v>48</v>
      </c>
      <c r="K13" s="28">
        <f t="shared" si="1"/>
        <v>6.966618287373004E-2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</f>
        <v>1003</v>
      </c>
      <c r="M13" s="172">
        <f t="shared" si="2"/>
        <v>1.4557329462989841</v>
      </c>
      <c r="N13" s="260">
        <v>23983.57</v>
      </c>
      <c r="O13" s="89">
        <f t="shared" si="5"/>
        <v>0.13707858823669272</v>
      </c>
      <c r="P13" s="260">
        <v>19098.04</v>
      </c>
      <c r="Q13" s="89">
        <f t="shared" si="6"/>
        <v>0.10915524091233655</v>
      </c>
      <c r="R13" s="130">
        <v>3233.5</v>
      </c>
      <c r="S13" s="26"/>
    </row>
    <row r="14" spans="1:22" ht="15.6" hidden="1" customHeight="1" x14ac:dyDescent="0.3">
      <c r="A14" s="198" t="s">
        <v>24</v>
      </c>
      <c r="B14" s="200">
        <f>'8 - 14 March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'8 - 14 March 2021'!D15</f>
        <v>172209.53</v>
      </c>
      <c r="C15" s="73">
        <v>137714.01999999999</v>
      </c>
      <c r="D15" s="145">
        <v>196261.01</v>
      </c>
      <c r="E15" s="145">
        <v>542994.11</v>
      </c>
      <c r="F15" s="163">
        <f t="shared" si="0"/>
        <v>0.4251345650936631</v>
      </c>
      <c r="G15" s="155">
        <f t="shared" si="3"/>
        <v>0.13966404762849077</v>
      </c>
      <c r="H15" s="150">
        <v>658</v>
      </c>
      <c r="I15" s="63">
        <f t="shared" si="4"/>
        <v>298.26901215805475</v>
      </c>
      <c r="J15" s="61">
        <v>53</v>
      </c>
      <c r="K15" s="28">
        <f t="shared" si="1"/>
        <v>8.0547112462006076E-2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</f>
        <v>933</v>
      </c>
      <c r="M15" s="172">
        <f t="shared" si="2"/>
        <v>1.4179331306990881</v>
      </c>
      <c r="N15" s="260">
        <v>0</v>
      </c>
      <c r="O15" s="89">
        <f t="shared" si="5"/>
        <v>0</v>
      </c>
      <c r="P15" s="260">
        <v>22455.3</v>
      </c>
      <c r="Q15" s="89">
        <f t="shared" si="6"/>
        <v>0.11441549190030154</v>
      </c>
      <c r="R15" s="130">
        <v>5670.2</v>
      </c>
      <c r="S15" s="9"/>
    </row>
    <row r="16" spans="1:22" ht="15.6" customHeight="1" x14ac:dyDescent="0.3">
      <c r="A16" s="198" t="s">
        <v>27</v>
      </c>
      <c r="B16" s="200">
        <f>'8 - 14 March 2021'!D16</f>
        <v>128763</v>
      </c>
      <c r="C16" s="73">
        <v>63130.559999999998</v>
      </c>
      <c r="D16" s="145">
        <v>111117.75999999999</v>
      </c>
      <c r="E16" s="145">
        <v>357728.56</v>
      </c>
      <c r="F16" s="163">
        <f t="shared" si="0"/>
        <v>0.76012631600289937</v>
      </c>
      <c r="G16" s="155">
        <f t="shared" si="3"/>
        <v>-0.13703657106466924</v>
      </c>
      <c r="H16" s="150">
        <v>411</v>
      </c>
      <c r="I16" s="63">
        <f t="shared" si="4"/>
        <v>270.3595133819951</v>
      </c>
      <c r="J16" s="61">
        <v>33</v>
      </c>
      <c r="K16" s="28">
        <f t="shared" si="1"/>
        <v>8.0291970802919707E-2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</f>
        <v>805</v>
      </c>
      <c r="M16" s="172">
        <f t="shared" si="2"/>
        <v>1.9586374695863746</v>
      </c>
      <c r="N16" s="260">
        <v>23475.96</v>
      </c>
      <c r="O16" s="89">
        <f t="shared" si="5"/>
        <v>0.21127099754350701</v>
      </c>
      <c r="P16" s="260">
        <v>11609.83</v>
      </c>
      <c r="Q16" s="89">
        <f t="shared" si="6"/>
        <v>0.10448221778408781</v>
      </c>
      <c r="R16" s="130">
        <v>6438.5</v>
      </c>
      <c r="S16" s="9"/>
      <c r="V16" s="238"/>
    </row>
    <row r="17" spans="1:19" ht="15.6" customHeight="1" x14ac:dyDescent="0.3">
      <c r="A17" s="251" t="s">
        <v>28</v>
      </c>
      <c r="B17" s="200">
        <f>'8 - 14 March 2021'!D17</f>
        <v>163994.21</v>
      </c>
      <c r="C17" s="73">
        <v>99672.75</v>
      </c>
      <c r="D17" s="145">
        <v>154734.54</v>
      </c>
      <c r="E17" s="145">
        <v>483702.87</v>
      </c>
      <c r="F17" s="163">
        <f t="shared" si="0"/>
        <v>0.5524257131462712</v>
      </c>
      <c r="G17" s="155">
        <f t="shared" si="3"/>
        <v>-5.6463395872329784E-2</v>
      </c>
      <c r="H17" s="150">
        <v>632</v>
      </c>
      <c r="I17" s="63">
        <f t="shared" si="4"/>
        <v>244.83313291139243</v>
      </c>
      <c r="J17" s="61">
        <v>60</v>
      </c>
      <c r="K17" s="28">
        <f t="shared" si="1"/>
        <v>9.49367088607595E-2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</f>
        <v>956</v>
      </c>
      <c r="M17" s="172">
        <f t="shared" si="2"/>
        <v>1.5126582278481013</v>
      </c>
      <c r="N17" s="260">
        <v>27904.43</v>
      </c>
      <c r="O17" s="89">
        <f t="shared" si="5"/>
        <v>0.18033743468006561</v>
      </c>
      <c r="P17" s="260">
        <v>8789.8700000000008</v>
      </c>
      <c r="Q17" s="89">
        <f t="shared" si="6"/>
        <v>5.680612744898457E-2</v>
      </c>
      <c r="R17" s="130">
        <v>4224.5</v>
      </c>
      <c r="S17" s="9"/>
    </row>
    <row r="18" spans="1:19" ht="15.6" customHeight="1" x14ac:dyDescent="0.3">
      <c r="A18" s="198" t="s">
        <v>33</v>
      </c>
      <c r="B18" s="200">
        <f>'8 - 14 March 2021'!D18</f>
        <v>136531.20000000001</v>
      </c>
      <c r="C18" s="73">
        <v>112201.62</v>
      </c>
      <c r="D18" s="145">
        <v>139950.44</v>
      </c>
      <c r="E18" s="145">
        <v>413259.47</v>
      </c>
      <c r="F18" s="163">
        <f t="shared" si="0"/>
        <v>0.24731211545786957</v>
      </c>
      <c r="G18" s="155">
        <f t="shared" si="3"/>
        <v>2.504365302582846E-2</v>
      </c>
      <c r="H18" s="150">
        <v>535</v>
      </c>
      <c r="I18" s="258">
        <f t="shared" si="4"/>
        <v>261.58960747663554</v>
      </c>
      <c r="J18" s="61">
        <v>46</v>
      </c>
      <c r="K18" s="28">
        <f t="shared" si="1"/>
        <v>8.5981308411214957E-2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</f>
        <v>908</v>
      </c>
      <c r="M18" s="172">
        <f t="shared" si="2"/>
        <v>1.6971962616822429</v>
      </c>
      <c r="N18" s="260">
        <v>19221.259999999998</v>
      </c>
      <c r="O18" s="89">
        <f t="shared" si="5"/>
        <v>0.13734333382588865</v>
      </c>
      <c r="P18" s="260">
        <v>12006.93</v>
      </c>
      <c r="Q18" s="89">
        <f t="shared" si="6"/>
        <v>8.5794156845809127E-2</v>
      </c>
      <c r="R18" s="130">
        <v>4556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55" priority="10" operator="equal">
      <formula>0</formula>
    </cfRule>
  </conditionalFormatting>
  <conditionalFormatting sqref="D7:E19">
    <cfRule type="cellIs" dxfId="354" priority="2" operator="equal">
      <formula>0</formula>
    </cfRule>
  </conditionalFormatting>
  <conditionalFormatting sqref="F6:R19">
    <cfRule type="cellIs" dxfId="35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V41"/>
  <sheetViews>
    <sheetView zoomScale="70" zoomScaleNormal="70" workbookViewId="0">
      <pane xSplit="1" topLeftCell="B1" activePane="topRight" state="frozen"/>
      <selection pane="topRight" activeCell="E8" sqref="E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6.2890722298654813</v>
      </c>
      <c r="G2" s="400">
        <f>(((D4-D19-B19)-B4)/D4)</f>
        <v>9.7212685685477376E-2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30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1879793.8299999998</v>
      </c>
      <c r="C4" s="135">
        <f>SUM(C6:C19)-C14-C19</f>
        <v>285662.02999999997</v>
      </c>
      <c r="D4" s="142">
        <f>SUM(D6:D19)-D19</f>
        <v>2082211.17</v>
      </c>
      <c r="E4" s="142">
        <f>SUM(E6:E19)-E19</f>
        <v>7853903.9900000002</v>
      </c>
      <c r="F4" s="217">
        <f t="shared" ref="F4:F19" si="0">IFERROR((SUM(D4-C4)/C4),0)</f>
        <v>6.2890722298654813</v>
      </c>
      <c r="G4" s="217">
        <f>IFERROR((SUM(D4-B4)/D4),0)</f>
        <v>9.7212685685477376E-2</v>
      </c>
      <c r="H4" s="147">
        <f>SUM(H6:H19)</f>
        <v>7442</v>
      </c>
      <c r="I4" s="218">
        <f>AVERAGE(I5:I19)</f>
        <v>238.32255681851061</v>
      </c>
      <c r="J4" s="219">
        <f>SUM(J6:J19)</f>
        <v>698</v>
      </c>
      <c r="K4" s="220">
        <f t="shared" ref="K4:K19" si="1">IFERROR(J4/H4,0)</f>
        <v>9.3791991400161243E-2</v>
      </c>
      <c r="L4" s="221">
        <f>SUM(L6:L19)</f>
        <v>12739</v>
      </c>
      <c r="M4" s="222">
        <f t="shared" ref="M4:M19" si="2">IFERROR(L4/SUM(H4),0)</f>
        <v>1.7117710292932007</v>
      </c>
      <c r="N4" s="249">
        <f>SUM(N6:N19)</f>
        <v>327667.75</v>
      </c>
      <c r="O4" s="222">
        <f>SUM(N4/D4)</f>
        <v>0.15736528298424218</v>
      </c>
      <c r="P4" s="244">
        <f>SUM(P6:P19)</f>
        <v>165931.15999999997</v>
      </c>
      <c r="Q4" s="222">
        <f>SUM(P4/D4)</f>
        <v>7.9689880829906398E-2</v>
      </c>
      <c r="R4" s="257">
        <f>SUM(R6:R19)</f>
        <v>70956.900000000009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'15 - 21 March 2021'!D6</f>
        <v>206498.35</v>
      </c>
      <c r="C6" s="255">
        <v>7718.87</v>
      </c>
      <c r="D6" s="197">
        <v>239554.84</v>
      </c>
      <c r="E6" s="129">
        <v>828396.66</v>
      </c>
      <c r="F6" s="162">
        <f t="shared" si="0"/>
        <v>30.034962371435199</v>
      </c>
      <c r="G6" s="154">
        <f t="shared" ref="G6:G19" si="3">IFERROR((SUM(D6-B6)/B6),0)</f>
        <v>0.16008113382019754</v>
      </c>
      <c r="H6" s="149">
        <v>798</v>
      </c>
      <c r="I6" s="256">
        <f t="shared" ref="I6:I19" si="4">IFERROR(D6/H6,0)</f>
        <v>300.19403508771927</v>
      </c>
      <c r="J6" s="125">
        <v>89</v>
      </c>
      <c r="K6" s="126">
        <f t="shared" si="1"/>
        <v>0.11152882205513784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</f>
        <v>1319</v>
      </c>
      <c r="M6" s="171">
        <f t="shared" si="2"/>
        <v>1.6528822055137844</v>
      </c>
      <c r="N6" s="259">
        <v>57980.61</v>
      </c>
      <c r="O6" s="128">
        <f t="shared" ref="O6:O19" si="5">SUM(N6/D6)</f>
        <v>0.24203480923199047</v>
      </c>
      <c r="P6" s="260">
        <v>2089.09</v>
      </c>
      <c r="Q6" s="128">
        <f t="shared" ref="Q6:Q19" si="6">SUM(P6/D6)</f>
        <v>8.7207171435150308E-3</v>
      </c>
      <c r="R6" s="129">
        <v>8223</v>
      </c>
      <c r="S6" s="26"/>
    </row>
    <row r="7" spans="1:22" ht="15.6" customHeight="1" x14ac:dyDescent="0.3">
      <c r="A7" s="409" t="s">
        <v>16</v>
      </c>
      <c r="B7" s="200">
        <f>'15 - 21 March 2021'!D7</f>
        <v>147714.4</v>
      </c>
      <c r="C7" s="73">
        <v>0</v>
      </c>
      <c r="D7" s="145">
        <v>207285.93</v>
      </c>
      <c r="E7" s="145">
        <v>702527.04</v>
      </c>
      <c r="F7" s="163">
        <f t="shared" si="0"/>
        <v>0</v>
      </c>
      <c r="G7" s="155">
        <f t="shared" si="3"/>
        <v>0.40328857579220445</v>
      </c>
      <c r="H7" s="150">
        <v>633</v>
      </c>
      <c r="I7" s="63">
        <f t="shared" si="4"/>
        <v>327.46592417061612</v>
      </c>
      <c r="J7" s="61">
        <v>64</v>
      </c>
      <c r="K7" s="28">
        <f t="shared" si="1"/>
        <v>0.10110584518167456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</f>
        <v>1296</v>
      </c>
      <c r="M7" s="172">
        <f t="shared" si="2"/>
        <v>2.0473933649289098</v>
      </c>
      <c r="N7" s="260">
        <v>26165.66</v>
      </c>
      <c r="O7" s="89">
        <f t="shared" si="5"/>
        <v>0.12622979282771388</v>
      </c>
      <c r="P7" s="260">
        <v>9891.2199999999993</v>
      </c>
      <c r="Q7" s="89">
        <f t="shared" si="6"/>
        <v>4.7717758749954708E-2</v>
      </c>
      <c r="R7" s="130">
        <v>5679.6</v>
      </c>
      <c r="S7" s="26"/>
    </row>
    <row r="8" spans="1:22" ht="15.6" customHeight="1" x14ac:dyDescent="0.3">
      <c r="A8" s="409" t="s">
        <v>17</v>
      </c>
      <c r="B8" s="200">
        <f>'15 - 21 March 2021'!D8</f>
        <v>108914.78</v>
      </c>
      <c r="C8" s="73">
        <v>12440.85</v>
      </c>
      <c r="D8" s="145">
        <v>106593.48</v>
      </c>
      <c r="E8" s="145">
        <v>430024</v>
      </c>
      <c r="F8" s="163">
        <f t="shared" si="0"/>
        <v>7.568022281435753</v>
      </c>
      <c r="G8" s="155">
        <f t="shared" si="3"/>
        <v>-2.1312993516582442E-2</v>
      </c>
      <c r="H8" s="150">
        <v>420</v>
      </c>
      <c r="I8" s="63">
        <f t="shared" si="4"/>
        <v>253.79399999999998</v>
      </c>
      <c r="J8" s="61">
        <v>43</v>
      </c>
      <c r="K8" s="28">
        <f t="shared" si="1"/>
        <v>0.10238095238095238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</f>
        <v>821</v>
      </c>
      <c r="M8" s="172">
        <f t="shared" si="2"/>
        <v>1.9547619047619047</v>
      </c>
      <c r="N8" s="260">
        <v>33060.54</v>
      </c>
      <c r="O8" s="89">
        <f t="shared" si="5"/>
        <v>0.31015536785176734</v>
      </c>
      <c r="P8" s="260">
        <v>11389.26</v>
      </c>
      <c r="Q8" s="89">
        <f t="shared" si="6"/>
        <v>0.10684762332555425</v>
      </c>
      <c r="R8" s="130">
        <v>2387</v>
      </c>
      <c r="S8" s="26"/>
    </row>
    <row r="9" spans="1:22" ht="15.6" customHeight="1" x14ac:dyDescent="0.3">
      <c r="A9" s="409" t="s">
        <v>18</v>
      </c>
      <c r="B9" s="200">
        <f>'15 - 21 March 2021'!D9</f>
        <v>155464.65</v>
      </c>
      <c r="C9" s="73">
        <v>13726.91</v>
      </c>
      <c r="D9" s="145">
        <v>211727.89</v>
      </c>
      <c r="E9" s="145">
        <v>732249.93</v>
      </c>
      <c r="F9" s="163">
        <f t="shared" si="0"/>
        <v>14.424293595572493</v>
      </c>
      <c r="G9" s="155">
        <f t="shared" si="3"/>
        <v>0.36190375110997919</v>
      </c>
      <c r="H9" s="150">
        <v>742</v>
      </c>
      <c r="I9" s="63">
        <f t="shared" si="4"/>
        <v>285.34756064690026</v>
      </c>
      <c r="J9" s="61">
        <v>100</v>
      </c>
      <c r="K9" s="28">
        <f t="shared" si="1"/>
        <v>0.13477088948787061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</f>
        <v>1389</v>
      </c>
      <c r="M9" s="172">
        <f t="shared" si="2"/>
        <v>1.871967654986523</v>
      </c>
      <c r="N9" s="260">
        <v>20070.13</v>
      </c>
      <c r="O9" s="89">
        <f t="shared" si="5"/>
        <v>9.4792093757700036E-2</v>
      </c>
      <c r="P9" s="260">
        <v>15481.21</v>
      </c>
      <c r="Q9" s="89">
        <f t="shared" si="6"/>
        <v>7.3118425730308828E-2</v>
      </c>
      <c r="R9" s="130">
        <v>7327.7</v>
      </c>
      <c r="S9" s="26"/>
    </row>
    <row r="10" spans="1:22" ht="15.6" customHeight="1" x14ac:dyDescent="0.3">
      <c r="A10" s="411" t="s">
        <v>20</v>
      </c>
      <c r="B10" s="200">
        <f>'15 - 21 March 2021'!D10</f>
        <v>133790.07999999999</v>
      </c>
      <c r="C10" s="73">
        <v>5282.99</v>
      </c>
      <c r="D10" s="145">
        <v>135888.34</v>
      </c>
      <c r="E10" s="145">
        <v>537579.78</v>
      </c>
      <c r="F10" s="163">
        <f t="shared" si="0"/>
        <v>24.721862051603352</v>
      </c>
      <c r="G10" s="155">
        <f t="shared" si="3"/>
        <v>1.5683225542581405E-2</v>
      </c>
      <c r="H10" s="150">
        <v>472</v>
      </c>
      <c r="I10" s="63">
        <f t="shared" si="4"/>
        <v>287.8990254237288</v>
      </c>
      <c r="J10" s="61">
        <v>44</v>
      </c>
      <c r="K10" s="28">
        <f t="shared" si="1"/>
        <v>9.3220338983050849E-2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</f>
        <v>1077</v>
      </c>
      <c r="M10" s="172">
        <f t="shared" si="2"/>
        <v>2.281779661016949</v>
      </c>
      <c r="N10" s="260">
        <v>23769.97</v>
      </c>
      <c r="O10" s="89">
        <f t="shared" si="5"/>
        <v>0.17492280794658321</v>
      </c>
      <c r="P10" s="260">
        <v>16949.09</v>
      </c>
      <c r="Q10" s="89">
        <f t="shared" si="6"/>
        <v>0.12472806717633021</v>
      </c>
      <c r="R10" s="130">
        <v>4061.5</v>
      </c>
      <c r="S10" s="26"/>
    </row>
    <row r="11" spans="1:22" ht="15.6" customHeight="1" x14ac:dyDescent="0.3">
      <c r="A11" s="409" t="s">
        <v>21</v>
      </c>
      <c r="B11" s="200">
        <f>'15 - 21 March 2021'!D11</f>
        <v>243817.58</v>
      </c>
      <c r="C11" s="73">
        <v>53288.52</v>
      </c>
      <c r="D11" s="145">
        <v>269732.09999999998</v>
      </c>
      <c r="E11" s="145">
        <v>991916.63</v>
      </c>
      <c r="F11" s="163">
        <f t="shared" si="0"/>
        <v>4.0617299936271456</v>
      </c>
      <c r="G11" s="155">
        <f t="shared" si="3"/>
        <v>0.10628651141562472</v>
      </c>
      <c r="H11" s="150">
        <v>937</v>
      </c>
      <c r="I11" s="63">
        <f t="shared" si="4"/>
        <v>287.86776947705442</v>
      </c>
      <c r="J11" s="61">
        <v>69</v>
      </c>
      <c r="K11" s="28">
        <f t="shared" si="1"/>
        <v>7.3639274279615793E-2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</f>
        <v>1348</v>
      </c>
      <c r="M11" s="172">
        <f t="shared" si="2"/>
        <v>1.4386339381003201</v>
      </c>
      <c r="N11" s="260">
        <v>42326.87</v>
      </c>
      <c r="O11" s="89">
        <f t="shared" si="5"/>
        <v>0.1569218865681912</v>
      </c>
      <c r="P11" s="260">
        <v>18619.48</v>
      </c>
      <c r="Q11" s="89">
        <f t="shared" si="6"/>
        <v>6.9029529670365533E-2</v>
      </c>
      <c r="R11" s="130">
        <v>13890.2</v>
      </c>
      <c r="S11" s="26"/>
    </row>
    <row r="12" spans="1:22" ht="15.6" customHeight="1" x14ac:dyDescent="0.3">
      <c r="A12" s="198" t="s">
        <v>22</v>
      </c>
      <c r="B12" s="200">
        <f>'15 - 21 March 2021'!D12</f>
        <v>106568.05</v>
      </c>
      <c r="C12" s="73">
        <v>3497.43</v>
      </c>
      <c r="D12" s="145">
        <v>104694.16</v>
      </c>
      <c r="E12" s="145">
        <v>457634.55</v>
      </c>
      <c r="F12" s="163">
        <f t="shared" si="0"/>
        <v>28.934597690304027</v>
      </c>
      <c r="G12" s="155">
        <f t="shared" si="3"/>
        <v>-1.7583975685020035E-2</v>
      </c>
      <c r="H12" s="150">
        <v>380</v>
      </c>
      <c r="I12" s="63">
        <f t="shared" si="4"/>
        <v>275.51094736842106</v>
      </c>
      <c r="J12" s="61">
        <v>37</v>
      </c>
      <c r="K12" s="28">
        <f t="shared" si="1"/>
        <v>9.7368421052631576E-2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</f>
        <v>632</v>
      </c>
      <c r="M12" s="172">
        <f t="shared" si="2"/>
        <v>1.6631578947368422</v>
      </c>
      <c r="N12" s="260">
        <v>14998.57</v>
      </c>
      <c r="O12" s="89">
        <f t="shared" si="5"/>
        <v>0.14326080843477801</v>
      </c>
      <c r="P12" s="260">
        <v>5520.91</v>
      </c>
      <c r="Q12" s="89">
        <f t="shared" si="6"/>
        <v>5.2733695938722847E-2</v>
      </c>
      <c r="R12" s="130">
        <v>6637</v>
      </c>
      <c r="S12" s="26"/>
    </row>
    <row r="13" spans="1:22" ht="15.6" customHeight="1" x14ac:dyDescent="0.3">
      <c r="A13" s="198" t="s">
        <v>23</v>
      </c>
      <c r="B13" s="200">
        <f>'15 - 21 March 2021'!D13</f>
        <v>174962.19</v>
      </c>
      <c r="C13" s="73">
        <v>58443.839999999997</v>
      </c>
      <c r="D13" s="145">
        <v>186508.59</v>
      </c>
      <c r="E13" s="145">
        <v>755664.55</v>
      </c>
      <c r="F13" s="163">
        <f t="shared" si="0"/>
        <v>2.1912446204766836</v>
      </c>
      <c r="G13" s="155">
        <f t="shared" si="3"/>
        <v>6.5993686978883803E-2</v>
      </c>
      <c r="H13" s="150">
        <v>702</v>
      </c>
      <c r="I13" s="63">
        <f t="shared" si="4"/>
        <v>265.68175213675215</v>
      </c>
      <c r="J13" s="61">
        <v>58</v>
      </c>
      <c r="K13" s="28">
        <f t="shared" si="1"/>
        <v>8.2621082621082614E-2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</f>
        <v>1061</v>
      </c>
      <c r="M13" s="172">
        <f t="shared" si="2"/>
        <v>1.5113960113960114</v>
      </c>
      <c r="N13" s="260">
        <v>26313.599999999999</v>
      </c>
      <c r="O13" s="89">
        <f t="shared" si="5"/>
        <v>0.14108519076788903</v>
      </c>
      <c r="P13" s="260">
        <v>23511.91</v>
      </c>
      <c r="Q13" s="89">
        <f t="shared" si="6"/>
        <v>0.12606341616758779</v>
      </c>
      <c r="R13" s="130">
        <v>2500</v>
      </c>
      <c r="S13" s="26"/>
    </row>
    <row r="14" spans="1:22" ht="15.6" hidden="1" customHeight="1" x14ac:dyDescent="0.3">
      <c r="A14" s="198" t="s">
        <v>24</v>
      </c>
      <c r="B14" s="200">
        <f>'15 - 21 March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'15 - 21 March 2021'!D15</f>
        <v>196261.01</v>
      </c>
      <c r="C15" s="73">
        <v>84109.27</v>
      </c>
      <c r="D15" s="145">
        <v>184312.76</v>
      </c>
      <c r="E15" s="145">
        <v>727306.87</v>
      </c>
      <c r="F15" s="163">
        <f t="shared" si="0"/>
        <v>1.1913489440581282</v>
      </c>
      <c r="G15" s="155">
        <f t="shared" si="3"/>
        <v>-6.0879387097824471E-2</v>
      </c>
      <c r="H15" s="150">
        <v>637</v>
      </c>
      <c r="I15" s="63">
        <f t="shared" si="4"/>
        <v>289.34499215070645</v>
      </c>
      <c r="J15" s="61">
        <v>42</v>
      </c>
      <c r="K15" s="28">
        <f t="shared" si="1"/>
        <v>6.5934065934065936E-2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</f>
        <v>975</v>
      </c>
      <c r="M15" s="172">
        <f t="shared" si="2"/>
        <v>1.5306122448979591</v>
      </c>
      <c r="N15" s="260">
        <v>0</v>
      </c>
      <c r="O15" s="89">
        <f t="shared" si="5"/>
        <v>0</v>
      </c>
      <c r="P15" s="260">
        <v>15318.78</v>
      </c>
      <c r="Q15" s="89">
        <f t="shared" si="6"/>
        <v>8.3112965157702598E-2</v>
      </c>
      <c r="R15" s="130">
        <v>3922.4</v>
      </c>
      <c r="S15" s="9"/>
    </row>
    <row r="16" spans="1:22" ht="15.6" customHeight="1" x14ac:dyDescent="0.3">
      <c r="A16" s="198" t="s">
        <v>27</v>
      </c>
      <c r="B16" s="200">
        <f>'15 - 21 March 2021'!D16</f>
        <v>111117.75999999999</v>
      </c>
      <c r="C16" s="73">
        <v>2744.65</v>
      </c>
      <c r="D16" s="145">
        <v>136626.65</v>
      </c>
      <c r="E16" s="145">
        <v>494355.21</v>
      </c>
      <c r="F16" s="163">
        <f t="shared" si="0"/>
        <v>48.779261472318872</v>
      </c>
      <c r="G16" s="155">
        <f t="shared" si="3"/>
        <v>0.22956627275423838</v>
      </c>
      <c r="H16" s="150">
        <v>502</v>
      </c>
      <c r="I16" s="63">
        <f t="shared" si="4"/>
        <v>272.16464143426293</v>
      </c>
      <c r="J16" s="61">
        <v>51</v>
      </c>
      <c r="K16" s="28">
        <f t="shared" si="1"/>
        <v>0.10159362549800798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</f>
        <v>856</v>
      </c>
      <c r="M16" s="172">
        <f t="shared" si="2"/>
        <v>1.7051792828685259</v>
      </c>
      <c r="N16" s="260">
        <v>28736.54</v>
      </c>
      <c r="O16" s="89">
        <f t="shared" si="5"/>
        <v>0.21032895119656378</v>
      </c>
      <c r="P16" s="260">
        <v>17356.78</v>
      </c>
      <c r="Q16" s="89">
        <f t="shared" si="6"/>
        <v>0.12703802662218536</v>
      </c>
      <c r="R16" s="130">
        <v>6539.5</v>
      </c>
      <c r="S16" s="9"/>
      <c r="V16" s="238"/>
    </row>
    <row r="17" spans="1:19" ht="15.6" customHeight="1" x14ac:dyDescent="0.3">
      <c r="A17" s="251" t="s">
        <v>28</v>
      </c>
      <c r="B17" s="200">
        <f>'15 - 21 March 2021'!D17</f>
        <v>154734.54</v>
      </c>
      <c r="C17" s="73">
        <v>4521.47</v>
      </c>
      <c r="D17" s="145">
        <v>153117.04</v>
      </c>
      <c r="E17" s="145">
        <v>636819.91</v>
      </c>
      <c r="F17" s="163">
        <f t="shared" si="0"/>
        <v>32.864437892986132</v>
      </c>
      <c r="G17" s="155">
        <f t="shared" si="3"/>
        <v>-1.0453386813312657E-2</v>
      </c>
      <c r="H17" s="150">
        <v>631</v>
      </c>
      <c r="I17" s="63">
        <f t="shared" si="4"/>
        <v>242.6577496038035</v>
      </c>
      <c r="J17" s="61">
        <v>67</v>
      </c>
      <c r="K17" s="28">
        <f t="shared" si="1"/>
        <v>0.10618066561014262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</f>
        <v>1023</v>
      </c>
      <c r="M17" s="172">
        <f t="shared" si="2"/>
        <v>1.6212361331220286</v>
      </c>
      <c r="N17" s="260">
        <v>33042.04</v>
      </c>
      <c r="O17" s="89">
        <f t="shared" si="5"/>
        <v>0.21579596888759081</v>
      </c>
      <c r="P17" s="260">
        <v>14547.83</v>
      </c>
      <c r="Q17" s="89">
        <f t="shared" si="6"/>
        <v>9.5011175764630765E-2</v>
      </c>
      <c r="R17" s="130">
        <v>5552.45</v>
      </c>
      <c r="S17" s="9"/>
    </row>
    <row r="18" spans="1:19" ht="15.6" customHeight="1" x14ac:dyDescent="0.3">
      <c r="A18" s="198" t="s">
        <v>33</v>
      </c>
      <c r="B18" s="200">
        <f>'15 - 21 March 2021'!D18</f>
        <v>139950.44</v>
      </c>
      <c r="C18" s="73">
        <v>39887.230000000003</v>
      </c>
      <c r="D18" s="145">
        <v>146169.39000000001</v>
      </c>
      <c r="E18" s="145">
        <v>559428.86</v>
      </c>
      <c r="F18" s="163">
        <f t="shared" si="0"/>
        <v>2.6645660779151621</v>
      </c>
      <c r="G18" s="155">
        <f t="shared" si="3"/>
        <v>4.4436802056499511E-2</v>
      </c>
      <c r="H18" s="150">
        <v>588</v>
      </c>
      <c r="I18" s="258">
        <f t="shared" si="4"/>
        <v>248.5873979591837</v>
      </c>
      <c r="J18" s="61">
        <v>34</v>
      </c>
      <c r="K18" s="28">
        <f t="shared" si="1"/>
        <v>5.7823129251700682E-2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</f>
        <v>942</v>
      </c>
      <c r="M18" s="172">
        <f t="shared" si="2"/>
        <v>1.6020408163265305</v>
      </c>
      <c r="N18" s="260">
        <v>21203.22</v>
      </c>
      <c r="O18" s="89">
        <f t="shared" si="5"/>
        <v>0.14505923572644039</v>
      </c>
      <c r="P18" s="260">
        <v>15255.6</v>
      </c>
      <c r="Q18" s="89">
        <f t="shared" si="6"/>
        <v>0.10436932110067641</v>
      </c>
      <c r="R18" s="130">
        <v>4236.55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52" priority="10" operator="equal">
      <formula>0</formula>
    </cfRule>
  </conditionalFormatting>
  <conditionalFormatting sqref="D7:E19">
    <cfRule type="cellIs" dxfId="351" priority="2" operator="equal">
      <formula>0</formula>
    </cfRule>
  </conditionalFormatting>
  <conditionalFormatting sqref="F6:R19">
    <cfRule type="cellIs" dxfId="35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V41"/>
  <sheetViews>
    <sheetView zoomScale="70" zoomScaleNormal="70" workbookViewId="0">
      <pane xSplit="1" topLeftCell="B1" activePane="topRight" state="frozen"/>
      <selection pane="topRight" activeCell="P13" sqref="P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-0.29933593145234827</v>
      </c>
      <c r="G2" s="400">
        <f>(((D4-D19-B19)-B4)/D4)</f>
        <v>-1.8639286710545041E-2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2082211.17</v>
      </c>
      <c r="C4" s="135">
        <f>SUM(C6:C19)-C14-C19</f>
        <v>2917390.0900000003</v>
      </c>
      <c r="D4" s="142">
        <f>SUM(D6:D19)-D19</f>
        <v>2044110.4100000001</v>
      </c>
      <c r="E4" s="142">
        <f>SUM(E6:E19)-E19</f>
        <v>1387428.44</v>
      </c>
      <c r="F4" s="217">
        <f t="shared" ref="F4:F19" si="0">IFERROR((SUM(D4-C4)/C4),0)</f>
        <v>-0.29933593145234827</v>
      </c>
      <c r="G4" s="217">
        <f>IFERROR((SUM(D4-B4)/D4),0)</f>
        <v>-1.8639286710545041E-2</v>
      </c>
      <c r="H4" s="147">
        <f>SUM(H6:H19)</f>
        <v>7301</v>
      </c>
      <c r="I4" s="218">
        <f>AVERAGE(I5:I19)</f>
        <v>234.36451224135178</v>
      </c>
      <c r="J4" s="219">
        <f>SUM(J6:J19)</f>
        <v>760</v>
      </c>
      <c r="K4" s="220">
        <f t="shared" ref="K4:K19" si="1">IFERROR(J4/H4,0)</f>
        <v>0.10409532940693056</v>
      </c>
      <c r="L4" s="221">
        <f>SUM(L6:L19)</f>
        <v>13499</v>
      </c>
      <c r="M4" s="222">
        <f t="shared" ref="M4:M19" si="2">IFERROR(L4/SUM(H4),0)</f>
        <v>1.8489248048212574</v>
      </c>
      <c r="N4" s="249">
        <f>SUM(N6:N19)</f>
        <v>301801.05</v>
      </c>
      <c r="O4" s="222">
        <f>SUM(N4/D4)</f>
        <v>0.14764420186089652</v>
      </c>
      <c r="P4" s="244">
        <f>SUM(P6:P19)</f>
        <v>148679.28</v>
      </c>
      <c r="Q4" s="222">
        <f>SUM(P4/D4)</f>
        <v>7.2735444853000861E-2</v>
      </c>
      <c r="R4" s="257">
        <f>SUM(R6:R19)</f>
        <v>67017.25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'22 - 28 March 2021'!D6</f>
        <v>239554.84</v>
      </c>
      <c r="C6" s="255">
        <v>302665.28999999998</v>
      </c>
      <c r="D6" s="197">
        <v>236609.43</v>
      </c>
      <c r="E6" s="129">
        <v>189270.79</v>
      </c>
      <c r="F6" s="162">
        <f t="shared" si="0"/>
        <v>-0.21824722616855072</v>
      </c>
      <c r="G6" s="154">
        <f t="shared" ref="G6:G19" si="3">IFERROR((SUM(D6-B6)/B6),0)</f>
        <v>-1.2295347487030543E-2</v>
      </c>
      <c r="H6" s="149">
        <v>745</v>
      </c>
      <c r="I6" s="256">
        <f t="shared" ref="I6:I19" si="4">IFERROR(D6/H6,0)</f>
        <v>317.59655033557044</v>
      </c>
      <c r="J6" s="125">
        <v>106</v>
      </c>
      <c r="K6" s="126">
        <f t="shared" si="1"/>
        <v>0.14228187919463087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</f>
        <v>1425</v>
      </c>
      <c r="M6" s="171">
        <f t="shared" si="2"/>
        <v>1.912751677852349</v>
      </c>
      <c r="N6" s="259">
        <v>58386.65</v>
      </c>
      <c r="O6" s="128">
        <f t="shared" ref="O6:O19" si="5">SUM(N6/D6)</f>
        <v>0.2467638335462792</v>
      </c>
      <c r="P6" s="260">
        <v>0</v>
      </c>
      <c r="Q6" s="128">
        <f t="shared" ref="Q6:Q19" si="6">SUM(P6/D6)</f>
        <v>0</v>
      </c>
      <c r="R6" s="129">
        <v>7349.5</v>
      </c>
      <c r="S6" s="26"/>
    </row>
    <row r="7" spans="1:22" ht="15.6" customHeight="1" x14ac:dyDescent="0.3">
      <c r="A7" s="409" t="s">
        <v>16</v>
      </c>
      <c r="B7" s="200">
        <f>'22 - 28 March 2021'!D7</f>
        <v>207285.93</v>
      </c>
      <c r="C7" s="73">
        <v>258149.93</v>
      </c>
      <c r="D7" s="145">
        <v>173141.14</v>
      </c>
      <c r="E7" s="145">
        <v>130184.09</v>
      </c>
      <c r="F7" s="163">
        <f t="shared" si="0"/>
        <v>-0.32930006992448141</v>
      </c>
      <c r="G7" s="155">
        <f t="shared" si="3"/>
        <v>-0.16472314353415102</v>
      </c>
      <c r="H7" s="150">
        <v>594</v>
      </c>
      <c r="I7" s="63">
        <f t="shared" si="4"/>
        <v>291.48340067340069</v>
      </c>
      <c r="J7" s="61">
        <v>57</v>
      </c>
      <c r="K7" s="28">
        <f t="shared" si="1"/>
        <v>9.5959595959595953E-2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</f>
        <v>1353</v>
      </c>
      <c r="M7" s="172">
        <f t="shared" si="2"/>
        <v>2.2777777777777777</v>
      </c>
      <c r="N7" s="260">
        <v>22586.959999999999</v>
      </c>
      <c r="O7" s="89">
        <f t="shared" si="5"/>
        <v>0.13045403305072381</v>
      </c>
      <c r="P7" s="260">
        <v>10974.26</v>
      </c>
      <c r="Q7" s="89">
        <f t="shared" si="6"/>
        <v>6.3383318372513889E-2</v>
      </c>
      <c r="R7" s="130">
        <v>8280</v>
      </c>
      <c r="S7" s="26"/>
    </row>
    <row r="8" spans="1:22" ht="15.6" customHeight="1" x14ac:dyDescent="0.3">
      <c r="A8" s="409" t="s">
        <v>17</v>
      </c>
      <c r="B8" s="200">
        <f>'22 - 28 March 2021'!D8</f>
        <v>106593.48</v>
      </c>
      <c r="C8" s="73">
        <v>136569.38</v>
      </c>
      <c r="D8" s="145">
        <v>105353.72</v>
      </c>
      <c r="E8" s="145">
        <v>58122.86</v>
      </c>
      <c r="F8" s="163">
        <f t="shared" si="0"/>
        <v>-0.22856997666680484</v>
      </c>
      <c r="G8" s="155">
        <f t="shared" si="3"/>
        <v>-1.1630730134713631E-2</v>
      </c>
      <c r="H8" s="150">
        <v>409</v>
      </c>
      <c r="I8" s="63">
        <f t="shared" si="4"/>
        <v>257.58855745721274</v>
      </c>
      <c r="J8" s="61">
        <v>50</v>
      </c>
      <c r="K8" s="28">
        <f t="shared" si="1"/>
        <v>0.12224938875305623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</f>
        <v>871</v>
      </c>
      <c r="M8" s="172">
        <f t="shared" si="2"/>
        <v>2.1295843520782398</v>
      </c>
      <c r="N8" s="260">
        <v>31805.49</v>
      </c>
      <c r="O8" s="89">
        <f t="shared" si="5"/>
        <v>0.30189242487118634</v>
      </c>
      <c r="P8" s="260">
        <v>10814.78</v>
      </c>
      <c r="Q8" s="89">
        <f t="shared" si="6"/>
        <v>0.10265209429719235</v>
      </c>
      <c r="R8" s="130">
        <v>2698.5</v>
      </c>
      <c r="S8" s="26"/>
    </row>
    <row r="9" spans="1:22" ht="15.6" customHeight="1" x14ac:dyDescent="0.3">
      <c r="A9" s="409" t="s">
        <v>18</v>
      </c>
      <c r="B9" s="200">
        <f>'22 - 28 March 2021'!D9</f>
        <v>211727.89</v>
      </c>
      <c r="C9" s="73">
        <v>373516.14</v>
      </c>
      <c r="D9" s="145">
        <v>197422.2</v>
      </c>
      <c r="E9" s="145">
        <v>138816.32000000001</v>
      </c>
      <c r="F9" s="163">
        <f t="shared" si="0"/>
        <v>-0.47144934620495915</v>
      </c>
      <c r="G9" s="155">
        <f t="shared" si="3"/>
        <v>-6.7566393827473564E-2</v>
      </c>
      <c r="H9" s="150">
        <v>773</v>
      </c>
      <c r="I9" s="63">
        <f t="shared" si="4"/>
        <v>255.39741267787841</v>
      </c>
      <c r="J9" s="61">
        <v>72</v>
      </c>
      <c r="K9" s="28">
        <f t="shared" si="1"/>
        <v>9.3143596377749036E-2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</f>
        <v>1461</v>
      </c>
      <c r="M9" s="172">
        <f t="shared" si="2"/>
        <v>1.8900388098318242</v>
      </c>
      <c r="N9" s="260">
        <v>13697.22</v>
      </c>
      <c r="O9" s="89">
        <f t="shared" si="5"/>
        <v>6.9380343244072842E-2</v>
      </c>
      <c r="P9" s="260">
        <v>10761.65</v>
      </c>
      <c r="Q9" s="89">
        <f t="shared" si="6"/>
        <v>5.4510840219590295E-2</v>
      </c>
      <c r="R9" s="130">
        <v>5580</v>
      </c>
      <c r="S9" s="26"/>
    </row>
    <row r="10" spans="1:22" ht="15.6" customHeight="1" x14ac:dyDescent="0.3">
      <c r="A10" s="411" t="s">
        <v>20</v>
      </c>
      <c r="B10" s="200">
        <f>'22 - 28 March 2021'!D10</f>
        <v>135888.34</v>
      </c>
      <c r="C10" s="73">
        <v>160533.82</v>
      </c>
      <c r="D10" s="145">
        <v>108440.93</v>
      </c>
      <c r="E10" s="145">
        <v>65876.53</v>
      </c>
      <c r="F10" s="163">
        <f t="shared" si="0"/>
        <v>-0.32449791576628534</v>
      </c>
      <c r="G10" s="155">
        <f t="shared" si="3"/>
        <v>-0.20198502682422939</v>
      </c>
      <c r="H10" s="150">
        <v>433</v>
      </c>
      <c r="I10" s="63">
        <f t="shared" si="4"/>
        <v>250.44094688221708</v>
      </c>
      <c r="J10" s="61">
        <v>45</v>
      </c>
      <c r="K10" s="28">
        <f t="shared" si="1"/>
        <v>0.10392609699769054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</f>
        <v>1122</v>
      </c>
      <c r="M10" s="172">
        <f t="shared" si="2"/>
        <v>2.5912240184757507</v>
      </c>
      <c r="N10" s="260">
        <v>26612.19</v>
      </c>
      <c r="O10" s="89">
        <f t="shared" si="5"/>
        <v>0.24540724613851983</v>
      </c>
      <c r="P10" s="260">
        <v>16256.6</v>
      </c>
      <c r="Q10" s="89">
        <f t="shared" si="6"/>
        <v>0.14991203044828186</v>
      </c>
      <c r="R10" s="130">
        <v>6731.6</v>
      </c>
      <c r="S10" s="26"/>
    </row>
    <row r="11" spans="1:22" ht="15.6" customHeight="1" x14ac:dyDescent="0.3">
      <c r="A11" s="409" t="s">
        <v>21</v>
      </c>
      <c r="B11" s="200">
        <f>'22 - 28 March 2021'!D11</f>
        <v>269732.09999999998</v>
      </c>
      <c r="C11" s="73">
        <v>390104.3</v>
      </c>
      <c r="D11" s="145">
        <v>224658.72</v>
      </c>
      <c r="E11" s="145">
        <v>141947.01</v>
      </c>
      <c r="F11" s="163">
        <f t="shared" si="0"/>
        <v>-0.42410601472477999</v>
      </c>
      <c r="G11" s="155">
        <f t="shared" si="3"/>
        <v>-0.1671042489937237</v>
      </c>
      <c r="H11" s="150">
        <v>793</v>
      </c>
      <c r="I11" s="63">
        <f t="shared" si="4"/>
        <v>283.3022950819672</v>
      </c>
      <c r="J11" s="61">
        <v>80</v>
      </c>
      <c r="K11" s="28">
        <f t="shared" si="1"/>
        <v>0.10088272383354351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</f>
        <v>1428</v>
      </c>
      <c r="M11" s="172">
        <f t="shared" si="2"/>
        <v>1.8007566204287515</v>
      </c>
      <c r="N11" s="260">
        <v>25571.61</v>
      </c>
      <c r="O11" s="89">
        <f t="shared" si="5"/>
        <v>0.11382424862030728</v>
      </c>
      <c r="P11" s="260">
        <v>17284.04</v>
      </c>
      <c r="Q11" s="89">
        <f t="shared" si="6"/>
        <v>7.6934650032725191E-2</v>
      </c>
      <c r="R11" s="130">
        <v>6293.5</v>
      </c>
      <c r="S11" s="26"/>
    </row>
    <row r="12" spans="1:22" ht="15.6" customHeight="1" x14ac:dyDescent="0.3">
      <c r="A12" s="198" t="s">
        <v>22</v>
      </c>
      <c r="B12" s="200">
        <f>'22 - 28 March 2021'!D12</f>
        <v>104694.16</v>
      </c>
      <c r="C12" s="73">
        <v>145176.81</v>
      </c>
      <c r="D12" s="145">
        <v>94333.82</v>
      </c>
      <c r="E12" s="145">
        <v>51245.62</v>
      </c>
      <c r="F12" s="163">
        <f t="shared" si="0"/>
        <v>-0.35021426631429631</v>
      </c>
      <c r="G12" s="155">
        <f t="shared" si="3"/>
        <v>-9.8958146280556589E-2</v>
      </c>
      <c r="H12" s="150">
        <v>392</v>
      </c>
      <c r="I12" s="63">
        <f t="shared" si="4"/>
        <v>240.64750000000001</v>
      </c>
      <c r="J12" s="61">
        <v>26</v>
      </c>
      <c r="K12" s="28">
        <f t="shared" si="1"/>
        <v>6.6326530612244902E-2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</f>
        <v>658</v>
      </c>
      <c r="M12" s="172">
        <f t="shared" si="2"/>
        <v>1.6785714285714286</v>
      </c>
      <c r="N12" s="260">
        <v>13740.87</v>
      </c>
      <c r="O12" s="89">
        <f t="shared" si="5"/>
        <v>0.14566218138945289</v>
      </c>
      <c r="P12" s="260">
        <v>5019.74</v>
      </c>
      <c r="Q12" s="89">
        <f t="shared" si="6"/>
        <v>5.3212516995495354E-2</v>
      </c>
      <c r="R12" s="130">
        <v>6736</v>
      </c>
      <c r="S12" s="26"/>
    </row>
    <row r="13" spans="1:22" ht="15.6" customHeight="1" x14ac:dyDescent="0.3">
      <c r="A13" s="198" t="s">
        <v>23</v>
      </c>
      <c r="B13" s="200">
        <f>'22 - 28 March 2021'!D13</f>
        <v>186508.59</v>
      </c>
      <c r="C13" s="73">
        <v>248268.47</v>
      </c>
      <c r="D13" s="145">
        <v>180677.39</v>
      </c>
      <c r="E13" s="145">
        <v>117425.98</v>
      </c>
      <c r="F13" s="163">
        <f t="shared" si="0"/>
        <v>-0.27224995586431089</v>
      </c>
      <c r="G13" s="155">
        <f t="shared" si="3"/>
        <v>-3.1265047899402286E-2</v>
      </c>
      <c r="H13" s="150">
        <v>671</v>
      </c>
      <c r="I13" s="63">
        <f t="shared" si="4"/>
        <v>269.26585692995531</v>
      </c>
      <c r="J13" s="61">
        <v>62</v>
      </c>
      <c r="K13" s="28">
        <f t="shared" si="1"/>
        <v>9.2399403874813713E-2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</f>
        <v>1123</v>
      </c>
      <c r="M13" s="172">
        <f t="shared" si="2"/>
        <v>1.6736214605067063</v>
      </c>
      <c r="N13" s="260">
        <v>27443.75</v>
      </c>
      <c r="O13" s="89">
        <f t="shared" si="5"/>
        <v>0.15189365974347979</v>
      </c>
      <c r="P13" s="260">
        <v>18432.349999999999</v>
      </c>
      <c r="Q13" s="89">
        <f t="shared" si="6"/>
        <v>0.10201802228823428</v>
      </c>
      <c r="R13" s="130">
        <v>4039.5</v>
      </c>
      <c r="S13" s="26"/>
    </row>
    <row r="14" spans="1:22" ht="15.6" hidden="1" customHeight="1" x14ac:dyDescent="0.3">
      <c r="A14" s="198" t="s">
        <v>24</v>
      </c>
      <c r="B14" s="200">
        <f>'22 - 28 March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'22 - 28 March 2021'!D15</f>
        <v>184312.76</v>
      </c>
      <c r="C15" s="73">
        <v>325247.42</v>
      </c>
      <c r="D15" s="145">
        <v>327868.75</v>
      </c>
      <c r="E15" s="145">
        <v>236906.81</v>
      </c>
      <c r="F15" s="163">
        <f t="shared" si="0"/>
        <v>8.0594951375786983E-3</v>
      </c>
      <c r="G15" s="155">
        <f t="shared" si="3"/>
        <v>0.77887168528104067</v>
      </c>
      <c r="H15" s="150">
        <v>931</v>
      </c>
      <c r="I15" s="63">
        <f t="shared" si="4"/>
        <v>352.16836734693879</v>
      </c>
      <c r="J15" s="61">
        <v>104</v>
      </c>
      <c r="K15" s="28">
        <f t="shared" si="1"/>
        <v>0.11170784103114931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</f>
        <v>1079</v>
      </c>
      <c r="M15" s="172">
        <f t="shared" si="2"/>
        <v>1.1589688506981739</v>
      </c>
      <c r="N15" s="260">
        <v>0</v>
      </c>
      <c r="O15" s="89">
        <f t="shared" si="5"/>
        <v>0</v>
      </c>
      <c r="P15" s="260">
        <v>18820</v>
      </c>
      <c r="Q15" s="89">
        <f t="shared" si="6"/>
        <v>5.7401017937818107E-2</v>
      </c>
      <c r="R15" s="130">
        <v>6691.65</v>
      </c>
      <c r="S15" s="9"/>
    </row>
    <row r="16" spans="1:22" ht="15.6" customHeight="1" x14ac:dyDescent="0.3">
      <c r="A16" s="198" t="s">
        <v>27</v>
      </c>
      <c r="B16" s="200">
        <f>'22 - 28 March 2021'!D16</f>
        <v>136626.65</v>
      </c>
      <c r="C16" s="73">
        <v>163350.70000000001</v>
      </c>
      <c r="D16" s="145">
        <v>121974.5</v>
      </c>
      <c r="E16" s="145">
        <v>87775.66</v>
      </c>
      <c r="F16" s="163">
        <f t="shared" si="0"/>
        <v>-0.25329674130566937</v>
      </c>
      <c r="G16" s="155">
        <f t="shared" si="3"/>
        <v>-0.10724225471384971</v>
      </c>
      <c r="H16" s="150">
        <v>468</v>
      </c>
      <c r="I16" s="63">
        <f t="shared" si="4"/>
        <v>260.6292735042735</v>
      </c>
      <c r="J16" s="61">
        <v>65</v>
      </c>
      <c r="K16" s="28">
        <f t="shared" si="1"/>
        <v>0.1388888888888889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</f>
        <v>921</v>
      </c>
      <c r="M16" s="172">
        <f t="shared" si="2"/>
        <v>1.9679487179487178</v>
      </c>
      <c r="N16" s="260">
        <v>30127.11</v>
      </c>
      <c r="O16" s="89">
        <f t="shared" si="5"/>
        <v>0.24699515062574556</v>
      </c>
      <c r="P16" s="260">
        <v>18869.169999999998</v>
      </c>
      <c r="Q16" s="89">
        <f t="shared" si="6"/>
        <v>0.15469766221628289</v>
      </c>
      <c r="R16" s="130">
        <v>4165</v>
      </c>
      <c r="S16" s="9"/>
      <c r="V16" s="238"/>
    </row>
    <row r="17" spans="1:19" ht="15.6" customHeight="1" x14ac:dyDescent="0.3">
      <c r="A17" s="251" t="s">
        <v>28</v>
      </c>
      <c r="B17" s="200">
        <f>'22 - 28 March 2021'!D17</f>
        <v>153117.04</v>
      </c>
      <c r="C17" s="73">
        <v>228911.17</v>
      </c>
      <c r="D17" s="145">
        <v>135153.09</v>
      </c>
      <c r="E17" s="145">
        <v>84209.919999999998</v>
      </c>
      <c r="F17" s="163">
        <f t="shared" si="0"/>
        <v>-0.40958280891229559</v>
      </c>
      <c r="G17" s="155">
        <f t="shared" si="3"/>
        <v>-0.11732169064919235</v>
      </c>
      <c r="H17" s="150">
        <v>572</v>
      </c>
      <c r="I17" s="63">
        <f t="shared" si="4"/>
        <v>236.28162587412587</v>
      </c>
      <c r="J17" s="61">
        <v>46</v>
      </c>
      <c r="K17" s="28">
        <f t="shared" si="1"/>
        <v>8.0419580419580416E-2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</f>
        <v>1069</v>
      </c>
      <c r="M17" s="172">
        <f t="shared" si="2"/>
        <v>1.868881118881119</v>
      </c>
      <c r="N17" s="260">
        <v>32045.08</v>
      </c>
      <c r="O17" s="89">
        <f t="shared" si="5"/>
        <v>0.2371020891938172</v>
      </c>
      <c r="P17" s="260">
        <v>9191.17</v>
      </c>
      <c r="Q17" s="89">
        <f t="shared" si="6"/>
        <v>6.8005622364978854E-2</v>
      </c>
      <c r="R17" s="130">
        <v>4757.5</v>
      </c>
      <c r="S17" s="9"/>
    </row>
    <row r="18" spans="1:19" ht="15.6" customHeight="1" x14ac:dyDescent="0.3">
      <c r="A18" s="198" t="s">
        <v>33</v>
      </c>
      <c r="B18" s="200">
        <f>'22 - 28 March 2021'!D18</f>
        <v>146169.39000000001</v>
      </c>
      <c r="C18" s="73">
        <v>184896.66</v>
      </c>
      <c r="D18" s="145">
        <v>138476.72</v>
      </c>
      <c r="E18" s="145">
        <v>85646.85</v>
      </c>
      <c r="F18" s="163">
        <f t="shared" si="0"/>
        <v>-0.25105883470258467</v>
      </c>
      <c r="G18" s="155">
        <f t="shared" si="3"/>
        <v>-5.2628460719443465E-2</v>
      </c>
      <c r="H18" s="150">
        <v>520</v>
      </c>
      <c r="I18" s="258">
        <f t="shared" si="4"/>
        <v>266.30138461538462</v>
      </c>
      <c r="J18" s="61">
        <v>47</v>
      </c>
      <c r="K18" s="28">
        <f t="shared" si="1"/>
        <v>9.0384615384615383E-2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</f>
        <v>989</v>
      </c>
      <c r="M18" s="172">
        <f t="shared" si="2"/>
        <v>1.9019230769230768</v>
      </c>
      <c r="N18" s="260">
        <v>19784.12</v>
      </c>
      <c r="O18" s="89">
        <f t="shared" si="5"/>
        <v>0.14286964624812026</v>
      </c>
      <c r="P18" s="260">
        <v>12255.52</v>
      </c>
      <c r="Q18" s="89">
        <f t="shared" si="6"/>
        <v>8.8502385094043248E-2</v>
      </c>
      <c r="R18" s="130">
        <v>3694.5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49" priority="10" operator="equal">
      <formula>0</formula>
    </cfRule>
  </conditionalFormatting>
  <conditionalFormatting sqref="D7:E19">
    <cfRule type="cellIs" dxfId="348" priority="2" operator="equal">
      <formula>0</formula>
    </cfRule>
  </conditionalFormatting>
  <conditionalFormatting sqref="F6:R19">
    <cfRule type="cellIs" dxfId="34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V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-0.12957997037311714</v>
      </c>
      <c r="G2" s="400">
        <f>(((D4-D19-B19)-B4)/D4)</f>
        <v>-1.3703006883896578E-2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2044110.4100000001</v>
      </c>
      <c r="C4" s="135">
        <f>SUM(C6:C19)-C14-C19</f>
        <v>2316673.0100000002</v>
      </c>
      <c r="D4" s="142">
        <f>SUM(D6:D19)-D19</f>
        <v>2016478.59</v>
      </c>
      <c r="E4" s="142">
        <f>SUM(E6:E19)-E19</f>
        <v>3405906.04</v>
      </c>
      <c r="F4" s="217">
        <f t="shared" ref="F4:F19" si="0">IFERROR((SUM(D4-C4)/C4),0)</f>
        <v>-0.12957997037311714</v>
      </c>
      <c r="G4" s="217">
        <f>IFERROR((SUM(D4-B4)/D4),0)</f>
        <v>-1.3703006883896578E-2</v>
      </c>
      <c r="H4" s="147">
        <f>SUM(H6:H19)</f>
        <v>7485</v>
      </c>
      <c r="I4" s="218">
        <f>AVERAGE(I5:I19)</f>
        <v>228.18260850725034</v>
      </c>
      <c r="J4" s="219">
        <f>SUM(J6:J19)</f>
        <v>706</v>
      </c>
      <c r="K4" s="220">
        <f t="shared" ref="K4:K19" si="1">IFERROR(J4/H4,0)</f>
        <v>9.4321977287909156E-2</v>
      </c>
      <c r="L4" s="221">
        <f>SUM(L6:L19)</f>
        <v>14205</v>
      </c>
      <c r="M4" s="222">
        <f t="shared" ref="M4:M19" si="2">IFERROR(L4/SUM(H4),0)</f>
        <v>1.8977955911823647</v>
      </c>
      <c r="N4" s="249">
        <f>SUM(N6:N19)</f>
        <v>284606.54999999993</v>
      </c>
      <c r="O4" s="222">
        <f>SUM(N4/D4)</f>
        <v>0.14114037779096872</v>
      </c>
      <c r="P4" s="244">
        <f>SUM(P6:P19)</f>
        <v>169134.69</v>
      </c>
      <c r="Q4" s="222">
        <f>SUM(P4/D4)</f>
        <v>8.387626371971546E-2</v>
      </c>
      <c r="R4" s="257">
        <f>SUM(R6:R19)</f>
        <v>74665.25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'29 March - 4 April 2021'!D6</f>
        <v>236609.43</v>
      </c>
      <c r="C6" s="255">
        <v>201679.88</v>
      </c>
      <c r="D6" s="197">
        <v>258207.15</v>
      </c>
      <c r="E6" s="129">
        <v>447477.95</v>
      </c>
      <c r="F6" s="162">
        <f t="shared" si="0"/>
        <v>0.28028214812503849</v>
      </c>
      <c r="G6" s="154">
        <f t="shared" ref="G6:G19" si="3">IFERROR((SUM(D6-B6)/B6),0)</f>
        <v>9.1280047460492175E-2</v>
      </c>
      <c r="H6" s="149">
        <v>835</v>
      </c>
      <c r="I6" s="256">
        <f t="shared" ref="I6:I19" si="4">IFERROR(D6/H6,0)</f>
        <v>309.23011976047906</v>
      </c>
      <c r="J6" s="125">
        <v>99</v>
      </c>
      <c r="K6" s="126">
        <f t="shared" si="1"/>
        <v>0.118562874251497</v>
      </c>
      <c r="L6" s="46">
        <f>J6+'2 - 8 Nov 2020'!J6+'9 - 15 Nov 2020'!J6+'16 - 22 Nov 2020'!J6+'23 - 29 Nov 2020'!J6+'30 Nov - 6 Dec 2020'!J6+'7 - 13 Dec 2020'!J6+'14 - 20 Dec 2020'!J6+'21 - 27 Dec 2020'!J6+'4 - 10 Jan 2021'!J6+'11 - 17 Jan 2021'!J6+'18 - 24 Jan 2021'!J6+'25 - 31 Jan 2021'!J6+'1 - 7 Feb 2021'!J6+'8 - 14 Feb 2021'!J6+'15 - 21 Feb 2021'!J6+'22 - 28 Feb 2021'!J6+'1 - 7 March 2021'!J6+'8 - 14 March 2021'!J6+'15 - 21 March 2021'!J6+'22 - 28 March 2021'!J6+'29 March - 4 April 2021'!J6</f>
        <v>1524</v>
      </c>
      <c r="M6" s="171">
        <f t="shared" si="2"/>
        <v>1.8251497005988024</v>
      </c>
      <c r="N6" s="259">
        <v>43751.61</v>
      </c>
      <c r="O6" s="128">
        <f t="shared" ref="O6:O19" si="5">SUM(N6/D6)</f>
        <v>0.16944383608277308</v>
      </c>
      <c r="P6" s="260">
        <v>0</v>
      </c>
      <c r="Q6" s="128">
        <f t="shared" ref="Q6:Q19" si="6">SUM(P6/D6)</f>
        <v>0</v>
      </c>
      <c r="R6" s="129">
        <v>9203.4</v>
      </c>
      <c r="S6" s="26"/>
    </row>
    <row r="7" spans="1:22" ht="15.6" customHeight="1" x14ac:dyDescent="0.3">
      <c r="A7" s="409" t="s">
        <v>16</v>
      </c>
      <c r="B7" s="200">
        <f>'29 March - 4 April 2021'!D7</f>
        <v>173141.14</v>
      </c>
      <c r="C7" s="73">
        <v>184805.59</v>
      </c>
      <c r="D7" s="145">
        <v>181224.09</v>
      </c>
      <c r="E7" s="145">
        <v>311408.18</v>
      </c>
      <c r="F7" s="163">
        <f t="shared" si="0"/>
        <v>-1.9379825036677734E-2</v>
      </c>
      <c r="G7" s="155">
        <f t="shared" si="3"/>
        <v>4.6684167610309031E-2</v>
      </c>
      <c r="H7" s="150">
        <v>665</v>
      </c>
      <c r="I7" s="63">
        <f t="shared" si="4"/>
        <v>272.51742857142858</v>
      </c>
      <c r="J7" s="61">
        <v>53</v>
      </c>
      <c r="K7" s="28">
        <f t="shared" si="1"/>
        <v>7.9699248120300756E-2</v>
      </c>
      <c r="L7" s="46">
        <f>J7+'2 - 8 Nov 2020'!J7+'9 - 15 Nov 2020'!J7+'16 - 22 Nov 2020'!J7+'23 - 29 Nov 2020'!J7+'30 Nov - 6 Dec 2020'!J7+'7 - 13 Dec 2020'!J7+'14 - 20 Dec 2020'!J7+'21 - 27 Dec 2020'!J7+'4 - 10 Jan 2021'!J7+'11 - 17 Jan 2021'!J7+'18 - 24 Jan 2021'!J7+'25 - 31 Jan 2021'!J7+'1 - 7 Feb 2021'!J7+'8 - 14 Feb 2021'!J7+'15 - 21 Feb 2021'!J7+'22 - 28 Feb 2021'!J7+'1 - 7 March 2021'!J7+'8 - 14 March 2021'!J7+'15 - 21 March 2021'!J7+'22 - 28 March 2021'!J7+'29 March - 4 April 2021'!J7</f>
        <v>1406</v>
      </c>
      <c r="M7" s="172">
        <f t="shared" si="2"/>
        <v>2.1142857142857143</v>
      </c>
      <c r="N7" s="260">
        <v>17801.259999999998</v>
      </c>
      <c r="O7" s="89">
        <f t="shared" si="5"/>
        <v>9.8227890122113443E-2</v>
      </c>
      <c r="P7" s="260">
        <v>14194.3</v>
      </c>
      <c r="Q7" s="89">
        <f t="shared" si="6"/>
        <v>7.8324575943518326E-2</v>
      </c>
      <c r="R7" s="130">
        <v>7441.2</v>
      </c>
      <c r="S7" s="26"/>
    </row>
    <row r="8" spans="1:22" ht="15.6" customHeight="1" x14ac:dyDescent="0.3">
      <c r="A8" s="409" t="s">
        <v>17</v>
      </c>
      <c r="B8" s="200">
        <f>'29 March - 4 April 2021'!D8</f>
        <v>105353.72</v>
      </c>
      <c r="C8" s="73">
        <v>128771.64</v>
      </c>
      <c r="D8" s="145">
        <v>91734.23</v>
      </c>
      <c r="E8" s="145">
        <v>149857.09</v>
      </c>
      <c r="F8" s="163">
        <f t="shared" si="0"/>
        <v>-0.28762086123932262</v>
      </c>
      <c r="G8" s="155">
        <f t="shared" si="3"/>
        <v>-0.12927393546236435</v>
      </c>
      <c r="H8" s="150">
        <v>374</v>
      </c>
      <c r="I8" s="63">
        <f t="shared" si="4"/>
        <v>245.27868983957219</v>
      </c>
      <c r="J8" s="61">
        <v>51</v>
      </c>
      <c r="K8" s="28">
        <f t="shared" si="1"/>
        <v>0.13636363636363635</v>
      </c>
      <c r="L8" s="46">
        <f>J8+'2 - 8 Nov 2020'!J8+'9 - 15 Nov 2020'!J8+'16 - 22 Nov 2020'!J8+'23 - 29 Nov 2020'!J8+'30 Nov - 6 Dec 2020'!J8+'7 - 13 Dec 2020'!J8+'14 - 20 Dec 2020'!J8+'21 - 27 Dec 2020'!J8+'4 - 10 Jan 2021'!J8+'11 - 17 Jan 2021'!J8+'18 - 24 Jan 2021'!J8+'25 - 31 Jan 2021'!J8+'1 - 7 Feb 2021'!J8+'8 - 14 Feb 2021'!J8+'15 - 21 Feb 2021'!J8+'22 - 28 Feb 2021'!J8+'1 - 7 March 2021'!J8+'8 - 14 March 2021'!J8+'15 - 21 March 2021'!J8+'22 - 28 March 2021'!J8+'29 March - 4 April 2021'!J8</f>
        <v>922</v>
      </c>
      <c r="M8" s="172">
        <f t="shared" si="2"/>
        <v>2.46524064171123</v>
      </c>
      <c r="N8" s="260">
        <v>25718.5</v>
      </c>
      <c r="O8" s="89">
        <f t="shared" si="5"/>
        <v>0.2803588148066431</v>
      </c>
      <c r="P8" s="260">
        <v>12574.19</v>
      </c>
      <c r="Q8" s="89">
        <f t="shared" si="6"/>
        <v>0.13707195231267544</v>
      </c>
      <c r="R8" s="130">
        <v>3228.5</v>
      </c>
      <c r="S8" s="26"/>
    </row>
    <row r="9" spans="1:22" ht="15.6" customHeight="1" x14ac:dyDescent="0.3">
      <c r="A9" s="409" t="s">
        <v>18</v>
      </c>
      <c r="B9" s="200">
        <f>'29 March - 4 April 2021'!D9</f>
        <v>197422.2</v>
      </c>
      <c r="C9" s="73">
        <v>287782.46000000002</v>
      </c>
      <c r="D9" s="145">
        <v>185992.05</v>
      </c>
      <c r="E9" s="145">
        <v>324808.37</v>
      </c>
      <c r="F9" s="163">
        <f t="shared" si="0"/>
        <v>-0.35370609452709534</v>
      </c>
      <c r="G9" s="155">
        <f t="shared" si="3"/>
        <v>-5.7896984229737193E-2</v>
      </c>
      <c r="H9" s="150">
        <v>759</v>
      </c>
      <c r="I9" s="63">
        <f t="shared" si="4"/>
        <v>245.04881422924899</v>
      </c>
      <c r="J9" s="61">
        <v>83</v>
      </c>
      <c r="K9" s="28">
        <f t="shared" si="1"/>
        <v>0.10935441370223979</v>
      </c>
      <c r="L9" s="46">
        <f>J9+'2 - 8 Nov 2020'!J9+'9 - 15 Nov 2020'!J9+'16 - 22 Nov 2020'!J9+'23 - 29 Nov 2020'!J9+'30 Nov - 6 Dec 2020'!J9+'7 - 13 Dec 2020'!J9+'14 - 20 Dec 2020'!J9+'21 - 27 Dec 2020'!J9+'4 - 10 Jan 2021'!J9+'11 - 17 Jan 2021'!J9+'18 - 24 Jan 2021'!J9+'25 - 31 Jan 2021'!J9+'1 - 7 Feb 2021'!J9+'8 - 14 Feb 2021'!J9+'15 - 21 Feb 2021'!J9+'22 - 28 Feb 2021'!J9+'1 - 7 March 2021'!J9+'8 - 14 March 2021'!J9+'15 - 21 March 2021'!J9+'22 - 28 March 2021'!J9+'29 March - 4 April 2021'!J9</f>
        <v>1544</v>
      </c>
      <c r="M9" s="172">
        <f t="shared" si="2"/>
        <v>2.0342555994729907</v>
      </c>
      <c r="N9" s="260">
        <v>23159.83</v>
      </c>
      <c r="O9" s="89">
        <f t="shared" si="5"/>
        <v>0.12452053730253526</v>
      </c>
      <c r="P9" s="260">
        <v>13982.6</v>
      </c>
      <c r="Q9" s="89">
        <f t="shared" si="6"/>
        <v>7.5178482091035614E-2</v>
      </c>
      <c r="R9" s="130">
        <v>11454.9</v>
      </c>
      <c r="S9" s="26"/>
    </row>
    <row r="10" spans="1:22" ht="15.6" customHeight="1" x14ac:dyDescent="0.3">
      <c r="A10" s="411" t="s">
        <v>20</v>
      </c>
      <c r="B10" s="200">
        <f>'29 March - 4 April 2021'!D10</f>
        <v>108440.93</v>
      </c>
      <c r="C10" s="73">
        <v>139046.1</v>
      </c>
      <c r="D10" s="145">
        <v>140346.82999999999</v>
      </c>
      <c r="E10" s="145">
        <v>206223.35999999999</v>
      </c>
      <c r="F10" s="163">
        <f t="shared" si="0"/>
        <v>9.3546672650292335E-3</v>
      </c>
      <c r="G10" s="155">
        <f t="shared" si="3"/>
        <v>0.29422377694473845</v>
      </c>
      <c r="H10" s="150">
        <v>493</v>
      </c>
      <c r="I10" s="63">
        <f t="shared" si="4"/>
        <v>284.67916835699793</v>
      </c>
      <c r="J10" s="61">
        <v>50</v>
      </c>
      <c r="K10" s="28">
        <f t="shared" si="1"/>
        <v>0.10141987829614604</v>
      </c>
      <c r="L10" s="46">
        <f>J10+'2 - 8 Nov 2020'!J10+'9 - 15 Nov 2020'!J10+'16 - 22 Nov 2020'!J10+'23 - 29 Nov 2020'!J10+'30 Nov - 6 Dec 2020'!J10+'7 - 13 Dec 2020'!J10+'14 - 20 Dec 2020'!J10+'21 - 27 Dec 2020'!J10+'4 - 10 Jan 2021'!J10+'11 - 17 Jan 2021'!J10+'18 - 24 Jan 2021'!J10+'25 - 31 Jan 2021'!J10+'1 - 7 Feb 2021'!J10+'8 - 14 Feb 2021'!J10+'15 - 21 Feb 2021'!J10+'22 - 28 Feb 2021'!J10+'1 - 7 March 2021'!J10+'8 - 14 March 2021'!J10+'15 - 21 March 2021'!J10+'22 - 28 March 2021'!J10+'29 March - 4 April 2021'!J10</f>
        <v>1172</v>
      </c>
      <c r="M10" s="172">
        <f t="shared" si="2"/>
        <v>2.3772819472616633</v>
      </c>
      <c r="N10" s="260">
        <v>27132.22</v>
      </c>
      <c r="O10" s="89">
        <f t="shared" si="5"/>
        <v>0.19332264220004117</v>
      </c>
      <c r="P10" s="260">
        <v>20471.04</v>
      </c>
      <c r="Q10" s="89">
        <f t="shared" si="6"/>
        <v>0.14586036606598099</v>
      </c>
      <c r="R10" s="130">
        <v>6319.55</v>
      </c>
      <c r="S10" s="26"/>
    </row>
    <row r="11" spans="1:22" ht="15.6" customHeight="1" x14ac:dyDescent="0.3">
      <c r="A11" s="409" t="s">
        <v>21</v>
      </c>
      <c r="B11" s="200">
        <f>'29 March - 4 April 2021'!D11</f>
        <v>224658.72</v>
      </c>
      <c r="C11" s="73">
        <v>339715.46</v>
      </c>
      <c r="D11" s="145">
        <v>234239.76</v>
      </c>
      <c r="E11" s="145">
        <v>376186.77</v>
      </c>
      <c r="F11" s="163">
        <f t="shared" si="0"/>
        <v>-0.31048248437089088</v>
      </c>
      <c r="G11" s="155">
        <f t="shared" si="3"/>
        <v>4.2647087101715921E-2</v>
      </c>
      <c r="H11" s="150">
        <v>863</v>
      </c>
      <c r="I11" s="63">
        <f t="shared" si="4"/>
        <v>271.42498261877176</v>
      </c>
      <c r="J11" s="61">
        <v>82</v>
      </c>
      <c r="K11" s="28">
        <f t="shared" si="1"/>
        <v>9.5017381228273468E-2</v>
      </c>
      <c r="L11" s="46">
        <f>J11+'2 - 8 Nov 2020'!J11+'9 - 15 Nov 2020'!J11+'16 - 22 Nov 2020'!J11+'23 - 29 Nov 2020'!J11+'30 Nov - 6 Dec 2020'!J11+'7 - 13 Dec 2020'!J11+'14 - 20 Dec 2020'!J11+'21 - 27 Dec 2020'!J11+'4 - 10 Jan 2021'!J11+'11 - 17 Jan 2021'!J11+'18 - 24 Jan 2021'!J11+'25 - 31 Jan 2021'!J11+'1 - 7 Feb 2021'!J11+'8 - 14 Feb 2021'!J11+'15 - 21 Feb 2021'!J11+'22 - 28 Feb 2021'!J11+'1 - 7 March 2021'!J11+'8 - 14 March 2021'!J11+'15 - 21 March 2021'!J11+'22 - 28 March 2021'!J11+'29 March - 4 April 2021'!J11</f>
        <v>1510</v>
      </c>
      <c r="M11" s="172">
        <f t="shared" si="2"/>
        <v>1.749710312862109</v>
      </c>
      <c r="N11" s="260">
        <v>37165.300000000003</v>
      </c>
      <c r="O11" s="89">
        <f t="shared" si="5"/>
        <v>0.15866349931369467</v>
      </c>
      <c r="P11" s="260">
        <v>16020.87</v>
      </c>
      <c r="Q11" s="89">
        <f t="shared" si="6"/>
        <v>6.83951776589935E-2</v>
      </c>
      <c r="R11" s="130">
        <v>9341</v>
      </c>
      <c r="S11" s="26"/>
    </row>
    <row r="12" spans="1:22" ht="15.6" customHeight="1" x14ac:dyDescent="0.3">
      <c r="A12" s="198" t="s">
        <v>22</v>
      </c>
      <c r="B12" s="200">
        <f>'29 March - 4 April 2021'!D12</f>
        <v>94333.82</v>
      </c>
      <c r="C12" s="73">
        <v>151603.94</v>
      </c>
      <c r="D12" s="145">
        <v>97582.09</v>
      </c>
      <c r="E12" s="145">
        <v>148827.71</v>
      </c>
      <c r="F12" s="163">
        <f t="shared" si="0"/>
        <v>-0.35633539603258335</v>
      </c>
      <c r="G12" s="155">
        <f t="shared" si="3"/>
        <v>3.4433779952937234E-2</v>
      </c>
      <c r="H12" s="150">
        <v>390</v>
      </c>
      <c r="I12" s="63">
        <f t="shared" si="4"/>
        <v>250.21048717948716</v>
      </c>
      <c r="J12" s="61">
        <v>34</v>
      </c>
      <c r="K12" s="28">
        <f t="shared" si="1"/>
        <v>8.7179487179487175E-2</v>
      </c>
      <c r="L12" s="46">
        <f>J12+'2 - 8 Nov 2020'!J12+'9 - 15 Nov 2020'!J12+'16 - 22 Nov 2020'!J12+'23 - 29 Nov 2020'!J12+'30 Nov - 6 Dec 2020'!J12+'7 - 13 Dec 2020'!J12+'14 - 20 Dec 2020'!J12+'21 - 27 Dec 2020'!J12+'4 - 10 Jan 2021'!J12+'11 - 17 Jan 2021'!J12+'18 - 24 Jan 2021'!J12+'25 - 31 Jan 2021'!J12+'1 - 7 Feb 2021'!J12+'8 - 14 Feb 2021'!J12+'15 - 21 Feb 2021'!J12+'22 - 28 Feb 2021'!J12+'1 - 7 March 2021'!J12+'8 - 14 March 2021'!J12+'15 - 21 March 2021'!J12+'22 - 28 March 2021'!J12+'29 March - 4 April 2021'!J12</f>
        <v>692</v>
      </c>
      <c r="M12" s="172">
        <f t="shared" si="2"/>
        <v>1.7743589743589743</v>
      </c>
      <c r="N12" s="260">
        <v>11924.26</v>
      </c>
      <c r="O12" s="89">
        <f t="shared" si="5"/>
        <v>0.12219721877242024</v>
      </c>
      <c r="P12" s="260">
        <v>9058.65</v>
      </c>
      <c r="Q12" s="89">
        <f t="shared" si="6"/>
        <v>9.2831071767370432E-2</v>
      </c>
      <c r="R12" s="130">
        <v>8267</v>
      </c>
      <c r="S12" s="26"/>
    </row>
    <row r="13" spans="1:22" ht="15.6" customHeight="1" x14ac:dyDescent="0.3">
      <c r="A13" s="198" t="s">
        <v>23</v>
      </c>
      <c r="B13" s="200">
        <f>'29 March - 4 April 2021'!D13</f>
        <v>180677.39</v>
      </c>
      <c r="C13" s="73">
        <v>204317.08</v>
      </c>
      <c r="D13" s="145">
        <v>176649.13</v>
      </c>
      <c r="E13" s="145">
        <v>296075.11</v>
      </c>
      <c r="F13" s="163">
        <f t="shared" si="0"/>
        <v>-0.13541672580677047</v>
      </c>
      <c r="G13" s="155">
        <f t="shared" si="3"/>
        <v>-2.2295318744642089E-2</v>
      </c>
      <c r="H13" s="150">
        <v>682</v>
      </c>
      <c r="I13" s="63">
        <f t="shared" si="4"/>
        <v>259.01631964809383</v>
      </c>
      <c r="J13" s="61">
        <v>42</v>
      </c>
      <c r="K13" s="28">
        <f t="shared" si="1"/>
        <v>6.1583577712609971E-2</v>
      </c>
      <c r="L13" s="46">
        <f>J13+'2 - 8 Nov 2020'!J13+'9 - 15 Nov 2020'!J13+'16 - 22 Nov 2020'!J13+'23 - 29 Nov 2020'!J13+'30 Nov - 6 Dec 2020'!J13+'7 - 13 Dec 2020'!J13+'14 - 20 Dec 2020'!J13+'21 - 27 Dec 2020'!J13+'4 - 10 Jan 2021'!J13+'11 - 17 Jan 2021'!J13+'18 - 24 Jan 2021'!J13+'25 - 31 Jan 2021'!J13+'1 - 7 Feb 2021'!J13+'8 - 14 Feb 2021'!J13+'15 - 21 Feb 2021'!J13+'22 - 28 Feb 2021'!J13+'1 - 7 March 2021'!J13+'8 - 14 March 2021'!J13+'15 - 21 March 2021'!J13+'22 - 28 March 2021'!J13+'29 March - 4 April 2021'!J13</f>
        <v>1165</v>
      </c>
      <c r="M13" s="172">
        <f t="shared" si="2"/>
        <v>1.7082111436950147</v>
      </c>
      <c r="N13" s="260">
        <v>26521.17</v>
      </c>
      <c r="O13" s="89">
        <f t="shared" si="5"/>
        <v>0.150134733185496</v>
      </c>
      <c r="P13" s="260">
        <v>19440.57</v>
      </c>
      <c r="Q13" s="89">
        <f t="shared" si="6"/>
        <v>0.11005188647122123</v>
      </c>
      <c r="R13" s="130">
        <v>2663.5</v>
      </c>
      <c r="S13" s="26"/>
    </row>
    <row r="14" spans="1:22" ht="15.6" hidden="1" customHeight="1" x14ac:dyDescent="0.3">
      <c r="A14" s="198" t="s">
        <v>24</v>
      </c>
      <c r="B14" s="200">
        <f>'29 March - 4 April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J14+'2 - 8 Nov 2020'!J14+'9 - 15 Nov 2020'!J14+'16 - 22 Nov 2020'!J14+'23 - 29 Nov 2020'!J14+'30 Nov - 6 Dec 2020'!J14+'7 - 13 Dec 2020'!J14+'14 - 20 Dec 2020'!J14+'21 - 27 Dec 2020'!J14+'4 - 10 Jan 2021'!J14+'11 - 17 Jan 2021'!J14+'18 - 24 Jan 2021'!J14+'25 - 31 Jan 2021'!J14+'1 - 7 Feb 2021'!J14+'8 - 14 Feb 2021'!J14+'15 - 21 Feb 2021'!J14+'22 - 28 Feb 2021'!J14+'1 - 7 March 2021'!J14+'8 - 14 March 2021'!J14+'15 - 21 March 2021'!J14+'22 - 28 March 2021'!J14+'29 March - 4 April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'29 March - 4 April 2021'!D15</f>
        <v>327868.75</v>
      </c>
      <c r="C15" s="73">
        <v>170092.54</v>
      </c>
      <c r="D15" s="145">
        <v>241778.39</v>
      </c>
      <c r="E15" s="145">
        <v>478684.2</v>
      </c>
      <c r="F15" s="163">
        <f t="shared" si="0"/>
        <v>0.42145205192420548</v>
      </c>
      <c r="G15" s="155">
        <f t="shared" si="3"/>
        <v>-0.26257568005489995</v>
      </c>
      <c r="H15" s="150">
        <v>753</v>
      </c>
      <c r="I15" s="63">
        <f t="shared" si="4"/>
        <v>321.08683930942897</v>
      </c>
      <c r="J15" s="61">
        <v>63</v>
      </c>
      <c r="K15" s="28">
        <f t="shared" si="1"/>
        <v>8.3665338645418322E-2</v>
      </c>
      <c r="L15" s="46">
        <f>J15+'2 - 8 Nov 2020'!J15+'9 - 15 Nov 2020'!J15+'16 - 22 Nov 2020'!J15+'23 - 29 Nov 2020'!J15+'30 Nov - 6 Dec 2020'!J15+'7 - 13 Dec 2020'!J15+'14 - 20 Dec 2020'!J15+'21 - 27 Dec 2020'!J15+'4 - 10 Jan 2021'!J15+'11 - 17 Jan 2021'!J15+'18 - 24 Jan 2021'!J15+'25 - 31 Jan 2021'!J15+'1 - 7 Feb 2021'!J15+'8 - 14 Feb 2021'!J15+'15 - 21 Feb 2021'!J15+'22 - 28 Feb 2021'!J15+'1 - 7 March 2021'!J15+'8 - 14 March 2021'!J15+'15 - 21 March 2021'!J15+'22 - 28 March 2021'!J15+'29 March - 4 April 2021'!J15</f>
        <v>1142</v>
      </c>
      <c r="M15" s="172">
        <f t="shared" si="2"/>
        <v>1.5166002656042497</v>
      </c>
      <c r="N15" s="260">
        <v>0</v>
      </c>
      <c r="O15" s="89">
        <f t="shared" si="5"/>
        <v>0</v>
      </c>
      <c r="P15" s="260">
        <v>18646.52</v>
      </c>
      <c r="Q15" s="89">
        <f t="shared" si="6"/>
        <v>7.7122359860200898E-2</v>
      </c>
      <c r="R15" s="130">
        <v>2831</v>
      </c>
      <c r="S15" s="9"/>
    </row>
    <row r="16" spans="1:22" ht="15.6" customHeight="1" x14ac:dyDescent="0.3">
      <c r="A16" s="198" t="s">
        <v>27</v>
      </c>
      <c r="B16" s="200">
        <f>'29 March - 4 April 2021'!D16</f>
        <v>121974.5</v>
      </c>
      <c r="C16" s="73">
        <v>112828.63</v>
      </c>
      <c r="D16" s="145">
        <v>119730.4</v>
      </c>
      <c r="E16" s="145">
        <v>207506.06</v>
      </c>
      <c r="F16" s="163">
        <f t="shared" si="0"/>
        <v>6.117037847574671E-2</v>
      </c>
      <c r="G16" s="155">
        <f t="shared" si="3"/>
        <v>-1.8398107801220795E-2</v>
      </c>
      <c r="H16" s="150">
        <v>462</v>
      </c>
      <c r="I16" s="63">
        <f t="shared" si="4"/>
        <v>259.15670995670996</v>
      </c>
      <c r="J16" s="61">
        <v>41</v>
      </c>
      <c r="K16" s="28">
        <f t="shared" si="1"/>
        <v>8.8744588744588751E-2</v>
      </c>
      <c r="L16" s="46">
        <f>J16+'2 - 8 Nov 2020'!J16+'9 - 15 Nov 2020'!J16+'16 - 22 Nov 2020'!J16+'23 - 29 Nov 2020'!J16+'30 Nov - 6 Dec 2020'!J16+'7 - 13 Dec 2020'!J16+'14 - 20 Dec 2020'!J16+'21 - 27 Dec 2020'!J16+'4 - 10 Jan 2021'!J16+'11 - 17 Jan 2021'!J16+'18 - 24 Jan 2021'!J16+'25 - 31 Jan 2021'!J16+'1 - 7 Feb 2021'!J16+'8 - 14 Feb 2021'!J16+'15 - 21 Feb 2021'!J16+'22 - 28 Feb 2021'!J16+'1 - 7 March 2021'!J16+'8 - 14 March 2021'!J16+'15 - 21 March 2021'!J16+'22 - 28 March 2021'!J16+'29 March - 4 April 2021'!J16</f>
        <v>962</v>
      </c>
      <c r="M16" s="172">
        <f t="shared" si="2"/>
        <v>2.0822510822510822</v>
      </c>
      <c r="N16" s="260">
        <v>28975.599999999999</v>
      </c>
      <c r="O16" s="89">
        <f t="shared" si="5"/>
        <v>0.24200704248879149</v>
      </c>
      <c r="P16" s="260">
        <v>12756.96</v>
      </c>
      <c r="Q16" s="89">
        <f t="shared" si="6"/>
        <v>0.10654737643906644</v>
      </c>
      <c r="R16" s="130">
        <v>4824.5</v>
      </c>
      <c r="S16" s="9"/>
      <c r="V16" s="238"/>
    </row>
    <row r="17" spans="1:19" ht="15.6" customHeight="1" x14ac:dyDescent="0.3">
      <c r="A17" s="251" t="s">
        <v>28</v>
      </c>
      <c r="B17" s="200">
        <f>'29 March - 4 April 2021'!D17</f>
        <v>135153.09</v>
      </c>
      <c r="C17" s="73">
        <v>212238.52</v>
      </c>
      <c r="D17" s="145">
        <v>161232.97</v>
      </c>
      <c r="E17" s="145">
        <v>245442.89</v>
      </c>
      <c r="F17" s="163">
        <f t="shared" si="0"/>
        <v>-0.24032183224798209</v>
      </c>
      <c r="G17" s="155">
        <f t="shared" si="3"/>
        <v>0.19296547344940471</v>
      </c>
      <c r="H17" s="150">
        <v>658</v>
      </c>
      <c r="I17" s="63">
        <f t="shared" si="4"/>
        <v>245.03490881458967</v>
      </c>
      <c r="J17" s="61">
        <v>56</v>
      </c>
      <c r="K17" s="28">
        <f t="shared" si="1"/>
        <v>8.5106382978723402E-2</v>
      </c>
      <c r="L17" s="46">
        <f>J17+'2 - 8 Nov 2020'!J17+'9 - 15 Nov 2020'!J17+'16 - 22 Nov 2020'!J17+'23 - 29 Nov 2020'!J17+'30 Nov - 6 Dec 2020'!J17+'7 - 13 Dec 2020'!J17+'14 - 20 Dec 2020'!J17+'21 - 27 Dec 2020'!J17+'4 - 10 Jan 2021'!J17+'11 - 17 Jan 2021'!J17+'18 - 24 Jan 2021'!J17+'25 - 31 Jan 2021'!J17+'1 - 7 Feb 2021'!J17+'8 - 14 Feb 2021'!J17+'15 - 21 Feb 2021'!J17+'22 - 28 Feb 2021'!J17+'1 - 7 March 2021'!J17+'8 - 14 March 2021'!J17+'15 - 21 March 2021'!J17+'22 - 28 March 2021'!J17+'29 March - 4 April 2021'!J17</f>
        <v>1125</v>
      </c>
      <c r="M17" s="172">
        <f t="shared" si="2"/>
        <v>1.709726443768997</v>
      </c>
      <c r="N17" s="260">
        <v>24770.19</v>
      </c>
      <c r="O17" s="89">
        <f t="shared" si="5"/>
        <v>0.15362980660841266</v>
      </c>
      <c r="P17" s="260">
        <v>16270.61</v>
      </c>
      <c r="Q17" s="89">
        <f t="shared" si="6"/>
        <v>0.10091366548665574</v>
      </c>
      <c r="R17" s="130">
        <v>4975.2</v>
      </c>
      <c r="S17" s="9"/>
    </row>
    <row r="18" spans="1:19" ht="15.6" customHeight="1" x14ac:dyDescent="0.3">
      <c r="A18" s="198" t="s">
        <v>33</v>
      </c>
      <c r="B18" s="200">
        <f>'29 March - 4 April 2021'!D18</f>
        <v>138476.72</v>
      </c>
      <c r="C18" s="73">
        <v>183791.17</v>
      </c>
      <c r="D18" s="145">
        <v>127761.5</v>
      </c>
      <c r="E18" s="145">
        <v>213408.35</v>
      </c>
      <c r="F18" s="163">
        <f t="shared" si="0"/>
        <v>-0.3048550700232226</v>
      </c>
      <c r="G18" s="155">
        <f t="shared" si="3"/>
        <v>-7.7379215798872192E-2</v>
      </c>
      <c r="H18" s="150">
        <v>551</v>
      </c>
      <c r="I18" s="258">
        <f t="shared" si="4"/>
        <v>231.87205081669691</v>
      </c>
      <c r="J18" s="61">
        <v>52</v>
      </c>
      <c r="K18" s="28">
        <f t="shared" si="1"/>
        <v>9.4373865698729589E-2</v>
      </c>
      <c r="L18" s="46">
        <f>J18+'2 - 8 Nov 2020'!J18+'9 - 15 Nov 2020'!J18+'16 - 22 Nov 2020'!J18+'23 - 29 Nov 2020'!J18+'30 Nov - 6 Dec 2020'!J18+'7 - 13 Dec 2020'!J18+'14 - 20 Dec 2020'!J18+'21 - 27 Dec 2020'!J18+'4 - 10 Jan 2021'!J18+'11 - 17 Jan 2021'!J18+'18 - 24 Jan 2021'!J18+'25 - 31 Jan 2021'!J18+'1 - 7 Feb 2021'!J18+'8 - 14 Feb 2021'!J18+'15 - 21 Feb 2021'!J18+'22 - 28 Feb 2021'!J18+'1 - 7 March 2021'!J18+'8 - 14 March 2021'!J18+'15 - 21 March 2021'!J18+'22 - 28 March 2021'!J18+'29 March - 4 April 2021'!J18</f>
        <v>1041</v>
      </c>
      <c r="M18" s="172">
        <f t="shared" si="2"/>
        <v>1.8892921960072595</v>
      </c>
      <c r="N18" s="260">
        <v>17686.61</v>
      </c>
      <c r="O18" s="89">
        <f t="shared" si="5"/>
        <v>0.13843458318820615</v>
      </c>
      <c r="P18" s="260">
        <v>15718.38</v>
      </c>
      <c r="Q18" s="89">
        <f t="shared" si="6"/>
        <v>0.12302908153082109</v>
      </c>
      <c r="R18" s="130">
        <v>4115.5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46" priority="10" operator="equal">
      <formula>0</formula>
    </cfRule>
  </conditionalFormatting>
  <conditionalFormatting sqref="D7:E19">
    <cfRule type="cellIs" dxfId="345" priority="2" operator="equal">
      <formula>0</formula>
    </cfRule>
  </conditionalFormatting>
  <conditionalFormatting sqref="F6:R19">
    <cfRule type="cellIs" dxfId="34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V41"/>
  <sheetViews>
    <sheetView zoomScale="70" zoomScaleNormal="70" workbookViewId="0">
      <pane xSplit="1" topLeftCell="B1" activePane="topRight" state="frozen"/>
      <selection pane="topRight" activeCell="L19" sqref="L1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-0.19914159579975227</v>
      </c>
      <c r="G2" s="400">
        <f>(((D4-D19-B19)-B4)/D4)</f>
        <v>-5.8657920825638046E-2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2016478.59</v>
      </c>
      <c r="C4" s="135">
        <f>SUM(C6:C19)-C14-C19</f>
        <v>2378385.38</v>
      </c>
      <c r="D4" s="142">
        <f>SUM(D6:D19)-D19</f>
        <v>1904749.9199999997</v>
      </c>
      <c r="E4" s="142">
        <f>SUM(E6:E19)-E19</f>
        <v>5310655.95</v>
      </c>
      <c r="F4" s="217">
        <f t="shared" ref="F4:F19" si="0">IFERROR((SUM(D4-C4)/C4),0)</f>
        <v>-0.19914159579975227</v>
      </c>
      <c r="G4" s="217">
        <f>IFERROR((SUM(D4-B4)/D4),0)</f>
        <v>-5.8657920825638046E-2</v>
      </c>
      <c r="H4" s="147">
        <f>SUM(H6:H19)</f>
        <v>7033</v>
      </c>
      <c r="I4" s="218">
        <f>AVERAGE(I5:I19)</f>
        <v>229.82330624629978</v>
      </c>
      <c r="J4" s="219">
        <f>SUM(J6:J19)</f>
        <v>771</v>
      </c>
      <c r="K4" s="220">
        <f t="shared" ref="K4:K19" si="1">IFERROR(J4/H4,0)</f>
        <v>0.10962604862789706</v>
      </c>
      <c r="L4" s="221">
        <f>SUM(L6:L19)</f>
        <v>771</v>
      </c>
      <c r="M4" s="222">
        <f t="shared" ref="M4:M19" si="2">IFERROR(L4/SUM(H4),0)</f>
        <v>0.10962604862789706</v>
      </c>
      <c r="N4" s="249">
        <f>SUM(N6:N19)</f>
        <v>290625.88</v>
      </c>
      <c r="O4" s="222">
        <f>SUM(N4/D4)</f>
        <v>0.15257954703050994</v>
      </c>
      <c r="P4" s="244">
        <f>SUM(P6:P19)</f>
        <v>160738.49000000002</v>
      </c>
      <c r="Q4" s="222">
        <f>SUM(P4/D4)</f>
        <v>8.4388238220794914E-2</v>
      </c>
      <c r="R4" s="257">
        <f>SUM(R6:R19)</f>
        <v>88434.5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'5 - 11 April 2021'!D6</f>
        <v>258207.15</v>
      </c>
      <c r="C6" s="255">
        <v>230488.04</v>
      </c>
      <c r="D6" s="197">
        <v>217480.61</v>
      </c>
      <c r="E6" s="129">
        <v>664958.56000000006</v>
      </c>
      <c r="F6" s="162">
        <f t="shared" si="0"/>
        <v>-5.6434294811999887E-2</v>
      </c>
      <c r="G6" s="154">
        <f t="shared" ref="G6:G19" si="3">IFERROR((SUM(D6-B6)/B6),0)</f>
        <v>-0.15772816515731655</v>
      </c>
      <c r="H6" s="149">
        <v>666</v>
      </c>
      <c r="I6" s="256">
        <f t="shared" ref="I6:I19" si="4">IFERROR(D6/H6,0)</f>
        <v>326.54746246246242</v>
      </c>
      <c r="J6" s="125">
        <v>44</v>
      </c>
      <c r="K6" s="126">
        <f t="shared" si="1"/>
        <v>6.6066066066066062E-2</v>
      </c>
      <c r="L6" s="46">
        <f t="shared" ref="L6:L18" si="5">J6</f>
        <v>44</v>
      </c>
      <c r="M6" s="171">
        <f t="shared" si="2"/>
        <v>6.6066066066066062E-2</v>
      </c>
      <c r="N6" s="259">
        <v>46038.26</v>
      </c>
      <c r="O6" s="128">
        <f t="shared" ref="O6:O19" si="6">SUM(N6/D6)</f>
        <v>0.21168903287516072</v>
      </c>
      <c r="P6" s="260">
        <v>834.3</v>
      </c>
      <c r="Q6" s="128">
        <f t="shared" ref="Q6:Q19" si="7">SUM(P6/D6)</f>
        <v>3.8362040643531393E-3</v>
      </c>
      <c r="R6" s="129">
        <v>8044.9</v>
      </c>
      <c r="S6" s="26"/>
    </row>
    <row r="7" spans="1:22" ht="15.6" customHeight="1" x14ac:dyDescent="0.3">
      <c r="A7" s="409" t="s">
        <v>16</v>
      </c>
      <c r="B7" s="200">
        <f>'5 - 11 April 2021'!D7</f>
        <v>181224.09</v>
      </c>
      <c r="C7" s="73">
        <v>184585.22</v>
      </c>
      <c r="D7" s="145">
        <v>179455.47</v>
      </c>
      <c r="E7" s="145">
        <v>490863.65</v>
      </c>
      <c r="F7" s="163">
        <f t="shared" si="0"/>
        <v>-2.7790686599934708E-2</v>
      </c>
      <c r="G7" s="155">
        <f t="shared" si="3"/>
        <v>-9.7592985568309126E-3</v>
      </c>
      <c r="H7" s="150">
        <v>675</v>
      </c>
      <c r="I7" s="63">
        <f t="shared" si="4"/>
        <v>265.85995555555553</v>
      </c>
      <c r="J7" s="61">
        <v>62</v>
      </c>
      <c r="K7" s="28">
        <f t="shared" si="1"/>
        <v>9.1851851851851851E-2</v>
      </c>
      <c r="L7" s="46">
        <f t="shared" si="5"/>
        <v>62</v>
      </c>
      <c r="M7" s="172">
        <f t="shared" si="2"/>
        <v>9.1851851851851851E-2</v>
      </c>
      <c r="N7" s="260">
        <v>22300.7</v>
      </c>
      <c r="O7" s="89">
        <f t="shared" si="6"/>
        <v>0.1242687113410363</v>
      </c>
      <c r="P7" s="260">
        <v>11565.3</v>
      </c>
      <c r="Q7" s="89">
        <f t="shared" si="7"/>
        <v>6.4446628458859456E-2</v>
      </c>
      <c r="R7" s="130">
        <v>11208.35</v>
      </c>
      <c r="S7" s="26"/>
    </row>
    <row r="8" spans="1:22" ht="15.6" customHeight="1" x14ac:dyDescent="0.3">
      <c r="A8" s="409" t="s">
        <v>17</v>
      </c>
      <c r="B8" s="200">
        <f>'5 - 11 April 2021'!D8</f>
        <v>91734.23</v>
      </c>
      <c r="C8" s="73">
        <v>114183.99</v>
      </c>
      <c r="D8" s="145">
        <v>87710.19</v>
      </c>
      <c r="E8" s="145">
        <v>237567.28</v>
      </c>
      <c r="F8" s="163">
        <f t="shared" si="0"/>
        <v>-0.23185211867267908</v>
      </c>
      <c r="G8" s="155">
        <f t="shared" si="3"/>
        <v>-4.3866286336081896E-2</v>
      </c>
      <c r="H8" s="150">
        <v>352</v>
      </c>
      <c r="I8" s="63">
        <f t="shared" si="4"/>
        <v>249.17667613636365</v>
      </c>
      <c r="J8" s="61">
        <v>32</v>
      </c>
      <c r="K8" s="28">
        <f t="shared" si="1"/>
        <v>9.0909090909090912E-2</v>
      </c>
      <c r="L8" s="46">
        <f t="shared" si="5"/>
        <v>32</v>
      </c>
      <c r="M8" s="172">
        <f t="shared" si="2"/>
        <v>9.0909090909090912E-2</v>
      </c>
      <c r="N8" s="260">
        <v>27401.57</v>
      </c>
      <c r="O8" s="89">
        <f t="shared" si="6"/>
        <v>0.31241033681491281</v>
      </c>
      <c r="P8" s="260">
        <v>11291.83</v>
      </c>
      <c r="Q8" s="89">
        <f t="shared" si="7"/>
        <v>0.12874022961300163</v>
      </c>
      <c r="R8" s="130">
        <v>2669</v>
      </c>
      <c r="S8" s="26"/>
    </row>
    <row r="9" spans="1:22" ht="15.6" customHeight="1" x14ac:dyDescent="0.3">
      <c r="A9" s="409" t="s">
        <v>18</v>
      </c>
      <c r="B9" s="200">
        <f>'5 - 11 April 2021'!D9</f>
        <v>185992.05</v>
      </c>
      <c r="C9" s="73">
        <v>300470.18</v>
      </c>
      <c r="D9" s="145">
        <v>185413.17</v>
      </c>
      <c r="E9" s="145">
        <v>510221.54</v>
      </c>
      <c r="F9" s="163">
        <f t="shared" si="0"/>
        <v>-0.38292322386201516</v>
      </c>
      <c r="G9" s="155">
        <f t="shared" si="3"/>
        <v>-3.112391094135344E-3</v>
      </c>
      <c r="H9" s="150">
        <v>685</v>
      </c>
      <c r="I9" s="63">
        <f t="shared" si="4"/>
        <v>270.67616058394162</v>
      </c>
      <c r="J9" s="61">
        <v>23</v>
      </c>
      <c r="K9" s="28">
        <f t="shared" si="1"/>
        <v>3.3576642335766425E-2</v>
      </c>
      <c r="L9" s="46">
        <f t="shared" si="5"/>
        <v>23</v>
      </c>
      <c r="M9" s="172">
        <f t="shared" si="2"/>
        <v>3.3576642335766425E-2</v>
      </c>
      <c r="N9" s="260">
        <v>17520.259999999998</v>
      </c>
      <c r="O9" s="89">
        <f t="shared" si="6"/>
        <v>9.4493071878335277E-2</v>
      </c>
      <c r="P9" s="260">
        <v>14126.7</v>
      </c>
      <c r="Q9" s="89">
        <f t="shared" si="7"/>
        <v>7.6190380650953751E-2</v>
      </c>
      <c r="R9" s="130">
        <v>10049.25</v>
      </c>
      <c r="S9" s="26"/>
    </row>
    <row r="10" spans="1:22" ht="15.6" customHeight="1" x14ac:dyDescent="0.3">
      <c r="A10" s="411" t="s">
        <v>20</v>
      </c>
      <c r="B10" s="200">
        <f>'5 - 11 April 2021'!D10</f>
        <v>140346.82999999999</v>
      </c>
      <c r="C10" s="73">
        <v>128193.73</v>
      </c>
      <c r="D10" s="145">
        <v>123492.34</v>
      </c>
      <c r="E10" s="145">
        <v>329715.7</v>
      </c>
      <c r="F10" s="163">
        <f t="shared" si="0"/>
        <v>-3.6674102547761107E-2</v>
      </c>
      <c r="G10" s="155">
        <f t="shared" si="3"/>
        <v>-0.12009170424440646</v>
      </c>
      <c r="H10" s="150">
        <v>468</v>
      </c>
      <c r="I10" s="63">
        <f t="shared" si="4"/>
        <v>263.87252136752136</v>
      </c>
      <c r="J10" s="61">
        <v>37</v>
      </c>
      <c r="K10" s="28">
        <f t="shared" si="1"/>
        <v>7.9059829059829057E-2</v>
      </c>
      <c r="L10" s="46">
        <f t="shared" si="5"/>
        <v>37</v>
      </c>
      <c r="M10" s="172">
        <f t="shared" si="2"/>
        <v>7.9059829059829057E-2</v>
      </c>
      <c r="N10" s="260">
        <v>28078.83</v>
      </c>
      <c r="O10" s="89">
        <f t="shared" si="6"/>
        <v>0.22737305002075434</v>
      </c>
      <c r="P10" s="260">
        <v>16067.43</v>
      </c>
      <c r="Q10" s="89">
        <f t="shared" si="7"/>
        <v>0.13010871767431081</v>
      </c>
      <c r="R10" s="130">
        <v>6934.3</v>
      </c>
      <c r="S10" s="26"/>
    </row>
    <row r="11" spans="1:22" ht="15.6" customHeight="1" x14ac:dyDescent="0.3">
      <c r="A11" s="409" t="s">
        <v>21</v>
      </c>
      <c r="B11" s="200">
        <f>'5 - 11 April 2021'!D11</f>
        <v>234239.76</v>
      </c>
      <c r="C11" s="73">
        <v>308450.45</v>
      </c>
      <c r="D11" s="145">
        <v>250526.02</v>
      </c>
      <c r="E11" s="145">
        <v>626712.79</v>
      </c>
      <c r="F11" s="163">
        <f t="shared" si="0"/>
        <v>-0.18779168582830733</v>
      </c>
      <c r="G11" s="155">
        <f t="shared" si="3"/>
        <v>6.9528162084865439E-2</v>
      </c>
      <c r="H11" s="150">
        <v>906</v>
      </c>
      <c r="I11" s="63">
        <f t="shared" si="4"/>
        <v>276.51878587196467</v>
      </c>
      <c r="J11" s="61">
        <v>104</v>
      </c>
      <c r="K11" s="28">
        <f t="shared" si="1"/>
        <v>0.11479028697571744</v>
      </c>
      <c r="L11" s="46">
        <f t="shared" si="5"/>
        <v>104</v>
      </c>
      <c r="M11" s="172">
        <f t="shared" si="2"/>
        <v>0.11479028697571744</v>
      </c>
      <c r="N11" s="260">
        <v>37584.089999999997</v>
      </c>
      <c r="O11" s="89">
        <f t="shared" si="6"/>
        <v>0.15002070443620985</v>
      </c>
      <c r="P11" s="260">
        <v>17177.349999999999</v>
      </c>
      <c r="Q11" s="89">
        <f t="shared" si="7"/>
        <v>6.8565133473960108E-2</v>
      </c>
      <c r="R11" s="130">
        <v>16339.2</v>
      </c>
      <c r="S11" s="26"/>
    </row>
    <row r="12" spans="1:22" ht="15.6" customHeight="1" x14ac:dyDescent="0.3">
      <c r="A12" s="198" t="s">
        <v>22</v>
      </c>
      <c r="B12" s="200">
        <f>'5 - 11 April 2021'!D12</f>
        <v>97582.09</v>
      </c>
      <c r="C12" s="73">
        <v>140833.69</v>
      </c>
      <c r="D12" s="145">
        <v>95613.79</v>
      </c>
      <c r="E12" s="145">
        <v>244441.5</v>
      </c>
      <c r="F12" s="163">
        <f t="shared" si="0"/>
        <v>-0.32108723416960822</v>
      </c>
      <c r="G12" s="155">
        <f t="shared" si="3"/>
        <v>-2.0170709604600628E-2</v>
      </c>
      <c r="H12" s="150">
        <v>396</v>
      </c>
      <c r="I12" s="63">
        <f t="shared" si="4"/>
        <v>241.44896464646462</v>
      </c>
      <c r="J12" s="61">
        <v>48</v>
      </c>
      <c r="K12" s="28">
        <f t="shared" si="1"/>
        <v>0.12121212121212122</v>
      </c>
      <c r="L12" s="46">
        <f t="shared" si="5"/>
        <v>48</v>
      </c>
      <c r="M12" s="172">
        <f t="shared" si="2"/>
        <v>0.12121212121212122</v>
      </c>
      <c r="N12" s="260">
        <v>12723.91</v>
      </c>
      <c r="O12" s="89">
        <f t="shared" si="6"/>
        <v>0.13307609707762866</v>
      </c>
      <c r="P12" s="260">
        <v>9196.99</v>
      </c>
      <c r="Q12" s="89">
        <f t="shared" si="7"/>
        <v>9.6188949313692096E-2</v>
      </c>
      <c r="R12" s="130">
        <v>6524.5</v>
      </c>
      <c r="S12" s="26"/>
    </row>
    <row r="13" spans="1:22" ht="15.6" customHeight="1" x14ac:dyDescent="0.3">
      <c r="A13" s="198" t="s">
        <v>23</v>
      </c>
      <c r="B13" s="200">
        <f>'5 - 11 April 2021'!D13</f>
        <v>176649.13</v>
      </c>
      <c r="C13" s="73">
        <v>194170.35</v>
      </c>
      <c r="D13" s="145">
        <v>181135.9</v>
      </c>
      <c r="E13" s="145">
        <v>477211.01</v>
      </c>
      <c r="F13" s="163">
        <f t="shared" si="0"/>
        <v>-6.7128941159142017E-2</v>
      </c>
      <c r="G13" s="155">
        <f t="shared" si="3"/>
        <v>2.5399332563936144E-2</v>
      </c>
      <c r="H13" s="150">
        <v>673</v>
      </c>
      <c r="I13" s="63">
        <f t="shared" si="4"/>
        <v>269.14695393759285</v>
      </c>
      <c r="J13" s="61">
        <v>55</v>
      </c>
      <c r="K13" s="28">
        <f t="shared" si="1"/>
        <v>8.1723625557206539E-2</v>
      </c>
      <c r="L13" s="46">
        <f t="shared" si="5"/>
        <v>55</v>
      </c>
      <c r="M13" s="172">
        <f t="shared" si="2"/>
        <v>8.1723625557206539E-2</v>
      </c>
      <c r="N13" s="260">
        <v>27235.57</v>
      </c>
      <c r="O13" s="89">
        <f t="shared" si="6"/>
        <v>0.1503598679223721</v>
      </c>
      <c r="P13" s="260">
        <v>19409.12</v>
      </c>
      <c r="Q13" s="89">
        <f t="shared" si="7"/>
        <v>0.10715225419146618</v>
      </c>
      <c r="R13" s="130">
        <v>2117.5</v>
      </c>
      <c r="S13" s="26"/>
    </row>
    <row r="14" spans="1:22" ht="15.6" hidden="1" customHeight="1" x14ac:dyDescent="0.3">
      <c r="A14" s="198" t="s">
        <v>24</v>
      </c>
      <c r="B14" s="200">
        <f>'5 - 11 April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 t="shared" si="5"/>
        <v>0</v>
      </c>
      <c r="M14" s="172">
        <f t="shared" si="2"/>
        <v>0</v>
      </c>
      <c r="N14" s="247"/>
      <c r="O14" s="89" t="e">
        <f t="shared" si="6"/>
        <v>#DIV/0!</v>
      </c>
      <c r="P14" s="260"/>
      <c r="Q14" s="89" t="e">
        <f t="shared" si="7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'5 - 11 April 2021'!D15</f>
        <v>241778.39</v>
      </c>
      <c r="C15" s="73">
        <v>269262.96999999997</v>
      </c>
      <c r="D15" s="145">
        <v>169093.03</v>
      </c>
      <c r="E15" s="145">
        <v>647777.23</v>
      </c>
      <c r="F15" s="163">
        <f t="shared" si="0"/>
        <v>-0.37201528305210324</v>
      </c>
      <c r="G15" s="155">
        <f t="shared" si="3"/>
        <v>-0.30062802552370382</v>
      </c>
      <c r="H15" s="150">
        <v>605</v>
      </c>
      <c r="I15" s="63">
        <f t="shared" si="4"/>
        <v>279.49261157024796</v>
      </c>
      <c r="J15" s="61">
        <v>102</v>
      </c>
      <c r="K15" s="28">
        <f t="shared" si="1"/>
        <v>0.16859504132231404</v>
      </c>
      <c r="L15" s="46">
        <f t="shared" si="5"/>
        <v>102</v>
      </c>
      <c r="M15" s="172">
        <f t="shared" si="2"/>
        <v>0.16859504132231404</v>
      </c>
      <c r="N15" s="260">
        <v>0</v>
      </c>
      <c r="O15" s="89">
        <f t="shared" si="6"/>
        <v>0</v>
      </c>
      <c r="P15" s="260">
        <v>14672.35</v>
      </c>
      <c r="Q15" s="89">
        <f t="shared" si="7"/>
        <v>8.6770873997585832E-2</v>
      </c>
      <c r="R15" s="130">
        <v>3989.1</v>
      </c>
      <c r="S15" s="9"/>
    </row>
    <row r="16" spans="1:22" ht="15.6" customHeight="1" x14ac:dyDescent="0.3">
      <c r="A16" s="198" t="s">
        <v>27</v>
      </c>
      <c r="B16" s="200">
        <f>'5 - 11 April 2021'!D16</f>
        <v>119730.4</v>
      </c>
      <c r="C16" s="73">
        <v>133685.73000000001</v>
      </c>
      <c r="D16" s="145">
        <v>112492.7</v>
      </c>
      <c r="E16" s="145">
        <v>319998.75</v>
      </c>
      <c r="F16" s="163">
        <f t="shared" si="0"/>
        <v>-0.15852873750997964</v>
      </c>
      <c r="G16" s="155">
        <f t="shared" si="3"/>
        <v>-6.044997761637811E-2</v>
      </c>
      <c r="H16" s="150">
        <v>438</v>
      </c>
      <c r="I16" s="63">
        <f t="shared" si="4"/>
        <v>256.83264840182648</v>
      </c>
      <c r="J16" s="61">
        <v>53</v>
      </c>
      <c r="K16" s="28">
        <f t="shared" si="1"/>
        <v>0.12100456621004566</v>
      </c>
      <c r="L16" s="46">
        <f t="shared" si="5"/>
        <v>53</v>
      </c>
      <c r="M16" s="172">
        <f t="shared" si="2"/>
        <v>0.12100456621004566</v>
      </c>
      <c r="N16" s="260">
        <v>24320.13</v>
      </c>
      <c r="O16" s="89">
        <f t="shared" si="6"/>
        <v>0.21619296185441367</v>
      </c>
      <c r="P16" s="260">
        <v>14916.52</v>
      </c>
      <c r="Q16" s="89">
        <f t="shared" si="7"/>
        <v>0.13259989314862208</v>
      </c>
      <c r="R16" s="130">
        <v>10219</v>
      </c>
      <c r="S16" s="9"/>
      <c r="V16" s="238"/>
    </row>
    <row r="17" spans="1:19" ht="15.6" customHeight="1" x14ac:dyDescent="0.3">
      <c r="A17" s="251" t="s">
        <v>28</v>
      </c>
      <c r="B17" s="200">
        <f>'5 - 11 April 2021'!D17</f>
        <v>161232.97</v>
      </c>
      <c r="C17" s="73">
        <v>201945.52</v>
      </c>
      <c r="D17" s="145">
        <v>159048.68</v>
      </c>
      <c r="E17" s="145">
        <v>404491.57</v>
      </c>
      <c r="F17" s="163">
        <f t="shared" si="0"/>
        <v>-0.21241788379360929</v>
      </c>
      <c r="G17" s="155">
        <f t="shared" si="3"/>
        <v>-1.3547415271206677E-2</v>
      </c>
      <c r="H17" s="150">
        <v>626</v>
      </c>
      <c r="I17" s="63">
        <f t="shared" si="4"/>
        <v>254.07137380191693</v>
      </c>
      <c r="J17" s="61">
        <v>58</v>
      </c>
      <c r="K17" s="28">
        <f t="shared" si="1"/>
        <v>9.2651757188498399E-2</v>
      </c>
      <c r="L17" s="46">
        <f t="shared" si="5"/>
        <v>58</v>
      </c>
      <c r="M17" s="172">
        <f t="shared" si="2"/>
        <v>9.2651757188498399E-2</v>
      </c>
      <c r="N17" s="260">
        <v>24090.43</v>
      </c>
      <c r="O17" s="89">
        <f t="shared" si="6"/>
        <v>0.15146576507268089</v>
      </c>
      <c r="P17" s="260">
        <v>18000.7</v>
      </c>
      <c r="Q17" s="89">
        <f t="shared" si="7"/>
        <v>0.11317729892508382</v>
      </c>
      <c r="R17" s="130">
        <v>5766.9</v>
      </c>
      <c r="S17" s="9"/>
    </row>
    <row r="18" spans="1:19" ht="15.6" customHeight="1" x14ac:dyDescent="0.3">
      <c r="A18" s="198" t="s">
        <v>33</v>
      </c>
      <c r="B18" s="200">
        <f>'5 - 11 April 2021'!D18</f>
        <v>127761.5</v>
      </c>
      <c r="C18" s="73">
        <v>172115.51</v>
      </c>
      <c r="D18" s="145">
        <v>143288.01999999999</v>
      </c>
      <c r="E18" s="145">
        <v>356696.37</v>
      </c>
      <c r="F18" s="163">
        <f t="shared" si="0"/>
        <v>-0.1674892053598192</v>
      </c>
      <c r="G18" s="155">
        <f t="shared" si="3"/>
        <v>0.12152737718326717</v>
      </c>
      <c r="H18" s="150">
        <v>543</v>
      </c>
      <c r="I18" s="258">
        <f t="shared" si="4"/>
        <v>263.88217311233882</v>
      </c>
      <c r="J18" s="61">
        <v>153</v>
      </c>
      <c r="K18" s="28">
        <f t="shared" si="1"/>
        <v>0.28176795580110497</v>
      </c>
      <c r="L18" s="46">
        <f t="shared" si="5"/>
        <v>153</v>
      </c>
      <c r="M18" s="172">
        <f t="shared" si="2"/>
        <v>0.28176795580110497</v>
      </c>
      <c r="N18" s="260">
        <v>23332.13</v>
      </c>
      <c r="O18" s="89">
        <f t="shared" si="6"/>
        <v>0.16283378052121875</v>
      </c>
      <c r="P18" s="260">
        <v>13479.9</v>
      </c>
      <c r="Q18" s="89">
        <f t="shared" si="7"/>
        <v>9.4075554955675988E-2</v>
      </c>
      <c r="R18" s="130">
        <v>4572.5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f>J19+'2 - 8 Nov 2020'!J19</f>
        <v>0</v>
      </c>
      <c r="M19" s="213">
        <f t="shared" si="2"/>
        <v>0</v>
      </c>
      <c r="N19" s="261">
        <v>0</v>
      </c>
      <c r="O19" s="116" t="e">
        <f t="shared" si="6"/>
        <v>#DIV/0!</v>
      </c>
      <c r="P19" s="261">
        <v>0</v>
      </c>
      <c r="Q19" s="116" t="e">
        <f t="shared" si="7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43" priority="10" operator="equal">
      <formula>0</formula>
    </cfRule>
  </conditionalFormatting>
  <conditionalFormatting sqref="D7:E19">
    <cfRule type="cellIs" dxfId="342" priority="2" operator="equal">
      <formula>0</formula>
    </cfRule>
  </conditionalFormatting>
  <conditionalFormatting sqref="F6:R19">
    <cfRule type="cellIs" dxfId="34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V41"/>
  <sheetViews>
    <sheetView zoomScale="70" zoomScaleNormal="70" workbookViewId="0">
      <pane xSplit="1" topLeftCell="B1" activePane="topRight" state="frozen"/>
      <selection pane="topRight" activeCell="H10" sqref="H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-0.20834445121210399</v>
      </c>
      <c r="G2" s="400">
        <f>(((D4-D19-B19)-B4)/D4)</f>
        <v>4.7746509455253987E-2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1904749.9199999997</v>
      </c>
      <c r="C4" s="135">
        <f>SUM(C6:C19)-C14-C19</f>
        <v>2526673.5299999993</v>
      </c>
      <c r="D4" s="142">
        <f>SUM(D6:D19)-D19</f>
        <v>2000255.1199999999</v>
      </c>
      <c r="E4" s="142">
        <f>SUM(E6:E19)-E19</f>
        <v>7310911.0800000001</v>
      </c>
      <c r="F4" s="217">
        <f t="shared" ref="F4:F19" si="0">IFERROR((SUM(D4-C4)/C4),0)</f>
        <v>-0.20834445121210399</v>
      </c>
      <c r="G4" s="217">
        <f>IFERROR((SUM(D4-B4)/D4),0)</f>
        <v>4.7746509455253987E-2</v>
      </c>
      <c r="H4" s="147">
        <f>SUM(H6:H19)</f>
        <v>7214</v>
      </c>
      <c r="I4" s="218">
        <f>AVERAGE(I5:I19)</f>
        <v>235.21079047808604</v>
      </c>
      <c r="J4" s="219">
        <f>SUM(J6:J19)</f>
        <v>776</v>
      </c>
      <c r="K4" s="220">
        <f t="shared" ref="K4:K19" si="1">IFERROR(J4/H4,0)</f>
        <v>0.10756861657887441</v>
      </c>
      <c r="L4" s="221">
        <f>SUM(L6:L19)</f>
        <v>1547</v>
      </c>
      <c r="M4" s="222">
        <f t="shared" ref="M4:M19" si="2">IFERROR(L4/SUM(H4),0)</f>
        <v>0.21444413640144164</v>
      </c>
      <c r="N4" s="249">
        <f>SUM(N6:N19)</f>
        <v>315935.39</v>
      </c>
      <c r="O4" s="222">
        <f>SUM(N4/D4)</f>
        <v>0.15794754721087781</v>
      </c>
      <c r="P4" s="244">
        <f>SUM(P6:P19)</f>
        <v>172222.87999999998</v>
      </c>
      <c r="Q4" s="222">
        <f>SUM(P4/D4)</f>
        <v>8.6100457025701793E-2</v>
      </c>
      <c r="R4" s="257">
        <f>SUM(R6:R19)</f>
        <v>84069.049999999988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'12 - 18 April 2021'!D6</f>
        <v>217480.61</v>
      </c>
      <c r="C6" s="255">
        <v>278639.64</v>
      </c>
      <c r="D6" s="197">
        <v>229636.49</v>
      </c>
      <c r="E6" s="129">
        <v>894595.05</v>
      </c>
      <c r="F6" s="162">
        <f t="shared" si="0"/>
        <v>-0.17586568084856849</v>
      </c>
      <c r="G6" s="154">
        <f t="shared" ref="G6:G19" si="3">IFERROR((SUM(D6-B6)/B6),0)</f>
        <v>5.5894086373953086E-2</v>
      </c>
      <c r="H6" s="149">
        <v>713</v>
      </c>
      <c r="I6" s="256">
        <f t="shared" ref="I6:I19" si="4">IFERROR(D6/H6,0)</f>
        <v>322.07081346423558</v>
      </c>
      <c r="J6" s="125">
        <v>56</v>
      </c>
      <c r="K6" s="126">
        <f t="shared" si="1"/>
        <v>7.8541374474053294E-2</v>
      </c>
      <c r="L6" s="46">
        <f>J6+'12 - 18 April 2021'!L6</f>
        <v>100</v>
      </c>
      <c r="M6" s="171">
        <f t="shared" si="2"/>
        <v>0.14025245441795231</v>
      </c>
      <c r="N6" s="259">
        <v>51912.13</v>
      </c>
      <c r="O6" s="128">
        <f t="shared" ref="O6:O19" si="5">SUM(N6/D6)</f>
        <v>0.2260621994352901</v>
      </c>
      <c r="P6" s="260">
        <v>0</v>
      </c>
      <c r="Q6" s="128">
        <f t="shared" ref="Q6:Q19" si="6">SUM(P6/D6)</f>
        <v>0</v>
      </c>
      <c r="R6" s="129">
        <v>11296.6</v>
      </c>
      <c r="S6" s="26"/>
    </row>
    <row r="7" spans="1:22" ht="15.6" customHeight="1" x14ac:dyDescent="0.3">
      <c r="A7" s="409" t="s">
        <v>16</v>
      </c>
      <c r="B7" s="200">
        <f>'12 - 18 April 2021'!D7</f>
        <v>179455.47</v>
      </c>
      <c r="C7" s="73">
        <v>205425.47</v>
      </c>
      <c r="D7" s="145">
        <v>160664.57</v>
      </c>
      <c r="E7" s="145">
        <v>651528.22</v>
      </c>
      <c r="F7" s="163">
        <f t="shared" si="0"/>
        <v>-0.21789362341485696</v>
      </c>
      <c r="G7" s="155">
        <f t="shared" si="3"/>
        <v>-0.10471065607529263</v>
      </c>
      <c r="H7" s="150">
        <v>581</v>
      </c>
      <c r="I7" s="63">
        <f t="shared" si="4"/>
        <v>276.53110154905335</v>
      </c>
      <c r="J7" s="61">
        <v>76</v>
      </c>
      <c r="K7" s="28">
        <f t="shared" si="1"/>
        <v>0.13080895008605853</v>
      </c>
      <c r="L7" s="46">
        <f>J7+'12 - 18 April 2021'!L7</f>
        <v>138</v>
      </c>
      <c r="M7" s="172">
        <f t="shared" si="2"/>
        <v>0.23752151462994836</v>
      </c>
      <c r="N7" s="260">
        <v>21126.2</v>
      </c>
      <c r="O7" s="89">
        <f t="shared" si="5"/>
        <v>0.13149258732027852</v>
      </c>
      <c r="P7" s="260">
        <v>12694.78</v>
      </c>
      <c r="Q7" s="89">
        <f t="shared" si="6"/>
        <v>7.9014184645687602E-2</v>
      </c>
      <c r="R7" s="130">
        <v>5463.95</v>
      </c>
      <c r="S7" s="26"/>
    </row>
    <row r="8" spans="1:22" ht="15.6" customHeight="1" x14ac:dyDescent="0.3">
      <c r="A8" s="409" t="s">
        <v>17</v>
      </c>
      <c r="B8" s="200">
        <f>'12 - 18 April 2021'!D8</f>
        <v>87710.19</v>
      </c>
      <c r="C8" s="73">
        <v>125462.37</v>
      </c>
      <c r="D8" s="145">
        <v>89032.8</v>
      </c>
      <c r="E8" s="145">
        <v>326600.08</v>
      </c>
      <c r="F8" s="163">
        <f t="shared" si="0"/>
        <v>-0.29036252065061413</v>
      </c>
      <c r="G8" s="155">
        <f t="shared" si="3"/>
        <v>1.5079319746086521E-2</v>
      </c>
      <c r="H8" s="150">
        <v>373</v>
      </c>
      <c r="I8" s="63">
        <f t="shared" si="4"/>
        <v>238.69383378016087</v>
      </c>
      <c r="J8" s="61">
        <v>31</v>
      </c>
      <c r="K8" s="28">
        <f t="shared" si="1"/>
        <v>8.3109919571045576E-2</v>
      </c>
      <c r="L8" s="46">
        <f>J8+'12 - 18 April 2021'!L8</f>
        <v>63</v>
      </c>
      <c r="M8" s="172">
        <f t="shared" si="2"/>
        <v>0.16890080428954424</v>
      </c>
      <c r="N8" s="260">
        <v>32481.54</v>
      </c>
      <c r="O8" s="89">
        <f t="shared" si="5"/>
        <v>0.3648266706202658</v>
      </c>
      <c r="P8" s="260">
        <v>11587.43</v>
      </c>
      <c r="Q8" s="89">
        <f t="shared" si="6"/>
        <v>0.13014787808537978</v>
      </c>
      <c r="R8" s="130">
        <v>2936.5</v>
      </c>
      <c r="S8" s="26"/>
    </row>
    <row r="9" spans="1:22" ht="15.6" customHeight="1" x14ac:dyDescent="0.3">
      <c r="A9" s="409" t="s">
        <v>18</v>
      </c>
      <c r="B9" s="200">
        <f>'12 - 18 April 2021'!D9</f>
        <v>185413.17</v>
      </c>
      <c r="C9" s="73">
        <v>341411.74</v>
      </c>
      <c r="D9" s="145">
        <v>204139.39</v>
      </c>
      <c r="E9" s="145">
        <v>714360.93</v>
      </c>
      <c r="F9" s="163">
        <f t="shared" si="0"/>
        <v>-0.40207272895770946</v>
      </c>
      <c r="G9" s="155">
        <f t="shared" si="3"/>
        <v>0.10099724846945878</v>
      </c>
      <c r="H9" s="150">
        <v>749</v>
      </c>
      <c r="I9" s="63">
        <f t="shared" si="4"/>
        <v>272.5492523364486</v>
      </c>
      <c r="J9" s="61">
        <v>37</v>
      </c>
      <c r="K9" s="28">
        <f t="shared" si="1"/>
        <v>4.9399198931909215E-2</v>
      </c>
      <c r="L9" s="46">
        <f>J9+'12 - 18 April 2021'!L9</f>
        <v>60</v>
      </c>
      <c r="M9" s="172">
        <f t="shared" si="2"/>
        <v>8.0106809078771699E-2</v>
      </c>
      <c r="N9" s="260">
        <v>16832.25</v>
      </c>
      <c r="O9" s="89">
        <f t="shared" si="5"/>
        <v>8.2454689415893706E-2</v>
      </c>
      <c r="P9" s="260">
        <v>15095.22</v>
      </c>
      <c r="Q9" s="89">
        <f t="shared" si="6"/>
        <v>7.3945650567487239E-2</v>
      </c>
      <c r="R9" s="130">
        <v>9973.5</v>
      </c>
      <c r="S9" s="26"/>
    </row>
    <row r="10" spans="1:22" ht="15.6" customHeight="1" x14ac:dyDescent="0.3">
      <c r="A10" s="411" t="s">
        <v>20</v>
      </c>
      <c r="B10" s="200">
        <f>'12 - 18 April 2021'!D10</f>
        <v>123492.34</v>
      </c>
      <c r="C10" s="73">
        <v>137627.16</v>
      </c>
      <c r="D10" s="145">
        <v>135624.76</v>
      </c>
      <c r="E10" s="145">
        <v>465340.46</v>
      </c>
      <c r="F10" s="163">
        <f t="shared" si="0"/>
        <v>-1.454945375607543E-2</v>
      </c>
      <c r="G10" s="155">
        <f t="shared" si="3"/>
        <v>9.8244312157337157E-2</v>
      </c>
      <c r="H10" s="150">
        <v>479</v>
      </c>
      <c r="I10" s="63">
        <f t="shared" si="4"/>
        <v>283.1414613778706</v>
      </c>
      <c r="J10" s="61">
        <v>55</v>
      </c>
      <c r="K10" s="28">
        <f t="shared" si="1"/>
        <v>0.11482254697286012</v>
      </c>
      <c r="L10" s="46">
        <f>J10+'12 - 18 April 2021'!L10</f>
        <v>92</v>
      </c>
      <c r="M10" s="172">
        <f t="shared" si="2"/>
        <v>0.19206680584551147</v>
      </c>
      <c r="N10" s="260">
        <v>31060.39</v>
      </c>
      <c r="O10" s="89">
        <f t="shared" si="5"/>
        <v>0.22901710572612255</v>
      </c>
      <c r="P10" s="260">
        <v>18764.91</v>
      </c>
      <c r="Q10" s="89">
        <f t="shared" si="6"/>
        <v>0.13835902824823432</v>
      </c>
      <c r="R10" s="130">
        <v>8960.5</v>
      </c>
      <c r="S10" s="26"/>
    </row>
    <row r="11" spans="1:22" ht="15.6" customHeight="1" x14ac:dyDescent="0.3">
      <c r="A11" s="409" t="s">
        <v>21</v>
      </c>
      <c r="B11" s="200">
        <f>'12 - 18 April 2021'!D11</f>
        <v>250526.02</v>
      </c>
      <c r="C11" s="73">
        <v>342630.09</v>
      </c>
      <c r="D11" s="145">
        <v>230674.35</v>
      </c>
      <c r="E11" s="145">
        <v>857387.14</v>
      </c>
      <c r="F11" s="163">
        <f t="shared" si="0"/>
        <v>-0.32675396372805438</v>
      </c>
      <c r="G11" s="155">
        <f t="shared" si="3"/>
        <v>-7.9239952800112284E-2</v>
      </c>
      <c r="H11" s="150">
        <v>875</v>
      </c>
      <c r="I11" s="63">
        <f t="shared" si="4"/>
        <v>263.62782857142855</v>
      </c>
      <c r="J11" s="61">
        <v>91</v>
      </c>
      <c r="K11" s="28">
        <f t="shared" si="1"/>
        <v>0.104</v>
      </c>
      <c r="L11" s="46">
        <f>J11+'12 - 18 April 2021'!L11</f>
        <v>195</v>
      </c>
      <c r="M11" s="172">
        <f t="shared" si="2"/>
        <v>0.22285714285714286</v>
      </c>
      <c r="N11" s="260">
        <v>38209.35</v>
      </c>
      <c r="O11" s="89">
        <f t="shared" si="5"/>
        <v>0.16564195368925932</v>
      </c>
      <c r="P11" s="260">
        <v>17671.740000000002</v>
      </c>
      <c r="Q11" s="89">
        <f t="shared" si="6"/>
        <v>7.6609037805893898E-2</v>
      </c>
      <c r="R11" s="130">
        <v>11965.2</v>
      </c>
      <c r="S11" s="26"/>
    </row>
    <row r="12" spans="1:22" ht="15.6" customHeight="1" x14ac:dyDescent="0.3">
      <c r="A12" s="198" t="s">
        <v>22</v>
      </c>
      <c r="B12" s="200">
        <f>'12 - 18 April 2021'!D12</f>
        <v>95613.79</v>
      </c>
      <c r="C12" s="73">
        <v>163242.43</v>
      </c>
      <c r="D12" s="145">
        <v>103180.73</v>
      </c>
      <c r="E12" s="145">
        <v>347622.23</v>
      </c>
      <c r="F12" s="163">
        <f t="shared" si="0"/>
        <v>-0.36792946539695592</v>
      </c>
      <c r="G12" s="155">
        <f t="shared" si="3"/>
        <v>7.9140676256008707E-2</v>
      </c>
      <c r="H12" s="150">
        <v>408</v>
      </c>
      <c r="I12" s="63">
        <f t="shared" si="4"/>
        <v>252.89394607843136</v>
      </c>
      <c r="J12" s="61">
        <v>49</v>
      </c>
      <c r="K12" s="28">
        <f t="shared" si="1"/>
        <v>0.12009803921568628</v>
      </c>
      <c r="L12" s="46">
        <f>J12+'12 - 18 April 2021'!L12</f>
        <v>97</v>
      </c>
      <c r="M12" s="172">
        <f t="shared" si="2"/>
        <v>0.23774509803921567</v>
      </c>
      <c r="N12" s="260">
        <v>16955.37</v>
      </c>
      <c r="O12" s="89">
        <f t="shared" si="5"/>
        <v>0.16432690483969245</v>
      </c>
      <c r="P12" s="260">
        <v>5540.43</v>
      </c>
      <c r="Q12" s="89">
        <f t="shared" si="6"/>
        <v>5.3696363652399055E-2</v>
      </c>
      <c r="R12" s="130">
        <v>7149.1</v>
      </c>
      <c r="S12" s="26"/>
    </row>
    <row r="13" spans="1:22" ht="15.6" customHeight="1" x14ac:dyDescent="0.3">
      <c r="A13" s="198" t="s">
        <v>23</v>
      </c>
      <c r="B13" s="200">
        <f>'12 - 18 April 2021'!D13</f>
        <v>181135.9</v>
      </c>
      <c r="C13" s="73">
        <v>206365.41</v>
      </c>
      <c r="D13" s="145">
        <v>180607.58</v>
      </c>
      <c r="E13" s="145">
        <v>657818.59</v>
      </c>
      <c r="F13" s="163">
        <f t="shared" si="0"/>
        <v>-0.12481660565111186</v>
      </c>
      <c r="G13" s="155">
        <f t="shared" si="3"/>
        <v>-2.9167050816541998E-3</v>
      </c>
      <c r="H13" s="150">
        <v>680</v>
      </c>
      <c r="I13" s="63">
        <f t="shared" si="4"/>
        <v>265.59938235294118</v>
      </c>
      <c r="J13" s="61">
        <v>71</v>
      </c>
      <c r="K13" s="28">
        <f t="shared" si="1"/>
        <v>0.10441176470588236</v>
      </c>
      <c r="L13" s="46">
        <f>J13+'12 - 18 April 2021'!L13</f>
        <v>126</v>
      </c>
      <c r="M13" s="172">
        <f t="shared" si="2"/>
        <v>0.18529411764705883</v>
      </c>
      <c r="N13" s="260">
        <v>27101.33</v>
      </c>
      <c r="O13" s="89">
        <f t="shared" si="5"/>
        <v>0.15005643727688509</v>
      </c>
      <c r="P13" s="260">
        <v>26190.26</v>
      </c>
      <c r="Q13" s="89">
        <f t="shared" si="6"/>
        <v>0.14501196461410978</v>
      </c>
      <c r="R13" s="130">
        <v>3047.75</v>
      </c>
      <c r="S13" s="26"/>
    </row>
    <row r="14" spans="1:22" ht="15.6" hidden="1" customHeight="1" x14ac:dyDescent="0.3">
      <c r="A14" s="198" t="s">
        <v>24</v>
      </c>
      <c r="B14" s="200">
        <f>'12 - 18 April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'12 - 18 April 2021'!D15</f>
        <v>169093.03</v>
      </c>
      <c r="C15" s="73">
        <v>212160.14</v>
      </c>
      <c r="D15" s="145">
        <v>241634.12</v>
      </c>
      <c r="E15" s="145">
        <v>889411.35</v>
      </c>
      <c r="F15" s="163">
        <f t="shared" si="0"/>
        <v>0.13892326805591276</v>
      </c>
      <c r="G15" s="155">
        <f t="shared" si="3"/>
        <v>0.42900106527158449</v>
      </c>
      <c r="H15" s="150">
        <v>746</v>
      </c>
      <c r="I15" s="63">
        <f t="shared" si="4"/>
        <v>323.90632707774796</v>
      </c>
      <c r="J15" s="61">
        <v>93</v>
      </c>
      <c r="K15" s="28">
        <f t="shared" si="1"/>
        <v>0.12466487935656836</v>
      </c>
      <c r="L15" s="46">
        <f>J15+'12 - 18 April 2021'!L15</f>
        <v>195</v>
      </c>
      <c r="M15" s="172">
        <f t="shared" si="2"/>
        <v>0.26139410187667561</v>
      </c>
      <c r="N15" s="260">
        <v>0</v>
      </c>
      <c r="O15" s="89">
        <f t="shared" si="5"/>
        <v>0</v>
      </c>
      <c r="P15" s="260">
        <v>20562.87</v>
      </c>
      <c r="Q15" s="89">
        <f t="shared" si="6"/>
        <v>8.5099198738986026E-2</v>
      </c>
      <c r="R15" s="130">
        <v>7416.05</v>
      </c>
      <c r="S15" s="9"/>
    </row>
    <row r="16" spans="1:22" ht="15.6" customHeight="1" x14ac:dyDescent="0.3">
      <c r="A16" s="198" t="s">
        <v>27</v>
      </c>
      <c r="B16" s="200">
        <f>'12 - 18 April 2021'!D16</f>
        <v>112492.7</v>
      </c>
      <c r="C16" s="73">
        <v>122313.92</v>
      </c>
      <c r="D16" s="145">
        <v>130219.14</v>
      </c>
      <c r="E16" s="145">
        <v>450217.9</v>
      </c>
      <c r="F16" s="163">
        <f t="shared" si="0"/>
        <v>6.4630583338347758E-2</v>
      </c>
      <c r="G16" s="155">
        <f t="shared" si="3"/>
        <v>0.15757858065456695</v>
      </c>
      <c r="H16" s="150">
        <v>476</v>
      </c>
      <c r="I16" s="63">
        <f t="shared" si="4"/>
        <v>273.56962184873947</v>
      </c>
      <c r="J16" s="61">
        <v>29</v>
      </c>
      <c r="K16" s="28">
        <f t="shared" si="1"/>
        <v>6.0924369747899158E-2</v>
      </c>
      <c r="L16" s="46">
        <f>J16+'12 - 18 April 2021'!L16</f>
        <v>82</v>
      </c>
      <c r="M16" s="172">
        <f t="shared" si="2"/>
        <v>0.17226890756302521</v>
      </c>
      <c r="N16" s="260">
        <v>30342.25</v>
      </c>
      <c r="O16" s="89">
        <f t="shared" si="5"/>
        <v>0.23300914135971101</v>
      </c>
      <c r="P16" s="260">
        <v>16002.7</v>
      </c>
      <c r="Q16" s="89">
        <f t="shared" si="6"/>
        <v>0.12289053667533054</v>
      </c>
      <c r="R16" s="130">
        <v>5973.5</v>
      </c>
      <c r="S16" s="9"/>
      <c r="V16" s="238"/>
    </row>
    <row r="17" spans="1:19" ht="15.6" customHeight="1" x14ac:dyDescent="0.3">
      <c r="A17" s="251" t="s">
        <v>28</v>
      </c>
      <c r="B17" s="200">
        <f>'12 - 18 April 2021'!D17</f>
        <v>159048.68</v>
      </c>
      <c r="C17" s="73">
        <v>213194.65</v>
      </c>
      <c r="D17" s="145">
        <v>149272.72</v>
      </c>
      <c r="E17" s="145">
        <v>553764.29</v>
      </c>
      <c r="F17" s="163">
        <f t="shared" si="0"/>
        <v>-0.29982895912256707</v>
      </c>
      <c r="G17" s="155">
        <f t="shared" si="3"/>
        <v>-6.1465206753051907E-2</v>
      </c>
      <c r="H17" s="150">
        <v>586</v>
      </c>
      <c r="I17" s="63">
        <f t="shared" si="4"/>
        <v>254.73160409556314</v>
      </c>
      <c r="J17" s="61">
        <v>85</v>
      </c>
      <c r="K17" s="28">
        <f t="shared" si="1"/>
        <v>0.14505119453924914</v>
      </c>
      <c r="L17" s="46">
        <f>J17+'12 - 18 April 2021'!L17</f>
        <v>143</v>
      </c>
      <c r="M17" s="172">
        <f t="shared" si="2"/>
        <v>0.24402730375426621</v>
      </c>
      <c r="N17" s="260">
        <v>29118.2</v>
      </c>
      <c r="O17" s="89">
        <f t="shared" si="5"/>
        <v>0.19506712278037139</v>
      </c>
      <c r="P17" s="260">
        <v>13923.58</v>
      </c>
      <c r="Q17" s="89">
        <f t="shared" si="6"/>
        <v>9.327611903903138E-2</v>
      </c>
      <c r="R17" s="130">
        <v>5086.5</v>
      </c>
      <c r="S17" s="9"/>
    </row>
    <row r="18" spans="1:19" ht="15.6" customHeight="1" x14ac:dyDescent="0.3">
      <c r="A18" s="198" t="s">
        <v>33</v>
      </c>
      <c r="B18" s="200">
        <f>'12 - 18 April 2021'!D18</f>
        <v>143288.01999999999</v>
      </c>
      <c r="C18" s="73">
        <v>178200.51</v>
      </c>
      <c r="D18" s="145">
        <v>145568.47</v>
      </c>
      <c r="E18" s="145">
        <v>502264.84</v>
      </c>
      <c r="F18" s="163">
        <f t="shared" si="0"/>
        <v>-0.18311979017344004</v>
      </c>
      <c r="G18" s="155">
        <f t="shared" si="3"/>
        <v>1.5915147686457052E-2</v>
      </c>
      <c r="H18" s="150">
        <v>548</v>
      </c>
      <c r="I18" s="258">
        <f t="shared" si="4"/>
        <v>265.63589416058392</v>
      </c>
      <c r="J18" s="61">
        <v>103</v>
      </c>
      <c r="K18" s="28">
        <f t="shared" si="1"/>
        <v>0.18795620437956204</v>
      </c>
      <c r="L18" s="46">
        <f>J18+'12 - 18 April 2021'!L18</f>
        <v>256</v>
      </c>
      <c r="M18" s="172">
        <f t="shared" si="2"/>
        <v>0.46715328467153283</v>
      </c>
      <c r="N18" s="260">
        <v>20796.38</v>
      </c>
      <c r="O18" s="89">
        <f t="shared" si="5"/>
        <v>0.14286321756352871</v>
      </c>
      <c r="P18" s="260">
        <v>14188.96</v>
      </c>
      <c r="Q18" s="89">
        <f t="shared" si="6"/>
        <v>9.7472756291249046E-2</v>
      </c>
      <c r="R18" s="130">
        <v>4799.8999999999996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40" priority="10" operator="equal">
      <formula>0</formula>
    </cfRule>
  </conditionalFormatting>
  <conditionalFormatting sqref="D7:E19">
    <cfRule type="cellIs" dxfId="339" priority="2" operator="equal">
      <formula>0</formula>
    </cfRule>
  </conditionalFormatting>
  <conditionalFormatting sqref="F6:R19">
    <cfRule type="cellIs" dxfId="33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V41"/>
  <sheetViews>
    <sheetView zoomScale="70" zoomScaleNormal="70" workbookViewId="0">
      <pane xSplit="1" topLeftCell="J1" activePane="topRight" state="frozen"/>
      <selection pane="topRight" activeCell="I15" sqref="I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-9.7455472063760998E-2</v>
      </c>
      <c r="G2" s="400">
        <f>(((D4-D19-B19)-B4)/D4)</f>
        <v>0.15647225280932292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2000255.1199999999</v>
      </c>
      <c r="C4" s="135">
        <f>SUM(C6:C19)-C14-C19</f>
        <v>2627346.6700000004</v>
      </c>
      <c r="D4" s="142">
        <f>SUM(D6:D19)-D19</f>
        <v>2371297.36</v>
      </c>
      <c r="E4" s="142">
        <f>SUM(E6:E19)-E19</f>
        <v>664479.99</v>
      </c>
      <c r="F4" s="217">
        <f t="shared" ref="F4:F19" si="0">IFERROR((SUM(D4-C4)/C4),0)</f>
        <v>-9.7455472063760998E-2</v>
      </c>
      <c r="G4" s="217">
        <f>IFERROR((SUM(D4-B4)/D4),0)</f>
        <v>0.15647225280932292</v>
      </c>
      <c r="H4" s="147">
        <f>SUM(H6:H19)</f>
        <v>8101</v>
      </c>
      <c r="I4" s="218">
        <f>AVERAGE(I5:I19)</f>
        <v>246.49612693956962</v>
      </c>
      <c r="J4" s="219">
        <f>SUM(J6:J19)</f>
        <v>566</v>
      </c>
      <c r="K4" s="220">
        <f t="shared" ref="K4:K19" si="1">IFERROR(J4/H4,0)</f>
        <v>6.9867917541044322E-2</v>
      </c>
      <c r="L4" s="221">
        <f>SUM(L6:L19)</f>
        <v>2113</v>
      </c>
      <c r="M4" s="222">
        <f t="shared" ref="M4:M19" si="2">IFERROR(L4/SUM(H4),0)</f>
        <v>0.2608319960498704</v>
      </c>
      <c r="N4" s="249">
        <f>SUM(N6:N19)</f>
        <v>347160.58399999997</v>
      </c>
      <c r="O4" s="222">
        <f>SUM(N4/D4)</f>
        <v>0.14640111774088088</v>
      </c>
      <c r="P4" s="244">
        <f>SUM(P6:P19)</f>
        <v>182840.59</v>
      </c>
      <c r="Q4" s="222">
        <f>SUM(P4/D4)</f>
        <v>7.7105719883228813E-2</v>
      </c>
      <c r="R4" s="257">
        <f>SUM(R6:R19)</f>
        <v>77619.439999999988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'19 - 25 April 2021'!D6</f>
        <v>229636.49</v>
      </c>
      <c r="C6" s="255">
        <v>302080.89</v>
      </c>
      <c r="D6" s="197">
        <v>282442.31</v>
      </c>
      <c r="E6" s="129">
        <v>92662.25</v>
      </c>
      <c r="F6" s="162">
        <f t="shared" si="0"/>
        <v>-6.5010997551020244E-2</v>
      </c>
      <c r="G6" s="154">
        <f t="shared" ref="G6:G19" si="3">IFERROR((SUM(D6-B6)/B6),0)</f>
        <v>0.22995395897228707</v>
      </c>
      <c r="H6" s="149">
        <v>877</v>
      </c>
      <c r="I6" s="256">
        <f t="shared" ref="I6:I19" si="4">IFERROR(D6/H6,0)</f>
        <v>322.05508551881411</v>
      </c>
      <c r="J6" s="125">
        <v>52</v>
      </c>
      <c r="K6" s="126">
        <f t="shared" si="1"/>
        <v>5.9293044469783354E-2</v>
      </c>
      <c r="L6" s="46">
        <f>J6+'12 - 18 April 2021'!L6+'19 - 25 April 2021'!J6</f>
        <v>152</v>
      </c>
      <c r="M6" s="171">
        <f t="shared" si="2"/>
        <v>0.1733181299885975</v>
      </c>
      <c r="N6" s="259">
        <v>64082.26</v>
      </c>
      <c r="O6" s="128">
        <f t="shared" ref="O6:O19" si="5">SUM(N6/D6)</f>
        <v>0.22688619137833849</v>
      </c>
      <c r="P6" s="260">
        <v>0</v>
      </c>
      <c r="Q6" s="128">
        <f t="shared" ref="Q6:Q19" si="6">SUM(P6/D6)</f>
        <v>0</v>
      </c>
      <c r="R6" s="129">
        <v>8062.4</v>
      </c>
      <c r="S6" s="26"/>
    </row>
    <row r="7" spans="1:22" ht="15.6" customHeight="1" x14ac:dyDescent="0.3">
      <c r="A7" s="409" t="s">
        <v>16</v>
      </c>
      <c r="B7" s="200">
        <f>'19 - 25 April 2021'!D7</f>
        <v>160664.57</v>
      </c>
      <c r="C7" s="73">
        <v>255815.43</v>
      </c>
      <c r="D7" s="145">
        <v>187544.1</v>
      </c>
      <c r="E7" s="145">
        <v>55110.28</v>
      </c>
      <c r="F7" s="163">
        <f t="shared" si="0"/>
        <v>-0.26687729508732133</v>
      </c>
      <c r="G7" s="155">
        <f t="shared" si="3"/>
        <v>0.1673021625116228</v>
      </c>
      <c r="H7" s="150">
        <v>648</v>
      </c>
      <c r="I7" s="63">
        <f t="shared" si="4"/>
        <v>289.41990740740744</v>
      </c>
      <c r="J7" s="61">
        <v>61</v>
      </c>
      <c r="K7" s="28">
        <f t="shared" si="1"/>
        <v>9.4135802469135804E-2</v>
      </c>
      <c r="L7" s="46">
        <f>J7+'12 - 18 April 2021'!L7+'19 - 25 April 2021'!J7</f>
        <v>199</v>
      </c>
      <c r="M7" s="172">
        <f t="shared" si="2"/>
        <v>0.30709876543209874</v>
      </c>
      <c r="N7" s="260">
        <v>24590.94</v>
      </c>
      <c r="O7" s="89">
        <f t="shared" si="5"/>
        <v>0.13112084037834301</v>
      </c>
      <c r="P7" s="260">
        <v>11981.57</v>
      </c>
      <c r="Q7" s="89">
        <f t="shared" si="6"/>
        <v>6.3886680519408504E-2</v>
      </c>
      <c r="R7" s="130">
        <v>8178.55</v>
      </c>
      <c r="S7" s="26"/>
    </row>
    <row r="8" spans="1:22" ht="15.6" customHeight="1" x14ac:dyDescent="0.3">
      <c r="A8" s="409" t="s">
        <v>17</v>
      </c>
      <c r="B8" s="200">
        <f>'19 - 25 April 2021'!D8</f>
        <v>89032.8</v>
      </c>
      <c r="C8" s="73">
        <v>126931.31</v>
      </c>
      <c r="D8" s="145">
        <v>128042.35</v>
      </c>
      <c r="E8" s="145">
        <v>24119.83</v>
      </c>
      <c r="F8" s="163">
        <f t="shared" si="0"/>
        <v>8.7530807016803665E-3</v>
      </c>
      <c r="G8" s="155">
        <f t="shared" si="3"/>
        <v>0.43814807576533593</v>
      </c>
      <c r="H8" s="150">
        <v>462</v>
      </c>
      <c r="I8" s="63">
        <f t="shared" si="4"/>
        <v>277.14794372294375</v>
      </c>
      <c r="J8" s="61">
        <v>34</v>
      </c>
      <c r="K8" s="28">
        <f t="shared" si="1"/>
        <v>7.3593073593073599E-2</v>
      </c>
      <c r="L8" s="46">
        <f>J8+'12 - 18 April 2021'!L8+'19 - 25 April 2021'!J8</f>
        <v>97</v>
      </c>
      <c r="M8" s="172">
        <f t="shared" si="2"/>
        <v>0.20995670995670995</v>
      </c>
      <c r="N8" s="260">
        <v>27076.26</v>
      </c>
      <c r="O8" s="89">
        <f t="shared" si="5"/>
        <v>0.2114633166292246</v>
      </c>
      <c r="P8" s="260">
        <v>9703.17</v>
      </c>
      <c r="Q8" s="89">
        <f t="shared" si="6"/>
        <v>7.5780942789631711E-2</v>
      </c>
      <c r="R8" s="130">
        <v>2968.5</v>
      </c>
      <c r="S8" s="26"/>
    </row>
    <row r="9" spans="1:22" ht="15.6" customHeight="1" x14ac:dyDescent="0.3">
      <c r="A9" s="409" t="s">
        <v>18</v>
      </c>
      <c r="B9" s="200">
        <f>'19 - 25 April 2021'!D9</f>
        <v>204139.39</v>
      </c>
      <c r="C9" s="73">
        <v>342635.31</v>
      </c>
      <c r="D9" s="145">
        <v>223881.33</v>
      </c>
      <c r="E9" s="145">
        <v>76945.94</v>
      </c>
      <c r="F9" s="163">
        <f t="shared" si="0"/>
        <v>-0.34659002307730635</v>
      </c>
      <c r="G9" s="155">
        <f t="shared" si="3"/>
        <v>9.6708136533571354E-2</v>
      </c>
      <c r="H9" s="150">
        <v>819</v>
      </c>
      <c r="I9" s="63">
        <f t="shared" si="4"/>
        <v>273.35937728937728</v>
      </c>
      <c r="J9" s="61">
        <v>32</v>
      </c>
      <c r="K9" s="28">
        <f t="shared" si="1"/>
        <v>3.9072039072039072E-2</v>
      </c>
      <c r="L9" s="46">
        <f>J9+'12 - 18 April 2021'!L9+'19 - 25 April 2021'!J9</f>
        <v>92</v>
      </c>
      <c r="M9" s="172">
        <f t="shared" si="2"/>
        <v>0.11233211233211234</v>
      </c>
      <c r="N9" s="260">
        <v>21068.1</v>
      </c>
      <c r="O9" s="89">
        <f t="shared" si="5"/>
        <v>9.4103871903923386E-2</v>
      </c>
      <c r="P9" s="260">
        <v>18923.32</v>
      </c>
      <c r="Q9" s="89">
        <f t="shared" si="6"/>
        <v>8.4523885935464116E-2</v>
      </c>
      <c r="R9" s="130">
        <v>8078.8</v>
      </c>
      <c r="S9" s="26"/>
    </row>
    <row r="10" spans="1:22" ht="15.6" customHeight="1" x14ac:dyDescent="0.3">
      <c r="A10" s="411" t="s">
        <v>20</v>
      </c>
      <c r="B10" s="200">
        <f>'19 - 25 April 2021'!D10</f>
        <v>135624.76</v>
      </c>
      <c r="C10" s="73">
        <v>140870.71</v>
      </c>
      <c r="D10" s="145">
        <v>128733.27</v>
      </c>
      <c r="E10" s="145">
        <v>41153.15</v>
      </c>
      <c r="F10" s="163">
        <f t="shared" si="0"/>
        <v>-8.6160139322077584E-2</v>
      </c>
      <c r="G10" s="155">
        <f t="shared" si="3"/>
        <v>-5.0812919410880467E-2</v>
      </c>
      <c r="H10" s="150">
        <v>460</v>
      </c>
      <c r="I10" s="63">
        <f t="shared" si="4"/>
        <v>279.85493478260872</v>
      </c>
      <c r="J10" s="61">
        <v>32</v>
      </c>
      <c r="K10" s="28">
        <f t="shared" si="1"/>
        <v>6.9565217391304349E-2</v>
      </c>
      <c r="L10" s="46">
        <f>J10+'12 - 18 April 2021'!L10+'19 - 25 April 2021'!J10</f>
        <v>124</v>
      </c>
      <c r="M10" s="172">
        <f t="shared" si="2"/>
        <v>0.26956521739130435</v>
      </c>
      <c r="N10" s="260">
        <v>34461.769999999997</v>
      </c>
      <c r="O10" s="89">
        <f t="shared" si="5"/>
        <v>0.26769901828796855</v>
      </c>
      <c r="P10" s="260">
        <v>19259.88</v>
      </c>
      <c r="Q10" s="89">
        <f t="shared" si="6"/>
        <v>0.14961074165209973</v>
      </c>
      <c r="R10" s="130">
        <v>5277.45</v>
      </c>
      <c r="S10" s="26"/>
    </row>
    <row r="11" spans="1:22" ht="15.6" customHeight="1" x14ac:dyDescent="0.3">
      <c r="A11" s="409" t="s">
        <v>21</v>
      </c>
      <c r="B11" s="200">
        <f>'19 - 25 April 2021'!D11</f>
        <v>230674.35</v>
      </c>
      <c r="C11" s="73">
        <v>390245.8</v>
      </c>
      <c r="D11" s="145">
        <v>297909.15000000002</v>
      </c>
      <c r="E11" s="145">
        <v>83114.12</v>
      </c>
      <c r="F11" s="163">
        <f t="shared" si="0"/>
        <v>-0.23661151510150774</v>
      </c>
      <c r="G11" s="155">
        <f t="shared" si="3"/>
        <v>0.2914706381528766</v>
      </c>
      <c r="H11" s="150">
        <v>975</v>
      </c>
      <c r="I11" s="63">
        <f t="shared" si="4"/>
        <v>305.54784615384619</v>
      </c>
      <c r="J11" s="61">
        <v>84</v>
      </c>
      <c r="K11" s="28">
        <f t="shared" si="1"/>
        <v>8.615384615384615E-2</v>
      </c>
      <c r="L11" s="46">
        <f>J11+'12 - 18 April 2021'!L11+'19 - 25 April 2021'!J11</f>
        <v>279</v>
      </c>
      <c r="M11" s="172">
        <f t="shared" si="2"/>
        <v>0.28615384615384615</v>
      </c>
      <c r="N11" s="260">
        <v>39793.54</v>
      </c>
      <c r="O11" s="89">
        <f t="shared" si="5"/>
        <v>0.1335760919058713</v>
      </c>
      <c r="P11" s="260">
        <v>19391.39</v>
      </c>
      <c r="Q11" s="89">
        <f t="shared" si="6"/>
        <v>6.5091622731292403E-2</v>
      </c>
      <c r="R11" s="130">
        <v>11741.64</v>
      </c>
      <c r="S11" s="26"/>
    </row>
    <row r="12" spans="1:22" ht="15.6" customHeight="1" x14ac:dyDescent="0.3">
      <c r="A12" s="198" t="s">
        <v>22</v>
      </c>
      <c r="B12" s="200">
        <f>'19 - 25 April 2021'!D12</f>
        <v>103180.73</v>
      </c>
      <c r="C12" s="73">
        <v>136510.79999999999</v>
      </c>
      <c r="D12" s="145">
        <v>99879.81</v>
      </c>
      <c r="E12" s="145">
        <v>23519.24</v>
      </c>
      <c r="F12" s="163">
        <f t="shared" si="0"/>
        <v>-0.26833766998655045</v>
      </c>
      <c r="G12" s="155">
        <f t="shared" si="3"/>
        <v>-3.1991632546115908E-2</v>
      </c>
      <c r="H12" s="150">
        <v>393</v>
      </c>
      <c r="I12" s="63">
        <f t="shared" si="4"/>
        <v>254.14709923664122</v>
      </c>
      <c r="J12" s="61">
        <v>30</v>
      </c>
      <c r="K12" s="28">
        <f t="shared" si="1"/>
        <v>7.6335877862595422E-2</v>
      </c>
      <c r="L12" s="46">
        <f>J12+'12 - 18 April 2021'!L12+'19 - 25 April 2021'!J12</f>
        <v>127</v>
      </c>
      <c r="M12" s="172">
        <f t="shared" si="2"/>
        <v>0.32315521628498728</v>
      </c>
      <c r="N12" s="260">
        <v>12007.773999999999</v>
      </c>
      <c r="O12" s="89">
        <f t="shared" si="5"/>
        <v>0.12022223510437194</v>
      </c>
      <c r="P12" s="260">
        <v>9963.57</v>
      </c>
      <c r="Q12" s="89">
        <f t="shared" si="6"/>
        <v>9.975559625113424E-2</v>
      </c>
      <c r="R12" s="130">
        <v>6545</v>
      </c>
      <c r="S12" s="26"/>
    </row>
    <row r="13" spans="1:22" ht="15.6" customHeight="1" x14ac:dyDescent="0.3">
      <c r="A13" s="198" t="s">
        <v>23</v>
      </c>
      <c r="B13" s="200">
        <f>'19 - 25 April 2021'!D13</f>
        <v>180607.58</v>
      </c>
      <c r="C13" s="73">
        <v>233608.46</v>
      </c>
      <c r="D13" s="145">
        <v>192771.76</v>
      </c>
      <c r="E13" s="145">
        <v>51555.7</v>
      </c>
      <c r="F13" s="163">
        <f t="shared" si="0"/>
        <v>-0.1748083095963219</v>
      </c>
      <c r="G13" s="155">
        <f t="shared" si="3"/>
        <v>6.735143674479234E-2</v>
      </c>
      <c r="H13" s="150">
        <v>742</v>
      </c>
      <c r="I13" s="63">
        <f t="shared" si="4"/>
        <v>259.80021563342319</v>
      </c>
      <c r="J13" s="61">
        <v>59</v>
      </c>
      <c r="K13" s="28">
        <f t="shared" si="1"/>
        <v>7.9514824797843664E-2</v>
      </c>
      <c r="L13" s="46">
        <f>J13+'12 - 18 April 2021'!L13+'19 - 25 April 2021'!J13</f>
        <v>185</v>
      </c>
      <c r="M13" s="172">
        <f t="shared" si="2"/>
        <v>0.24932614555256064</v>
      </c>
      <c r="N13" s="260">
        <v>28517.46</v>
      </c>
      <c r="O13" s="89">
        <f t="shared" si="5"/>
        <v>0.14793380524201261</v>
      </c>
      <c r="P13" s="260">
        <v>25968.61</v>
      </c>
      <c r="Q13" s="89">
        <f t="shared" si="6"/>
        <v>0.13471169221051879</v>
      </c>
      <c r="R13" s="130">
        <v>2435</v>
      </c>
      <c r="S13" s="26"/>
    </row>
    <row r="14" spans="1:22" ht="15.6" hidden="1" customHeight="1" x14ac:dyDescent="0.3">
      <c r="A14" s="198" t="s">
        <v>24</v>
      </c>
      <c r="B14" s="200">
        <f>'19 - 25 April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'19 - 25 April 2021'!D15</f>
        <v>241634.12</v>
      </c>
      <c r="C15" s="73">
        <v>157667.46</v>
      </c>
      <c r="D15" s="145">
        <v>335289.78000000003</v>
      </c>
      <c r="E15" s="145">
        <v>76866.03</v>
      </c>
      <c r="F15" s="163">
        <f t="shared" si="0"/>
        <v>1.1265629572519278</v>
      </c>
      <c r="G15" s="155">
        <f t="shared" si="3"/>
        <v>0.38759286147171612</v>
      </c>
      <c r="H15" s="150">
        <v>915</v>
      </c>
      <c r="I15" s="63">
        <f t="shared" si="4"/>
        <v>366.43691803278693</v>
      </c>
      <c r="J15" s="61">
        <v>5</v>
      </c>
      <c r="K15" s="28">
        <f t="shared" si="1"/>
        <v>5.4644808743169399E-3</v>
      </c>
      <c r="L15" s="46">
        <f>J15+'12 - 18 April 2021'!L15+'19 - 25 April 2021'!J15</f>
        <v>200</v>
      </c>
      <c r="M15" s="172">
        <f t="shared" si="2"/>
        <v>0.21857923497267759</v>
      </c>
      <c r="N15" s="260">
        <v>0</v>
      </c>
      <c r="O15" s="89">
        <f t="shared" si="5"/>
        <v>0</v>
      </c>
      <c r="P15" s="260">
        <v>18697.7</v>
      </c>
      <c r="Q15" s="89">
        <f t="shared" si="6"/>
        <v>5.5765791608679512E-2</v>
      </c>
      <c r="R15" s="130">
        <v>6733.1</v>
      </c>
      <c r="S15" s="9"/>
    </row>
    <row r="16" spans="1:22" ht="15.6" customHeight="1" x14ac:dyDescent="0.3">
      <c r="A16" s="198" t="s">
        <v>27</v>
      </c>
      <c r="B16" s="200">
        <f>'19 - 25 April 2021'!D16</f>
        <v>130219.14</v>
      </c>
      <c r="C16" s="73">
        <v>127075.46</v>
      </c>
      <c r="D16" s="145">
        <v>147345.04999999999</v>
      </c>
      <c r="E16" s="145">
        <v>46853.52</v>
      </c>
      <c r="F16" s="163">
        <f t="shared" si="0"/>
        <v>0.15950829530737076</v>
      </c>
      <c r="G16" s="155">
        <f t="shared" si="3"/>
        <v>0.13151607359716849</v>
      </c>
      <c r="H16" s="150">
        <v>514</v>
      </c>
      <c r="I16" s="63">
        <f t="shared" si="4"/>
        <v>286.66352140077817</v>
      </c>
      <c r="J16" s="61">
        <v>42</v>
      </c>
      <c r="K16" s="28">
        <f t="shared" si="1"/>
        <v>8.171206225680934E-2</v>
      </c>
      <c r="L16" s="46">
        <f>J16+'12 - 18 April 2021'!L16+'19 - 25 April 2021'!J16</f>
        <v>124</v>
      </c>
      <c r="M16" s="172">
        <f t="shared" si="2"/>
        <v>0.24124513618677043</v>
      </c>
      <c r="N16" s="260">
        <v>32234.29</v>
      </c>
      <c r="O16" s="89">
        <f t="shared" si="5"/>
        <v>0.21876737630480295</v>
      </c>
      <c r="P16" s="260">
        <v>16673.97</v>
      </c>
      <c r="Q16" s="89">
        <f t="shared" si="6"/>
        <v>0.11316274282712586</v>
      </c>
      <c r="R16" s="130">
        <v>5006.1000000000004</v>
      </c>
      <c r="S16" s="9"/>
      <c r="V16" s="238"/>
    </row>
    <row r="17" spans="1:19" ht="15.6" customHeight="1" x14ac:dyDescent="0.3">
      <c r="A17" s="251" t="s">
        <v>28</v>
      </c>
      <c r="B17" s="200">
        <f>'19 - 25 April 2021'!D17</f>
        <v>149272.72</v>
      </c>
      <c r="C17" s="73">
        <v>217907.37</v>
      </c>
      <c r="D17" s="145">
        <v>184045.59</v>
      </c>
      <c r="E17" s="145">
        <v>47041.61</v>
      </c>
      <c r="F17" s="163">
        <f t="shared" si="0"/>
        <v>-0.15539529479888634</v>
      </c>
      <c r="G17" s="155">
        <f t="shared" si="3"/>
        <v>0.23294859234828705</v>
      </c>
      <c r="H17" s="150">
        <v>692</v>
      </c>
      <c r="I17" s="63">
        <f t="shared" si="4"/>
        <v>265.96183526011561</v>
      </c>
      <c r="J17" s="61">
        <v>63</v>
      </c>
      <c r="K17" s="28">
        <f t="shared" si="1"/>
        <v>9.1040462427745661E-2</v>
      </c>
      <c r="L17" s="46">
        <f>J17+'12 - 18 April 2021'!L17+'19 - 25 April 2021'!J17</f>
        <v>206</v>
      </c>
      <c r="M17" s="172">
        <f t="shared" si="2"/>
        <v>0.29768786127167629</v>
      </c>
      <c r="N17" s="260">
        <v>35779.64</v>
      </c>
      <c r="O17" s="89">
        <f t="shared" si="5"/>
        <v>0.19440639680635652</v>
      </c>
      <c r="P17" s="260">
        <v>15995.45</v>
      </c>
      <c r="Q17" s="89">
        <f t="shared" si="6"/>
        <v>8.6910259572098414E-2</v>
      </c>
      <c r="R17" s="130">
        <v>7747.4</v>
      </c>
      <c r="S17" s="9"/>
    </row>
    <row r="18" spans="1:19" ht="15.6" customHeight="1" x14ac:dyDescent="0.3">
      <c r="A18" s="198" t="s">
        <v>33</v>
      </c>
      <c r="B18" s="200">
        <f>'19 - 25 April 2021'!D18</f>
        <v>145568.47</v>
      </c>
      <c r="C18" s="73">
        <v>195997.67</v>
      </c>
      <c r="D18" s="145">
        <v>163412.85999999999</v>
      </c>
      <c r="E18" s="145">
        <v>45538.32</v>
      </c>
      <c r="F18" s="163">
        <f t="shared" si="0"/>
        <v>-0.16625100696350129</v>
      </c>
      <c r="G18" s="155">
        <f t="shared" si="3"/>
        <v>0.122584169497694</v>
      </c>
      <c r="H18" s="150">
        <v>604</v>
      </c>
      <c r="I18" s="258">
        <f t="shared" si="4"/>
        <v>270.55109271523179</v>
      </c>
      <c r="J18" s="61">
        <v>72</v>
      </c>
      <c r="K18" s="28">
        <f t="shared" si="1"/>
        <v>0.11920529801324503</v>
      </c>
      <c r="L18" s="46">
        <f>J18+'12 - 18 April 2021'!L18+'19 - 25 April 2021'!J18</f>
        <v>328</v>
      </c>
      <c r="M18" s="172">
        <f t="shared" si="2"/>
        <v>0.54304635761589404</v>
      </c>
      <c r="N18" s="260">
        <v>27548.55</v>
      </c>
      <c r="O18" s="89">
        <f t="shared" si="5"/>
        <v>0.16858250935697472</v>
      </c>
      <c r="P18" s="260">
        <v>16281.96</v>
      </c>
      <c r="Q18" s="89">
        <f t="shared" si="6"/>
        <v>9.9636956357045586E-2</v>
      </c>
      <c r="R18" s="130">
        <v>4845.5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37" priority="10" operator="equal">
      <formula>0</formula>
    </cfRule>
  </conditionalFormatting>
  <conditionalFormatting sqref="D7:E19">
    <cfRule type="cellIs" dxfId="336" priority="2" operator="equal">
      <formula>0</formula>
    </cfRule>
  </conditionalFormatting>
  <conditionalFormatting sqref="F6:R19">
    <cfRule type="cellIs" dxfId="33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V41"/>
  <sheetViews>
    <sheetView zoomScale="70" zoomScaleNormal="70" workbookViewId="0">
      <pane xSplit="1" topLeftCell="B1" activePane="topRight" state="frozen"/>
      <selection pane="topRight" activeCell="D6" sqref="D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-0.22906248582202302</v>
      </c>
      <c r="G2" s="400">
        <f>(((D4-D19-B19)-B4)/D4)</f>
        <v>-0.17023395461904373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2371297.36</v>
      </c>
      <c r="C4" s="135">
        <f>SUM(C6:C19)-C14-C19</f>
        <v>2628416.2499999995</v>
      </c>
      <c r="D4" s="142">
        <f>SUM(D6:D19)-D19</f>
        <v>2026344.6899999997</v>
      </c>
      <c r="E4" s="142">
        <f>SUM(E6:E19)-E19</f>
        <v>2690824.68</v>
      </c>
      <c r="F4" s="217">
        <f t="shared" ref="F4:F19" si="0">IFERROR((SUM(D4-C4)/C4),0)</f>
        <v>-0.22906248582202302</v>
      </c>
      <c r="G4" s="217">
        <f>IFERROR((SUM(D4-B4)/D4),0)</f>
        <v>-0.17023395461904373</v>
      </c>
      <c r="H4" s="147">
        <f>SUM(H6:H19)</f>
        <v>7093</v>
      </c>
      <c r="I4" s="218">
        <f>AVERAGE(I5:I19)</f>
        <v>242.79387956865759</v>
      </c>
      <c r="J4" s="219">
        <f>SUM(J6:J19)</f>
        <v>745</v>
      </c>
      <c r="K4" s="220">
        <f t="shared" ref="K4:K19" si="1">IFERROR(J4/H4,0)</f>
        <v>0.10503313125616805</v>
      </c>
      <c r="L4" s="221">
        <f>SUM(L6:L19)</f>
        <v>2858</v>
      </c>
      <c r="M4" s="222">
        <f t="shared" ref="M4:M19" si="2">IFERROR(L4/SUM(H4),0)</f>
        <v>0.4029324686310447</v>
      </c>
      <c r="N4" s="249">
        <f>SUM(N6:N19)</f>
        <v>0</v>
      </c>
      <c r="O4" s="222">
        <f>SUM(N4/D4)</f>
        <v>0</v>
      </c>
      <c r="P4" s="244">
        <f>SUM(P6:P19)</f>
        <v>0</v>
      </c>
      <c r="Q4" s="222">
        <f>SUM(P4/D4)</f>
        <v>0</v>
      </c>
      <c r="R4" s="257">
        <f>SUM(R6:R19)</f>
        <v>83265.909999999989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'26 April - 2 May 2021'!D6</f>
        <v>282442.31</v>
      </c>
      <c r="C6" s="255">
        <v>277850.46999999997</v>
      </c>
      <c r="D6" s="197">
        <v>203627.09</v>
      </c>
      <c r="E6" s="129">
        <v>296289.34000000003</v>
      </c>
      <c r="F6" s="162">
        <f t="shared" si="0"/>
        <v>-0.2671342611009439</v>
      </c>
      <c r="G6" s="154">
        <f t="shared" ref="G6:G19" si="3">IFERROR((SUM(D6-B6)/B6),0)</f>
        <v>-0.27904891444911351</v>
      </c>
      <c r="H6" s="149">
        <v>628</v>
      </c>
      <c r="I6" s="256">
        <f t="shared" ref="I6:I19" si="4">IFERROR(D6/H6,0)</f>
        <v>324.24695859872611</v>
      </c>
      <c r="J6" s="125">
        <v>75</v>
      </c>
      <c r="K6" s="126">
        <f t="shared" si="1"/>
        <v>0.11942675159235669</v>
      </c>
      <c r="L6" s="46">
        <f>J6+'12 - 18 April 2021'!L6+'19 - 25 April 2021'!J6+'26 April - 2 May 2021'!J6</f>
        <v>227</v>
      </c>
      <c r="M6" s="171">
        <f t="shared" si="2"/>
        <v>0.36146496815286622</v>
      </c>
      <c r="N6" s="259">
        <v>0</v>
      </c>
      <c r="O6" s="128">
        <f t="shared" ref="O6:O19" si="5">SUM(N6/D6)</f>
        <v>0</v>
      </c>
      <c r="P6" s="260">
        <v>0</v>
      </c>
      <c r="Q6" s="128">
        <f t="shared" ref="Q6:Q19" si="6">SUM(P6/D6)</f>
        <v>0</v>
      </c>
      <c r="R6" s="129">
        <v>9368.4</v>
      </c>
      <c r="S6" s="26"/>
    </row>
    <row r="7" spans="1:22" ht="15.6" customHeight="1" x14ac:dyDescent="0.3">
      <c r="A7" s="409" t="s">
        <v>16</v>
      </c>
      <c r="B7" s="200">
        <f>'26 April - 2 May 2021'!D7</f>
        <v>187544.1</v>
      </c>
      <c r="C7" s="73">
        <v>255721.48</v>
      </c>
      <c r="D7" s="145">
        <v>197591.81</v>
      </c>
      <c r="E7" s="145">
        <v>252702.09</v>
      </c>
      <c r="F7" s="163">
        <f t="shared" si="0"/>
        <v>-0.22731633650798522</v>
      </c>
      <c r="G7" s="155">
        <f t="shared" si="3"/>
        <v>5.3575185782970464E-2</v>
      </c>
      <c r="H7" s="150">
        <v>650</v>
      </c>
      <c r="I7" s="63">
        <f t="shared" si="4"/>
        <v>303.98739999999998</v>
      </c>
      <c r="J7" s="61">
        <v>84</v>
      </c>
      <c r="K7" s="28">
        <f t="shared" si="1"/>
        <v>0.12923076923076923</v>
      </c>
      <c r="L7" s="46">
        <f>J7+'12 - 18 April 2021'!L7+'19 - 25 April 2021'!J7+'26 April - 2 May 2021'!J7</f>
        <v>283</v>
      </c>
      <c r="M7" s="172">
        <f t="shared" si="2"/>
        <v>0.43538461538461537</v>
      </c>
      <c r="N7" s="260">
        <v>0</v>
      </c>
      <c r="O7" s="89">
        <f t="shared" si="5"/>
        <v>0</v>
      </c>
      <c r="P7" s="260">
        <v>0</v>
      </c>
      <c r="Q7" s="89">
        <f t="shared" si="6"/>
        <v>0</v>
      </c>
      <c r="R7" s="130">
        <v>10561.8</v>
      </c>
      <c r="S7" s="26"/>
    </row>
    <row r="8" spans="1:22" ht="15.6" customHeight="1" x14ac:dyDescent="0.3">
      <c r="A8" s="409" t="s">
        <v>17</v>
      </c>
      <c r="B8" s="200">
        <f>'26 April - 2 May 2021'!D8</f>
        <v>128042.35</v>
      </c>
      <c r="C8" s="73">
        <v>149467.35999999999</v>
      </c>
      <c r="D8" s="145">
        <v>101409.11</v>
      </c>
      <c r="E8" s="145">
        <v>125528.94</v>
      </c>
      <c r="F8" s="163">
        <f t="shared" si="0"/>
        <v>-0.32153006515937654</v>
      </c>
      <c r="G8" s="155">
        <f t="shared" si="3"/>
        <v>-0.20800336763578617</v>
      </c>
      <c r="H8" s="150">
        <v>411</v>
      </c>
      <c r="I8" s="63">
        <f t="shared" si="4"/>
        <v>246.73749391727495</v>
      </c>
      <c r="J8" s="61">
        <v>31</v>
      </c>
      <c r="K8" s="28">
        <f t="shared" si="1"/>
        <v>7.5425790754257913E-2</v>
      </c>
      <c r="L8" s="46">
        <f>J8+'12 - 18 April 2021'!L8+'19 - 25 April 2021'!J8+'26 April - 2 May 2021'!J8</f>
        <v>128</v>
      </c>
      <c r="M8" s="172">
        <f t="shared" si="2"/>
        <v>0.31143552311435524</v>
      </c>
      <c r="N8" s="260">
        <v>0</v>
      </c>
      <c r="O8" s="89">
        <f t="shared" si="5"/>
        <v>0</v>
      </c>
      <c r="P8" s="260">
        <v>0</v>
      </c>
      <c r="Q8" s="89">
        <f t="shared" si="6"/>
        <v>0</v>
      </c>
      <c r="R8" s="130">
        <v>3413</v>
      </c>
      <c r="S8" s="26"/>
    </row>
    <row r="9" spans="1:22" ht="15.6" customHeight="1" x14ac:dyDescent="0.3">
      <c r="A9" s="409" t="s">
        <v>18</v>
      </c>
      <c r="B9" s="200">
        <f>'26 April - 2 May 2021'!D9</f>
        <v>223881.33</v>
      </c>
      <c r="C9" s="73">
        <v>314671.8</v>
      </c>
      <c r="D9" s="145">
        <v>177312.6</v>
      </c>
      <c r="E9" s="145">
        <v>254258.54</v>
      </c>
      <c r="F9" s="163">
        <f t="shared" si="0"/>
        <v>-0.43651576023018263</v>
      </c>
      <c r="G9" s="155">
        <f t="shared" si="3"/>
        <v>-0.20800631298733122</v>
      </c>
      <c r="H9" s="150">
        <v>674</v>
      </c>
      <c r="I9" s="63">
        <f t="shared" si="4"/>
        <v>263.07507418397626</v>
      </c>
      <c r="J9" s="61">
        <v>59</v>
      </c>
      <c r="K9" s="28">
        <f t="shared" si="1"/>
        <v>8.7537091988130561E-2</v>
      </c>
      <c r="L9" s="46">
        <f>J9+'12 - 18 April 2021'!L9+'19 - 25 April 2021'!J9+'26 April - 2 May 2021'!J9</f>
        <v>151</v>
      </c>
      <c r="M9" s="172">
        <f t="shared" si="2"/>
        <v>0.22403560830860533</v>
      </c>
      <c r="N9" s="260">
        <v>0</v>
      </c>
      <c r="O9" s="89">
        <f t="shared" si="5"/>
        <v>0</v>
      </c>
      <c r="P9" s="260">
        <v>0</v>
      </c>
      <c r="Q9" s="89">
        <f t="shared" si="6"/>
        <v>0</v>
      </c>
      <c r="R9" s="130">
        <v>8319</v>
      </c>
      <c r="S9" s="26"/>
    </row>
    <row r="10" spans="1:22" ht="15.6" customHeight="1" x14ac:dyDescent="0.3">
      <c r="A10" s="411" t="s">
        <v>20</v>
      </c>
      <c r="B10" s="200">
        <f>'26 April - 2 May 2021'!D10</f>
        <v>128733.27</v>
      </c>
      <c r="C10" s="73">
        <v>146819.43</v>
      </c>
      <c r="D10" s="145">
        <v>148751.57</v>
      </c>
      <c r="E10" s="145">
        <v>189904.72</v>
      </c>
      <c r="F10" s="163">
        <f t="shared" si="0"/>
        <v>1.3159974807149259E-2</v>
      </c>
      <c r="G10" s="155">
        <f t="shared" si="3"/>
        <v>0.15550214796843118</v>
      </c>
      <c r="H10" s="150">
        <v>495</v>
      </c>
      <c r="I10" s="63">
        <f t="shared" si="4"/>
        <v>300.50822222222223</v>
      </c>
      <c r="J10" s="61">
        <v>36</v>
      </c>
      <c r="K10" s="28">
        <f t="shared" si="1"/>
        <v>7.2727272727272724E-2</v>
      </c>
      <c r="L10" s="46">
        <f>J10+'12 - 18 April 2021'!L10+'19 - 25 April 2021'!J10+'26 April - 2 May 2021'!J10</f>
        <v>160</v>
      </c>
      <c r="M10" s="172">
        <f t="shared" si="2"/>
        <v>0.32323232323232326</v>
      </c>
      <c r="N10" s="260">
        <v>0</v>
      </c>
      <c r="O10" s="89">
        <f t="shared" si="5"/>
        <v>0</v>
      </c>
      <c r="P10" s="260">
        <v>0</v>
      </c>
      <c r="Q10" s="89">
        <f t="shared" si="6"/>
        <v>0</v>
      </c>
      <c r="R10" s="130">
        <v>7078</v>
      </c>
      <c r="S10" s="26"/>
    </row>
    <row r="11" spans="1:22" ht="15.6" customHeight="1" x14ac:dyDescent="0.3">
      <c r="A11" s="409" t="s">
        <v>21</v>
      </c>
      <c r="B11" s="200">
        <f>'26 April - 2 May 2021'!D11</f>
        <v>297909.15000000002</v>
      </c>
      <c r="C11" s="73">
        <v>382519.05</v>
      </c>
      <c r="D11" s="145">
        <v>285169.07</v>
      </c>
      <c r="E11" s="145">
        <v>368283.19</v>
      </c>
      <c r="F11" s="163">
        <f t="shared" si="0"/>
        <v>-0.25449707668154037</v>
      </c>
      <c r="G11" s="155">
        <f t="shared" si="3"/>
        <v>-4.2764983888544598E-2</v>
      </c>
      <c r="H11" s="150">
        <v>928</v>
      </c>
      <c r="I11" s="63">
        <f t="shared" si="4"/>
        <v>307.29425646551726</v>
      </c>
      <c r="J11" s="61">
        <v>103</v>
      </c>
      <c r="K11" s="28">
        <f t="shared" si="1"/>
        <v>0.11099137931034483</v>
      </c>
      <c r="L11" s="46">
        <f>J11+'12 - 18 April 2021'!L11+'19 - 25 April 2021'!J11+'26 April - 2 May 2021'!J11</f>
        <v>382</v>
      </c>
      <c r="M11" s="172">
        <f t="shared" si="2"/>
        <v>0.41163793103448276</v>
      </c>
      <c r="N11" s="260">
        <v>0</v>
      </c>
      <c r="O11" s="89">
        <f t="shared" si="5"/>
        <v>0</v>
      </c>
      <c r="P11" s="260">
        <v>0</v>
      </c>
      <c r="Q11" s="89">
        <f t="shared" si="6"/>
        <v>0</v>
      </c>
      <c r="R11" s="130">
        <v>12990.6</v>
      </c>
      <c r="S11" s="26"/>
    </row>
    <row r="12" spans="1:22" ht="15.6" customHeight="1" x14ac:dyDescent="0.3">
      <c r="A12" s="198" t="s">
        <v>22</v>
      </c>
      <c r="B12" s="200">
        <f>'26 April - 2 May 2021'!D12</f>
        <v>99879.81</v>
      </c>
      <c r="C12" s="73">
        <v>144817.99</v>
      </c>
      <c r="D12" s="145">
        <v>98245.55</v>
      </c>
      <c r="E12" s="145">
        <v>121764.79</v>
      </c>
      <c r="F12" s="163">
        <f t="shared" si="0"/>
        <v>-0.32159291811742441</v>
      </c>
      <c r="G12" s="155">
        <f t="shared" si="3"/>
        <v>-1.6362265807273711E-2</v>
      </c>
      <c r="H12" s="150">
        <v>355</v>
      </c>
      <c r="I12" s="63">
        <f t="shared" si="4"/>
        <v>276.74802816901411</v>
      </c>
      <c r="J12" s="61">
        <v>45</v>
      </c>
      <c r="K12" s="28">
        <f t="shared" si="1"/>
        <v>0.12676056338028169</v>
      </c>
      <c r="L12" s="46">
        <f>J12+'12 - 18 April 2021'!L12+'19 - 25 April 2021'!J12+'26 April - 2 May 2021'!J12</f>
        <v>172</v>
      </c>
      <c r="M12" s="172">
        <f t="shared" si="2"/>
        <v>0.48450704225352115</v>
      </c>
      <c r="N12" s="260">
        <v>0</v>
      </c>
      <c r="O12" s="89">
        <f t="shared" si="5"/>
        <v>0</v>
      </c>
      <c r="P12" s="260">
        <v>0</v>
      </c>
      <c r="Q12" s="89">
        <f t="shared" si="6"/>
        <v>0</v>
      </c>
      <c r="R12" s="130">
        <v>6830.75</v>
      </c>
      <c r="S12" s="26"/>
    </row>
    <row r="13" spans="1:22" ht="15.6" customHeight="1" x14ac:dyDescent="0.3">
      <c r="A13" s="198" t="s">
        <v>23</v>
      </c>
      <c r="B13" s="200">
        <f>'26 April - 2 May 2021'!D13</f>
        <v>192771.76</v>
      </c>
      <c r="C13" s="73">
        <v>233865.68</v>
      </c>
      <c r="D13" s="145">
        <v>184334.64</v>
      </c>
      <c r="E13" s="145">
        <v>235890.34</v>
      </c>
      <c r="F13" s="163">
        <f t="shared" si="0"/>
        <v>-0.21179268373196092</v>
      </c>
      <c r="G13" s="155">
        <f t="shared" si="3"/>
        <v>-4.3767406595239859E-2</v>
      </c>
      <c r="H13" s="150">
        <v>673</v>
      </c>
      <c r="I13" s="63">
        <f t="shared" si="4"/>
        <v>273.89991084695396</v>
      </c>
      <c r="J13" s="61">
        <v>57</v>
      </c>
      <c r="K13" s="28">
        <f t="shared" si="1"/>
        <v>8.469539375928678E-2</v>
      </c>
      <c r="L13" s="46">
        <f>J13+'12 - 18 April 2021'!L13+'19 - 25 April 2021'!J13+'26 April - 2 May 2021'!J13</f>
        <v>242</v>
      </c>
      <c r="M13" s="172">
        <f t="shared" si="2"/>
        <v>0.35958395245170877</v>
      </c>
      <c r="N13" s="260">
        <v>0</v>
      </c>
      <c r="O13" s="89">
        <f t="shared" si="5"/>
        <v>0</v>
      </c>
      <c r="P13" s="260">
        <v>0</v>
      </c>
      <c r="Q13" s="89">
        <f t="shared" si="6"/>
        <v>0</v>
      </c>
      <c r="R13" s="130">
        <v>2876</v>
      </c>
      <c r="S13" s="26"/>
    </row>
    <row r="14" spans="1:22" ht="15.6" hidden="1" customHeight="1" x14ac:dyDescent="0.3">
      <c r="A14" s="198" t="s">
        <v>24</v>
      </c>
      <c r="B14" s="200">
        <f>'26 April - 2 May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'26 April - 2 May 2021'!D15</f>
        <v>335289.78000000003</v>
      </c>
      <c r="C15" s="73">
        <v>163941.60999999999</v>
      </c>
      <c r="D15" s="145">
        <v>166850.45000000001</v>
      </c>
      <c r="E15" s="145">
        <v>243716.48000000001</v>
      </c>
      <c r="F15" s="163">
        <f t="shared" si="0"/>
        <v>1.7743146477578364E-2</v>
      </c>
      <c r="G15" s="155">
        <f t="shared" si="3"/>
        <v>-0.50236941310886363</v>
      </c>
      <c r="H15" s="150">
        <v>560</v>
      </c>
      <c r="I15" s="63">
        <f t="shared" si="4"/>
        <v>297.94723214285716</v>
      </c>
      <c r="J15" s="61">
        <v>51</v>
      </c>
      <c r="K15" s="28">
        <f t="shared" si="1"/>
        <v>9.1071428571428567E-2</v>
      </c>
      <c r="L15" s="46">
        <f>J15+'12 - 18 April 2021'!L15+'19 - 25 April 2021'!J15+'26 April - 2 May 2021'!J15</f>
        <v>251</v>
      </c>
      <c r="M15" s="172">
        <f t="shared" si="2"/>
        <v>0.44821428571428573</v>
      </c>
      <c r="N15" s="260">
        <v>0</v>
      </c>
      <c r="O15" s="89">
        <f t="shared" si="5"/>
        <v>0</v>
      </c>
      <c r="P15" s="260">
        <v>0</v>
      </c>
      <c r="Q15" s="89">
        <f t="shared" si="6"/>
        <v>0</v>
      </c>
      <c r="R15" s="130">
        <v>4463.3599999999997</v>
      </c>
      <c r="S15" s="9"/>
    </row>
    <row r="16" spans="1:22" ht="15.6" customHeight="1" x14ac:dyDescent="0.3">
      <c r="A16" s="198" t="s">
        <v>27</v>
      </c>
      <c r="B16" s="200">
        <f>'26 April - 2 May 2021'!D16</f>
        <v>147345.04999999999</v>
      </c>
      <c r="C16" s="73">
        <v>156915.53</v>
      </c>
      <c r="D16" s="145">
        <v>119683.93</v>
      </c>
      <c r="E16" s="145">
        <v>166537.45000000001</v>
      </c>
      <c r="F16" s="163">
        <f t="shared" si="0"/>
        <v>-0.23727160721440385</v>
      </c>
      <c r="G16" s="155">
        <f t="shared" si="3"/>
        <v>-0.18773022914580434</v>
      </c>
      <c r="H16" s="150">
        <v>477</v>
      </c>
      <c r="I16" s="63">
        <f t="shared" si="4"/>
        <v>250.90970649895178</v>
      </c>
      <c r="J16" s="61">
        <v>40</v>
      </c>
      <c r="K16" s="28">
        <f t="shared" si="1"/>
        <v>8.385744234800839E-2</v>
      </c>
      <c r="L16" s="46">
        <f>J16+'12 - 18 April 2021'!L16+'19 - 25 April 2021'!J16+'26 April - 2 May 2021'!J16</f>
        <v>164</v>
      </c>
      <c r="M16" s="172">
        <f t="shared" si="2"/>
        <v>0.34381551362683438</v>
      </c>
      <c r="N16" s="260">
        <v>0</v>
      </c>
      <c r="O16" s="89">
        <f t="shared" si="5"/>
        <v>0</v>
      </c>
      <c r="P16" s="260">
        <v>0</v>
      </c>
      <c r="Q16" s="89">
        <f t="shared" si="6"/>
        <v>0</v>
      </c>
      <c r="R16" s="130">
        <v>5969</v>
      </c>
      <c r="S16" s="9"/>
      <c r="V16" s="238"/>
    </row>
    <row r="17" spans="1:19" ht="15.6" customHeight="1" x14ac:dyDescent="0.3">
      <c r="A17" s="251" t="s">
        <v>28</v>
      </c>
      <c r="B17" s="200">
        <f>'26 April - 2 May 2021'!D17</f>
        <v>184045.59</v>
      </c>
      <c r="C17" s="73">
        <v>204319.37</v>
      </c>
      <c r="D17" s="145">
        <v>169209.44</v>
      </c>
      <c r="E17" s="145">
        <v>216251.05</v>
      </c>
      <c r="F17" s="163">
        <f t="shared" si="0"/>
        <v>-0.17183848012060723</v>
      </c>
      <c r="G17" s="155">
        <f t="shared" si="3"/>
        <v>-8.0611276803752782E-2</v>
      </c>
      <c r="H17" s="150">
        <v>641</v>
      </c>
      <c r="I17" s="63">
        <f t="shared" si="4"/>
        <v>263.97728549141965</v>
      </c>
      <c r="J17" s="61">
        <v>68</v>
      </c>
      <c r="K17" s="28">
        <f t="shared" si="1"/>
        <v>0.10608424336973479</v>
      </c>
      <c r="L17" s="46">
        <f>J17+'12 - 18 April 2021'!L17+'19 - 25 April 2021'!J17+'26 April - 2 May 2021'!J17</f>
        <v>274</v>
      </c>
      <c r="M17" s="172">
        <f t="shared" si="2"/>
        <v>0.42745709828393136</v>
      </c>
      <c r="N17" s="260">
        <v>0</v>
      </c>
      <c r="O17" s="89">
        <f t="shared" si="5"/>
        <v>0</v>
      </c>
      <c r="P17" s="260">
        <v>0</v>
      </c>
      <c r="Q17" s="89">
        <f t="shared" si="6"/>
        <v>0</v>
      </c>
      <c r="R17" s="130">
        <v>5909</v>
      </c>
      <c r="S17" s="9"/>
    </row>
    <row r="18" spans="1:19" ht="15.6" customHeight="1" x14ac:dyDescent="0.3">
      <c r="A18" s="198" t="s">
        <v>33</v>
      </c>
      <c r="B18" s="200">
        <f>'26 April - 2 May 2021'!D18</f>
        <v>163412.85999999999</v>
      </c>
      <c r="C18" s="73">
        <v>197506.48</v>
      </c>
      <c r="D18" s="145">
        <v>174159.43</v>
      </c>
      <c r="E18" s="145">
        <v>219697.75</v>
      </c>
      <c r="F18" s="163">
        <f t="shared" si="0"/>
        <v>-0.11820903293907124</v>
      </c>
      <c r="G18" s="155">
        <f t="shared" si="3"/>
        <v>6.5763306510882968E-2</v>
      </c>
      <c r="H18" s="150">
        <v>601</v>
      </c>
      <c r="I18" s="258">
        <f t="shared" si="4"/>
        <v>289.78274542429284</v>
      </c>
      <c r="J18" s="61">
        <v>96</v>
      </c>
      <c r="K18" s="28">
        <f t="shared" si="1"/>
        <v>0.15973377703826955</v>
      </c>
      <c r="L18" s="46">
        <f>J18+'12 - 18 April 2021'!L18+'19 - 25 April 2021'!J18+'26 April - 2 May 2021'!J18</f>
        <v>424</v>
      </c>
      <c r="M18" s="172">
        <f t="shared" si="2"/>
        <v>0.70549084858569056</v>
      </c>
      <c r="N18" s="260">
        <v>0</v>
      </c>
      <c r="O18" s="89">
        <f t="shared" si="5"/>
        <v>0</v>
      </c>
      <c r="P18" s="260">
        <v>0</v>
      </c>
      <c r="Q18" s="89">
        <f t="shared" si="6"/>
        <v>0</v>
      </c>
      <c r="R18" s="130">
        <v>5487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34" priority="10" operator="equal">
      <formula>0</formula>
    </cfRule>
  </conditionalFormatting>
  <conditionalFormatting sqref="D7:E19">
    <cfRule type="cellIs" dxfId="333" priority="2" operator="equal">
      <formula>0</formula>
    </cfRule>
  </conditionalFormatting>
  <conditionalFormatting sqref="F6:R19">
    <cfRule type="cellIs" dxfId="33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-0.13477898234693261</v>
      </c>
      <c r="G2" s="400">
        <f>(((D4-D19-B19)-B4)/D4)</f>
        <v>-8.0102943698800888E-2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2026344.6899999997</v>
      </c>
      <c r="C4" s="135">
        <f>SUM(C6:C19)-C14-C19</f>
        <v>2168308.7000000002</v>
      </c>
      <c r="D4" s="142">
        <f>SUM(D6:D19)-D19</f>
        <v>1876066.2599999998</v>
      </c>
      <c r="E4" s="142">
        <f>SUM(E6:E19)-E19</f>
        <v>4566890.9400000004</v>
      </c>
      <c r="F4" s="217">
        <f t="shared" ref="F4:F19" si="0">IFERROR((SUM(D4-C4)/C4),0)</f>
        <v>-0.13477898234693261</v>
      </c>
      <c r="G4" s="217">
        <f>IFERROR((SUM(D4-B4)/D4),0)</f>
        <v>-8.0102943698800888E-2</v>
      </c>
      <c r="H4" s="147">
        <f>SUM(H6:H19)</f>
        <v>6862</v>
      </c>
      <c r="I4" s="218">
        <f>AVERAGE(I5:I19)</f>
        <v>233.26971635483218</v>
      </c>
      <c r="J4" s="219">
        <f>SUM(J6:J19)</f>
        <v>791</v>
      </c>
      <c r="K4" s="220">
        <f t="shared" ref="K4:K19" si="1">IFERROR(J4/H4,0)</f>
        <v>0.11527251530166133</v>
      </c>
      <c r="L4" s="221">
        <f>SUM(L6:L19)</f>
        <v>3649</v>
      </c>
      <c r="M4" s="222">
        <f t="shared" ref="M4:M19" si="2">IFERROR(L4/SUM(H4),0)</f>
        <v>0.53176916350918102</v>
      </c>
      <c r="N4" s="249">
        <f>SUM(N6:N19)</f>
        <v>314266.86000000004</v>
      </c>
      <c r="O4" s="222">
        <f>SUM(N4/D4)</f>
        <v>0.16751373163120586</v>
      </c>
      <c r="P4" s="244">
        <f>SUM(P6:P19)</f>
        <v>169374.06</v>
      </c>
      <c r="Q4" s="222">
        <f>SUM(P4/D4)</f>
        <v>9.0281491443697737E-2</v>
      </c>
      <c r="R4" s="257">
        <f>SUM(R6:R19)</f>
        <v>77562.5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'3 - 9 May 2021'!D6</f>
        <v>203627.09</v>
      </c>
      <c r="C6" s="255">
        <v>217085.03</v>
      </c>
      <c r="D6" s="197">
        <v>194847.13</v>
      </c>
      <c r="E6" s="129">
        <v>491136.47</v>
      </c>
      <c r="F6" s="162">
        <f t="shared" si="0"/>
        <v>-0.10243866193813546</v>
      </c>
      <c r="G6" s="154">
        <f t="shared" ref="G6:G19" si="3">IFERROR((SUM(D6-B6)/B6),0)</f>
        <v>-4.3117838594069147E-2</v>
      </c>
      <c r="H6" s="149">
        <v>632</v>
      </c>
      <c r="I6" s="256">
        <f t="shared" ref="I6:I19" si="4">IFERROR(D6/H6,0)</f>
        <v>308.30242088607594</v>
      </c>
      <c r="J6" s="125">
        <v>51</v>
      </c>
      <c r="K6" s="126">
        <f t="shared" si="1"/>
        <v>8.0696202531645569E-2</v>
      </c>
      <c r="L6" s="46">
        <f>J6+'12 - 18 April 2021'!L6+'19 - 25 April 2021'!J6+'26 April - 2 May 2021'!J6+'3 - 9 May 2021'!J6</f>
        <v>278</v>
      </c>
      <c r="M6" s="171">
        <f t="shared" si="2"/>
        <v>0.439873417721519</v>
      </c>
      <c r="N6" s="259">
        <v>40471.550000000003</v>
      </c>
      <c r="O6" s="128">
        <f t="shared" ref="O6:O19" si="5">SUM(N6/D6)</f>
        <v>0.20770924365167709</v>
      </c>
      <c r="P6" s="260">
        <v>740</v>
      </c>
      <c r="Q6" s="128">
        <f t="shared" ref="Q6:Q19" si="6">SUM(P6/D6)</f>
        <v>3.7978491138155332E-3</v>
      </c>
      <c r="R6" s="129">
        <v>6899.9</v>
      </c>
      <c r="S6" s="26"/>
    </row>
    <row r="7" spans="1:22" ht="15.6" customHeight="1" x14ac:dyDescent="0.3">
      <c r="A7" s="409" t="s">
        <v>16</v>
      </c>
      <c r="B7" s="200">
        <f>'3 - 9 May 2021'!D7</f>
        <v>197591.81</v>
      </c>
      <c r="C7" s="73">
        <v>208131.03</v>
      </c>
      <c r="D7" s="145">
        <v>204578.06</v>
      </c>
      <c r="E7" s="145">
        <v>457280.15</v>
      </c>
      <c r="F7" s="163">
        <f t="shared" si="0"/>
        <v>-1.7070832734551889E-2</v>
      </c>
      <c r="G7" s="155">
        <f t="shared" si="3"/>
        <v>3.5356981648176612E-2</v>
      </c>
      <c r="H7" s="150">
        <v>690</v>
      </c>
      <c r="I7" s="63">
        <f t="shared" si="4"/>
        <v>296.48994202898552</v>
      </c>
      <c r="J7" s="61">
        <v>104</v>
      </c>
      <c r="K7" s="28">
        <f t="shared" si="1"/>
        <v>0.15072463768115943</v>
      </c>
      <c r="L7" s="46">
        <f>J7+'12 - 18 April 2021'!L7+'19 - 25 April 2021'!J7+'26 April - 2 May 2021'!J7+'3 - 9 May 2021'!J7</f>
        <v>387</v>
      </c>
      <c r="M7" s="172">
        <f t="shared" si="2"/>
        <v>0.56086956521739129</v>
      </c>
      <c r="N7" s="260">
        <v>22471.8</v>
      </c>
      <c r="O7" s="89">
        <f t="shared" si="5"/>
        <v>0.10984462361213124</v>
      </c>
      <c r="P7" s="260">
        <v>15195.22</v>
      </c>
      <c r="Q7" s="89">
        <f t="shared" si="6"/>
        <v>7.4275902313278366E-2</v>
      </c>
      <c r="R7" s="130">
        <v>7947.1</v>
      </c>
      <c r="S7" s="26"/>
    </row>
    <row r="8" spans="1:22" ht="15.6" customHeight="1" x14ac:dyDescent="0.3">
      <c r="A8" s="409" t="s">
        <v>17</v>
      </c>
      <c r="B8" s="200">
        <f>'3 - 9 May 2021'!D8</f>
        <v>101409.11</v>
      </c>
      <c r="C8" s="73">
        <v>98960.8</v>
      </c>
      <c r="D8" s="145">
        <v>100528.11</v>
      </c>
      <c r="E8" s="145">
        <v>226057.05</v>
      </c>
      <c r="F8" s="163">
        <f t="shared" si="0"/>
        <v>1.5837685224856686E-2</v>
      </c>
      <c r="G8" s="155">
        <f t="shared" si="3"/>
        <v>-8.6875824075371526E-3</v>
      </c>
      <c r="H8" s="150">
        <v>404</v>
      </c>
      <c r="I8" s="63">
        <f t="shared" si="4"/>
        <v>248.83195544554457</v>
      </c>
      <c r="J8" s="61">
        <v>29</v>
      </c>
      <c r="K8" s="28">
        <f t="shared" si="1"/>
        <v>7.1782178217821777E-2</v>
      </c>
      <c r="L8" s="46">
        <f>J8+'12 - 18 April 2021'!L8+'19 - 25 April 2021'!J8+'26 April - 2 May 2021'!J8+'3 - 9 May 2021'!J8</f>
        <v>157</v>
      </c>
      <c r="M8" s="172">
        <f t="shared" si="2"/>
        <v>0.38861386138613863</v>
      </c>
      <c r="N8" s="260">
        <v>40988.949999999997</v>
      </c>
      <c r="O8" s="89">
        <f t="shared" si="5"/>
        <v>0.40773620433130592</v>
      </c>
      <c r="P8" s="260">
        <v>11313.35</v>
      </c>
      <c r="Q8" s="89">
        <f t="shared" si="6"/>
        <v>0.11253916939252116</v>
      </c>
      <c r="R8" s="130">
        <v>3851.15</v>
      </c>
      <c r="S8" s="26"/>
    </row>
    <row r="9" spans="1:22" ht="15.6" customHeight="1" x14ac:dyDescent="0.3">
      <c r="A9" s="409" t="s">
        <v>18</v>
      </c>
      <c r="B9" s="200">
        <f>'3 - 9 May 2021'!D9</f>
        <v>177312.6</v>
      </c>
      <c r="C9" s="73">
        <v>271779.21999999997</v>
      </c>
      <c r="D9" s="145">
        <v>185947.3</v>
      </c>
      <c r="E9" s="145">
        <v>440205.84</v>
      </c>
      <c r="F9" s="163">
        <f t="shared" si="0"/>
        <v>-0.3158148735580299</v>
      </c>
      <c r="G9" s="155">
        <f t="shared" si="3"/>
        <v>4.8697610886084701E-2</v>
      </c>
      <c r="H9" s="150">
        <v>709</v>
      </c>
      <c r="I9" s="63">
        <f t="shared" si="4"/>
        <v>262.26699576868828</v>
      </c>
      <c r="J9" s="61">
        <v>63</v>
      </c>
      <c r="K9" s="28">
        <f t="shared" si="1"/>
        <v>8.8857545839210156E-2</v>
      </c>
      <c r="L9" s="46">
        <f>J9+'12 - 18 April 2021'!L9+'19 - 25 April 2021'!J9+'26 April - 2 May 2021'!J9+'3 - 9 May 2021'!J9</f>
        <v>214</v>
      </c>
      <c r="M9" s="172">
        <f t="shared" si="2"/>
        <v>0.3018335684062059</v>
      </c>
      <c r="N9" s="260">
        <v>16229.47</v>
      </c>
      <c r="O9" s="89">
        <f t="shared" si="5"/>
        <v>8.7279944371335322E-2</v>
      </c>
      <c r="P9" s="260">
        <v>14772.23</v>
      </c>
      <c r="Q9" s="89">
        <f t="shared" si="6"/>
        <v>7.9443100276261072E-2</v>
      </c>
      <c r="R9" s="130">
        <v>8356</v>
      </c>
      <c r="S9" s="26"/>
    </row>
    <row r="10" spans="1:22" ht="15.6" customHeight="1" x14ac:dyDescent="0.3">
      <c r="A10" s="411" t="s">
        <v>20</v>
      </c>
      <c r="B10" s="200">
        <f>'3 - 9 May 2021'!D10</f>
        <v>148751.57</v>
      </c>
      <c r="C10" s="73">
        <v>130423.4</v>
      </c>
      <c r="D10" s="145">
        <v>120234.69</v>
      </c>
      <c r="E10" s="145">
        <v>310139.40999999997</v>
      </c>
      <c r="F10" s="163">
        <f t="shared" si="0"/>
        <v>-7.812026062807742E-2</v>
      </c>
      <c r="G10" s="155">
        <f t="shared" si="3"/>
        <v>-0.1917080942406188</v>
      </c>
      <c r="H10" s="150">
        <v>438</v>
      </c>
      <c r="I10" s="63">
        <f t="shared" si="4"/>
        <v>274.50842465753425</v>
      </c>
      <c r="J10" s="61">
        <v>31</v>
      </c>
      <c r="K10" s="28">
        <f t="shared" si="1"/>
        <v>7.0776255707762553E-2</v>
      </c>
      <c r="L10" s="46">
        <f>J10+'12 - 18 April 2021'!L10+'19 - 25 April 2021'!J10+'26 April - 2 May 2021'!J10+'3 - 9 May 2021'!J10</f>
        <v>191</v>
      </c>
      <c r="M10" s="172">
        <f t="shared" si="2"/>
        <v>0.4360730593607306</v>
      </c>
      <c r="N10" s="260">
        <v>33639.269999999997</v>
      </c>
      <c r="O10" s="89">
        <f t="shared" si="5"/>
        <v>0.27978007012784745</v>
      </c>
      <c r="P10" s="260">
        <v>18242.13</v>
      </c>
      <c r="Q10" s="89">
        <f t="shared" si="6"/>
        <v>0.15172102161198237</v>
      </c>
      <c r="R10" s="130">
        <v>6251.95</v>
      </c>
      <c r="S10" s="26"/>
    </row>
    <row r="11" spans="1:22" ht="15.6" customHeight="1" x14ac:dyDescent="0.3">
      <c r="A11" s="409" t="s">
        <v>21</v>
      </c>
      <c r="B11" s="200">
        <f>'3 - 9 May 2021'!D11</f>
        <v>285169.07</v>
      </c>
      <c r="C11" s="73">
        <v>321781.94</v>
      </c>
      <c r="D11" s="145">
        <v>250633.44</v>
      </c>
      <c r="E11" s="145">
        <v>618916.63</v>
      </c>
      <c r="F11" s="163">
        <f t="shared" si="0"/>
        <v>-0.22110780984165862</v>
      </c>
      <c r="G11" s="155">
        <f t="shared" si="3"/>
        <v>-0.12110580575936936</v>
      </c>
      <c r="H11" s="150">
        <v>909</v>
      </c>
      <c r="I11" s="63">
        <f t="shared" si="4"/>
        <v>275.72435643564359</v>
      </c>
      <c r="J11" s="61">
        <v>120</v>
      </c>
      <c r="K11" s="28">
        <f t="shared" si="1"/>
        <v>0.132013201320132</v>
      </c>
      <c r="L11" s="46">
        <f>J11+'12 - 18 April 2021'!L11+'19 - 25 April 2021'!J11+'26 April - 2 May 2021'!J11+'3 - 9 May 2021'!J11</f>
        <v>502</v>
      </c>
      <c r="M11" s="172">
        <f t="shared" si="2"/>
        <v>0.55225522552255224</v>
      </c>
      <c r="N11" s="260">
        <v>43738.36</v>
      </c>
      <c r="O11" s="89">
        <f t="shared" si="5"/>
        <v>0.17451127032370461</v>
      </c>
      <c r="P11" s="260">
        <v>18493.740000000002</v>
      </c>
      <c r="Q11" s="89">
        <f t="shared" si="6"/>
        <v>7.3787998919856823E-2</v>
      </c>
      <c r="R11" s="130">
        <v>12978</v>
      </c>
      <c r="S11" s="26"/>
    </row>
    <row r="12" spans="1:22" ht="15.6" customHeight="1" x14ac:dyDescent="0.3">
      <c r="A12" s="198" t="s">
        <v>22</v>
      </c>
      <c r="B12" s="200">
        <f>'3 - 9 May 2021'!D12</f>
        <v>98245.55</v>
      </c>
      <c r="C12" s="73">
        <v>126268.32</v>
      </c>
      <c r="D12" s="145">
        <v>98898.65</v>
      </c>
      <c r="E12" s="145">
        <v>220663.44</v>
      </c>
      <c r="F12" s="163">
        <f t="shared" si="0"/>
        <v>-0.21675801182751153</v>
      </c>
      <c r="G12" s="155">
        <f t="shared" si="3"/>
        <v>6.6476293328297442E-3</v>
      </c>
      <c r="H12" s="150">
        <v>385</v>
      </c>
      <c r="I12" s="63">
        <f t="shared" si="4"/>
        <v>256.87961038961038</v>
      </c>
      <c r="J12" s="61">
        <v>43</v>
      </c>
      <c r="K12" s="28">
        <f t="shared" si="1"/>
        <v>0.11168831168831168</v>
      </c>
      <c r="L12" s="46">
        <f>J12+'12 - 18 April 2021'!L12+'19 - 25 April 2021'!J12+'26 April - 2 May 2021'!J12+'3 - 9 May 2021'!J12</f>
        <v>215</v>
      </c>
      <c r="M12" s="172">
        <f t="shared" si="2"/>
        <v>0.55844155844155841</v>
      </c>
      <c r="N12" s="260">
        <v>15683.57</v>
      </c>
      <c r="O12" s="89">
        <f t="shared" si="5"/>
        <v>0.1585822455614915</v>
      </c>
      <c r="P12" s="260">
        <v>11637.77</v>
      </c>
      <c r="Q12" s="89">
        <f t="shared" si="6"/>
        <v>0.11767369928709848</v>
      </c>
      <c r="R12" s="130">
        <v>8920.5</v>
      </c>
      <c r="S12" s="26"/>
    </row>
    <row r="13" spans="1:22" ht="15.6" customHeight="1" x14ac:dyDescent="0.3">
      <c r="A13" s="198" t="s">
        <v>23</v>
      </c>
      <c r="B13" s="200">
        <f>'3 - 9 May 2021'!D13</f>
        <v>184334.64</v>
      </c>
      <c r="C13" s="73">
        <v>195027.05</v>
      </c>
      <c r="D13" s="145">
        <v>169528.01</v>
      </c>
      <c r="E13" s="145">
        <v>405418.35</v>
      </c>
      <c r="F13" s="163">
        <f t="shared" si="0"/>
        <v>-0.13074617085168433</v>
      </c>
      <c r="G13" s="155">
        <f t="shared" si="3"/>
        <v>-8.0324728982029664E-2</v>
      </c>
      <c r="H13" s="150">
        <v>647</v>
      </c>
      <c r="I13" s="63">
        <f t="shared" si="4"/>
        <v>262.02165378670787</v>
      </c>
      <c r="J13" s="61">
        <v>65</v>
      </c>
      <c r="K13" s="28">
        <f t="shared" si="1"/>
        <v>0.10046367851622875</v>
      </c>
      <c r="L13" s="46">
        <f>J13+'12 - 18 April 2021'!L13+'19 - 25 April 2021'!J13+'26 April - 2 May 2021'!J13+'3 - 9 May 2021'!J13</f>
        <v>307</v>
      </c>
      <c r="M13" s="172">
        <f t="shared" si="2"/>
        <v>0.47449768160741884</v>
      </c>
      <c r="N13" s="260">
        <v>27077.85</v>
      </c>
      <c r="O13" s="89">
        <f t="shared" si="5"/>
        <v>0.15972493277069669</v>
      </c>
      <c r="P13" s="260">
        <v>20886.39</v>
      </c>
      <c r="Q13" s="89">
        <f t="shared" si="6"/>
        <v>0.12320318040658884</v>
      </c>
      <c r="R13" s="130">
        <v>3540</v>
      </c>
      <c r="S13" s="26"/>
    </row>
    <row r="14" spans="1:22" ht="15.6" hidden="1" customHeight="1" x14ac:dyDescent="0.3">
      <c r="A14" s="198" t="s">
        <v>24</v>
      </c>
      <c r="B14" s="200">
        <f>'3 - 9 May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'3 - 9 May 2021'!D15</f>
        <v>166850.45000000001</v>
      </c>
      <c r="C15" s="73">
        <v>127940.31</v>
      </c>
      <c r="D15" s="145">
        <v>135471.54</v>
      </c>
      <c r="E15" s="145">
        <v>379188.02</v>
      </c>
      <c r="F15" s="163">
        <f t="shared" si="0"/>
        <v>5.8865184866286557E-2</v>
      </c>
      <c r="G15" s="155">
        <f t="shared" si="3"/>
        <v>-0.18806607953409776</v>
      </c>
      <c r="H15" s="150">
        <v>482</v>
      </c>
      <c r="I15" s="63">
        <f t="shared" si="4"/>
        <v>281.06128630705393</v>
      </c>
      <c r="J15" s="61">
        <v>51</v>
      </c>
      <c r="K15" s="28">
        <f t="shared" si="1"/>
        <v>0.10580912863070539</v>
      </c>
      <c r="L15" s="46">
        <f>J15+'12 - 18 April 2021'!L15+'19 - 25 April 2021'!J15+'26 April - 2 May 2021'!J15+'3 - 9 May 2021'!J15</f>
        <v>302</v>
      </c>
      <c r="M15" s="172">
        <f t="shared" si="2"/>
        <v>0.62655601659751037</v>
      </c>
      <c r="N15" s="260">
        <v>0</v>
      </c>
      <c r="O15" s="89">
        <f t="shared" si="5"/>
        <v>0</v>
      </c>
      <c r="P15" s="260">
        <v>13957.74</v>
      </c>
      <c r="Q15" s="89">
        <f t="shared" si="6"/>
        <v>0.10303079155961466</v>
      </c>
      <c r="R15" s="130">
        <v>4151.1000000000004</v>
      </c>
      <c r="S15" s="9"/>
    </row>
    <row r="16" spans="1:22" ht="15.6" customHeight="1" x14ac:dyDescent="0.3">
      <c r="A16" s="198" t="s">
        <v>27</v>
      </c>
      <c r="B16" s="200">
        <f>'3 - 9 May 2021'!D16</f>
        <v>119683.93</v>
      </c>
      <c r="C16" s="73">
        <v>125341.75</v>
      </c>
      <c r="D16" s="145">
        <v>114724.17</v>
      </c>
      <c r="E16" s="145">
        <v>281261.62</v>
      </c>
      <c r="F16" s="163">
        <f t="shared" si="0"/>
        <v>-8.4709045469685898E-2</v>
      </c>
      <c r="G16" s="155">
        <f t="shared" si="3"/>
        <v>-4.1440484115118838E-2</v>
      </c>
      <c r="H16" s="150">
        <v>422</v>
      </c>
      <c r="I16" s="63">
        <f t="shared" si="4"/>
        <v>271.85822274881514</v>
      </c>
      <c r="J16" s="61">
        <v>40</v>
      </c>
      <c r="K16" s="28">
        <f t="shared" si="1"/>
        <v>9.4786729857819899E-2</v>
      </c>
      <c r="L16" s="46">
        <f>J16+'12 - 18 April 2021'!L16+'19 - 25 April 2021'!J16+'26 April - 2 May 2021'!J16+'3 - 9 May 2021'!J16</f>
        <v>204</v>
      </c>
      <c r="M16" s="172">
        <f t="shared" si="2"/>
        <v>0.48341232227488151</v>
      </c>
      <c r="N16" s="260">
        <v>28313.73</v>
      </c>
      <c r="O16" s="89">
        <f t="shared" si="5"/>
        <v>0.24679829891120589</v>
      </c>
      <c r="P16" s="260">
        <v>14025.57</v>
      </c>
      <c r="Q16" s="89">
        <f t="shared" si="6"/>
        <v>0.12225470883772792</v>
      </c>
      <c r="R16" s="130">
        <v>5625.5</v>
      </c>
      <c r="S16" s="9"/>
      <c r="V16" s="238"/>
    </row>
    <row r="17" spans="1:19" ht="15.6" customHeight="1" x14ac:dyDescent="0.3">
      <c r="A17" s="251" t="s">
        <v>28</v>
      </c>
      <c r="B17" s="200">
        <f>'3 - 9 May 2021'!D17</f>
        <v>169209.44</v>
      </c>
      <c r="C17" s="73">
        <v>194146.4</v>
      </c>
      <c r="D17" s="145">
        <v>156416.17000000001</v>
      </c>
      <c r="E17" s="145">
        <v>372667.22</v>
      </c>
      <c r="F17" s="163">
        <f t="shared" si="0"/>
        <v>-0.194339065777166</v>
      </c>
      <c r="G17" s="155">
        <f t="shared" si="3"/>
        <v>-7.5606124575555531E-2</v>
      </c>
      <c r="H17" s="150">
        <v>622</v>
      </c>
      <c r="I17" s="63">
        <f t="shared" si="4"/>
        <v>251.47294212218651</v>
      </c>
      <c r="J17" s="61">
        <v>73</v>
      </c>
      <c r="K17" s="28">
        <f t="shared" si="1"/>
        <v>0.11736334405144695</v>
      </c>
      <c r="L17" s="46">
        <f>J17+'12 - 18 April 2021'!L17+'19 - 25 April 2021'!J17+'26 April - 2 May 2021'!J17+'3 - 9 May 2021'!J17</f>
        <v>347</v>
      </c>
      <c r="M17" s="172">
        <f t="shared" si="2"/>
        <v>0.55787781350482313</v>
      </c>
      <c r="N17" s="260">
        <v>31078.02</v>
      </c>
      <c r="O17" s="89">
        <f t="shared" si="5"/>
        <v>0.19868802566895735</v>
      </c>
      <c r="P17" s="260">
        <v>15801.83</v>
      </c>
      <c r="Q17" s="89">
        <f t="shared" si="6"/>
        <v>0.10102427389700182</v>
      </c>
      <c r="R17" s="130">
        <v>6109.8</v>
      </c>
      <c r="S17" s="9"/>
    </row>
    <row r="18" spans="1:19" ht="15.6" customHeight="1" x14ac:dyDescent="0.3">
      <c r="A18" s="198" t="s">
        <v>33</v>
      </c>
      <c r="B18" s="200">
        <f>'3 - 9 May 2021'!D18</f>
        <v>174159.43</v>
      </c>
      <c r="C18" s="73">
        <v>151423.45000000001</v>
      </c>
      <c r="D18" s="145">
        <v>144258.99</v>
      </c>
      <c r="E18" s="145">
        <v>363956.74</v>
      </c>
      <c r="F18" s="163">
        <f t="shared" si="0"/>
        <v>-4.7314071895733591E-2</v>
      </c>
      <c r="G18" s="155">
        <f t="shared" si="3"/>
        <v>-0.1716843009878937</v>
      </c>
      <c r="H18" s="150">
        <v>522</v>
      </c>
      <c r="I18" s="258">
        <f t="shared" si="4"/>
        <v>276.35821839080455</v>
      </c>
      <c r="J18" s="61">
        <v>121</v>
      </c>
      <c r="K18" s="28">
        <f t="shared" si="1"/>
        <v>0.23180076628352492</v>
      </c>
      <c r="L18" s="46">
        <f>J18+'12 - 18 April 2021'!L18+'19 - 25 April 2021'!J18+'26 April - 2 May 2021'!J18+'3 - 9 May 2021'!J18</f>
        <v>545</v>
      </c>
      <c r="M18" s="172">
        <f t="shared" si="2"/>
        <v>1.0440613026819923</v>
      </c>
      <c r="N18" s="260">
        <v>14574.29</v>
      </c>
      <c r="O18" s="89">
        <f t="shared" si="5"/>
        <v>0.10102864299826307</v>
      </c>
      <c r="P18" s="260">
        <v>14308.09</v>
      </c>
      <c r="Q18" s="89">
        <f t="shared" si="6"/>
        <v>9.9183350722197638E-2</v>
      </c>
      <c r="R18" s="130">
        <v>2931.5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31" priority="10" operator="equal">
      <formula>0</formula>
    </cfRule>
  </conditionalFormatting>
  <conditionalFormatting sqref="D7:E19">
    <cfRule type="cellIs" dxfId="330" priority="2" operator="equal">
      <formula>0</formula>
    </cfRule>
  </conditionalFormatting>
  <conditionalFormatting sqref="F6:R19">
    <cfRule type="cellIs" dxfId="32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V41"/>
  <sheetViews>
    <sheetView zoomScale="70" zoomScaleNormal="70" workbookViewId="0">
      <pane xSplit="1" topLeftCell="B1" activePane="topRight" state="frozen"/>
      <selection pane="topRight" activeCell="I11" sqref="I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-0.20658328197530043</v>
      </c>
      <c r="G2" s="400">
        <f>(((D4-D19-B19)-B4)/D4)</f>
        <v>-3.5602216803792275E-2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1876066.2599999998</v>
      </c>
      <c r="C4" s="135">
        <f>SUM(C6:C19)-C14-C19</f>
        <v>2283252.04</v>
      </c>
      <c r="D4" s="142">
        <f>SUM(D6:D19)-D19</f>
        <v>1811570.34</v>
      </c>
      <c r="E4" s="142">
        <f>SUM(E6:E19)-E19</f>
        <v>6378461.2999999998</v>
      </c>
      <c r="F4" s="217">
        <f t="shared" ref="F4:F19" si="0">IFERROR((SUM(D4-C4)/C4),0)</f>
        <v>-0.20658328197530043</v>
      </c>
      <c r="G4" s="217">
        <f>IFERROR((SUM(D4-B4)/D4),0)</f>
        <v>-3.5602216803792275E-2</v>
      </c>
      <c r="H4" s="147"/>
      <c r="I4" s="218">
        <f>AVERAGE(I5:I19)</f>
        <v>231.81136370723064</v>
      </c>
      <c r="J4" s="219">
        <f>SUM(J6:J19)</f>
        <v>777</v>
      </c>
      <c r="K4" s="220">
        <f t="shared" ref="K4:K19" si="1">IFERROR(J4/H4,0)</f>
        <v>0</v>
      </c>
      <c r="L4" s="221">
        <f>SUM(L6:L19)</f>
        <v>4426</v>
      </c>
      <c r="M4" s="222">
        <f t="shared" ref="M4:M19" si="2">IFERROR(L4/SUM(H4),0)</f>
        <v>0</v>
      </c>
      <c r="N4" s="249">
        <f>SUM(N6:N19)</f>
        <v>317000.44</v>
      </c>
      <c r="O4" s="222">
        <f>SUM(N4/D4)</f>
        <v>0.17498654785880408</v>
      </c>
      <c r="P4" s="244">
        <f>SUM(P6:P19)</f>
        <v>174557.64999999997</v>
      </c>
      <c r="Q4" s="222">
        <f>SUM(P4/D4)</f>
        <v>9.6357092046450682E-2</v>
      </c>
      <c r="R4" s="257">
        <f>SUM(R6:R19)</f>
        <v>77726.5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'10 - 16 May 2021'!D6</f>
        <v>194847.13</v>
      </c>
      <c r="C6" s="255">
        <v>221316.49</v>
      </c>
      <c r="D6" s="197">
        <v>171452.75</v>
      </c>
      <c r="E6" s="129">
        <v>662589.22</v>
      </c>
      <c r="F6" s="162">
        <f t="shared" si="0"/>
        <v>-0.22530512751218851</v>
      </c>
      <c r="G6" s="154">
        <f t="shared" ref="G6:G19" si="3">IFERROR((SUM(D6-B6)/B6),0)</f>
        <v>-0.12006530452873493</v>
      </c>
      <c r="H6" s="149">
        <v>600</v>
      </c>
      <c r="I6" s="256">
        <f t="shared" ref="I6:I19" si="4">IFERROR(D6/H6,0)</f>
        <v>285.75458333333336</v>
      </c>
      <c r="J6" s="125">
        <v>96</v>
      </c>
      <c r="K6" s="126">
        <f t="shared" si="1"/>
        <v>0.16</v>
      </c>
      <c r="L6" s="46">
        <f>J6+'12 - 18 April 2021'!L6+'19 - 25 April 2021'!J6+'26 April - 2 May 2021'!J6+'3 - 9 May 2021'!J6+'10 - 16 May 2021'!J6</f>
        <v>374</v>
      </c>
      <c r="M6" s="171">
        <f t="shared" si="2"/>
        <v>0.62333333333333329</v>
      </c>
      <c r="N6" s="259">
        <v>44016.03</v>
      </c>
      <c r="O6" s="128">
        <f t="shared" ref="O6:O19" si="5">SUM(N6/D6)</f>
        <v>0.25672396622393051</v>
      </c>
      <c r="P6" s="260">
        <v>0</v>
      </c>
      <c r="Q6" s="128">
        <f t="shared" ref="Q6:Q19" si="6">SUM(P6/D6)</f>
        <v>0</v>
      </c>
      <c r="R6" s="129">
        <v>9951.7999999999993</v>
      </c>
      <c r="S6" s="26"/>
    </row>
    <row r="7" spans="1:22" ht="15.6" customHeight="1" x14ac:dyDescent="0.3">
      <c r="A7" s="409" t="s">
        <v>16</v>
      </c>
      <c r="B7" s="200">
        <f>'10 - 16 May 2021'!D7</f>
        <v>204578.06</v>
      </c>
      <c r="C7" s="73">
        <v>230507.03</v>
      </c>
      <c r="D7" s="145">
        <v>153733.9</v>
      </c>
      <c r="E7" s="145">
        <v>611014.05000000005</v>
      </c>
      <c r="F7" s="163">
        <f t="shared" si="0"/>
        <v>-0.33306198947598259</v>
      </c>
      <c r="G7" s="155">
        <f t="shared" si="3"/>
        <v>-0.24853183181031244</v>
      </c>
      <c r="H7" s="150">
        <v>521</v>
      </c>
      <c r="I7" s="63">
        <f t="shared" si="4"/>
        <v>295.0746641074856</v>
      </c>
      <c r="J7" s="61">
        <v>66</v>
      </c>
      <c r="K7" s="28">
        <f t="shared" si="1"/>
        <v>0.12667946257197696</v>
      </c>
      <c r="L7" s="46">
        <f>J7+'12 - 18 April 2021'!L7+'19 - 25 April 2021'!J7+'26 April - 2 May 2021'!J7+'3 - 9 May 2021'!J7+'10 - 16 May 2021'!J7</f>
        <v>453</v>
      </c>
      <c r="M7" s="172">
        <f t="shared" si="2"/>
        <v>0.86948176583493286</v>
      </c>
      <c r="N7" s="260">
        <v>20952.05</v>
      </c>
      <c r="O7" s="89">
        <f t="shared" si="5"/>
        <v>0.13628776736946113</v>
      </c>
      <c r="P7" s="260">
        <v>7123.48</v>
      </c>
      <c r="Q7" s="89">
        <f t="shared" si="6"/>
        <v>4.6336429375693974E-2</v>
      </c>
      <c r="R7" s="130">
        <v>7352.15</v>
      </c>
      <c r="S7" s="26"/>
    </row>
    <row r="8" spans="1:22" ht="15.6" customHeight="1" x14ac:dyDescent="0.3">
      <c r="A8" s="409" t="s">
        <v>17</v>
      </c>
      <c r="B8" s="200">
        <f>'10 - 16 May 2021'!D8</f>
        <v>100528.11</v>
      </c>
      <c r="C8" s="73">
        <v>105221.78</v>
      </c>
      <c r="D8" s="145">
        <v>98667.17</v>
      </c>
      <c r="E8" s="145">
        <v>324724.21999999997</v>
      </c>
      <c r="F8" s="163">
        <f t="shared" si="0"/>
        <v>-6.2293281866168781E-2</v>
      </c>
      <c r="G8" s="155">
        <f t="shared" si="3"/>
        <v>-1.851163818756766E-2</v>
      </c>
      <c r="H8" s="150">
        <v>397</v>
      </c>
      <c r="I8" s="63">
        <f t="shared" si="4"/>
        <v>248.53191435768261</v>
      </c>
      <c r="J8" s="61">
        <v>27</v>
      </c>
      <c r="K8" s="28">
        <f t="shared" si="1"/>
        <v>6.8010075566750636E-2</v>
      </c>
      <c r="L8" s="46">
        <f>J8+'12 - 18 April 2021'!L8+'19 - 25 April 2021'!J8+'26 April - 2 May 2021'!J8+'3 - 9 May 2021'!J8+'10 - 16 May 2021'!J8</f>
        <v>184</v>
      </c>
      <c r="M8" s="172">
        <f t="shared" si="2"/>
        <v>0.46347607052896728</v>
      </c>
      <c r="N8" s="260">
        <v>38143.019999999997</v>
      </c>
      <c r="O8" s="89">
        <f t="shared" si="5"/>
        <v>0.38658269006803375</v>
      </c>
      <c r="P8" s="260">
        <v>13197.56</v>
      </c>
      <c r="Q8" s="89">
        <f t="shared" si="6"/>
        <v>0.13375837170560378</v>
      </c>
      <c r="R8" s="130">
        <v>2476</v>
      </c>
      <c r="S8" s="26"/>
    </row>
    <row r="9" spans="1:22" ht="15.6" customHeight="1" x14ac:dyDescent="0.3">
      <c r="A9" s="409" t="s">
        <v>18</v>
      </c>
      <c r="B9" s="200">
        <f>'10 - 16 May 2021'!D9</f>
        <v>185947.3</v>
      </c>
      <c r="C9" s="73">
        <v>287415.07</v>
      </c>
      <c r="D9" s="145">
        <v>158175.95000000001</v>
      </c>
      <c r="E9" s="145">
        <v>598381.79</v>
      </c>
      <c r="F9" s="163">
        <f t="shared" si="0"/>
        <v>-0.44966020744841245</v>
      </c>
      <c r="G9" s="155">
        <f t="shared" si="3"/>
        <v>-0.14935064935064923</v>
      </c>
      <c r="H9" s="150">
        <v>620</v>
      </c>
      <c r="I9" s="63">
        <f t="shared" si="4"/>
        <v>255.12250000000003</v>
      </c>
      <c r="J9" s="61">
        <v>66</v>
      </c>
      <c r="K9" s="28">
        <f t="shared" si="1"/>
        <v>0.1064516129032258</v>
      </c>
      <c r="L9" s="46">
        <f>J9+'12 - 18 April 2021'!L9+'19 - 25 April 2021'!J9+'26 April - 2 May 2021'!J9+'3 - 9 May 2021'!J9+'10 - 16 May 2021'!J9</f>
        <v>280</v>
      </c>
      <c r="M9" s="172">
        <f t="shared" si="2"/>
        <v>0.45161290322580644</v>
      </c>
      <c r="N9" s="260">
        <v>21390.73</v>
      </c>
      <c r="O9" s="89">
        <f t="shared" si="5"/>
        <v>0.13523376973553816</v>
      </c>
      <c r="P9" s="260">
        <v>14966.61</v>
      </c>
      <c r="Q9" s="89">
        <f t="shared" si="6"/>
        <v>9.462001018486059E-2</v>
      </c>
      <c r="R9" s="130">
        <v>6943</v>
      </c>
      <c r="S9" s="26"/>
    </row>
    <row r="10" spans="1:22" ht="15.6" customHeight="1" x14ac:dyDescent="0.3">
      <c r="A10" s="411" t="s">
        <v>20</v>
      </c>
      <c r="B10" s="200">
        <f>'10 - 16 May 2021'!D10</f>
        <v>120234.69</v>
      </c>
      <c r="C10" s="73">
        <v>144417.04</v>
      </c>
      <c r="D10" s="145">
        <v>130654.18</v>
      </c>
      <c r="E10" s="145">
        <v>440793.59</v>
      </c>
      <c r="F10" s="163">
        <f t="shared" si="0"/>
        <v>-9.5299418960532734E-2</v>
      </c>
      <c r="G10" s="155">
        <f t="shared" si="3"/>
        <v>8.6659598822935294E-2</v>
      </c>
      <c r="H10" s="150">
        <v>472</v>
      </c>
      <c r="I10" s="63">
        <f t="shared" si="4"/>
        <v>276.80970338983047</v>
      </c>
      <c r="J10" s="61">
        <v>30</v>
      </c>
      <c r="K10" s="28">
        <f t="shared" si="1"/>
        <v>6.3559322033898302E-2</v>
      </c>
      <c r="L10" s="46">
        <f>J10+'12 - 18 April 2021'!L10+'19 - 25 April 2021'!J10+'26 April - 2 May 2021'!J10+'3 - 9 May 2021'!J10+'10 - 16 May 2021'!J10</f>
        <v>221</v>
      </c>
      <c r="M10" s="172">
        <f t="shared" si="2"/>
        <v>0.46822033898305082</v>
      </c>
      <c r="N10" s="260">
        <v>32171.3</v>
      </c>
      <c r="O10" s="89">
        <f t="shared" si="5"/>
        <v>0.24623245884670511</v>
      </c>
      <c r="P10" s="260">
        <v>22870.61</v>
      </c>
      <c r="Q10" s="89">
        <f t="shared" si="6"/>
        <v>0.17504690626813471</v>
      </c>
      <c r="R10" s="130">
        <v>4865.05</v>
      </c>
      <c r="S10" s="26"/>
    </row>
    <row r="11" spans="1:22" ht="15.6" customHeight="1" x14ac:dyDescent="0.3">
      <c r="A11" s="409" t="s">
        <v>21</v>
      </c>
      <c r="B11" s="200">
        <f>'10 - 16 May 2021'!D11</f>
        <v>250633.44</v>
      </c>
      <c r="C11" s="73">
        <v>330106.03000000003</v>
      </c>
      <c r="D11" s="145">
        <v>260839.29</v>
      </c>
      <c r="E11" s="145">
        <v>879755.92</v>
      </c>
      <c r="F11" s="163">
        <f t="shared" si="0"/>
        <v>-0.20983179253041823</v>
      </c>
      <c r="G11" s="155">
        <f t="shared" si="3"/>
        <v>4.0720224723404849E-2</v>
      </c>
      <c r="H11" s="150">
        <v>911</v>
      </c>
      <c r="I11" s="63">
        <f t="shared" si="4"/>
        <v>286.32194291986826</v>
      </c>
      <c r="J11" s="61">
        <v>128</v>
      </c>
      <c r="K11" s="28">
        <f t="shared" si="1"/>
        <v>0.14050493962678376</v>
      </c>
      <c r="L11" s="46">
        <f>J11+'12 - 18 April 2021'!L11+'19 - 25 April 2021'!J11+'26 April - 2 May 2021'!J11+'3 - 9 May 2021'!J11+'10 - 16 May 2021'!J11</f>
        <v>630</v>
      </c>
      <c r="M11" s="172">
        <f t="shared" si="2"/>
        <v>0.69154774972557631</v>
      </c>
      <c r="N11" s="260">
        <v>37238.050000000003</v>
      </c>
      <c r="O11" s="89">
        <f t="shared" si="5"/>
        <v>0.14276242662675551</v>
      </c>
      <c r="P11" s="260">
        <v>20437.13</v>
      </c>
      <c r="Q11" s="89">
        <f t="shared" si="6"/>
        <v>7.8351424741265011E-2</v>
      </c>
      <c r="R11" s="130">
        <v>13594</v>
      </c>
      <c r="S11" s="26"/>
    </row>
    <row r="12" spans="1:22" ht="15.6" customHeight="1" x14ac:dyDescent="0.3">
      <c r="A12" s="198" t="s">
        <v>22</v>
      </c>
      <c r="B12" s="200">
        <f>'10 - 16 May 2021'!D12</f>
        <v>98898.65</v>
      </c>
      <c r="C12" s="73">
        <v>129133.4</v>
      </c>
      <c r="D12" s="145">
        <v>110940.29</v>
      </c>
      <c r="E12" s="145">
        <v>331603.73</v>
      </c>
      <c r="F12" s="163">
        <f t="shared" si="0"/>
        <v>-0.14088616887652614</v>
      </c>
      <c r="G12" s="155">
        <f t="shared" si="3"/>
        <v>0.12175737484788721</v>
      </c>
      <c r="H12" s="150">
        <v>416</v>
      </c>
      <c r="I12" s="63">
        <f t="shared" si="4"/>
        <v>266.6833894230769</v>
      </c>
      <c r="J12" s="61">
        <v>33</v>
      </c>
      <c r="K12" s="28">
        <f t="shared" si="1"/>
        <v>7.9326923076923073E-2</v>
      </c>
      <c r="L12" s="46">
        <f>J12+'12 - 18 April 2021'!L12+'19 - 25 April 2021'!J12+'26 April - 2 May 2021'!J12+'3 - 9 May 2021'!J12+'10 - 16 May 2021'!J12</f>
        <v>248</v>
      </c>
      <c r="M12" s="172">
        <f t="shared" si="2"/>
        <v>0.59615384615384615</v>
      </c>
      <c r="N12" s="260">
        <v>16381.87</v>
      </c>
      <c r="O12" s="89">
        <f t="shared" si="5"/>
        <v>0.14766384692161885</v>
      </c>
      <c r="P12" s="260">
        <v>13038</v>
      </c>
      <c r="Q12" s="89">
        <f t="shared" si="6"/>
        <v>0.11752267819022287</v>
      </c>
      <c r="R12" s="130">
        <v>7626.25</v>
      </c>
      <c r="S12" s="26"/>
    </row>
    <row r="13" spans="1:22" ht="15.6" customHeight="1" x14ac:dyDescent="0.3">
      <c r="A13" s="198" t="s">
        <v>23</v>
      </c>
      <c r="B13" s="200">
        <f>'10 - 16 May 2021'!D13</f>
        <v>169528.01</v>
      </c>
      <c r="C13" s="73">
        <v>222565.67</v>
      </c>
      <c r="D13" s="145">
        <v>169683.54</v>
      </c>
      <c r="E13" s="145">
        <v>575101.89</v>
      </c>
      <c r="F13" s="163">
        <f t="shared" si="0"/>
        <v>-0.23760236697780032</v>
      </c>
      <c r="G13" s="155">
        <f t="shared" si="3"/>
        <v>9.1742951504001507E-4</v>
      </c>
      <c r="H13" s="150">
        <v>649</v>
      </c>
      <c r="I13" s="63">
        <f t="shared" si="4"/>
        <v>261.45383667180278</v>
      </c>
      <c r="J13" s="61">
        <v>95</v>
      </c>
      <c r="K13" s="28">
        <f t="shared" si="1"/>
        <v>0.14637904468412943</v>
      </c>
      <c r="L13" s="46">
        <f>J13+'12 - 18 April 2021'!L13+'19 - 25 April 2021'!J13+'26 April - 2 May 2021'!J13+'3 - 9 May 2021'!J13+'10 - 16 May 2021'!J13</f>
        <v>402</v>
      </c>
      <c r="M13" s="172">
        <f t="shared" si="2"/>
        <v>0.61941448382126352</v>
      </c>
      <c r="N13" s="260">
        <v>34164.959999999999</v>
      </c>
      <c r="O13" s="89">
        <f t="shared" si="5"/>
        <v>0.20134516288380122</v>
      </c>
      <c r="P13" s="260">
        <v>23237.87</v>
      </c>
      <c r="Q13" s="89">
        <f t="shared" si="6"/>
        <v>0.13694828620383567</v>
      </c>
      <c r="R13" s="130">
        <v>3409.75</v>
      </c>
      <c r="S13" s="26"/>
    </row>
    <row r="14" spans="1:22" ht="15.6" hidden="1" customHeight="1" x14ac:dyDescent="0.3">
      <c r="A14" s="198" t="s">
        <v>24</v>
      </c>
      <c r="B14" s="200">
        <f>'10 - 16 May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'10 - 16 May 2021'!D15</f>
        <v>135471.54</v>
      </c>
      <c r="C15" s="73">
        <v>119331.58</v>
      </c>
      <c r="D15" s="145">
        <v>162458.28</v>
      </c>
      <c r="E15" s="145">
        <v>541646.30000000005</v>
      </c>
      <c r="F15" s="163">
        <f t="shared" si="0"/>
        <v>0.36140223736248189</v>
      </c>
      <c r="G15" s="155">
        <f t="shared" si="3"/>
        <v>0.19920597344652602</v>
      </c>
      <c r="H15" s="150">
        <v>543</v>
      </c>
      <c r="I15" s="63">
        <f t="shared" si="4"/>
        <v>299.18651933701659</v>
      </c>
      <c r="J15" s="61">
        <v>61</v>
      </c>
      <c r="K15" s="28">
        <f t="shared" si="1"/>
        <v>0.11233885819521179</v>
      </c>
      <c r="L15" s="46">
        <f>J15+'12 - 18 April 2021'!L15+'19 - 25 April 2021'!J15+'26 April - 2 May 2021'!J15+'3 - 9 May 2021'!J15+'10 - 16 May 2021'!J15</f>
        <v>363</v>
      </c>
      <c r="M15" s="172">
        <f t="shared" si="2"/>
        <v>0.66850828729281764</v>
      </c>
      <c r="N15" s="260">
        <v>0</v>
      </c>
      <c r="O15" s="89">
        <f t="shared" si="5"/>
        <v>0</v>
      </c>
      <c r="P15" s="260">
        <v>12824.78</v>
      </c>
      <c r="Q15" s="89">
        <f t="shared" si="6"/>
        <v>7.8941990522120517E-2</v>
      </c>
      <c r="R15" s="130">
        <v>4609.5</v>
      </c>
      <c r="S15" s="9"/>
    </row>
    <row r="16" spans="1:22" ht="15.6" customHeight="1" x14ac:dyDescent="0.3">
      <c r="A16" s="198" t="s">
        <v>27</v>
      </c>
      <c r="B16" s="200">
        <f>'10 - 16 May 2021'!D16</f>
        <v>114724.17</v>
      </c>
      <c r="C16" s="73">
        <v>120194.62</v>
      </c>
      <c r="D16" s="145">
        <v>108250.42</v>
      </c>
      <c r="E16" s="145">
        <v>389512.04</v>
      </c>
      <c r="F16" s="163">
        <f t="shared" si="0"/>
        <v>-9.9373832206466464E-2</v>
      </c>
      <c r="G16" s="155">
        <f t="shared" si="3"/>
        <v>-5.6428824021999897E-2</v>
      </c>
      <c r="H16" s="150">
        <v>414</v>
      </c>
      <c r="I16" s="63">
        <f t="shared" si="4"/>
        <v>261.47444444444443</v>
      </c>
      <c r="J16" s="61">
        <v>21</v>
      </c>
      <c r="K16" s="28">
        <f t="shared" si="1"/>
        <v>5.0724637681159424E-2</v>
      </c>
      <c r="L16" s="46">
        <f>J16+'12 - 18 April 2021'!L16+'19 - 25 April 2021'!J16+'26 April - 2 May 2021'!J16+'3 - 9 May 2021'!J16+'10 - 16 May 2021'!J16</f>
        <v>225</v>
      </c>
      <c r="M16" s="172">
        <f t="shared" si="2"/>
        <v>0.54347826086956519</v>
      </c>
      <c r="N16" s="260">
        <v>26529.599999999999</v>
      </c>
      <c r="O16" s="89">
        <f t="shared" si="5"/>
        <v>0.24507618538570103</v>
      </c>
      <c r="P16" s="260">
        <v>15204</v>
      </c>
      <c r="Q16" s="89">
        <f t="shared" si="6"/>
        <v>0.14045211094792981</v>
      </c>
      <c r="R16" s="130">
        <v>6259.5</v>
      </c>
      <c r="S16" s="9"/>
      <c r="V16" s="238"/>
    </row>
    <row r="17" spans="1:19" ht="15.6" customHeight="1" x14ac:dyDescent="0.3">
      <c r="A17" s="251" t="s">
        <v>28</v>
      </c>
      <c r="B17" s="200">
        <f>'10 - 16 May 2021'!D17</f>
        <v>156416.17000000001</v>
      </c>
      <c r="C17" s="73">
        <v>199724.82</v>
      </c>
      <c r="D17" s="145">
        <v>156591.71</v>
      </c>
      <c r="E17" s="145">
        <v>529258.93000000005</v>
      </c>
      <c r="F17" s="163">
        <f t="shared" si="0"/>
        <v>-0.21596269306939425</v>
      </c>
      <c r="G17" s="155">
        <f t="shared" si="3"/>
        <v>1.1222624873117597E-3</v>
      </c>
      <c r="H17" s="150">
        <v>635</v>
      </c>
      <c r="I17" s="63">
        <f t="shared" si="4"/>
        <v>246.6011181102362</v>
      </c>
      <c r="J17" s="61">
        <v>65</v>
      </c>
      <c r="K17" s="28">
        <f t="shared" si="1"/>
        <v>0.10236220472440945</v>
      </c>
      <c r="L17" s="46">
        <f>J17+'12 - 18 April 2021'!L17+'19 - 25 April 2021'!J17+'26 April - 2 May 2021'!J17+'3 - 9 May 2021'!J17+'10 - 16 May 2021'!J17</f>
        <v>412</v>
      </c>
      <c r="M17" s="172">
        <f t="shared" si="2"/>
        <v>0.64881889763779532</v>
      </c>
      <c r="N17" s="260">
        <v>24991.96</v>
      </c>
      <c r="O17" s="89">
        <f t="shared" si="5"/>
        <v>0.1595995088118011</v>
      </c>
      <c r="P17" s="260">
        <v>22052.31</v>
      </c>
      <c r="Q17" s="89">
        <f t="shared" si="6"/>
        <v>0.14082680366668199</v>
      </c>
      <c r="R17" s="130">
        <v>6005.5</v>
      </c>
      <c r="S17" s="9"/>
    </row>
    <row r="18" spans="1:19" ht="15.6" customHeight="1" x14ac:dyDescent="0.3">
      <c r="A18" s="198" t="s">
        <v>33</v>
      </c>
      <c r="B18" s="200">
        <f>'10 - 16 May 2021'!D18</f>
        <v>144258.99</v>
      </c>
      <c r="C18" s="73">
        <v>173318.51</v>
      </c>
      <c r="D18" s="145">
        <v>130122.86</v>
      </c>
      <c r="E18" s="145">
        <v>494079.62</v>
      </c>
      <c r="F18" s="163">
        <f t="shared" si="0"/>
        <v>-0.24922698677711921</v>
      </c>
      <c r="G18" s="155">
        <f t="shared" si="3"/>
        <v>-9.7991327958139668E-2</v>
      </c>
      <c r="H18" s="150">
        <v>496</v>
      </c>
      <c r="I18" s="258">
        <f t="shared" si="4"/>
        <v>262.34447580645161</v>
      </c>
      <c r="J18" s="61">
        <v>89</v>
      </c>
      <c r="K18" s="28">
        <f t="shared" si="1"/>
        <v>0.17943548387096775</v>
      </c>
      <c r="L18" s="46">
        <f>J18+'12 - 18 April 2021'!L18+'19 - 25 April 2021'!J18+'26 April - 2 May 2021'!J18+'3 - 9 May 2021'!J18+'10 - 16 May 2021'!J18</f>
        <v>634</v>
      </c>
      <c r="M18" s="172">
        <f t="shared" si="2"/>
        <v>1.278225806451613</v>
      </c>
      <c r="N18" s="260">
        <v>21020.87</v>
      </c>
      <c r="O18" s="89">
        <f t="shared" si="5"/>
        <v>0.16154632629501073</v>
      </c>
      <c r="P18" s="260">
        <v>9605.2999999999993</v>
      </c>
      <c r="Q18" s="89">
        <f t="shared" si="6"/>
        <v>7.3817160182307703E-2</v>
      </c>
      <c r="R18" s="130">
        <v>4634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28" priority="10" operator="equal">
      <formula>0</formula>
    </cfRule>
  </conditionalFormatting>
  <conditionalFormatting sqref="D7:E19">
    <cfRule type="cellIs" dxfId="327" priority="2" operator="equal">
      <formula>0</formula>
    </cfRule>
  </conditionalFormatting>
  <conditionalFormatting sqref="F6:R19">
    <cfRule type="cellIs" dxfId="32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V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-0.19353602225639144</v>
      </c>
      <c r="G2" s="400">
        <f>(((D4-D19-B19)-B4)/D4)</f>
        <v>9.2233934664036177E-2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1811570.34</v>
      </c>
      <c r="C4" s="135">
        <f>SUM(C6:C19)-C14-C19</f>
        <v>2474550.29</v>
      </c>
      <c r="D4" s="142">
        <f>SUM(D6:D19)-D19</f>
        <v>1995635.6700000002</v>
      </c>
      <c r="E4" s="142">
        <f>SUM(E6:E19)-E19</f>
        <v>8374096.9699999988</v>
      </c>
      <c r="F4" s="217">
        <f t="shared" ref="F4:F19" si="0">IFERROR((SUM(D4-C4)/C4),0)</f>
        <v>-0.19353602225639144</v>
      </c>
      <c r="G4" s="217">
        <f>IFERROR((SUM(D4-B4)/D4),0)</f>
        <v>9.2233934664036177E-2</v>
      </c>
      <c r="H4" s="262">
        <f>SUM(H6:H18)</f>
        <v>7190</v>
      </c>
      <c r="I4" s="218">
        <f>AVERAGE(I5:I19)</f>
        <v>238.3065174363829</v>
      </c>
      <c r="J4" s="219">
        <f>SUM(J6:J19)</f>
        <v>791</v>
      </c>
      <c r="K4" s="220">
        <f t="shared" ref="K4:K19" si="1">IFERROR(J4/H4,0)</f>
        <v>0.11001390820584145</v>
      </c>
      <c r="L4" s="221">
        <f>SUM(L6:L19)</f>
        <v>5217</v>
      </c>
      <c r="M4" s="222">
        <f t="shared" ref="M4:M19" si="2">IFERROR(L4/SUM(H4),0)</f>
        <v>0.72559109874826144</v>
      </c>
      <c r="N4" s="249">
        <f>SUM(N6:N19)</f>
        <v>327573.15999999997</v>
      </c>
      <c r="O4" s="222">
        <f>SUM(N4/D4)</f>
        <v>0.16414477097415278</v>
      </c>
      <c r="P4" s="244">
        <f>SUM(P6:P19)</f>
        <v>198461.84</v>
      </c>
      <c r="Q4" s="222">
        <f>SUM(P4/D4)</f>
        <v>9.9447931796087796E-2</v>
      </c>
      <c r="R4" s="257">
        <f>SUM(R6:R19)</f>
        <v>83121.600000000006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'17 - 23 May 2021'!D6</f>
        <v>171452.75</v>
      </c>
      <c r="C6" s="255">
        <v>228906.34</v>
      </c>
      <c r="D6" s="197">
        <v>214205.06</v>
      </c>
      <c r="E6" s="129">
        <v>876794.28</v>
      </c>
      <c r="F6" s="162">
        <f t="shared" si="0"/>
        <v>-6.4223996591793828E-2</v>
      </c>
      <c r="G6" s="154">
        <f t="shared" ref="G6:G19" si="3">IFERROR((SUM(D6-B6)/B6),0)</f>
        <v>0.24935330579416193</v>
      </c>
      <c r="H6" s="149">
        <v>651</v>
      </c>
      <c r="I6" s="256">
        <f t="shared" ref="I6:I19" si="4">IFERROR(D6/H6,0)</f>
        <v>329.04003072196622</v>
      </c>
      <c r="J6" s="125">
        <v>40</v>
      </c>
      <c r="K6" s="126">
        <f t="shared" si="1"/>
        <v>6.1443932411674347E-2</v>
      </c>
      <c r="L6" s="46">
        <f>J6+'12 - 18 April 2021'!L6+'19 - 25 April 2021'!J6+'26 April - 2 May 2021'!J6+'3 - 9 May 2021'!J6+'10 - 16 May 2021'!J6+'17 - 23 May 2021'!J6</f>
        <v>414</v>
      </c>
      <c r="M6" s="171">
        <f t="shared" si="2"/>
        <v>0.63594470046082952</v>
      </c>
      <c r="N6" s="259">
        <v>51027.35</v>
      </c>
      <c r="O6" s="128">
        <f t="shared" ref="O6:O19" si="5">SUM(N6/D6)</f>
        <v>0.23821729514699605</v>
      </c>
      <c r="P6" s="260">
        <v>310.95999999999998</v>
      </c>
      <c r="Q6" s="128">
        <f t="shared" ref="Q6:Q19" si="6">SUM(P6/D6)</f>
        <v>1.4516930645802671E-3</v>
      </c>
      <c r="R6" s="129">
        <v>6856</v>
      </c>
      <c r="S6" s="26"/>
    </row>
    <row r="7" spans="1:22" ht="15.6" customHeight="1" x14ac:dyDescent="0.3">
      <c r="A7" s="409" t="s">
        <v>16</v>
      </c>
      <c r="B7" s="200">
        <f>'17 - 23 May 2021'!D7</f>
        <v>153733.9</v>
      </c>
      <c r="C7" s="73">
        <v>291098.71999999997</v>
      </c>
      <c r="D7" s="145">
        <v>173233.87</v>
      </c>
      <c r="E7" s="145">
        <v>784247.92</v>
      </c>
      <c r="F7" s="163">
        <f t="shared" si="0"/>
        <v>-0.40489649009792961</v>
      </c>
      <c r="G7" s="155">
        <f t="shared" si="3"/>
        <v>0.12684235552470863</v>
      </c>
      <c r="H7" s="150">
        <v>664</v>
      </c>
      <c r="I7" s="63">
        <f t="shared" si="4"/>
        <v>260.89438253012048</v>
      </c>
      <c r="J7" s="61">
        <v>54</v>
      </c>
      <c r="K7" s="28">
        <f t="shared" si="1"/>
        <v>8.1325301204819275E-2</v>
      </c>
      <c r="L7" s="46">
        <f>J7+'12 - 18 April 2021'!L7+'19 - 25 April 2021'!J7+'26 April - 2 May 2021'!J7+'3 - 9 May 2021'!J7+'10 - 16 May 2021'!J7+'17 - 23 May 2021'!J7</f>
        <v>507</v>
      </c>
      <c r="M7" s="172">
        <f t="shared" si="2"/>
        <v>0.76355421686746983</v>
      </c>
      <c r="N7" s="260">
        <v>26703.17</v>
      </c>
      <c r="O7" s="89">
        <f t="shared" si="5"/>
        <v>0.15414520266735368</v>
      </c>
      <c r="P7" s="260">
        <v>9326.65</v>
      </c>
      <c r="Q7" s="89">
        <f t="shared" si="6"/>
        <v>5.3838490128979975E-2</v>
      </c>
      <c r="R7" s="130">
        <v>11634.85</v>
      </c>
      <c r="S7" s="26"/>
    </row>
    <row r="8" spans="1:22" ht="15.6" customHeight="1" x14ac:dyDescent="0.3">
      <c r="A8" s="409" t="s">
        <v>17</v>
      </c>
      <c r="B8" s="200">
        <f>'17 - 23 May 2021'!D8</f>
        <v>98667.17</v>
      </c>
      <c r="C8" s="73">
        <v>129833.28</v>
      </c>
      <c r="D8" s="145">
        <v>129250.82</v>
      </c>
      <c r="E8" s="145">
        <v>453975.03999999998</v>
      </c>
      <c r="F8" s="163">
        <f t="shared" si="0"/>
        <v>-4.4862149365708995E-3</v>
      </c>
      <c r="G8" s="155">
        <f t="shared" si="3"/>
        <v>0.30996784442079378</v>
      </c>
      <c r="H8" s="150">
        <v>490</v>
      </c>
      <c r="I8" s="63">
        <f t="shared" si="4"/>
        <v>263.77718367346938</v>
      </c>
      <c r="J8" s="61">
        <v>37</v>
      </c>
      <c r="K8" s="28">
        <f t="shared" si="1"/>
        <v>7.5510204081632656E-2</v>
      </c>
      <c r="L8" s="46">
        <f>J8+'12 - 18 April 2021'!L8+'19 - 25 April 2021'!J8+'26 April - 2 May 2021'!J8+'3 - 9 May 2021'!J8+'10 - 16 May 2021'!J8+'17 - 23 May 2021'!J8</f>
        <v>221</v>
      </c>
      <c r="M8" s="172">
        <f t="shared" si="2"/>
        <v>0.45102040816326533</v>
      </c>
      <c r="N8" s="260">
        <v>45829.63</v>
      </c>
      <c r="O8" s="89">
        <f t="shared" si="5"/>
        <v>0.3545790270421495</v>
      </c>
      <c r="P8" s="260">
        <v>17084.52</v>
      </c>
      <c r="Q8" s="89">
        <f t="shared" si="6"/>
        <v>0.1321811343247184</v>
      </c>
      <c r="R8" s="130">
        <v>2866.7</v>
      </c>
      <c r="S8" s="26"/>
    </row>
    <row r="9" spans="1:22" ht="15.6" customHeight="1" x14ac:dyDescent="0.3">
      <c r="A9" s="409" t="s">
        <v>18</v>
      </c>
      <c r="B9" s="200">
        <f>'17 - 23 May 2021'!D9</f>
        <v>158175.95000000001</v>
      </c>
      <c r="C9" s="73">
        <v>300962.43</v>
      </c>
      <c r="D9" s="145">
        <v>205371.75</v>
      </c>
      <c r="E9" s="145">
        <v>803753.54</v>
      </c>
      <c r="F9" s="163">
        <f t="shared" si="0"/>
        <v>-0.31761665401226324</v>
      </c>
      <c r="G9" s="155">
        <f t="shared" si="3"/>
        <v>0.29837532191208577</v>
      </c>
      <c r="H9" s="150">
        <v>756</v>
      </c>
      <c r="I9" s="63">
        <f t="shared" si="4"/>
        <v>271.65575396825398</v>
      </c>
      <c r="J9" s="61">
        <v>46</v>
      </c>
      <c r="K9" s="28">
        <f t="shared" si="1"/>
        <v>6.0846560846560843E-2</v>
      </c>
      <c r="L9" s="46">
        <f>J9+'12 - 18 April 2021'!L9+'19 - 25 April 2021'!J9+'26 April - 2 May 2021'!J9+'3 - 9 May 2021'!J9+'10 - 16 May 2021'!J9+'17 - 23 May 2021'!J9</f>
        <v>326</v>
      </c>
      <c r="M9" s="172">
        <f t="shared" si="2"/>
        <v>0.43121693121693122</v>
      </c>
      <c r="N9" s="260">
        <v>17432.78</v>
      </c>
      <c r="O9" s="89">
        <f t="shared" si="5"/>
        <v>8.4884021293094108E-2</v>
      </c>
      <c r="P9" s="260">
        <v>17417.5</v>
      </c>
      <c r="Q9" s="89">
        <f t="shared" si="6"/>
        <v>8.4809619628795102E-2</v>
      </c>
      <c r="R9" s="130">
        <v>9342.7999999999993</v>
      </c>
      <c r="S9" s="26"/>
    </row>
    <row r="10" spans="1:22" ht="15.6" customHeight="1" x14ac:dyDescent="0.3">
      <c r="A10" s="411" t="s">
        <v>20</v>
      </c>
      <c r="B10" s="200">
        <f>'17 - 23 May 2021'!D10</f>
        <v>130654.18</v>
      </c>
      <c r="C10" s="73">
        <v>163214.69</v>
      </c>
      <c r="D10" s="145">
        <v>112263.55</v>
      </c>
      <c r="E10" s="145">
        <v>553057.14</v>
      </c>
      <c r="F10" s="163">
        <f t="shared" si="0"/>
        <v>-0.31217251339324908</v>
      </c>
      <c r="G10" s="155">
        <f t="shared" si="3"/>
        <v>-0.14075806836030805</v>
      </c>
      <c r="H10" s="150">
        <v>407</v>
      </c>
      <c r="I10" s="63">
        <f t="shared" si="4"/>
        <v>275.83181818181816</v>
      </c>
      <c r="J10" s="61">
        <v>64</v>
      </c>
      <c r="K10" s="28">
        <f t="shared" si="1"/>
        <v>0.15724815724815724</v>
      </c>
      <c r="L10" s="46">
        <f>J10+'12 - 18 April 2021'!L10+'19 - 25 April 2021'!J10+'26 April - 2 May 2021'!J10+'3 - 9 May 2021'!J10+'10 - 16 May 2021'!J10+'17 - 23 May 2021'!J10</f>
        <v>285</v>
      </c>
      <c r="M10" s="172">
        <f t="shared" si="2"/>
        <v>0.70024570024570021</v>
      </c>
      <c r="N10" s="260">
        <v>24059.9</v>
      </c>
      <c r="O10" s="89">
        <f t="shared" si="5"/>
        <v>0.21431622285238619</v>
      </c>
      <c r="P10" s="260">
        <v>21859.79</v>
      </c>
      <c r="Q10" s="89">
        <f t="shared" si="6"/>
        <v>0.19471849945953074</v>
      </c>
      <c r="R10" s="130">
        <v>5642.45</v>
      </c>
      <c r="S10" s="26"/>
    </row>
    <row r="11" spans="1:22" ht="15.6" customHeight="1" x14ac:dyDescent="0.3">
      <c r="A11" s="409" t="s">
        <v>21</v>
      </c>
      <c r="B11" s="200">
        <f>'17 - 23 May 2021'!D11</f>
        <v>260839.29</v>
      </c>
      <c r="C11" s="73">
        <v>346283.66</v>
      </c>
      <c r="D11" s="145">
        <v>258592</v>
      </c>
      <c r="E11" s="145">
        <v>1138347.92</v>
      </c>
      <c r="F11" s="163">
        <f t="shared" si="0"/>
        <v>-0.25323649403497694</v>
      </c>
      <c r="G11" s="155">
        <f t="shared" si="3"/>
        <v>-8.6156115514653027E-3</v>
      </c>
      <c r="H11" s="150">
        <v>949</v>
      </c>
      <c r="I11" s="63">
        <f t="shared" si="4"/>
        <v>272.48893572181242</v>
      </c>
      <c r="J11" s="61">
        <v>114</v>
      </c>
      <c r="K11" s="28">
        <f t="shared" si="1"/>
        <v>0.12012644889357219</v>
      </c>
      <c r="L11" s="46">
        <f>J11+'12 - 18 April 2021'!L11+'19 - 25 April 2021'!J11+'26 April - 2 May 2021'!J11+'3 - 9 May 2021'!J11+'10 - 16 May 2021'!J11+'17 - 23 May 2021'!J11</f>
        <v>744</v>
      </c>
      <c r="M11" s="172">
        <f t="shared" si="2"/>
        <v>0.78398314014752368</v>
      </c>
      <c r="N11" s="260">
        <v>38149.53</v>
      </c>
      <c r="O11" s="89">
        <f t="shared" si="5"/>
        <v>0.1475278817596832</v>
      </c>
      <c r="P11" s="260">
        <v>19609.09</v>
      </c>
      <c r="Q11" s="89">
        <f t="shared" si="6"/>
        <v>7.5830226766489303E-2</v>
      </c>
      <c r="R11" s="130">
        <v>14717.5</v>
      </c>
      <c r="S11" s="26"/>
    </row>
    <row r="12" spans="1:22" ht="15.6" customHeight="1" x14ac:dyDescent="0.3">
      <c r="A12" s="198" t="s">
        <v>22</v>
      </c>
      <c r="B12" s="200">
        <f>'17 - 23 May 2021'!D12</f>
        <v>110940.29</v>
      </c>
      <c r="C12" s="73">
        <v>146968.32999999999</v>
      </c>
      <c r="D12" s="145">
        <v>110629.59</v>
      </c>
      <c r="E12" s="145">
        <v>442233.32</v>
      </c>
      <c r="F12" s="163">
        <f t="shared" si="0"/>
        <v>-0.24725558220604393</v>
      </c>
      <c r="G12" s="155">
        <f t="shared" si="3"/>
        <v>-2.8006056230788392E-3</v>
      </c>
      <c r="H12" s="150">
        <v>381</v>
      </c>
      <c r="I12" s="63">
        <f t="shared" si="4"/>
        <v>290.3663779527559</v>
      </c>
      <c r="J12" s="61">
        <v>42</v>
      </c>
      <c r="K12" s="28">
        <f t="shared" si="1"/>
        <v>0.11023622047244094</v>
      </c>
      <c r="L12" s="46">
        <f>J12+'12 - 18 April 2021'!L12+'19 - 25 April 2021'!J12+'26 April - 2 May 2021'!J12+'3 - 9 May 2021'!J12+'10 - 16 May 2021'!J12+'17 - 23 May 2021'!J12</f>
        <v>290</v>
      </c>
      <c r="M12" s="172">
        <f t="shared" si="2"/>
        <v>0.76115485564304464</v>
      </c>
      <c r="N12" s="260">
        <v>14709.74</v>
      </c>
      <c r="O12" s="89">
        <f t="shared" si="5"/>
        <v>0.13296388425555947</v>
      </c>
      <c r="P12" s="260">
        <v>10867.65</v>
      </c>
      <c r="Q12" s="89">
        <f t="shared" si="6"/>
        <v>9.8234568165714076E-2</v>
      </c>
      <c r="R12" s="130">
        <v>9037</v>
      </c>
      <c r="S12" s="26"/>
    </row>
    <row r="13" spans="1:22" ht="15.6" customHeight="1" x14ac:dyDescent="0.3">
      <c r="A13" s="198" t="s">
        <v>23</v>
      </c>
      <c r="B13" s="200">
        <f>'17 - 23 May 2021'!D13</f>
        <v>169683.54</v>
      </c>
      <c r="C13" s="73">
        <v>236376.68</v>
      </c>
      <c r="D13" s="145">
        <v>201178.29</v>
      </c>
      <c r="E13" s="145">
        <v>776280.18</v>
      </c>
      <c r="F13" s="163">
        <f t="shared" si="0"/>
        <v>-0.14890804795126147</v>
      </c>
      <c r="G13" s="155">
        <f t="shared" si="3"/>
        <v>0.18560875144401159</v>
      </c>
      <c r="H13" s="150">
        <v>732</v>
      </c>
      <c r="I13" s="63">
        <f t="shared" si="4"/>
        <v>274.83372950819671</v>
      </c>
      <c r="J13" s="61">
        <v>86</v>
      </c>
      <c r="K13" s="28">
        <f t="shared" si="1"/>
        <v>0.11748633879781421</v>
      </c>
      <c r="L13" s="46">
        <f>J13+'12 - 18 April 2021'!L13+'19 - 25 April 2021'!J13+'26 April - 2 May 2021'!J13+'3 - 9 May 2021'!J13+'10 - 16 May 2021'!J13+'17 - 23 May 2021'!J13</f>
        <v>488</v>
      </c>
      <c r="M13" s="172">
        <f t="shared" si="2"/>
        <v>0.66666666666666663</v>
      </c>
      <c r="N13" s="260">
        <v>30633.65</v>
      </c>
      <c r="O13" s="89">
        <f t="shared" si="5"/>
        <v>0.15227115212083769</v>
      </c>
      <c r="P13" s="260">
        <v>28744.77</v>
      </c>
      <c r="Q13" s="89">
        <f t="shared" si="6"/>
        <v>0.14288206744375848</v>
      </c>
      <c r="R13" s="130">
        <v>2987.75</v>
      </c>
      <c r="S13" s="26"/>
    </row>
    <row r="14" spans="1:22" ht="15.6" hidden="1" customHeight="1" x14ac:dyDescent="0.3">
      <c r="A14" s="198" t="s">
        <v>24</v>
      </c>
      <c r="B14" s="200">
        <f>'17 - 23 May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'17 - 23 May 2021'!D15</f>
        <v>162458.28</v>
      </c>
      <c r="C15" s="73">
        <v>132890.64000000001</v>
      </c>
      <c r="D15" s="145">
        <v>139836.46</v>
      </c>
      <c r="E15" s="145">
        <v>681482.76</v>
      </c>
      <c r="F15" s="163">
        <f t="shared" si="0"/>
        <v>5.2267187515990417E-2</v>
      </c>
      <c r="G15" s="155">
        <f t="shared" si="3"/>
        <v>-0.13924695004772922</v>
      </c>
      <c r="H15" s="150">
        <v>495</v>
      </c>
      <c r="I15" s="63">
        <f t="shared" si="4"/>
        <v>282.497898989899</v>
      </c>
      <c r="J15" s="61">
        <v>80</v>
      </c>
      <c r="K15" s="28">
        <f t="shared" si="1"/>
        <v>0.16161616161616163</v>
      </c>
      <c r="L15" s="46">
        <f>J15+'12 - 18 April 2021'!L15+'19 - 25 April 2021'!J15+'26 April - 2 May 2021'!J15+'3 - 9 May 2021'!J15+'10 - 16 May 2021'!J15+'17 - 23 May 2021'!J15</f>
        <v>443</v>
      </c>
      <c r="M15" s="172">
        <f t="shared" si="2"/>
        <v>0.89494949494949494</v>
      </c>
      <c r="N15" s="260">
        <v>0</v>
      </c>
      <c r="O15" s="89">
        <f t="shared" si="5"/>
        <v>0</v>
      </c>
      <c r="P15" s="260">
        <v>15304.7</v>
      </c>
      <c r="Q15" s="89">
        <f t="shared" si="6"/>
        <v>0.10944713560397626</v>
      </c>
      <c r="R15" s="130">
        <v>4255.7</v>
      </c>
      <c r="S15" s="9"/>
    </row>
    <row r="16" spans="1:22" ht="15.6" customHeight="1" x14ac:dyDescent="0.3">
      <c r="A16" s="198" t="s">
        <v>27</v>
      </c>
      <c r="B16" s="200">
        <f>'17 - 23 May 2021'!D16</f>
        <v>108250.42</v>
      </c>
      <c r="C16" s="73">
        <v>132344.62</v>
      </c>
      <c r="D16" s="145">
        <v>131494.71</v>
      </c>
      <c r="E16" s="145">
        <v>521006.75</v>
      </c>
      <c r="F16" s="163">
        <f t="shared" si="0"/>
        <v>-6.4219459771013244E-3</v>
      </c>
      <c r="G16" s="155">
        <f t="shared" si="3"/>
        <v>0.21472701907299754</v>
      </c>
      <c r="H16" s="150">
        <v>475</v>
      </c>
      <c r="I16" s="63">
        <f t="shared" si="4"/>
        <v>276.8309684210526</v>
      </c>
      <c r="J16" s="61">
        <v>41</v>
      </c>
      <c r="K16" s="28">
        <f t="shared" si="1"/>
        <v>8.6315789473684207E-2</v>
      </c>
      <c r="L16" s="46">
        <f>J16+'12 - 18 April 2021'!L16+'19 - 25 April 2021'!J16+'26 April - 2 May 2021'!J16+'3 - 9 May 2021'!J16+'10 - 16 May 2021'!J16+'17 - 23 May 2021'!J16</f>
        <v>266</v>
      </c>
      <c r="M16" s="172">
        <f t="shared" si="2"/>
        <v>0.56000000000000005</v>
      </c>
      <c r="N16" s="260">
        <v>29982.87</v>
      </c>
      <c r="O16" s="89">
        <f t="shared" si="5"/>
        <v>0.22801578861993765</v>
      </c>
      <c r="P16" s="260">
        <v>18599.3</v>
      </c>
      <c r="Q16" s="89">
        <f t="shared" si="6"/>
        <v>0.14144523380446256</v>
      </c>
      <c r="R16" s="130">
        <v>4828.5</v>
      </c>
      <c r="S16" s="9"/>
      <c r="V16" s="238"/>
    </row>
    <row r="17" spans="1:19" ht="15.6" customHeight="1" x14ac:dyDescent="0.3">
      <c r="A17" s="251" t="s">
        <v>28</v>
      </c>
      <c r="B17" s="200">
        <f>'17 - 23 May 2021'!D17</f>
        <v>156591.71</v>
      </c>
      <c r="C17" s="73">
        <v>191675.07</v>
      </c>
      <c r="D17" s="145">
        <v>160723.01</v>
      </c>
      <c r="E17" s="145">
        <v>689981.94</v>
      </c>
      <c r="F17" s="163">
        <f t="shared" si="0"/>
        <v>-0.16148192876621878</v>
      </c>
      <c r="G17" s="155">
        <f t="shared" si="3"/>
        <v>2.6382622681622274E-2</v>
      </c>
      <c r="H17" s="150">
        <v>622</v>
      </c>
      <c r="I17" s="63">
        <f t="shared" si="4"/>
        <v>258.39712218649521</v>
      </c>
      <c r="J17" s="61">
        <v>92</v>
      </c>
      <c r="K17" s="28">
        <f t="shared" si="1"/>
        <v>0.14790996784565916</v>
      </c>
      <c r="L17" s="46">
        <f>J17+'12 - 18 April 2021'!L17+'19 - 25 April 2021'!J17+'26 April - 2 May 2021'!J17+'3 - 9 May 2021'!J17+'10 - 16 May 2021'!J17+'17 - 23 May 2021'!J17</f>
        <v>504</v>
      </c>
      <c r="M17" s="172">
        <f t="shared" si="2"/>
        <v>0.81028938906752412</v>
      </c>
      <c r="N17" s="260">
        <v>24871.87</v>
      </c>
      <c r="O17" s="89">
        <f t="shared" si="5"/>
        <v>0.15474990170978006</v>
      </c>
      <c r="P17" s="260">
        <v>20326.62</v>
      </c>
      <c r="Q17" s="89">
        <f t="shared" si="6"/>
        <v>0.12646988131942027</v>
      </c>
      <c r="R17" s="130">
        <v>6225.35</v>
      </c>
      <c r="S17" s="9"/>
    </row>
    <row r="18" spans="1:19" ht="15.6" customHeight="1" x14ac:dyDescent="0.3">
      <c r="A18" s="198" t="s">
        <v>33</v>
      </c>
      <c r="B18" s="200">
        <f>'17 - 23 May 2021'!D18</f>
        <v>130122.86</v>
      </c>
      <c r="C18" s="73">
        <v>173995.83</v>
      </c>
      <c r="D18" s="145">
        <v>158856.56</v>
      </c>
      <c r="E18" s="145">
        <v>652936.18000000005</v>
      </c>
      <c r="F18" s="163">
        <f t="shared" si="0"/>
        <v>-8.7009384075468876E-2</v>
      </c>
      <c r="G18" s="155">
        <f t="shared" si="3"/>
        <v>0.2208197698697984</v>
      </c>
      <c r="H18" s="150">
        <v>568</v>
      </c>
      <c r="I18" s="258">
        <f t="shared" si="4"/>
        <v>279.67704225352111</v>
      </c>
      <c r="J18" s="61">
        <v>95</v>
      </c>
      <c r="K18" s="28">
        <f t="shared" si="1"/>
        <v>0.16725352112676056</v>
      </c>
      <c r="L18" s="46">
        <f>J18+'12 - 18 April 2021'!L18+'19 - 25 April 2021'!J18+'26 April - 2 May 2021'!J18+'3 - 9 May 2021'!J18+'10 - 16 May 2021'!J18+'17 - 23 May 2021'!J18</f>
        <v>729</v>
      </c>
      <c r="M18" s="172">
        <f t="shared" si="2"/>
        <v>1.283450704225352</v>
      </c>
      <c r="N18" s="260">
        <v>24172.67</v>
      </c>
      <c r="O18" s="89">
        <f t="shared" si="5"/>
        <v>0.1521666464387747</v>
      </c>
      <c r="P18" s="260">
        <v>19010.29</v>
      </c>
      <c r="Q18" s="89">
        <f t="shared" si="6"/>
        <v>0.11966953080187562</v>
      </c>
      <c r="R18" s="130">
        <v>4727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25" priority="10" operator="equal">
      <formula>0</formula>
    </cfRule>
  </conditionalFormatting>
  <conditionalFormatting sqref="D7:E19">
    <cfRule type="cellIs" dxfId="324" priority="2" operator="equal">
      <formula>0</formula>
    </cfRule>
  </conditionalFormatting>
  <conditionalFormatting sqref="F6:R19">
    <cfRule type="cellIs" dxfId="32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V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-0.23205686335065129</v>
      </c>
      <c r="G2" s="400">
        <f>(((D4-D19-B19)-B4)/D4)</f>
        <v>-0.12582400779943578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1995635.6700000002</v>
      </c>
      <c r="C4" s="135">
        <f>SUM(C6:C19)-C14-C19</f>
        <v>2308243.86</v>
      </c>
      <c r="D4" s="142">
        <f>SUM(D6:D19)-D19</f>
        <v>1772600.03</v>
      </c>
      <c r="E4" s="142">
        <f>SUM(E6:E19)-E19</f>
        <v>1636473.4000000001</v>
      </c>
      <c r="F4" s="217">
        <f t="shared" ref="F4:F19" si="0">IFERROR((SUM(D4-C4)/C4),0)</f>
        <v>-0.23205686335065129</v>
      </c>
      <c r="G4" s="217">
        <f>IFERROR((SUM(D4-B4)/D4),0)</f>
        <v>-0.12582400779943578</v>
      </c>
      <c r="H4" s="262">
        <f>SUM(H6:H18)</f>
        <v>6593</v>
      </c>
      <c r="I4" s="218">
        <f>AVERAGE(I5:I19)</f>
        <v>229.19079153246363</v>
      </c>
      <c r="J4" s="219">
        <f>SUM(J6:J19)</f>
        <v>731</v>
      </c>
      <c r="K4" s="220">
        <f t="shared" ref="K4:K19" si="1">IFERROR(J4/H4,0)</f>
        <v>0.11087517063552252</v>
      </c>
      <c r="L4" s="221">
        <f>SUM(L6:L19)</f>
        <v>5948</v>
      </c>
      <c r="M4" s="222">
        <f t="shared" ref="M4:M19" si="2">IFERROR(L4/SUM(H4),0)</f>
        <v>0.90216896708630367</v>
      </c>
      <c r="N4" s="249">
        <f>SUM(N6:N19)</f>
        <v>342996.39999999991</v>
      </c>
      <c r="O4" s="222">
        <f>SUM(N4/D4)</f>
        <v>0.19349903768195237</v>
      </c>
      <c r="P4" s="244">
        <f>SUM(P6:P19)</f>
        <v>179597.05</v>
      </c>
      <c r="Q4" s="222">
        <f>SUM(P4/D4)</f>
        <v>0.10131842883924581</v>
      </c>
      <c r="R4" s="257">
        <f>SUM(R6:R19)</f>
        <v>75681.350000000006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'24 - 30 May 2021'!D6</f>
        <v>214205.06</v>
      </c>
      <c r="C6" s="255">
        <v>245133.38</v>
      </c>
      <c r="D6" s="197">
        <v>181872.52</v>
      </c>
      <c r="E6" s="129">
        <v>167499.26</v>
      </c>
      <c r="F6" s="162">
        <f t="shared" si="0"/>
        <v>-0.2580670980019123</v>
      </c>
      <c r="G6" s="154">
        <f t="shared" ref="G6:G19" si="3">IFERROR((SUM(D6-B6)/B6),0)</f>
        <v>-0.15094199922261411</v>
      </c>
      <c r="H6" s="149">
        <v>602</v>
      </c>
      <c r="I6" s="256">
        <f t="shared" ref="I6:I19" si="4">IFERROR(D6/H6,0)</f>
        <v>302.11382059800661</v>
      </c>
      <c r="J6" s="125">
        <v>64</v>
      </c>
      <c r="K6" s="126">
        <f t="shared" si="1"/>
        <v>0.10631229235880399</v>
      </c>
      <c r="L6" s="46">
        <f>J6+'12 - 18 April 2021'!L6+'19 - 25 April 2021'!J6+'26 April - 2 May 2021'!J6+'3 - 9 May 2021'!J6+'10 - 16 May 2021'!J6+'17 - 23 May 2021'!J6+'24 - 30 May 2021'!J6</f>
        <v>478</v>
      </c>
      <c r="M6" s="171">
        <f t="shared" si="2"/>
        <v>0.79401993355481726</v>
      </c>
      <c r="N6" s="259">
        <v>50558.7</v>
      </c>
      <c r="O6" s="128">
        <f t="shared" ref="O6:O19" si="5">SUM(N6/D6)</f>
        <v>0.27798976997734459</v>
      </c>
      <c r="P6" s="260">
        <v>94</v>
      </c>
      <c r="Q6" s="128">
        <f t="shared" ref="Q6:Q19" si="6">SUM(P6/D6)</f>
        <v>5.168455355432476E-4</v>
      </c>
      <c r="R6" s="129">
        <v>8017.5</v>
      </c>
      <c r="S6" s="26"/>
    </row>
    <row r="7" spans="1:22" ht="15.6" customHeight="1" x14ac:dyDescent="0.3">
      <c r="A7" s="409" t="s">
        <v>16</v>
      </c>
      <c r="B7" s="200">
        <f>'24 - 30 May 2021'!D7</f>
        <v>173233.87</v>
      </c>
      <c r="C7" s="73">
        <v>262809.21000000002</v>
      </c>
      <c r="D7" s="145">
        <v>137349.18</v>
      </c>
      <c r="E7" s="145">
        <v>128536.47</v>
      </c>
      <c r="F7" s="163">
        <f t="shared" si="0"/>
        <v>-0.4773806443084701</v>
      </c>
      <c r="G7" s="155">
        <f t="shared" si="3"/>
        <v>-0.20714592360027517</v>
      </c>
      <c r="H7" s="150">
        <v>490</v>
      </c>
      <c r="I7" s="63">
        <f t="shared" si="4"/>
        <v>280.30444897959183</v>
      </c>
      <c r="J7" s="61">
        <v>68</v>
      </c>
      <c r="K7" s="28">
        <f t="shared" si="1"/>
        <v>0.13877551020408163</v>
      </c>
      <c r="L7" s="46">
        <f>J7+'12 - 18 April 2021'!L7+'19 - 25 April 2021'!J7+'26 April - 2 May 2021'!J7+'3 - 9 May 2021'!J7+'10 - 16 May 2021'!J7+'17 - 23 May 2021'!J7+'24 - 30 May 2021'!J7</f>
        <v>575</v>
      </c>
      <c r="M7" s="172">
        <f t="shared" si="2"/>
        <v>1.1734693877551021</v>
      </c>
      <c r="N7" s="260">
        <v>24097.81</v>
      </c>
      <c r="O7" s="89">
        <f t="shared" si="5"/>
        <v>0.17544924549240121</v>
      </c>
      <c r="P7" s="260">
        <v>9744.7800000000007</v>
      </c>
      <c r="Q7" s="89">
        <f t="shared" si="6"/>
        <v>7.0948949240177486E-2</v>
      </c>
      <c r="R7" s="130">
        <v>6296.55</v>
      </c>
      <c r="S7" s="26"/>
    </row>
    <row r="8" spans="1:22" ht="15.6" customHeight="1" x14ac:dyDescent="0.3">
      <c r="A8" s="409" t="s">
        <v>17</v>
      </c>
      <c r="B8" s="200">
        <f>'24 - 30 May 2021'!D8</f>
        <v>129250.82</v>
      </c>
      <c r="C8" s="73">
        <v>109274.66</v>
      </c>
      <c r="D8" s="145">
        <v>101572.02</v>
      </c>
      <c r="E8" s="145">
        <v>94208.65</v>
      </c>
      <c r="F8" s="163">
        <f t="shared" si="0"/>
        <v>-7.0488803168090378E-2</v>
      </c>
      <c r="G8" s="155">
        <f t="shared" si="3"/>
        <v>-0.21414796439976166</v>
      </c>
      <c r="H8" s="150">
        <v>437</v>
      </c>
      <c r="I8" s="63">
        <f t="shared" si="4"/>
        <v>232.43025171624714</v>
      </c>
      <c r="J8" s="61">
        <v>29</v>
      </c>
      <c r="K8" s="28">
        <f t="shared" si="1"/>
        <v>6.6361556064073221E-2</v>
      </c>
      <c r="L8" s="46">
        <f>J8+'12 - 18 April 2021'!L8+'19 - 25 April 2021'!J8+'26 April - 2 May 2021'!J8+'3 - 9 May 2021'!J8+'10 - 16 May 2021'!J8+'17 - 23 May 2021'!J8+'24 - 30 May 2021'!J8</f>
        <v>250</v>
      </c>
      <c r="M8" s="172">
        <f t="shared" si="2"/>
        <v>0.57208237986270027</v>
      </c>
      <c r="N8" s="260">
        <v>46564.29</v>
      </c>
      <c r="O8" s="89">
        <f t="shared" si="5"/>
        <v>0.45843619138420205</v>
      </c>
      <c r="P8" s="260">
        <v>12126.04</v>
      </c>
      <c r="Q8" s="89">
        <f t="shared" si="6"/>
        <v>0.11938366491086817</v>
      </c>
      <c r="R8" s="130">
        <v>3507</v>
      </c>
      <c r="S8" s="26"/>
    </row>
    <row r="9" spans="1:22" ht="15.6" customHeight="1" x14ac:dyDescent="0.3">
      <c r="A9" s="409" t="s">
        <v>18</v>
      </c>
      <c r="B9" s="200">
        <f>'24 - 30 May 2021'!D9</f>
        <v>205371.75</v>
      </c>
      <c r="C9" s="73">
        <v>308917.94</v>
      </c>
      <c r="D9" s="145">
        <v>148315.18</v>
      </c>
      <c r="E9" s="145">
        <v>135412.9</v>
      </c>
      <c r="F9" s="163">
        <f t="shared" si="0"/>
        <v>-0.51988809714320905</v>
      </c>
      <c r="G9" s="155">
        <f t="shared" si="3"/>
        <v>-0.27782092717231072</v>
      </c>
      <c r="H9" s="150">
        <v>584</v>
      </c>
      <c r="I9" s="63">
        <f t="shared" si="4"/>
        <v>253.96434931506849</v>
      </c>
      <c r="J9" s="61">
        <v>40</v>
      </c>
      <c r="K9" s="28">
        <f t="shared" si="1"/>
        <v>6.8493150684931503E-2</v>
      </c>
      <c r="L9" s="46">
        <f>J9+'12 - 18 April 2021'!L9+'19 - 25 April 2021'!J9+'26 April - 2 May 2021'!J9+'3 - 9 May 2021'!J9+'10 - 16 May 2021'!J9+'17 - 23 May 2021'!J9+'24 - 30 May 2021'!J9</f>
        <v>366</v>
      </c>
      <c r="M9" s="172">
        <f t="shared" si="2"/>
        <v>0.62671232876712324</v>
      </c>
      <c r="N9" s="260">
        <v>18550.490000000002</v>
      </c>
      <c r="O9" s="89">
        <f t="shared" si="5"/>
        <v>0.12507479005183422</v>
      </c>
      <c r="P9" s="260">
        <v>11683.64</v>
      </c>
      <c r="Q9" s="89">
        <f t="shared" si="6"/>
        <v>7.8775753095536138E-2</v>
      </c>
      <c r="R9" s="130">
        <v>8156.5</v>
      </c>
      <c r="S9" s="26"/>
    </row>
    <row r="10" spans="1:22" ht="15.6" customHeight="1" x14ac:dyDescent="0.3">
      <c r="A10" s="411" t="s">
        <v>20</v>
      </c>
      <c r="B10" s="200">
        <f>'24 - 30 May 2021'!D10</f>
        <v>112263.55</v>
      </c>
      <c r="C10" s="73">
        <v>137777</v>
      </c>
      <c r="D10" s="145">
        <v>135817.28</v>
      </c>
      <c r="E10" s="145">
        <v>126425.29</v>
      </c>
      <c r="F10" s="163">
        <f t="shared" si="0"/>
        <v>-1.4223854489501159E-2</v>
      </c>
      <c r="G10" s="155">
        <f t="shared" si="3"/>
        <v>0.20980745754076008</v>
      </c>
      <c r="H10" s="150">
        <v>449</v>
      </c>
      <c r="I10" s="63">
        <f t="shared" si="4"/>
        <v>302.48837416481069</v>
      </c>
      <c r="J10" s="61">
        <v>36</v>
      </c>
      <c r="K10" s="28">
        <f t="shared" si="1"/>
        <v>8.0178173719376397E-2</v>
      </c>
      <c r="L10" s="46">
        <f>J10+'12 - 18 April 2021'!L10+'19 - 25 April 2021'!J10+'26 April - 2 May 2021'!J10+'3 - 9 May 2021'!J10+'10 - 16 May 2021'!J10+'17 - 23 May 2021'!J10+'24 - 30 May 2021'!J10</f>
        <v>321</v>
      </c>
      <c r="M10" s="172">
        <f t="shared" si="2"/>
        <v>0.71492204899777279</v>
      </c>
      <c r="N10" s="260">
        <v>30501.8</v>
      </c>
      <c r="O10" s="89">
        <f t="shared" si="5"/>
        <v>0.2245796705691647</v>
      </c>
      <c r="P10" s="260">
        <v>28447.18</v>
      </c>
      <c r="Q10" s="89">
        <f t="shared" si="6"/>
        <v>0.2094518458917746</v>
      </c>
      <c r="R10" s="130">
        <v>6397.55</v>
      </c>
      <c r="S10" s="26"/>
    </row>
    <row r="11" spans="1:22" ht="15.6" customHeight="1" x14ac:dyDescent="0.3">
      <c r="A11" s="409" t="s">
        <v>21</v>
      </c>
      <c r="B11" s="200">
        <f>'24 - 30 May 2021'!D11</f>
        <v>258592</v>
      </c>
      <c r="C11" s="73">
        <v>317888.62</v>
      </c>
      <c r="D11" s="145">
        <v>266240.07</v>
      </c>
      <c r="E11" s="145">
        <v>246747.14</v>
      </c>
      <c r="F11" s="163">
        <f t="shared" si="0"/>
        <v>-0.16247373057896816</v>
      </c>
      <c r="G11" s="155">
        <f t="shared" si="3"/>
        <v>2.9575818277440939E-2</v>
      </c>
      <c r="H11" s="150">
        <v>890</v>
      </c>
      <c r="I11" s="63">
        <f t="shared" si="4"/>
        <v>299.14614606741571</v>
      </c>
      <c r="J11" s="61">
        <v>110</v>
      </c>
      <c r="K11" s="28">
        <f t="shared" si="1"/>
        <v>0.12359550561797752</v>
      </c>
      <c r="L11" s="46">
        <f>J11+'12 - 18 April 2021'!L11+'19 - 25 April 2021'!J11+'26 April - 2 May 2021'!J11+'3 - 9 May 2021'!J11+'10 - 16 May 2021'!J11+'17 - 23 May 2021'!J11+'24 - 30 May 2021'!J11</f>
        <v>854</v>
      </c>
      <c r="M11" s="172">
        <f t="shared" si="2"/>
        <v>0.95955056179775278</v>
      </c>
      <c r="N11" s="260">
        <v>40835.800000000003</v>
      </c>
      <c r="O11" s="89">
        <f t="shared" si="5"/>
        <v>0.15337961712525092</v>
      </c>
      <c r="P11" s="260">
        <v>21873.57</v>
      </c>
      <c r="Q11" s="89">
        <f t="shared" si="6"/>
        <v>8.215731764193121E-2</v>
      </c>
      <c r="R11" s="130">
        <v>13168</v>
      </c>
      <c r="S11" s="26"/>
    </row>
    <row r="12" spans="1:22" ht="15.6" customHeight="1" x14ac:dyDescent="0.3">
      <c r="A12" s="198" t="s">
        <v>22</v>
      </c>
      <c r="B12" s="200">
        <f>'24 - 30 May 2021'!D12</f>
        <v>110629.59</v>
      </c>
      <c r="C12" s="73">
        <v>132072.19</v>
      </c>
      <c r="D12" s="145">
        <v>113857</v>
      </c>
      <c r="E12" s="145">
        <v>107222.67</v>
      </c>
      <c r="F12" s="163">
        <f t="shared" si="0"/>
        <v>-0.1379184368791038</v>
      </c>
      <c r="G12" s="155">
        <f t="shared" si="3"/>
        <v>2.9173117246479929E-2</v>
      </c>
      <c r="H12" s="150">
        <v>423</v>
      </c>
      <c r="I12" s="63">
        <f t="shared" si="4"/>
        <v>269.16548463356975</v>
      </c>
      <c r="J12" s="61">
        <v>54</v>
      </c>
      <c r="K12" s="28">
        <f t="shared" si="1"/>
        <v>0.1276595744680851</v>
      </c>
      <c r="L12" s="46">
        <f>J12+'12 - 18 April 2021'!L12+'19 - 25 April 2021'!J12+'26 April - 2 May 2021'!J12+'3 - 9 May 2021'!J12+'10 - 16 May 2021'!J12+'17 - 23 May 2021'!J12+'24 - 30 May 2021'!J12</f>
        <v>344</v>
      </c>
      <c r="M12" s="172">
        <f t="shared" si="2"/>
        <v>0.81323877068557915</v>
      </c>
      <c r="N12" s="260">
        <v>13050.17</v>
      </c>
      <c r="O12" s="89">
        <f t="shared" si="5"/>
        <v>0.11461895184310143</v>
      </c>
      <c r="P12" s="260">
        <v>10038.61</v>
      </c>
      <c r="Q12" s="89">
        <f t="shared" si="6"/>
        <v>8.8168579885294723E-2</v>
      </c>
      <c r="R12" s="130">
        <v>8808.4500000000007</v>
      </c>
      <c r="S12" s="26"/>
    </row>
    <row r="13" spans="1:22" ht="15.6" customHeight="1" x14ac:dyDescent="0.3">
      <c r="A13" s="198" t="s">
        <v>23</v>
      </c>
      <c r="B13" s="200">
        <f>'24 - 30 May 2021'!D13</f>
        <v>201178.29</v>
      </c>
      <c r="C13" s="73">
        <v>205934.81</v>
      </c>
      <c r="D13" s="145">
        <v>173078.97</v>
      </c>
      <c r="E13" s="145">
        <v>154486.89000000001</v>
      </c>
      <c r="F13" s="163">
        <f t="shared" si="0"/>
        <v>-0.15954485790916065</v>
      </c>
      <c r="G13" s="155">
        <f t="shared" si="3"/>
        <v>-0.13967371926662667</v>
      </c>
      <c r="H13" s="150">
        <v>695</v>
      </c>
      <c r="I13" s="63">
        <f t="shared" si="4"/>
        <v>249.03448920863309</v>
      </c>
      <c r="J13" s="61">
        <v>89</v>
      </c>
      <c r="K13" s="28">
        <f t="shared" si="1"/>
        <v>0.12805755395683452</v>
      </c>
      <c r="L13" s="46">
        <f>J13+'12 - 18 April 2021'!L13+'19 - 25 April 2021'!J13+'26 April - 2 May 2021'!J13+'3 - 9 May 2021'!J13+'10 - 16 May 2021'!J13+'17 - 23 May 2021'!J13+'24 - 30 May 2021'!J13</f>
        <v>577</v>
      </c>
      <c r="M13" s="172">
        <f t="shared" si="2"/>
        <v>0.83021582733812949</v>
      </c>
      <c r="N13" s="260">
        <v>31898.02</v>
      </c>
      <c r="O13" s="89">
        <f t="shared" si="5"/>
        <v>0.1842974914861118</v>
      </c>
      <c r="P13" s="260">
        <v>25653.87</v>
      </c>
      <c r="Q13" s="89">
        <f t="shared" si="6"/>
        <v>0.14822060704428736</v>
      </c>
      <c r="R13" s="130">
        <v>1873</v>
      </c>
      <c r="S13" s="26"/>
    </row>
    <row r="14" spans="1:22" ht="15.6" hidden="1" customHeight="1" x14ac:dyDescent="0.3">
      <c r="A14" s="198" t="s">
        <v>24</v>
      </c>
      <c r="B14" s="200">
        <f>'24 - 30 May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2021'!J14+'24 - 30 May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'24 - 30 May 2021'!D15</f>
        <v>139836.46</v>
      </c>
      <c r="C15" s="73">
        <v>129751.08</v>
      </c>
      <c r="D15" s="145">
        <v>119262.39</v>
      </c>
      <c r="E15" s="145">
        <v>110899.23</v>
      </c>
      <c r="F15" s="163">
        <f t="shared" si="0"/>
        <v>-8.0837014998256684E-2</v>
      </c>
      <c r="G15" s="155">
        <f t="shared" si="3"/>
        <v>-0.14712951114466136</v>
      </c>
      <c r="H15" s="150">
        <v>441</v>
      </c>
      <c r="I15" s="63">
        <f t="shared" si="4"/>
        <v>270.43625850340135</v>
      </c>
      <c r="J15" s="61">
        <v>47</v>
      </c>
      <c r="K15" s="28">
        <f t="shared" si="1"/>
        <v>0.10657596371882086</v>
      </c>
      <c r="L15" s="46">
        <f>J15+'12 - 18 April 2021'!L15+'19 - 25 April 2021'!J15+'26 April - 2 May 2021'!J15+'3 - 9 May 2021'!J15+'10 - 16 May 2021'!J15+'17 - 23 May 2021'!J15+'24 - 30 May 2021'!J15</f>
        <v>490</v>
      </c>
      <c r="M15" s="172">
        <f t="shared" si="2"/>
        <v>1.1111111111111112</v>
      </c>
      <c r="N15" s="260">
        <v>0</v>
      </c>
      <c r="O15" s="89">
        <f t="shared" si="5"/>
        <v>0</v>
      </c>
      <c r="P15" s="260">
        <v>13783.48</v>
      </c>
      <c r="Q15" s="89">
        <f t="shared" si="6"/>
        <v>0.11557273001153172</v>
      </c>
      <c r="R15" s="130">
        <v>4477.8</v>
      </c>
      <c r="S15" s="9"/>
    </row>
    <row r="16" spans="1:22" ht="15.6" customHeight="1" x14ac:dyDescent="0.3">
      <c r="A16" s="198" t="s">
        <v>27</v>
      </c>
      <c r="B16" s="200">
        <f>'24 - 30 May 2021'!D16</f>
        <v>131494.71</v>
      </c>
      <c r="C16" s="73">
        <v>113756.77</v>
      </c>
      <c r="D16" s="145">
        <v>110387.7</v>
      </c>
      <c r="E16" s="145">
        <v>101693.33</v>
      </c>
      <c r="F16" s="163">
        <f t="shared" si="0"/>
        <v>-2.9616435136124268E-2</v>
      </c>
      <c r="G16" s="155">
        <f t="shared" si="3"/>
        <v>-0.16051603901023848</v>
      </c>
      <c r="H16" s="150">
        <v>433</v>
      </c>
      <c r="I16" s="63">
        <f t="shared" si="4"/>
        <v>254.93695150115474</v>
      </c>
      <c r="J16" s="61">
        <v>32</v>
      </c>
      <c r="K16" s="28">
        <f t="shared" si="1"/>
        <v>7.3903002309468821E-2</v>
      </c>
      <c r="L16" s="46">
        <f>J16+'12 - 18 April 2021'!L16+'19 - 25 April 2021'!J16+'26 April - 2 May 2021'!J16+'3 - 9 May 2021'!J16+'10 - 16 May 2021'!J16+'17 - 23 May 2021'!J16+'24 - 30 May 2021'!J16</f>
        <v>298</v>
      </c>
      <c r="M16" s="172">
        <f t="shared" si="2"/>
        <v>0.68822170900692836</v>
      </c>
      <c r="N16" s="260">
        <v>30638.3</v>
      </c>
      <c r="O16" s="89">
        <f t="shared" si="5"/>
        <v>0.27755175621921646</v>
      </c>
      <c r="P16" s="260">
        <v>14691.52</v>
      </c>
      <c r="Q16" s="89">
        <f t="shared" si="6"/>
        <v>0.13309019030199923</v>
      </c>
      <c r="R16" s="130">
        <v>4128.5</v>
      </c>
      <c r="S16" s="9"/>
      <c r="V16" s="238"/>
    </row>
    <row r="17" spans="1:19" ht="15.6" customHeight="1" x14ac:dyDescent="0.3">
      <c r="A17" s="251" t="s">
        <v>28</v>
      </c>
      <c r="B17" s="200">
        <f>'24 - 30 May 2021'!D17</f>
        <v>160723.01</v>
      </c>
      <c r="C17" s="73">
        <v>192168.17</v>
      </c>
      <c r="D17" s="145">
        <v>165603.85999999999</v>
      </c>
      <c r="E17" s="145">
        <v>156056.25</v>
      </c>
      <c r="F17" s="163">
        <f t="shared" si="0"/>
        <v>-0.13823470348913675</v>
      </c>
      <c r="G17" s="155">
        <f t="shared" si="3"/>
        <v>3.036808481871996E-2</v>
      </c>
      <c r="H17" s="150">
        <v>659</v>
      </c>
      <c r="I17" s="63">
        <f t="shared" si="4"/>
        <v>251.29569044006067</v>
      </c>
      <c r="J17" s="61">
        <v>88</v>
      </c>
      <c r="K17" s="28">
        <f t="shared" si="1"/>
        <v>0.13353566009104703</v>
      </c>
      <c r="L17" s="46">
        <f>J17+'12 - 18 April 2021'!L17+'19 - 25 April 2021'!J17+'26 April - 2 May 2021'!J17+'3 - 9 May 2021'!J17+'10 - 16 May 2021'!J17+'17 - 23 May 2021'!J17+'24 - 30 May 2021'!J17</f>
        <v>592</v>
      </c>
      <c r="M17" s="172">
        <f t="shared" si="2"/>
        <v>0.89833080424886191</v>
      </c>
      <c r="N17" s="260">
        <v>32030.48</v>
      </c>
      <c r="O17" s="89">
        <f t="shared" si="5"/>
        <v>0.19341626457257702</v>
      </c>
      <c r="P17" s="260">
        <v>20007.7</v>
      </c>
      <c r="Q17" s="89">
        <f t="shared" si="6"/>
        <v>0.12081662830805999</v>
      </c>
      <c r="R17" s="130">
        <v>5549.5</v>
      </c>
      <c r="S17" s="9"/>
    </row>
    <row r="18" spans="1:19" ht="15.6" customHeight="1" x14ac:dyDescent="0.3">
      <c r="A18" s="198" t="s">
        <v>33</v>
      </c>
      <c r="B18" s="200">
        <f>'24 - 30 May 2021'!D18</f>
        <v>158856.56</v>
      </c>
      <c r="C18" s="73">
        <v>152760.03</v>
      </c>
      <c r="D18" s="145">
        <v>119243.86</v>
      </c>
      <c r="E18" s="145">
        <v>107285.32</v>
      </c>
      <c r="F18" s="163">
        <f t="shared" si="0"/>
        <v>-0.21940405484340372</v>
      </c>
      <c r="G18" s="155">
        <f t="shared" si="3"/>
        <v>-0.24936143650599005</v>
      </c>
      <c r="H18" s="150">
        <v>490</v>
      </c>
      <c r="I18" s="258">
        <f t="shared" si="4"/>
        <v>243.35481632653062</v>
      </c>
      <c r="J18" s="61">
        <v>74</v>
      </c>
      <c r="K18" s="28">
        <f t="shared" si="1"/>
        <v>0.15102040816326531</v>
      </c>
      <c r="L18" s="46">
        <f>J18+'12 - 18 April 2021'!L18+'19 - 25 April 2021'!J18+'26 April - 2 May 2021'!J18+'3 - 9 May 2021'!J18+'10 - 16 May 2021'!J18+'17 - 23 May 2021'!J18+'24 - 30 May 2021'!J18</f>
        <v>803</v>
      </c>
      <c r="M18" s="172">
        <f t="shared" si="2"/>
        <v>1.6387755102040817</v>
      </c>
      <c r="N18" s="260">
        <v>24270.54</v>
      </c>
      <c r="O18" s="89">
        <f t="shared" si="5"/>
        <v>0.20353702069020577</v>
      </c>
      <c r="P18" s="260">
        <v>11452.66</v>
      </c>
      <c r="Q18" s="89">
        <f t="shared" si="6"/>
        <v>9.6044022727878819E-2</v>
      </c>
      <c r="R18" s="130">
        <v>5301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22" priority="10" operator="equal">
      <formula>0</formula>
    </cfRule>
  </conditionalFormatting>
  <conditionalFormatting sqref="D7:E19">
    <cfRule type="cellIs" dxfId="321" priority="2" operator="equal">
      <formula>0</formula>
    </cfRule>
  </conditionalFormatting>
  <conditionalFormatting sqref="F6:R19">
    <cfRule type="cellIs" dxfId="32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V41"/>
  <sheetViews>
    <sheetView zoomScale="70" zoomScaleNormal="70" workbookViewId="0">
      <pane xSplit="1" topLeftCell="D1" activePane="topRight" state="frozen"/>
      <selection pane="topRight" activeCell="E12" sqref="E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-0.34026531719315273</v>
      </c>
      <c r="G2" s="400">
        <f>(((D4-D19-B19)-B4)/D4)</f>
        <v>-0.16039490556663105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</f>
        <v>1772600.03</v>
      </c>
      <c r="C4" s="135">
        <f>SUM(C6:C19)-C14-C19</f>
        <v>2315451.15</v>
      </c>
      <c r="D4" s="142">
        <f>SUM(D6:D19)-D19</f>
        <v>1527583.4299999997</v>
      </c>
      <c r="E4" s="142">
        <f>SUM(E6:E19)-E19</f>
        <v>3166079.84</v>
      </c>
      <c r="F4" s="217">
        <f t="shared" ref="F4:F19" si="0">IFERROR((SUM(D4-C4)/C4),0)</f>
        <v>-0.34026531719315273</v>
      </c>
      <c r="G4" s="217">
        <f>IFERROR((SUM(D4-B4)/D4),0)</f>
        <v>-0.16039490556663105</v>
      </c>
      <c r="H4" s="262">
        <f>SUM(H6:H18)</f>
        <v>5893</v>
      </c>
      <c r="I4" s="218">
        <f>AVERAGE(I5:I19)</f>
        <v>221.3893306536043</v>
      </c>
      <c r="J4" s="219">
        <f>SUM(J6:J19)</f>
        <v>618</v>
      </c>
      <c r="K4" s="220">
        <f t="shared" ref="K4:K19" si="1">IFERROR(J4/H4,0)</f>
        <v>0.10487018496521297</v>
      </c>
      <c r="L4" s="221">
        <f>SUM(L6:L19)</f>
        <v>6566</v>
      </c>
      <c r="M4" s="222">
        <f t="shared" ref="M4:M19" si="2">IFERROR(L4/SUM(H4),0)</f>
        <v>1.1142032920414051</v>
      </c>
      <c r="N4" s="249">
        <f>SUM(N6:N19)</f>
        <v>298605.25999999995</v>
      </c>
      <c r="O4" s="222">
        <f>SUM(N4/D4)</f>
        <v>0.19547558197852408</v>
      </c>
      <c r="P4" s="244">
        <f>SUM(P6:P19)</f>
        <v>149818.32</v>
      </c>
      <c r="Q4" s="222">
        <f>SUM(P4/D4)</f>
        <v>9.8075376478782589E-2</v>
      </c>
      <c r="R4" s="257">
        <f>SUM(R6:R19)</f>
        <v>60211.100000000006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'31 May - 6 June 2021'!D6</f>
        <v>181872.52</v>
      </c>
      <c r="C6" s="255">
        <v>236155.67</v>
      </c>
      <c r="D6" s="197">
        <v>159835.79999999999</v>
      </c>
      <c r="E6" s="129">
        <v>329335.06</v>
      </c>
      <c r="F6" s="162">
        <f t="shared" si="0"/>
        <v>-0.32317610667573649</v>
      </c>
      <c r="G6" s="154">
        <f t="shared" ref="G6:G19" si="3">IFERROR((SUM(D6-B6)/B6),0)</f>
        <v>-0.12116574840443187</v>
      </c>
      <c r="H6" s="149">
        <v>560</v>
      </c>
      <c r="I6" s="256">
        <f t="shared" ref="I6:I19" si="4">IFERROR(D6/H6,0)</f>
        <v>285.42107142857139</v>
      </c>
      <c r="J6" s="125">
        <v>27</v>
      </c>
      <c r="K6" s="126">
        <f t="shared" si="1"/>
        <v>4.8214285714285716E-2</v>
      </c>
      <c r="L6" s="46">
        <f>J6+'12 - 18 April 2021'!L6+'19 - 25 April 2021'!J6+'26 April - 2 May 2021'!J6+'3 - 9 May 2021'!J6+'10 - 16 May 2021'!J6+'17 - 23 May 2021'!J6+'24 - 30 May 2021'!J6+'31 May - 6 June 2021'!J6</f>
        <v>505</v>
      </c>
      <c r="M6" s="171">
        <f t="shared" si="2"/>
        <v>0.9017857142857143</v>
      </c>
      <c r="N6" s="259">
        <v>46373.85</v>
      </c>
      <c r="O6" s="128">
        <f t="shared" ref="O6:O19" si="5">SUM(N6/D6)</f>
        <v>0.29013431283855057</v>
      </c>
      <c r="P6" s="260">
        <v>916.91</v>
      </c>
      <c r="Q6" s="128">
        <f t="shared" ref="Q6:Q19" si="6">SUM(P6/D6)</f>
        <v>5.7365746597445632E-3</v>
      </c>
      <c r="R6" s="129">
        <v>4907.5</v>
      </c>
      <c r="S6" s="26"/>
    </row>
    <row r="7" spans="1:22" ht="15.6" customHeight="1" x14ac:dyDescent="0.3">
      <c r="A7" s="409" t="s">
        <v>16</v>
      </c>
      <c r="B7" s="200">
        <f>'31 May - 6 June 2021'!D7</f>
        <v>137349.18</v>
      </c>
      <c r="C7" s="73">
        <v>218653.28</v>
      </c>
      <c r="D7" s="145">
        <v>119124.17</v>
      </c>
      <c r="E7" s="145">
        <v>247660.64</v>
      </c>
      <c r="F7" s="163">
        <f t="shared" si="0"/>
        <v>-0.4551914794052026</v>
      </c>
      <c r="G7" s="155">
        <f t="shared" si="3"/>
        <v>-0.13269107249129553</v>
      </c>
      <c r="H7" s="150">
        <v>478</v>
      </c>
      <c r="I7" s="63">
        <f t="shared" si="4"/>
        <v>249.21374476987447</v>
      </c>
      <c r="J7" s="61">
        <v>67</v>
      </c>
      <c r="K7" s="28">
        <f t="shared" si="1"/>
        <v>0.14016736401673641</v>
      </c>
      <c r="L7" s="46">
        <f>J7+'12 - 18 April 2021'!L7+'19 - 25 April 2021'!J7+'26 April - 2 May 2021'!J7+'3 - 9 May 2021'!J7+'10 - 16 May 2021'!J7+'17 - 23 May 2021'!J7+'24 - 30 May 2021'!J7+'31 May - 6 June 2021'!J7</f>
        <v>642</v>
      </c>
      <c r="M7" s="172">
        <f t="shared" si="2"/>
        <v>1.3430962343096233</v>
      </c>
      <c r="N7" s="260">
        <v>23640.37</v>
      </c>
      <c r="O7" s="89">
        <f t="shared" si="5"/>
        <v>0.19845149813006041</v>
      </c>
      <c r="P7" s="260">
        <v>8217.57</v>
      </c>
      <c r="Q7" s="89">
        <f t="shared" si="6"/>
        <v>6.8983229851674932E-2</v>
      </c>
      <c r="R7" s="130">
        <v>5940.8</v>
      </c>
      <c r="S7" s="26"/>
    </row>
    <row r="8" spans="1:22" ht="15.6" customHeight="1" x14ac:dyDescent="0.3">
      <c r="A8" s="409" t="s">
        <v>17</v>
      </c>
      <c r="B8" s="200">
        <f>'31 May - 6 June 2021'!D8</f>
        <v>101572.02</v>
      </c>
      <c r="C8" s="73">
        <v>110836.84</v>
      </c>
      <c r="D8" s="145">
        <v>96926.07</v>
      </c>
      <c r="E8" s="145">
        <v>191134.72</v>
      </c>
      <c r="F8" s="163">
        <f t="shared" si="0"/>
        <v>-0.12550673584703417</v>
      </c>
      <c r="G8" s="155">
        <f t="shared" si="3"/>
        <v>-4.5740450962774952E-2</v>
      </c>
      <c r="H8" s="150">
        <v>396</v>
      </c>
      <c r="I8" s="63">
        <f t="shared" si="4"/>
        <v>244.76280303030305</v>
      </c>
      <c r="J8" s="61">
        <v>14</v>
      </c>
      <c r="K8" s="28">
        <f t="shared" si="1"/>
        <v>3.5353535353535352E-2</v>
      </c>
      <c r="L8" s="46">
        <f>J8+'12 - 18 April 2021'!L8+'19 - 25 April 2021'!J8+'26 April - 2 May 2021'!J8+'3 - 9 May 2021'!J8+'10 - 16 May 2021'!J8+'17 - 23 May 2021'!J8+'24 - 30 May 2021'!J8+'31 May - 6 June 2021'!J8</f>
        <v>264</v>
      </c>
      <c r="M8" s="172">
        <f t="shared" si="2"/>
        <v>0.66666666666666663</v>
      </c>
      <c r="N8" s="260">
        <v>36033.17</v>
      </c>
      <c r="O8" s="89">
        <f t="shared" si="5"/>
        <v>0.37175932130540312</v>
      </c>
      <c r="P8" s="260">
        <v>10433.129999999999</v>
      </c>
      <c r="Q8" s="89">
        <f t="shared" si="6"/>
        <v>0.10764008073369732</v>
      </c>
      <c r="R8" s="130">
        <v>2728.95</v>
      </c>
      <c r="S8" s="26"/>
    </row>
    <row r="9" spans="1:22" ht="15.6" customHeight="1" x14ac:dyDescent="0.3">
      <c r="A9" s="409" t="s">
        <v>18</v>
      </c>
      <c r="B9" s="200">
        <f>'31 May - 6 June 2021'!D9</f>
        <v>148315.18</v>
      </c>
      <c r="C9" s="73">
        <v>274238.71999999997</v>
      </c>
      <c r="D9" s="145">
        <v>149259.91</v>
      </c>
      <c r="E9" s="145">
        <v>284672.81</v>
      </c>
      <c r="F9" s="163">
        <f t="shared" si="0"/>
        <v>-0.45572999319716773</v>
      </c>
      <c r="G9" s="155">
        <f t="shared" si="3"/>
        <v>6.3697458345127623E-3</v>
      </c>
      <c r="H9" s="150">
        <v>620</v>
      </c>
      <c r="I9" s="63">
        <f t="shared" si="4"/>
        <v>240.74179032258064</v>
      </c>
      <c r="J9" s="61">
        <v>49</v>
      </c>
      <c r="K9" s="28">
        <f t="shared" si="1"/>
        <v>7.9032258064516123E-2</v>
      </c>
      <c r="L9" s="46">
        <f>J9+'12 - 18 April 2021'!L9+'19 - 25 April 2021'!J9+'26 April - 2 May 2021'!J9+'3 - 9 May 2021'!J9+'10 - 16 May 2021'!J9+'17 - 23 May 2021'!J9+'24 - 30 May 2021'!J9+'31 May - 6 June 2021'!J9</f>
        <v>415</v>
      </c>
      <c r="M9" s="172">
        <f t="shared" si="2"/>
        <v>0.66935483870967738</v>
      </c>
      <c r="N9" s="260">
        <v>25558.27</v>
      </c>
      <c r="O9" s="89">
        <f t="shared" si="5"/>
        <v>0.17123332045423315</v>
      </c>
      <c r="P9" s="260">
        <v>11428.57</v>
      </c>
      <c r="Q9" s="89">
        <f t="shared" si="6"/>
        <v>7.6568249304183544E-2</v>
      </c>
      <c r="R9" s="130">
        <v>8139.5</v>
      </c>
      <c r="S9" s="26"/>
    </row>
    <row r="10" spans="1:22" ht="15.6" customHeight="1" x14ac:dyDescent="0.3">
      <c r="A10" s="411" t="s">
        <v>20</v>
      </c>
      <c r="B10" s="200">
        <f>'31 May - 6 June 2021'!D10</f>
        <v>135817.28</v>
      </c>
      <c r="C10" s="73">
        <v>143400.20000000001</v>
      </c>
      <c r="D10" s="145">
        <v>9206.86</v>
      </c>
      <c r="E10" s="145">
        <v>135632.15</v>
      </c>
      <c r="F10" s="163">
        <f t="shared" si="0"/>
        <v>-0.93579604491486079</v>
      </c>
      <c r="G10" s="155">
        <f t="shared" si="3"/>
        <v>-0.93221142405443547</v>
      </c>
      <c r="H10" s="150">
        <v>36</v>
      </c>
      <c r="I10" s="63">
        <f t="shared" si="4"/>
        <v>255.74611111111113</v>
      </c>
      <c r="J10" s="61">
        <v>4</v>
      </c>
      <c r="K10" s="28">
        <f t="shared" si="1"/>
        <v>0.1111111111111111</v>
      </c>
      <c r="L10" s="46">
        <f>J10+'12 - 18 April 2021'!L10+'19 - 25 April 2021'!J10+'26 April - 2 May 2021'!J10+'3 - 9 May 2021'!J10+'10 - 16 May 2021'!J10+'17 - 23 May 2021'!J10+'24 - 30 May 2021'!J10+'31 May - 6 June 2021'!J10</f>
        <v>325</v>
      </c>
      <c r="M10" s="172">
        <f t="shared" si="2"/>
        <v>9.0277777777777786</v>
      </c>
      <c r="N10" s="260">
        <v>2764.96</v>
      </c>
      <c r="O10" s="89">
        <f t="shared" si="5"/>
        <v>0.30031519975322746</v>
      </c>
      <c r="P10" s="260">
        <v>1191.95</v>
      </c>
      <c r="Q10" s="89">
        <f t="shared" si="6"/>
        <v>0.1294632480563406</v>
      </c>
      <c r="R10" s="130">
        <v>163</v>
      </c>
      <c r="S10" s="26"/>
    </row>
    <row r="11" spans="1:22" ht="15.6" customHeight="1" x14ac:dyDescent="0.3">
      <c r="A11" s="409" t="s">
        <v>21</v>
      </c>
      <c r="B11" s="200">
        <f>'31 May - 6 June 2021'!D11</f>
        <v>266240.07</v>
      </c>
      <c r="C11" s="73">
        <v>345738.87</v>
      </c>
      <c r="D11" s="145">
        <v>222935.03</v>
      </c>
      <c r="E11" s="145">
        <v>469682.17</v>
      </c>
      <c r="F11" s="163">
        <f t="shared" si="0"/>
        <v>-0.35519246071464283</v>
      </c>
      <c r="G11" s="155">
        <f t="shared" si="3"/>
        <v>-0.16265410386948895</v>
      </c>
      <c r="H11" s="150">
        <v>834</v>
      </c>
      <c r="I11" s="63">
        <f t="shared" si="4"/>
        <v>267.30818944844123</v>
      </c>
      <c r="J11" s="61">
        <v>85</v>
      </c>
      <c r="K11" s="28">
        <f t="shared" si="1"/>
        <v>0.10191846522781775</v>
      </c>
      <c r="L11" s="46">
        <f>J11+'12 - 18 April 2021'!L11+'19 - 25 April 2021'!J11+'26 April - 2 May 2021'!J11+'3 - 9 May 2021'!J11+'10 - 16 May 2021'!J11+'17 - 23 May 2021'!J11+'24 - 30 May 2021'!J11+'31 May - 6 June 2021'!J11</f>
        <v>939</v>
      </c>
      <c r="M11" s="172">
        <f t="shared" si="2"/>
        <v>1.1258992805755397</v>
      </c>
      <c r="N11" s="260">
        <v>41714.089999999997</v>
      </c>
      <c r="O11" s="89">
        <f t="shared" si="5"/>
        <v>0.18711321410547277</v>
      </c>
      <c r="P11" s="260">
        <v>19060.87</v>
      </c>
      <c r="Q11" s="89">
        <f t="shared" si="6"/>
        <v>8.549966328755064E-2</v>
      </c>
      <c r="R11" s="130">
        <v>11808.4</v>
      </c>
      <c r="S11" s="26"/>
    </row>
    <row r="12" spans="1:22" ht="15.6" customHeight="1" x14ac:dyDescent="0.3">
      <c r="A12" s="198" t="s">
        <v>22</v>
      </c>
      <c r="B12" s="200">
        <f>'31 May - 6 June 2021'!D12</f>
        <v>113857</v>
      </c>
      <c r="C12" s="73">
        <v>139419.04999999999</v>
      </c>
      <c r="D12" s="145">
        <v>95672.93</v>
      </c>
      <c r="E12" s="145">
        <v>202895.6</v>
      </c>
      <c r="F12" s="163">
        <f t="shared" si="0"/>
        <v>-0.3137743371511999</v>
      </c>
      <c r="G12" s="155">
        <f t="shared" si="3"/>
        <v>-0.15970972360065702</v>
      </c>
      <c r="H12" s="150">
        <v>381</v>
      </c>
      <c r="I12" s="63">
        <f t="shared" si="4"/>
        <v>251.1100524934383</v>
      </c>
      <c r="J12" s="61">
        <v>45</v>
      </c>
      <c r="K12" s="28">
        <f t="shared" si="1"/>
        <v>0.11811023622047244</v>
      </c>
      <c r="L12" s="46">
        <f>J12+'12 - 18 April 2021'!L12+'19 - 25 April 2021'!J12+'26 April - 2 May 2021'!J12+'3 - 9 May 2021'!J12+'10 - 16 May 2021'!J12+'17 - 23 May 2021'!J12+'24 - 30 May 2021'!J12+'31 May - 6 June 2021'!J12</f>
        <v>389</v>
      </c>
      <c r="M12" s="172">
        <f t="shared" si="2"/>
        <v>1.0209973753280841</v>
      </c>
      <c r="N12" s="260">
        <v>17790.830000000002</v>
      </c>
      <c r="O12" s="89">
        <f t="shared" si="5"/>
        <v>0.18595468958669922</v>
      </c>
      <c r="P12" s="260">
        <v>7266.95</v>
      </c>
      <c r="Q12" s="89">
        <f t="shared" si="6"/>
        <v>7.5956176945767215E-2</v>
      </c>
      <c r="R12" s="130">
        <v>8034.4</v>
      </c>
      <c r="S12" s="26"/>
    </row>
    <row r="13" spans="1:22" ht="15.6" customHeight="1" x14ac:dyDescent="0.3">
      <c r="A13" s="198" t="s">
        <v>23</v>
      </c>
      <c r="B13" s="200">
        <f>'31 May - 6 June 2021'!D13</f>
        <v>173078.97</v>
      </c>
      <c r="C13" s="73">
        <v>208358.17</v>
      </c>
      <c r="D13" s="145">
        <v>159408.99</v>
      </c>
      <c r="E13" s="145">
        <v>313895.89</v>
      </c>
      <c r="F13" s="163">
        <f t="shared" si="0"/>
        <v>-0.23492805681677861</v>
      </c>
      <c r="G13" s="155">
        <f t="shared" si="3"/>
        <v>-7.8981172582665654E-2</v>
      </c>
      <c r="H13" s="150">
        <v>612</v>
      </c>
      <c r="I13" s="63">
        <f t="shared" si="4"/>
        <v>260.47220588235291</v>
      </c>
      <c r="J13" s="61">
        <v>68</v>
      </c>
      <c r="K13" s="28">
        <f t="shared" si="1"/>
        <v>0.1111111111111111</v>
      </c>
      <c r="L13" s="46">
        <f>J13+'12 - 18 April 2021'!L13+'19 - 25 April 2021'!J13+'26 April - 2 May 2021'!J13+'3 - 9 May 2021'!J13+'10 - 16 May 2021'!J13+'17 - 23 May 2021'!J13+'24 - 30 May 2021'!J13+'31 May - 6 June 2021'!J13</f>
        <v>645</v>
      </c>
      <c r="M13" s="172">
        <f t="shared" si="2"/>
        <v>1.053921568627451</v>
      </c>
      <c r="N13" s="260">
        <v>27588.86</v>
      </c>
      <c r="O13" s="89">
        <f t="shared" si="5"/>
        <v>0.17306966188042469</v>
      </c>
      <c r="P13" s="260">
        <v>26883.38</v>
      </c>
      <c r="Q13" s="89">
        <f t="shared" si="6"/>
        <v>0.16864406455369929</v>
      </c>
      <c r="R13" s="130">
        <v>2447</v>
      </c>
      <c r="S13" s="26"/>
    </row>
    <row r="14" spans="1:22" ht="15.6" hidden="1" customHeight="1" x14ac:dyDescent="0.3">
      <c r="A14" s="198" t="s">
        <v>24</v>
      </c>
      <c r="B14" s="200">
        <f>'31 May - 6 June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2021'!J14+'24 - 30 May 2021'!J14+'31 May - 6 June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'31 May - 6 June 2021'!D15</f>
        <v>119262.39</v>
      </c>
      <c r="C15" s="73">
        <v>170108.44</v>
      </c>
      <c r="D15" s="145">
        <v>140721.15</v>
      </c>
      <c r="E15" s="145">
        <v>251623.38</v>
      </c>
      <c r="F15" s="163">
        <f t="shared" si="0"/>
        <v>-0.1727562136246738</v>
      </c>
      <c r="G15" s="155">
        <f t="shared" si="3"/>
        <v>0.17992897844827691</v>
      </c>
      <c r="H15" s="150">
        <v>480</v>
      </c>
      <c r="I15" s="63">
        <f t="shared" si="4"/>
        <v>293.1690625</v>
      </c>
      <c r="J15" s="61">
        <v>57</v>
      </c>
      <c r="K15" s="28">
        <f t="shared" si="1"/>
        <v>0.11874999999999999</v>
      </c>
      <c r="L15" s="46">
        <f>J15+'12 - 18 April 2021'!L15+'19 - 25 April 2021'!J15+'26 April - 2 May 2021'!J15+'3 - 9 May 2021'!J15+'10 - 16 May 2021'!J15+'17 - 23 May 2021'!J15+'24 - 30 May 2021'!J15+'31 May - 6 June 2021'!J15</f>
        <v>547</v>
      </c>
      <c r="M15" s="172">
        <f t="shared" si="2"/>
        <v>1.1395833333333334</v>
      </c>
      <c r="N15" s="260">
        <v>0</v>
      </c>
      <c r="O15" s="89">
        <f t="shared" si="5"/>
        <v>0</v>
      </c>
      <c r="P15" s="260">
        <v>13463.48</v>
      </c>
      <c r="Q15" s="89">
        <f t="shared" si="6"/>
        <v>9.5674886113423604E-2</v>
      </c>
      <c r="R15" s="130">
        <v>3259.8</v>
      </c>
      <c r="S15" s="9"/>
    </row>
    <row r="16" spans="1:22" ht="15.6" customHeight="1" x14ac:dyDescent="0.3">
      <c r="A16" s="198" t="s">
        <v>27</v>
      </c>
      <c r="B16" s="200">
        <f>'31 May - 6 June 2021'!D16</f>
        <v>110387.7</v>
      </c>
      <c r="C16" s="73">
        <v>115659.7</v>
      </c>
      <c r="D16" s="145">
        <v>118362.03</v>
      </c>
      <c r="E16" s="145">
        <v>220075.36</v>
      </c>
      <c r="F16" s="163">
        <f t="shared" si="0"/>
        <v>2.3364490829562948E-2</v>
      </c>
      <c r="G16" s="155">
        <f t="shared" si="3"/>
        <v>7.2239298400093507E-2</v>
      </c>
      <c r="H16" s="150">
        <v>459</v>
      </c>
      <c r="I16" s="63">
        <f t="shared" si="4"/>
        <v>257.86934640522878</v>
      </c>
      <c r="J16" s="61">
        <v>32</v>
      </c>
      <c r="K16" s="28">
        <f t="shared" si="1"/>
        <v>6.9716775599128547E-2</v>
      </c>
      <c r="L16" s="46">
        <f>J16+'12 - 18 April 2021'!L16+'19 - 25 April 2021'!J16+'26 April - 2 May 2021'!J16+'3 - 9 May 2021'!J16+'10 - 16 May 2021'!J16+'17 - 23 May 2021'!J16+'24 - 30 May 2021'!J16+'31 May - 6 June 2021'!J16</f>
        <v>330</v>
      </c>
      <c r="M16" s="172">
        <f t="shared" si="2"/>
        <v>0.71895424836601307</v>
      </c>
      <c r="N16" s="260">
        <v>30512.13</v>
      </c>
      <c r="O16" s="89">
        <f t="shared" si="5"/>
        <v>0.25778647088090667</v>
      </c>
      <c r="P16" s="260">
        <v>20376.3</v>
      </c>
      <c r="Q16" s="89">
        <f t="shared" si="6"/>
        <v>0.1721523363531362</v>
      </c>
      <c r="R16" s="130">
        <v>4248</v>
      </c>
      <c r="S16" s="9"/>
      <c r="V16" s="238"/>
    </row>
    <row r="17" spans="1:19" ht="15.6" customHeight="1" x14ac:dyDescent="0.3">
      <c r="A17" s="251" t="s">
        <v>28</v>
      </c>
      <c r="B17" s="200">
        <f>'31 May - 6 June 2021'!D17</f>
        <v>165603.85999999999</v>
      </c>
      <c r="C17" s="73">
        <v>183813.79</v>
      </c>
      <c r="D17" s="145">
        <v>134885.60999999999</v>
      </c>
      <c r="E17" s="145">
        <v>290941.86</v>
      </c>
      <c r="F17" s="163">
        <f t="shared" si="0"/>
        <v>-0.2661834022354907</v>
      </c>
      <c r="G17" s="155">
        <f t="shared" si="3"/>
        <v>-0.1854923550695014</v>
      </c>
      <c r="H17" s="150">
        <v>531</v>
      </c>
      <c r="I17" s="63">
        <f t="shared" si="4"/>
        <v>254.02186440677963</v>
      </c>
      <c r="J17" s="61">
        <v>89</v>
      </c>
      <c r="K17" s="28">
        <f t="shared" si="1"/>
        <v>0.16760828625235405</v>
      </c>
      <c r="L17" s="46">
        <f>J17+'12 - 18 April 2021'!L17+'19 - 25 April 2021'!J17+'26 April - 2 May 2021'!J17+'3 - 9 May 2021'!J17+'10 - 16 May 2021'!J17+'17 - 23 May 2021'!J17+'24 - 30 May 2021'!J17+'31 May - 6 June 2021'!J17</f>
        <v>681</v>
      </c>
      <c r="M17" s="172">
        <f t="shared" si="2"/>
        <v>1.2824858757062148</v>
      </c>
      <c r="N17" s="260">
        <v>20568.43</v>
      </c>
      <c r="O17" s="89">
        <f t="shared" si="5"/>
        <v>0.15248794886274378</v>
      </c>
      <c r="P17" s="260">
        <v>12243.14</v>
      </c>
      <c r="Q17" s="89">
        <f t="shared" si="6"/>
        <v>9.0766835691368411E-2</v>
      </c>
      <c r="R17" s="130">
        <v>4580.75</v>
      </c>
      <c r="S17" s="9"/>
    </row>
    <row r="18" spans="1:19" ht="15.6" customHeight="1" x14ac:dyDescent="0.3">
      <c r="A18" s="198" t="s">
        <v>33</v>
      </c>
      <c r="B18" s="200">
        <f>'31 May - 6 June 2021'!D18</f>
        <v>119243.86</v>
      </c>
      <c r="C18" s="73">
        <v>169068.42</v>
      </c>
      <c r="D18" s="145">
        <v>121244.88</v>
      </c>
      <c r="E18" s="145">
        <v>228530.2</v>
      </c>
      <c r="F18" s="163">
        <f t="shared" si="0"/>
        <v>-0.2828650081428572</v>
      </c>
      <c r="G18" s="155">
        <f t="shared" si="3"/>
        <v>1.67809059518872E-2</v>
      </c>
      <c r="H18" s="150">
        <v>506</v>
      </c>
      <c r="I18" s="258">
        <f t="shared" si="4"/>
        <v>239.61438735177867</v>
      </c>
      <c r="J18" s="61">
        <v>81</v>
      </c>
      <c r="K18" s="28">
        <f t="shared" si="1"/>
        <v>0.1600790513833992</v>
      </c>
      <c r="L18" s="46">
        <f>J18+'12 - 18 April 2021'!L18+'19 - 25 April 2021'!J18+'26 April - 2 May 2021'!J18+'3 - 9 May 2021'!J18+'10 - 16 May 2021'!J18+'17 - 23 May 2021'!J18+'24 - 30 May 2021'!J18+'31 May - 6 June 2021'!J18</f>
        <v>884</v>
      </c>
      <c r="M18" s="172">
        <f t="shared" si="2"/>
        <v>1.7470355731225296</v>
      </c>
      <c r="N18" s="260">
        <v>26060.3</v>
      </c>
      <c r="O18" s="89">
        <f t="shared" si="5"/>
        <v>0.21493938548167971</v>
      </c>
      <c r="P18" s="260">
        <v>18336.07</v>
      </c>
      <c r="Q18" s="89">
        <f t="shared" si="6"/>
        <v>0.15123170561923935</v>
      </c>
      <c r="R18" s="130">
        <v>3953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19" priority="10" operator="equal">
      <formula>0</formula>
    </cfRule>
  </conditionalFormatting>
  <conditionalFormatting sqref="D7:E19">
    <cfRule type="cellIs" dxfId="318" priority="2" operator="equal">
      <formula>0</formula>
    </cfRule>
  </conditionalFormatting>
  <conditionalFormatting sqref="F6:R19">
    <cfRule type="cellIs" dxfId="31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V41"/>
  <sheetViews>
    <sheetView zoomScale="70" zoomScaleNormal="70" workbookViewId="0">
      <pane xSplit="1" topLeftCell="B1" activePane="topRight" state="frozen"/>
      <selection pane="topRight" activeCell="I6" sqref="I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-0.35159562366079328</v>
      </c>
      <c r="G2" s="400">
        <f>(((D4-D19-B19)-B4)/D4)</f>
        <v>-3.8579777967861328E-2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47.4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SUM(B6:B19)-B19-B10</f>
        <v>1518376.5699999996</v>
      </c>
      <c r="C4" s="135">
        <f>SUM(C6:C19)-C14-C19-C10</f>
        <v>2254725.5900000003</v>
      </c>
      <c r="D4" s="142">
        <f>SUM(D6:D19)-D19-D10</f>
        <v>1461973.9400000002</v>
      </c>
      <c r="E4" s="142">
        <f>SUM(E6:E19)-E19-E10</f>
        <v>4492419.62</v>
      </c>
      <c r="F4" s="217">
        <f t="shared" ref="F4:F19" si="0">IFERROR((SUM(D4-C4)/C4),0)</f>
        <v>-0.35159562366079328</v>
      </c>
      <c r="G4" s="217">
        <f>IFERROR((SUM(D4-B4)/D4),0)</f>
        <v>-3.8579777967861328E-2</v>
      </c>
      <c r="H4" s="262">
        <f>SUM(H6:H18)</f>
        <v>5624</v>
      </c>
      <c r="I4" s="218">
        <f>AVERAGE(I5:I19)</f>
        <v>203.92795977056227</v>
      </c>
      <c r="J4" s="219">
        <f>SUM(J6:J19)</f>
        <v>430</v>
      </c>
      <c r="K4" s="220">
        <f t="shared" ref="K4:K19" si="1">IFERROR(J4/H4,0)</f>
        <v>7.6458036984352773E-2</v>
      </c>
      <c r="L4" s="221">
        <f>SUM(L6:L19)</f>
        <v>6996</v>
      </c>
      <c r="M4" s="222">
        <f t="shared" ref="M4:M19" si="2">IFERROR(L4/SUM(H4),0)</f>
        <v>1.2439544807965861</v>
      </c>
      <c r="N4" s="249">
        <f>SUM(N6:N19)</f>
        <v>295112.02</v>
      </c>
      <c r="O4" s="222">
        <f>SUM(N4/D4)</f>
        <v>0.20185860494886795</v>
      </c>
      <c r="P4" s="244">
        <f>SUM(P6:P19)</f>
        <v>147626.06</v>
      </c>
      <c r="Q4" s="222">
        <f>SUM(P4/D4)</f>
        <v>0.10097721714519753</v>
      </c>
      <c r="R4" s="257">
        <f>SUM(R6:R19)</f>
        <v>74416.52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'7 - 13 June 2021'!D6</f>
        <v>159835.79999999999</v>
      </c>
      <c r="C6" s="255">
        <v>250573.07</v>
      </c>
      <c r="D6" s="197">
        <v>172041.05</v>
      </c>
      <c r="E6" s="129">
        <v>501376.11</v>
      </c>
      <c r="F6" s="162">
        <f t="shared" si="0"/>
        <v>-0.31340965731073978</v>
      </c>
      <c r="G6" s="154">
        <f t="shared" ref="G6:G19" si="3">IFERROR((SUM(D6-B6)/B6),0)</f>
        <v>7.6361178159085774E-2</v>
      </c>
      <c r="H6" s="149">
        <v>604</v>
      </c>
      <c r="I6" s="256">
        <f t="shared" ref="I6:I19" si="4">IFERROR(D6/H6,0)</f>
        <v>284.83617549668872</v>
      </c>
      <c r="J6" s="125">
        <v>14</v>
      </c>
      <c r="K6" s="126">
        <f t="shared" si="1"/>
        <v>2.3178807947019868E-2</v>
      </c>
      <c r="L6" s="46">
        <f>J6+'12 - 18 April 2021'!L6+'19 - 25 April 2021'!J6+'26 April - 2 May 2021'!J6+'3 - 9 May 2021'!J6+'10 - 16 May 2021'!J6+'17 - 23 May 2021'!J6+'24 - 30 May 2021'!J6+'31 May - 6 June 2021'!J6+'7 - 13 June 2021'!J6</f>
        <v>519</v>
      </c>
      <c r="M6" s="171">
        <f t="shared" si="2"/>
        <v>0.85927152317880795</v>
      </c>
      <c r="N6" s="259">
        <v>42910.25</v>
      </c>
      <c r="O6" s="128">
        <f t="shared" ref="O6:O19" si="5">SUM(N6/D6)</f>
        <v>0.24941867071841287</v>
      </c>
      <c r="P6" s="260">
        <v>1499.91</v>
      </c>
      <c r="Q6" s="128">
        <f t="shared" ref="Q6:Q19" si="6">SUM(P6/D6)</f>
        <v>8.7183262366743296E-3</v>
      </c>
      <c r="R6" s="129">
        <v>9381.82</v>
      </c>
      <c r="S6" s="26"/>
    </row>
    <row r="7" spans="1:22" ht="15.6" customHeight="1" x14ac:dyDescent="0.3">
      <c r="A7" s="409" t="s">
        <v>16</v>
      </c>
      <c r="B7" s="200">
        <f>'7 - 13 June 2021'!D7</f>
        <v>119124.17</v>
      </c>
      <c r="C7" s="73">
        <v>248168.49</v>
      </c>
      <c r="D7" s="145">
        <v>112438.92</v>
      </c>
      <c r="E7" s="145">
        <v>360099.56</v>
      </c>
      <c r="F7" s="163">
        <f t="shared" si="0"/>
        <v>-0.54692507497627929</v>
      </c>
      <c r="G7" s="155">
        <f t="shared" si="3"/>
        <v>-5.6120013260113379E-2</v>
      </c>
      <c r="H7" s="150">
        <v>417</v>
      </c>
      <c r="I7" s="63">
        <f t="shared" si="4"/>
        <v>269.63769784172661</v>
      </c>
      <c r="J7" s="61">
        <v>25</v>
      </c>
      <c r="K7" s="28">
        <f t="shared" si="1"/>
        <v>5.9952038369304558E-2</v>
      </c>
      <c r="L7" s="46">
        <f>J7+'12 - 18 April 2021'!L7+'19 - 25 April 2021'!J7+'26 April - 2 May 2021'!J7+'3 - 9 May 2021'!J7+'10 - 16 May 2021'!J7+'17 - 23 May 2021'!J7+'24 - 30 May 2021'!J7+'31 May - 6 June 2021'!J7+'7 - 13 June 2021'!J7</f>
        <v>667</v>
      </c>
      <c r="M7" s="172">
        <f t="shared" si="2"/>
        <v>1.5995203836930456</v>
      </c>
      <c r="N7" s="260">
        <v>26774.36</v>
      </c>
      <c r="O7" s="89">
        <f t="shared" si="5"/>
        <v>0.23812359634902222</v>
      </c>
      <c r="P7" s="260">
        <v>7192.61</v>
      </c>
      <c r="Q7" s="89">
        <f t="shared" si="6"/>
        <v>6.3969042036334037E-2</v>
      </c>
      <c r="R7" s="130">
        <v>5302.35</v>
      </c>
      <c r="S7" s="26"/>
    </row>
    <row r="8" spans="1:22" ht="15.6" customHeight="1" x14ac:dyDescent="0.3">
      <c r="A8" s="409" t="s">
        <v>17</v>
      </c>
      <c r="B8" s="200">
        <f>'7 - 13 June 2021'!D8</f>
        <v>96926.07</v>
      </c>
      <c r="C8" s="73">
        <v>99413.99</v>
      </c>
      <c r="D8" s="145">
        <v>93597.64</v>
      </c>
      <c r="E8" s="145">
        <v>284732.36</v>
      </c>
      <c r="F8" s="163">
        <f t="shared" si="0"/>
        <v>-5.8506353079682299E-2</v>
      </c>
      <c r="G8" s="155">
        <f t="shared" si="3"/>
        <v>-3.4339883996122068E-2</v>
      </c>
      <c r="H8" s="150">
        <v>385</v>
      </c>
      <c r="I8" s="63">
        <f t="shared" si="4"/>
        <v>243.11075324675323</v>
      </c>
      <c r="J8" s="61">
        <v>17</v>
      </c>
      <c r="K8" s="28">
        <f t="shared" si="1"/>
        <v>4.4155844155844157E-2</v>
      </c>
      <c r="L8" s="46">
        <f>J8+'12 - 18 April 2021'!L8+'19 - 25 April 2021'!J8+'26 April - 2 May 2021'!J8+'3 - 9 May 2021'!J8+'10 - 16 May 2021'!J8+'17 - 23 May 2021'!J8+'24 - 30 May 2021'!J8+'31 May - 6 June 2021'!J8+'7 - 13 June 2021'!J8</f>
        <v>281</v>
      </c>
      <c r="M8" s="172">
        <f t="shared" si="2"/>
        <v>0.72987012987012989</v>
      </c>
      <c r="N8" s="260">
        <v>36136.69</v>
      </c>
      <c r="O8" s="89">
        <f t="shared" si="5"/>
        <v>0.38608548249720831</v>
      </c>
      <c r="P8" s="260">
        <v>10209.15</v>
      </c>
      <c r="Q8" s="89">
        <f t="shared" si="6"/>
        <v>0.10907486556284966</v>
      </c>
      <c r="R8" s="130">
        <v>2970</v>
      </c>
      <c r="S8" s="26"/>
    </row>
    <row r="9" spans="1:22" ht="15.6" customHeight="1" x14ac:dyDescent="0.3">
      <c r="A9" s="409" t="s">
        <v>18</v>
      </c>
      <c r="B9" s="200">
        <f>'7 - 13 June 2021'!D9</f>
        <v>149259.91</v>
      </c>
      <c r="C9" s="73">
        <v>303531.06</v>
      </c>
      <c r="D9" s="145">
        <v>135128.66</v>
      </c>
      <c r="E9" s="145">
        <v>419801.47</v>
      </c>
      <c r="F9" s="163">
        <f t="shared" si="0"/>
        <v>-0.5548110957738559</v>
      </c>
      <c r="G9" s="155">
        <f t="shared" si="3"/>
        <v>-9.4675455720159549E-2</v>
      </c>
      <c r="H9" s="150">
        <v>546</v>
      </c>
      <c r="I9" s="63">
        <f t="shared" si="4"/>
        <v>247.48838827838827</v>
      </c>
      <c r="J9" s="61">
        <v>24</v>
      </c>
      <c r="K9" s="28">
        <f t="shared" si="1"/>
        <v>4.3956043956043959E-2</v>
      </c>
      <c r="L9" s="46">
        <f>J9+'12 - 18 April 2021'!L9+'19 - 25 April 2021'!J9+'26 April - 2 May 2021'!J9+'3 - 9 May 2021'!J9+'10 - 16 May 2021'!J9+'17 - 23 May 2021'!J9+'24 - 30 May 2021'!J9+'31 May - 6 June 2021'!J9+'7 - 13 June 2021'!J9</f>
        <v>439</v>
      </c>
      <c r="M9" s="172">
        <f t="shared" si="2"/>
        <v>0.80402930402930406</v>
      </c>
      <c r="N9" s="260">
        <v>16206.45</v>
      </c>
      <c r="O9" s="89">
        <f t="shared" si="5"/>
        <v>0.11993347673247111</v>
      </c>
      <c r="P9" s="260">
        <v>11675.57</v>
      </c>
      <c r="Q9" s="89">
        <f t="shared" si="6"/>
        <v>8.6403358103306876E-2</v>
      </c>
      <c r="R9" s="130">
        <v>10873.9</v>
      </c>
      <c r="S9" s="26"/>
    </row>
    <row r="10" spans="1:22" ht="15.6" customHeight="1" x14ac:dyDescent="0.3">
      <c r="A10" s="411" t="s">
        <v>20</v>
      </c>
      <c r="B10" s="200">
        <f>'7 - 13 June 2021'!D10</f>
        <v>9206.86</v>
      </c>
      <c r="C10" s="73">
        <v>148386.35999999999</v>
      </c>
      <c r="D10" s="145">
        <v>0</v>
      </c>
      <c r="E10" s="145">
        <v>135632.15</v>
      </c>
      <c r="F10" s="163">
        <f t="shared" si="0"/>
        <v>-1</v>
      </c>
      <c r="G10" s="155">
        <f t="shared" si="3"/>
        <v>-1</v>
      </c>
      <c r="H10" s="150">
        <v>0</v>
      </c>
      <c r="I10" s="63">
        <f t="shared" si="4"/>
        <v>0</v>
      </c>
      <c r="J10" s="61">
        <v>0</v>
      </c>
      <c r="K10" s="28">
        <f t="shared" si="1"/>
        <v>0</v>
      </c>
      <c r="L10" s="46">
        <f>J10+'12 - 18 April 2021'!L10+'19 - 25 April 2021'!J10+'26 April - 2 May 2021'!J10+'3 - 9 May 2021'!J10+'10 - 16 May 2021'!J10+'17 - 23 May 2021'!J10+'24 - 30 May 2021'!J10+'31 May - 6 June 2021'!J10+'7 - 13 June 2021'!J10</f>
        <v>325</v>
      </c>
      <c r="M10" s="172">
        <f t="shared" si="2"/>
        <v>0</v>
      </c>
      <c r="N10" s="260">
        <v>0</v>
      </c>
      <c r="O10" s="89" t="e">
        <f t="shared" si="5"/>
        <v>#DIV/0!</v>
      </c>
      <c r="P10" s="260">
        <v>0</v>
      </c>
      <c r="Q10" s="89" t="e">
        <f t="shared" si="6"/>
        <v>#DIV/0!</v>
      </c>
      <c r="R10" s="130">
        <v>0</v>
      </c>
      <c r="S10" s="26"/>
    </row>
    <row r="11" spans="1:22" ht="15.6" customHeight="1" x14ac:dyDescent="0.3">
      <c r="A11" s="409" t="s">
        <v>21</v>
      </c>
      <c r="B11" s="200">
        <f>'7 - 13 June 2021'!D11</f>
        <v>222935.03</v>
      </c>
      <c r="C11" s="73">
        <v>350406.82</v>
      </c>
      <c r="D11" s="145">
        <v>198333.11</v>
      </c>
      <c r="E11" s="145">
        <v>668015.28</v>
      </c>
      <c r="F11" s="163">
        <f t="shared" si="0"/>
        <v>-0.43399186693911956</v>
      </c>
      <c r="G11" s="155">
        <f t="shared" si="3"/>
        <v>-0.11035466252208104</v>
      </c>
      <c r="H11" s="150">
        <v>755</v>
      </c>
      <c r="I11" s="63">
        <f t="shared" si="4"/>
        <v>262.69286092715231</v>
      </c>
      <c r="J11" s="61">
        <v>59</v>
      </c>
      <c r="K11" s="28">
        <f t="shared" si="1"/>
        <v>7.8145695364238404E-2</v>
      </c>
      <c r="L11" s="46">
        <f>J11+'12 - 18 April 2021'!L11+'19 - 25 April 2021'!J11+'26 April - 2 May 2021'!J11+'3 - 9 May 2021'!J11+'10 - 16 May 2021'!J11+'17 - 23 May 2021'!J11+'24 - 30 May 2021'!J11+'31 May - 6 June 2021'!J11+'7 - 13 June 2021'!J11</f>
        <v>998</v>
      </c>
      <c r="M11" s="172">
        <f t="shared" si="2"/>
        <v>1.3218543046357616</v>
      </c>
      <c r="N11" s="260">
        <v>37878.800000000003</v>
      </c>
      <c r="O11" s="89">
        <f t="shared" si="5"/>
        <v>0.19098576127808414</v>
      </c>
      <c r="P11" s="260">
        <v>19877.830000000002</v>
      </c>
      <c r="Q11" s="89">
        <f t="shared" si="6"/>
        <v>0.10022446579897831</v>
      </c>
      <c r="R11" s="130">
        <v>12329.9</v>
      </c>
      <c r="S11" s="26"/>
    </row>
    <row r="12" spans="1:22" ht="15.6" customHeight="1" x14ac:dyDescent="0.3">
      <c r="A12" s="198" t="s">
        <v>22</v>
      </c>
      <c r="B12" s="200">
        <f>'7 - 13 June 2021'!D12</f>
        <v>95672.93</v>
      </c>
      <c r="C12" s="73">
        <v>137174.82</v>
      </c>
      <c r="D12" s="145">
        <v>90987.89</v>
      </c>
      <c r="E12" s="145">
        <v>293883.49</v>
      </c>
      <c r="F12" s="163">
        <f t="shared" si="0"/>
        <v>-0.33670122548730158</v>
      </c>
      <c r="G12" s="155">
        <f t="shared" si="3"/>
        <v>-4.8969337512711215E-2</v>
      </c>
      <c r="H12" s="150">
        <v>346</v>
      </c>
      <c r="I12" s="63">
        <f t="shared" si="4"/>
        <v>262.97078034682079</v>
      </c>
      <c r="J12" s="61">
        <v>39</v>
      </c>
      <c r="K12" s="28">
        <f t="shared" si="1"/>
        <v>0.11271676300578035</v>
      </c>
      <c r="L12" s="46">
        <f>J12+'12 - 18 April 2021'!L12+'19 - 25 April 2021'!J12+'26 April - 2 May 2021'!J12+'3 - 9 May 2021'!J12+'10 - 16 May 2021'!J12+'17 - 23 May 2021'!J12+'24 - 30 May 2021'!J12+'31 May - 6 June 2021'!J12+'7 - 13 June 2021'!J12</f>
        <v>428</v>
      </c>
      <c r="M12" s="172">
        <f t="shared" si="2"/>
        <v>1.2369942196531791</v>
      </c>
      <c r="N12" s="260">
        <v>15129.13</v>
      </c>
      <c r="O12" s="89">
        <f t="shared" si="5"/>
        <v>0.16627630336300797</v>
      </c>
      <c r="P12" s="260">
        <v>5906.4</v>
      </c>
      <c r="Q12" s="89">
        <f t="shared" si="6"/>
        <v>6.4914133078588801E-2</v>
      </c>
      <c r="R12" s="130">
        <v>6371.85</v>
      </c>
      <c r="S12" s="26"/>
    </row>
    <row r="13" spans="1:22" ht="15.6" customHeight="1" x14ac:dyDescent="0.3">
      <c r="A13" s="198" t="s">
        <v>23</v>
      </c>
      <c r="B13" s="200">
        <f>'7 - 13 June 2021'!D13</f>
        <v>159408.99</v>
      </c>
      <c r="C13" s="73">
        <v>203275.18</v>
      </c>
      <c r="D13" s="145">
        <v>152472.51</v>
      </c>
      <c r="E13" s="145">
        <v>466366.39</v>
      </c>
      <c r="F13" s="163">
        <f t="shared" si="0"/>
        <v>-0.24992067403408516</v>
      </c>
      <c r="G13" s="155">
        <f t="shared" si="3"/>
        <v>-4.3513731565578466E-2</v>
      </c>
      <c r="H13" s="150">
        <v>620</v>
      </c>
      <c r="I13" s="63">
        <f t="shared" si="4"/>
        <v>245.92340322580645</v>
      </c>
      <c r="J13" s="61">
        <v>56</v>
      </c>
      <c r="K13" s="28">
        <f t="shared" si="1"/>
        <v>9.0322580645161285E-2</v>
      </c>
      <c r="L13" s="46">
        <f>J13+'12 - 18 April 2021'!L13+'19 - 25 April 2021'!J13+'26 April - 2 May 2021'!J13+'3 - 9 May 2021'!J13+'10 - 16 May 2021'!J13+'17 - 23 May 2021'!J13+'24 - 30 May 2021'!J13+'31 May - 6 June 2021'!J13+'7 - 13 June 2021'!J13</f>
        <v>701</v>
      </c>
      <c r="M13" s="172">
        <f t="shared" si="2"/>
        <v>1.1306451612903226</v>
      </c>
      <c r="N13" s="260">
        <v>35873.72</v>
      </c>
      <c r="O13" s="89">
        <f t="shared" si="5"/>
        <v>0.23527992029514042</v>
      </c>
      <c r="P13" s="260">
        <v>29684.71</v>
      </c>
      <c r="Q13" s="89">
        <f t="shared" si="6"/>
        <v>0.19468893113912794</v>
      </c>
      <c r="R13" s="130">
        <v>4132.5</v>
      </c>
      <c r="S13" s="26"/>
    </row>
    <row r="14" spans="1:22" ht="15.6" hidden="1" customHeight="1" x14ac:dyDescent="0.3">
      <c r="A14" s="198" t="s">
        <v>24</v>
      </c>
      <c r="B14" s="200">
        <f>'7 - 13 June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2021'!J14+'24 - 30 May 2021'!J14+'31 May - 6 June 2021'!J14+'7 - 13 June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'7 - 13 June 2021'!D15</f>
        <v>140721.15</v>
      </c>
      <c r="C15" s="73">
        <v>204166.38</v>
      </c>
      <c r="D15" s="145">
        <v>151189.84</v>
      </c>
      <c r="E15" s="145">
        <v>402813.22</v>
      </c>
      <c r="F15" s="163">
        <f t="shared" si="0"/>
        <v>-0.25947729493954885</v>
      </c>
      <c r="G15" s="155">
        <f t="shared" si="3"/>
        <v>7.4393152699505388E-2</v>
      </c>
      <c r="H15" s="150">
        <v>520</v>
      </c>
      <c r="I15" s="63">
        <f t="shared" si="4"/>
        <v>290.74969230769233</v>
      </c>
      <c r="J15" s="61">
        <v>45</v>
      </c>
      <c r="K15" s="28">
        <f t="shared" si="1"/>
        <v>8.6538461538461536E-2</v>
      </c>
      <c r="L15" s="46">
        <f>J15+'12 - 18 April 2021'!L15+'19 - 25 April 2021'!J15+'26 April - 2 May 2021'!J15+'3 - 9 May 2021'!J15+'10 - 16 May 2021'!J15+'17 - 23 May 2021'!J15+'24 - 30 May 2021'!J15+'31 May - 6 June 2021'!J15+'7 - 13 June 2021'!J15</f>
        <v>592</v>
      </c>
      <c r="M15" s="172">
        <f t="shared" si="2"/>
        <v>1.1384615384615384</v>
      </c>
      <c r="N15" s="260">
        <v>0</v>
      </c>
      <c r="O15" s="89">
        <f t="shared" si="5"/>
        <v>0</v>
      </c>
      <c r="P15" s="260">
        <v>17838.259999999998</v>
      </c>
      <c r="Q15" s="89">
        <f t="shared" si="6"/>
        <v>0.11798583820182625</v>
      </c>
      <c r="R15" s="130">
        <v>4596.3500000000004</v>
      </c>
      <c r="S15" s="9"/>
    </row>
    <row r="16" spans="1:22" ht="15.6" customHeight="1" x14ac:dyDescent="0.3">
      <c r="A16" s="198" t="s">
        <v>27</v>
      </c>
      <c r="B16" s="200">
        <f>'7 - 13 June 2021'!D16</f>
        <v>118362.03</v>
      </c>
      <c r="C16" s="73">
        <v>119243.42</v>
      </c>
      <c r="D16" s="145">
        <v>104993.53</v>
      </c>
      <c r="E16" s="145">
        <v>325068.89</v>
      </c>
      <c r="F16" s="163">
        <f t="shared" si="0"/>
        <v>-0.1195025268480223</v>
      </c>
      <c r="G16" s="155">
        <f t="shared" si="3"/>
        <v>-0.11294584927277776</v>
      </c>
      <c r="H16" s="150">
        <v>405</v>
      </c>
      <c r="I16" s="63">
        <f t="shared" si="4"/>
        <v>259.2432839506173</v>
      </c>
      <c r="J16" s="61">
        <v>16</v>
      </c>
      <c r="K16" s="28">
        <f t="shared" si="1"/>
        <v>3.9506172839506172E-2</v>
      </c>
      <c r="L16" s="46">
        <f>J16+'12 - 18 April 2021'!L16+'19 - 25 April 2021'!J16+'26 April - 2 May 2021'!J16+'3 - 9 May 2021'!J16+'10 - 16 May 2021'!J16+'17 - 23 May 2021'!J16+'24 - 30 May 2021'!J16+'31 May - 6 June 2021'!J16+'7 - 13 June 2021'!J16</f>
        <v>346</v>
      </c>
      <c r="M16" s="172">
        <f t="shared" si="2"/>
        <v>0.85432098765432096</v>
      </c>
      <c r="N16" s="260">
        <v>28510.83</v>
      </c>
      <c r="O16" s="89">
        <f t="shared" si="5"/>
        <v>0.27154844684239116</v>
      </c>
      <c r="P16" s="260">
        <v>15593.39</v>
      </c>
      <c r="Q16" s="89">
        <f t="shared" si="6"/>
        <v>0.14851762770525004</v>
      </c>
      <c r="R16" s="130">
        <v>6023.35</v>
      </c>
      <c r="S16" s="9"/>
      <c r="V16" s="238"/>
    </row>
    <row r="17" spans="1:19" ht="15.6" customHeight="1" x14ac:dyDescent="0.3">
      <c r="A17" s="251" t="s">
        <v>28</v>
      </c>
      <c r="B17" s="200">
        <f>'7 - 13 June 2021'!D17</f>
        <v>134885.60999999999</v>
      </c>
      <c r="C17" s="73">
        <v>193070.24</v>
      </c>
      <c r="D17" s="145">
        <v>116056.04</v>
      </c>
      <c r="E17" s="145">
        <v>406997.9</v>
      </c>
      <c r="F17" s="163">
        <f t="shared" si="0"/>
        <v>-0.3988921337643751</v>
      </c>
      <c r="G17" s="155">
        <f t="shared" si="3"/>
        <v>-0.13959658113270937</v>
      </c>
      <c r="H17" s="150">
        <v>485</v>
      </c>
      <c r="I17" s="63">
        <f t="shared" si="4"/>
        <v>239.29080412371133</v>
      </c>
      <c r="J17" s="61">
        <v>40</v>
      </c>
      <c r="K17" s="28">
        <f t="shared" si="1"/>
        <v>8.247422680412371E-2</v>
      </c>
      <c r="L17" s="46">
        <f>J17+'12 - 18 April 2021'!L17+'19 - 25 April 2021'!J17+'26 April - 2 May 2021'!J17+'3 - 9 May 2021'!J17+'10 - 16 May 2021'!J17+'17 - 23 May 2021'!J17+'24 - 30 May 2021'!J17+'31 May - 6 June 2021'!J17+'7 - 13 June 2021'!J17</f>
        <v>721</v>
      </c>
      <c r="M17" s="172">
        <f t="shared" si="2"/>
        <v>1.4865979381443299</v>
      </c>
      <c r="N17" s="260">
        <v>28759.759999999998</v>
      </c>
      <c r="O17" s="89">
        <f t="shared" si="5"/>
        <v>0.24780924801501067</v>
      </c>
      <c r="P17" s="260">
        <v>9191</v>
      </c>
      <c r="Q17" s="89">
        <f t="shared" si="6"/>
        <v>7.9194499484904021E-2</v>
      </c>
      <c r="R17" s="130">
        <v>7914.15</v>
      </c>
      <c r="S17" s="9"/>
    </row>
    <row r="18" spans="1:19" ht="15.6" customHeight="1" x14ac:dyDescent="0.3">
      <c r="A18" s="198" t="s">
        <v>33</v>
      </c>
      <c r="B18" s="200">
        <f>'7 - 13 June 2021'!D18</f>
        <v>121244.88</v>
      </c>
      <c r="C18" s="73">
        <v>145702.12</v>
      </c>
      <c r="D18" s="145">
        <v>134734.75</v>
      </c>
      <c r="E18" s="145">
        <v>363264.95</v>
      </c>
      <c r="F18" s="163">
        <f t="shared" si="0"/>
        <v>-7.5272549225776503E-2</v>
      </c>
      <c r="G18" s="155">
        <f t="shared" si="3"/>
        <v>0.11126135800538542</v>
      </c>
      <c r="H18" s="150">
        <v>541</v>
      </c>
      <c r="I18" s="258">
        <f t="shared" si="4"/>
        <v>249.04759704251387</v>
      </c>
      <c r="J18" s="61">
        <v>95</v>
      </c>
      <c r="K18" s="28">
        <f t="shared" si="1"/>
        <v>0.1756007393715342</v>
      </c>
      <c r="L18" s="46">
        <f>J18+'12 - 18 April 2021'!L18+'19 - 25 April 2021'!J18+'26 April - 2 May 2021'!J18+'3 - 9 May 2021'!J18+'10 - 16 May 2021'!J18+'17 - 23 May 2021'!J18+'24 - 30 May 2021'!J18+'31 May - 6 June 2021'!J18+'7 - 13 June 2021'!J18</f>
        <v>979</v>
      </c>
      <c r="M18" s="172">
        <f t="shared" si="2"/>
        <v>1.8096118299445472</v>
      </c>
      <c r="N18" s="260">
        <v>26932.03</v>
      </c>
      <c r="O18" s="89">
        <f t="shared" si="5"/>
        <v>0.19988926390556258</v>
      </c>
      <c r="P18" s="260">
        <v>18957.23</v>
      </c>
      <c r="Q18" s="89">
        <f t="shared" si="6"/>
        <v>0.1407003761093556</v>
      </c>
      <c r="R18" s="130">
        <v>4520.3500000000004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C19">
    <cfRule type="cellIs" dxfId="316" priority="10" operator="equal">
      <formula>0</formula>
    </cfRule>
  </conditionalFormatting>
  <conditionalFormatting sqref="D7:E19">
    <cfRule type="cellIs" dxfId="315" priority="2" operator="equal">
      <formula>0</formula>
    </cfRule>
  </conditionalFormatting>
  <conditionalFormatting sqref="F6:R19">
    <cfRule type="cellIs" dxfId="31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V41"/>
  <sheetViews>
    <sheetView zoomScale="70" zoomScaleNormal="70" workbookViewId="0">
      <pane xSplit="1" topLeftCell="B1" activePane="topRight" state="frozen"/>
      <selection pane="topRight" activeCell="L10" sqref="L1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0" max="10" width="10.33203125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-0.47247556027048421</v>
      </c>
      <c r="G2" s="400">
        <f>(((D4-D19-B19)-B4)/D4)</f>
        <v>-0.11891921620500691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31.8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0" t="s">
        <v>4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SUM(B6:B19)-B19-B10</f>
        <v>1461973.9400000002</v>
      </c>
      <c r="C4" s="135">
        <f>SUM(C6:C19)-C14-C19-C10</f>
        <v>2476842.06</v>
      </c>
      <c r="D4" s="142">
        <f>SUM(D6:D19)-D19-D10</f>
        <v>1306594.7199999997</v>
      </c>
      <c r="E4" s="142">
        <f>SUM(E6:E19)-E19-E10</f>
        <v>5799014.3399999989</v>
      </c>
      <c r="F4" s="217">
        <f t="shared" ref="F4:F19" si="0">IFERROR((SUM(D4-C4)/C4),0)</f>
        <v>-0.47247556027048421</v>
      </c>
      <c r="G4" s="217">
        <f>IFERROR((SUM(D4-B4)/D4),0)</f>
        <v>-0.11891921620500691</v>
      </c>
      <c r="H4" s="262">
        <f>SUM(H6:H18)</f>
        <v>5171</v>
      </c>
      <c r="I4" s="218">
        <f>AVERAGE(I5:I19)</f>
        <v>199.14340268113583</v>
      </c>
      <c r="J4" s="219">
        <f>SUM(J6:J19)</f>
        <v>390</v>
      </c>
      <c r="K4" s="220">
        <f t="shared" ref="K4:K19" si="1">IFERROR(J4/H4,0)</f>
        <v>7.5420614968091285E-2</v>
      </c>
      <c r="L4" s="221">
        <f>SUM(L6:L19)</f>
        <v>7386</v>
      </c>
      <c r="M4" s="222">
        <f t="shared" ref="M4:M19" si="2">IFERROR(L4/SUM(H4),0)</f>
        <v>1.4283504157803133</v>
      </c>
      <c r="N4" s="249">
        <f>SUM(N6:N19)</f>
        <v>302228.31000000006</v>
      </c>
      <c r="O4" s="222">
        <f>SUM(N4/D4)</f>
        <v>0.23130991222741212</v>
      </c>
      <c r="P4" s="244">
        <f>SUM(P6:P19)</f>
        <v>169221.63</v>
      </c>
      <c r="Q4" s="222">
        <f>SUM(P4/D4)</f>
        <v>0.12951348066062907</v>
      </c>
      <c r="R4" s="257">
        <f>SUM(R6:R19)</f>
        <v>57133.03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'14 - 20 June 2021'!D6</f>
        <v>172041.05</v>
      </c>
      <c r="C6" s="255">
        <v>271223.01</v>
      </c>
      <c r="D6" s="197">
        <v>132613.41</v>
      </c>
      <c r="E6" s="129">
        <v>633989.52</v>
      </c>
      <c r="F6" s="162">
        <f t="shared" si="0"/>
        <v>-0.5110539846895733</v>
      </c>
      <c r="G6" s="154">
        <f t="shared" ref="G6:G19" si="3">IFERROR((SUM(D6-B6)/B6),0)</f>
        <v>-0.22917576938759668</v>
      </c>
      <c r="H6" s="149">
        <v>495</v>
      </c>
      <c r="I6" s="63">
        <f t="shared" ref="I6:I19" si="4">IFERROR(D6/H6,0)</f>
        <v>267.90587878787881</v>
      </c>
      <c r="J6" s="125">
        <v>35</v>
      </c>
      <c r="K6" s="126">
        <f t="shared" si="1"/>
        <v>7.0707070707070704E-2</v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</f>
        <v>554</v>
      </c>
      <c r="M6" s="171">
        <f t="shared" si="2"/>
        <v>1.1191919191919193</v>
      </c>
      <c r="N6" s="259">
        <v>47266.48</v>
      </c>
      <c r="O6" s="128">
        <f t="shared" ref="O6:O19" si="5">SUM(N6/D6)</f>
        <v>0.35642307968703918</v>
      </c>
      <c r="P6" s="260">
        <v>0</v>
      </c>
      <c r="Q6" s="128">
        <f t="shared" ref="Q6:Q19" si="6">SUM(P6/D6)</f>
        <v>0</v>
      </c>
      <c r="R6" s="129">
        <v>5757.5</v>
      </c>
      <c r="S6" s="26"/>
    </row>
    <row r="7" spans="1:22" ht="15.6" customHeight="1" x14ac:dyDescent="0.3">
      <c r="A7" s="409" t="s">
        <v>16</v>
      </c>
      <c r="B7" s="200">
        <f>'14 - 20 June 2021'!D7</f>
        <v>112438.92</v>
      </c>
      <c r="C7" s="73">
        <v>268311.86</v>
      </c>
      <c r="D7" s="145">
        <v>110299.53</v>
      </c>
      <c r="E7" s="145">
        <v>470399.09</v>
      </c>
      <c r="F7" s="163">
        <f t="shared" si="0"/>
        <v>-0.58891295375463459</v>
      </c>
      <c r="G7" s="155">
        <f t="shared" si="3"/>
        <v>-1.9027130463366237E-2</v>
      </c>
      <c r="H7" s="150">
        <v>405</v>
      </c>
      <c r="I7" s="63">
        <f t="shared" si="4"/>
        <v>272.3445185185185</v>
      </c>
      <c r="J7" s="61">
        <v>17</v>
      </c>
      <c r="K7" s="28">
        <f t="shared" si="1"/>
        <v>4.1975308641975309E-2</v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</f>
        <v>684</v>
      </c>
      <c r="M7" s="172">
        <f t="shared" si="2"/>
        <v>1.6888888888888889</v>
      </c>
      <c r="N7" s="260">
        <v>26319.85</v>
      </c>
      <c r="O7" s="89">
        <f t="shared" si="5"/>
        <v>0.23862159702765731</v>
      </c>
      <c r="P7" s="260">
        <v>8864.61</v>
      </c>
      <c r="Q7" s="89">
        <f t="shared" si="6"/>
        <v>8.0368520155978909E-2</v>
      </c>
      <c r="R7" s="130">
        <v>4280.28</v>
      </c>
      <c r="S7" s="26"/>
    </row>
    <row r="8" spans="1:22" ht="15.6" customHeight="1" x14ac:dyDescent="0.3">
      <c r="A8" s="409" t="s">
        <v>17</v>
      </c>
      <c r="B8" s="200">
        <f>'14 - 20 June 2021'!D8</f>
        <v>93597.64</v>
      </c>
      <c r="C8" s="73">
        <v>110389.7</v>
      </c>
      <c r="D8" s="145">
        <v>88716.479999999996</v>
      </c>
      <c r="E8" s="145">
        <v>373448.84</v>
      </c>
      <c r="F8" s="163">
        <f t="shared" si="0"/>
        <v>-0.1963337159173365</v>
      </c>
      <c r="G8" s="155">
        <f t="shared" si="3"/>
        <v>-5.2150460203911161E-2</v>
      </c>
      <c r="H8" s="150">
        <v>395</v>
      </c>
      <c r="I8" s="63">
        <f t="shared" si="4"/>
        <v>224.59868354430378</v>
      </c>
      <c r="J8" s="61">
        <v>7</v>
      </c>
      <c r="K8" s="28">
        <f t="shared" si="1"/>
        <v>1.7721518987341773E-2</v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</f>
        <v>288</v>
      </c>
      <c r="M8" s="172">
        <f t="shared" si="2"/>
        <v>0.72911392405063291</v>
      </c>
      <c r="N8" s="260">
        <v>33045.97</v>
      </c>
      <c r="O8" s="89">
        <f t="shared" si="5"/>
        <v>0.37248964341236263</v>
      </c>
      <c r="P8" s="260">
        <v>16307.57</v>
      </c>
      <c r="Q8" s="89">
        <f t="shared" si="6"/>
        <v>0.18381669335843803</v>
      </c>
      <c r="R8" s="130">
        <v>3718.55</v>
      </c>
      <c r="S8" s="26"/>
    </row>
    <row r="9" spans="1:22" ht="15.6" customHeight="1" x14ac:dyDescent="0.3">
      <c r="A9" s="409" t="s">
        <v>18</v>
      </c>
      <c r="B9" s="200">
        <f>'14 - 20 June 2021'!D9</f>
        <v>135128.66</v>
      </c>
      <c r="C9" s="73">
        <v>345874.43</v>
      </c>
      <c r="D9" s="145">
        <v>121954.48</v>
      </c>
      <c r="E9" s="145">
        <v>541755.94999999995</v>
      </c>
      <c r="F9" s="163">
        <f t="shared" si="0"/>
        <v>-0.64740244024399263</v>
      </c>
      <c r="G9" s="155">
        <f t="shared" si="3"/>
        <v>-9.7493603503505527E-2</v>
      </c>
      <c r="H9" s="150">
        <v>481</v>
      </c>
      <c r="I9" s="63">
        <f t="shared" si="4"/>
        <v>253.54361746361747</v>
      </c>
      <c r="J9" s="61">
        <v>21</v>
      </c>
      <c r="K9" s="28">
        <f t="shared" si="1"/>
        <v>4.3659043659043661E-2</v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</f>
        <v>460</v>
      </c>
      <c r="M9" s="172">
        <f t="shared" si="2"/>
        <v>0.95634095634095639</v>
      </c>
      <c r="N9" s="260">
        <v>22862.76</v>
      </c>
      <c r="O9" s="89">
        <f t="shared" si="5"/>
        <v>0.18746961981224469</v>
      </c>
      <c r="P9" s="260">
        <v>10695.63</v>
      </c>
      <c r="Q9" s="89">
        <f t="shared" si="6"/>
        <v>8.7701821204108285E-2</v>
      </c>
      <c r="R9" s="130">
        <v>5381.5</v>
      </c>
      <c r="S9" s="26"/>
    </row>
    <row r="10" spans="1:22" ht="15.6" customHeight="1" x14ac:dyDescent="0.3">
      <c r="A10" s="411" t="s">
        <v>20</v>
      </c>
      <c r="B10" s="200">
        <f>'14 - 20 June 2021'!D10</f>
        <v>0</v>
      </c>
      <c r="C10" s="73">
        <v>153229.93</v>
      </c>
      <c r="D10" s="145">
        <v>0</v>
      </c>
      <c r="E10" s="145">
        <v>135632.15</v>
      </c>
      <c r="F10" s="163">
        <f t="shared" si="0"/>
        <v>-1</v>
      </c>
      <c r="G10" s="155">
        <f t="shared" si="3"/>
        <v>0</v>
      </c>
      <c r="H10" s="150">
        <v>0</v>
      </c>
      <c r="I10" s="63">
        <f t="shared" si="4"/>
        <v>0</v>
      </c>
      <c r="J10" s="61">
        <v>0</v>
      </c>
      <c r="K10" s="28">
        <f t="shared" si="1"/>
        <v>0</v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</f>
        <v>325</v>
      </c>
      <c r="M10" s="172">
        <f t="shared" si="2"/>
        <v>0</v>
      </c>
      <c r="N10" s="260">
        <v>0</v>
      </c>
      <c r="O10" s="89" t="e">
        <f t="shared" si="5"/>
        <v>#DIV/0!</v>
      </c>
      <c r="P10" s="260">
        <v>0</v>
      </c>
      <c r="Q10" s="89" t="e">
        <f t="shared" si="6"/>
        <v>#DIV/0!</v>
      </c>
      <c r="R10" s="130">
        <v>0</v>
      </c>
      <c r="S10" s="26"/>
    </row>
    <row r="11" spans="1:22" ht="15.6" customHeight="1" x14ac:dyDescent="0.3">
      <c r="A11" s="409" t="s">
        <v>21</v>
      </c>
      <c r="B11" s="200">
        <f>'14 - 20 June 2021'!D11</f>
        <v>198333.11</v>
      </c>
      <c r="C11" s="73">
        <v>385707.8</v>
      </c>
      <c r="D11" s="145">
        <v>177064.58</v>
      </c>
      <c r="E11" s="145">
        <v>845079.86</v>
      </c>
      <c r="F11" s="163">
        <f t="shared" si="0"/>
        <v>-0.54093596240470121</v>
      </c>
      <c r="G11" s="155">
        <f t="shared" si="3"/>
        <v>-0.10723640646788628</v>
      </c>
      <c r="H11" s="150">
        <v>669</v>
      </c>
      <c r="I11" s="63">
        <f t="shared" si="4"/>
        <v>264.6705231689088</v>
      </c>
      <c r="J11" s="61">
        <v>80</v>
      </c>
      <c r="K11" s="28">
        <f t="shared" si="1"/>
        <v>0.11958146487294469</v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</f>
        <v>1078</v>
      </c>
      <c r="M11" s="172">
        <f t="shared" si="2"/>
        <v>1.6113602391629298</v>
      </c>
      <c r="N11" s="260">
        <v>40023.81</v>
      </c>
      <c r="O11" s="89">
        <f t="shared" si="5"/>
        <v>0.22604074739284391</v>
      </c>
      <c r="P11" s="260">
        <v>23409.83</v>
      </c>
      <c r="Q11" s="89">
        <f t="shared" si="6"/>
        <v>0.13221068832625929</v>
      </c>
      <c r="R11" s="130">
        <v>10923.6</v>
      </c>
      <c r="S11" s="26"/>
    </row>
    <row r="12" spans="1:22" ht="15.6" customHeight="1" x14ac:dyDescent="0.3">
      <c r="A12" s="198" t="s">
        <v>22</v>
      </c>
      <c r="B12" s="200">
        <f>'14 - 20 June 2021'!D12</f>
        <v>90987.89</v>
      </c>
      <c r="C12" s="73">
        <v>124310.04</v>
      </c>
      <c r="D12" s="145">
        <v>93610.01</v>
      </c>
      <c r="E12" s="145">
        <v>387493.5</v>
      </c>
      <c r="F12" s="163">
        <f t="shared" si="0"/>
        <v>-0.24696339893382707</v>
      </c>
      <c r="G12" s="155">
        <f t="shared" si="3"/>
        <v>2.8818340550594099E-2</v>
      </c>
      <c r="H12" s="150">
        <v>328</v>
      </c>
      <c r="I12" s="63">
        <f t="shared" si="4"/>
        <v>285.39637195121952</v>
      </c>
      <c r="J12" s="61">
        <v>26</v>
      </c>
      <c r="K12" s="28">
        <f t="shared" si="1"/>
        <v>7.926829268292683E-2</v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</f>
        <v>454</v>
      </c>
      <c r="M12" s="172">
        <f t="shared" si="2"/>
        <v>1.3841463414634145</v>
      </c>
      <c r="N12" s="260">
        <v>14993.43</v>
      </c>
      <c r="O12" s="89">
        <f t="shared" si="5"/>
        <v>0.16016908875450395</v>
      </c>
      <c r="P12" s="260">
        <v>11648.7</v>
      </c>
      <c r="Q12" s="89">
        <f t="shared" si="6"/>
        <v>0.12443861505836824</v>
      </c>
      <c r="R12" s="130">
        <v>7038.6</v>
      </c>
      <c r="S12" s="26"/>
    </row>
    <row r="13" spans="1:22" ht="15.6" customHeight="1" x14ac:dyDescent="0.3">
      <c r="A13" s="198" t="s">
        <v>23</v>
      </c>
      <c r="B13" s="200">
        <f>'14 - 20 June 2021'!D13</f>
        <v>152472.51</v>
      </c>
      <c r="C13" s="73">
        <v>223653.62</v>
      </c>
      <c r="D13" s="145">
        <v>151392.85999999999</v>
      </c>
      <c r="E13" s="145">
        <v>617759.25</v>
      </c>
      <c r="F13" s="163">
        <f t="shared" si="0"/>
        <v>-0.32309228887062064</v>
      </c>
      <c r="G13" s="155">
        <f t="shared" si="3"/>
        <v>-7.0809485591863293E-3</v>
      </c>
      <c r="H13" s="150">
        <v>637</v>
      </c>
      <c r="I13" s="63">
        <f t="shared" si="4"/>
        <v>237.66540031397173</v>
      </c>
      <c r="J13" s="61">
        <v>64</v>
      </c>
      <c r="K13" s="28">
        <f t="shared" si="1"/>
        <v>0.10047095761381476</v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</f>
        <v>765</v>
      </c>
      <c r="M13" s="172">
        <f t="shared" si="2"/>
        <v>1.2009419152276295</v>
      </c>
      <c r="N13" s="260">
        <v>34577.54</v>
      </c>
      <c r="O13" s="89">
        <f t="shared" si="5"/>
        <v>0.22839610798025747</v>
      </c>
      <c r="P13" s="260">
        <v>29640.45</v>
      </c>
      <c r="Q13" s="89">
        <f t="shared" si="6"/>
        <v>0.19578499276650169</v>
      </c>
      <c r="R13" s="130">
        <v>5033.5</v>
      </c>
      <c r="S13" s="26"/>
    </row>
    <row r="14" spans="1:22" ht="15.6" hidden="1" customHeight="1" x14ac:dyDescent="0.3">
      <c r="A14" s="198" t="s">
        <v>24</v>
      </c>
      <c r="B14" s="200">
        <f>'14 - 20 June 2021'!D14</f>
        <v>0</v>
      </c>
      <c r="C14" s="73"/>
      <c r="D14" s="145"/>
      <c r="E14" s="145"/>
      <c r="F14" s="163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'14 - 20 June 2021'!D15</f>
        <v>151189.84</v>
      </c>
      <c r="C15" s="73">
        <v>233344.84</v>
      </c>
      <c r="D15" s="145">
        <v>108896.3</v>
      </c>
      <c r="E15" s="145">
        <v>511709.52</v>
      </c>
      <c r="F15" s="163">
        <f t="shared" si="0"/>
        <v>-0.53332458519331305</v>
      </c>
      <c r="G15" s="155">
        <f t="shared" si="3"/>
        <v>-0.27973797710216503</v>
      </c>
      <c r="H15" s="150">
        <v>400</v>
      </c>
      <c r="I15" s="63">
        <f t="shared" si="4"/>
        <v>272.24074999999999</v>
      </c>
      <c r="J15" s="61">
        <v>30</v>
      </c>
      <c r="K15" s="28">
        <f t="shared" si="1"/>
        <v>7.4999999999999997E-2</v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</f>
        <v>622</v>
      </c>
      <c r="M15" s="172">
        <f t="shared" si="2"/>
        <v>1.5549999999999999</v>
      </c>
      <c r="N15" s="260">
        <v>0</v>
      </c>
      <c r="O15" s="89">
        <f t="shared" si="5"/>
        <v>0</v>
      </c>
      <c r="P15" s="260">
        <v>17941.3</v>
      </c>
      <c r="Q15" s="89">
        <f t="shared" si="6"/>
        <v>0.16475582733297642</v>
      </c>
      <c r="R15" s="130">
        <v>3000.5</v>
      </c>
      <c r="S15" s="9"/>
    </row>
    <row r="16" spans="1:22" ht="15.6" customHeight="1" x14ac:dyDescent="0.3">
      <c r="A16" s="198" t="s">
        <v>27</v>
      </c>
      <c r="B16" s="200">
        <f>'14 - 20 June 2021'!D16</f>
        <v>104993.53</v>
      </c>
      <c r="C16" s="73">
        <v>126934.85</v>
      </c>
      <c r="D16" s="145">
        <v>87193.5</v>
      </c>
      <c r="E16" s="145">
        <v>412262.39</v>
      </c>
      <c r="F16" s="163">
        <f t="shared" si="0"/>
        <v>-0.31308462569578022</v>
      </c>
      <c r="G16" s="155">
        <f t="shared" si="3"/>
        <v>-0.16953454179509916</v>
      </c>
      <c r="H16" s="150">
        <v>370</v>
      </c>
      <c r="I16" s="63">
        <f t="shared" si="4"/>
        <v>235.65810810810811</v>
      </c>
      <c r="J16" s="61">
        <v>12</v>
      </c>
      <c r="K16" s="28">
        <f t="shared" si="1"/>
        <v>3.2432432432432434E-2</v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</f>
        <v>358</v>
      </c>
      <c r="M16" s="172">
        <f t="shared" si="2"/>
        <v>0.96756756756756757</v>
      </c>
      <c r="N16" s="260">
        <v>29064.01</v>
      </c>
      <c r="O16" s="89">
        <f t="shared" si="5"/>
        <v>0.33332771364837971</v>
      </c>
      <c r="P16" s="260">
        <v>16823.87</v>
      </c>
      <c r="Q16" s="89">
        <f t="shared" si="6"/>
        <v>0.19294867163263316</v>
      </c>
      <c r="R16" s="130">
        <v>4120</v>
      </c>
      <c r="S16" s="9"/>
      <c r="V16" s="238"/>
    </row>
    <row r="17" spans="1:19" ht="15.6" customHeight="1" x14ac:dyDescent="0.3">
      <c r="A17" s="251" t="s">
        <v>28</v>
      </c>
      <c r="B17" s="200">
        <f>'14 - 20 June 2021'!D17</f>
        <v>116056.04</v>
      </c>
      <c r="C17" s="73">
        <v>212563.92</v>
      </c>
      <c r="D17" s="145">
        <v>114871.66</v>
      </c>
      <c r="E17" s="145">
        <v>521869.56</v>
      </c>
      <c r="F17" s="163">
        <f t="shared" si="0"/>
        <v>-0.45959003766961015</v>
      </c>
      <c r="G17" s="155">
        <f t="shared" si="3"/>
        <v>-1.0205242226083107E-2</v>
      </c>
      <c r="H17" s="150">
        <v>496</v>
      </c>
      <c r="I17" s="63">
        <f t="shared" si="4"/>
        <v>231.59608870967742</v>
      </c>
      <c r="J17" s="61">
        <v>50</v>
      </c>
      <c r="K17" s="28">
        <f t="shared" si="1"/>
        <v>0.10080645161290322</v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</f>
        <v>771</v>
      </c>
      <c r="M17" s="172">
        <f t="shared" si="2"/>
        <v>1.5544354838709677</v>
      </c>
      <c r="N17" s="260">
        <v>26144.43</v>
      </c>
      <c r="O17" s="89">
        <f t="shared" si="5"/>
        <v>0.2275968676695366</v>
      </c>
      <c r="P17" s="260">
        <v>15171.03</v>
      </c>
      <c r="Q17" s="89">
        <f t="shared" si="6"/>
        <v>0.13206938943861349</v>
      </c>
      <c r="R17" s="130">
        <v>3875</v>
      </c>
      <c r="S17" s="9"/>
    </row>
    <row r="18" spans="1:19" ht="15.6" customHeight="1" x14ac:dyDescent="0.3">
      <c r="A18" s="198" t="s">
        <v>33</v>
      </c>
      <c r="B18" s="200">
        <f>'14 - 20 June 2021'!D18</f>
        <v>134734.75</v>
      </c>
      <c r="C18" s="73">
        <v>174527.99</v>
      </c>
      <c r="D18" s="145">
        <v>119981.91</v>
      </c>
      <c r="E18" s="145">
        <v>483246.86</v>
      </c>
      <c r="F18" s="163">
        <f t="shared" si="0"/>
        <v>-0.31253485472444842</v>
      </c>
      <c r="G18" s="155">
        <f t="shared" si="3"/>
        <v>-0.10949543454825127</v>
      </c>
      <c r="H18" s="150">
        <v>495</v>
      </c>
      <c r="I18" s="63">
        <f t="shared" si="4"/>
        <v>242.38769696969698</v>
      </c>
      <c r="J18" s="61">
        <v>48</v>
      </c>
      <c r="K18" s="28">
        <f t="shared" si="1"/>
        <v>9.696969696969697E-2</v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</f>
        <v>1027</v>
      </c>
      <c r="M18" s="172">
        <f t="shared" si="2"/>
        <v>2.0747474747474746</v>
      </c>
      <c r="N18" s="260">
        <v>27930.03</v>
      </c>
      <c r="O18" s="89">
        <f t="shared" si="5"/>
        <v>0.23278534239036533</v>
      </c>
      <c r="P18" s="260">
        <v>18718.64</v>
      </c>
      <c r="Q18" s="89">
        <f t="shared" si="6"/>
        <v>0.15601218550363133</v>
      </c>
      <c r="R18" s="130">
        <v>4004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07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R19">
    <cfRule type="cellIs" dxfId="313" priority="1" operator="equal">
      <formula>0</formula>
    </cfRule>
  </conditionalFormatting>
  <conditionalFormatting sqref="D7:E19">
    <cfRule type="cellIs" dxfId="312" priority="5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V41"/>
  <sheetViews>
    <sheetView zoomScale="70" zoomScaleNormal="70" workbookViewId="0">
      <pane xSplit="1" topLeftCell="B1" activePane="topRight" state="frozen"/>
      <selection pane="topRight" activeCell="F11" sqref="F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bestFit="1" customWidth="1"/>
    <col min="5" max="5" width="14.6640625" customWidth="1"/>
    <col min="6" max="6" width="12.6640625" bestFit="1" customWidth="1"/>
    <col min="7" max="7" width="12.6640625" customWidth="1"/>
    <col min="8" max="8" width="11.44140625" bestFit="1" customWidth="1"/>
    <col min="9" max="9" width="13.44140625" bestFit="1" customWidth="1"/>
    <col min="10" max="10" width="10.33203125" customWidth="1"/>
    <col min="12" max="12" width="9.44140625" customWidth="1"/>
    <col min="13" max="13" width="10.5546875" bestFit="1" customWidth="1"/>
    <col min="14" max="14" width="14.5546875" customWidth="1"/>
    <col min="15" max="15" width="11.6640625" bestFit="1" customWidth="1"/>
    <col min="16" max="16" width="13.6640625" customWidth="1"/>
    <col min="17" max="17" width="13.44140625" customWidth="1"/>
    <col min="18" max="18" width="12.6640625" bestFit="1" customWidth="1"/>
  </cols>
  <sheetData>
    <row r="1" spans="1:22" ht="15.6" customHeight="1" x14ac:dyDescent="0.3">
      <c r="A1" s="7"/>
      <c r="B1" s="7"/>
      <c r="C1" s="7"/>
      <c r="D1" s="7"/>
      <c r="E1" s="7"/>
      <c r="F1" s="14" t="s">
        <v>0</v>
      </c>
      <c r="G1" s="14" t="s">
        <v>0</v>
      </c>
      <c r="H1" s="7"/>
      <c r="I1" s="7"/>
      <c r="J1" s="7"/>
      <c r="K1" s="7"/>
      <c r="L1" s="7" t="s">
        <v>31</v>
      </c>
      <c r="M1" s="7"/>
      <c r="N1" s="7" t="s">
        <v>31</v>
      </c>
      <c r="O1" s="7"/>
      <c r="P1" s="7"/>
      <c r="Q1" s="7"/>
      <c r="R1" s="81"/>
      <c r="S1" s="9"/>
    </row>
    <row r="2" spans="1:22" ht="16.5" customHeight="1" thickBot="1" x14ac:dyDescent="0.35">
      <c r="A2" s="1"/>
      <c r="B2" s="1"/>
      <c r="C2" s="1"/>
      <c r="D2" s="1"/>
      <c r="E2" s="1"/>
      <c r="F2" s="400">
        <f>(((D4-D19-C19)-C4)/C4)</f>
        <v>-0.70934059902287949</v>
      </c>
      <c r="G2" s="400">
        <f>(((D4-D19-B19)-B4)/D4)</f>
        <v>-0.91369376156600446</v>
      </c>
      <c r="H2" s="34"/>
      <c r="I2" s="1"/>
      <c r="J2" s="1"/>
      <c r="K2" s="1"/>
      <c r="L2" s="1"/>
      <c r="M2" s="1"/>
      <c r="N2" s="1"/>
      <c r="O2" s="1"/>
      <c r="P2" s="1"/>
      <c r="Q2" s="1"/>
      <c r="R2" s="81"/>
      <c r="S2" s="17"/>
    </row>
    <row r="3" spans="1:22" ht="31.8" customHeight="1" thickBot="1" x14ac:dyDescent="0.35">
      <c r="A3" s="401"/>
      <c r="B3" s="113" t="s">
        <v>34</v>
      </c>
      <c r="C3" s="113" t="s">
        <v>45</v>
      </c>
      <c r="D3" s="250" t="s">
        <v>5</v>
      </c>
      <c r="E3" s="253" t="s">
        <v>44</v>
      </c>
      <c r="F3" s="253" t="s">
        <v>46</v>
      </c>
      <c r="G3" s="250" t="s">
        <v>41</v>
      </c>
      <c r="H3" s="236" t="s">
        <v>38</v>
      </c>
      <c r="I3" s="250" t="s">
        <v>7</v>
      </c>
      <c r="J3" s="113" t="s">
        <v>32</v>
      </c>
      <c r="K3" s="113" t="s">
        <v>29</v>
      </c>
      <c r="L3" s="113" t="s">
        <v>9</v>
      </c>
      <c r="M3" s="113" t="s">
        <v>11</v>
      </c>
      <c r="N3" s="113" t="s">
        <v>39</v>
      </c>
      <c r="O3" s="113" t="s">
        <v>11</v>
      </c>
      <c r="P3" s="177" t="s">
        <v>42</v>
      </c>
      <c r="Q3" s="177" t="s">
        <v>43</v>
      </c>
      <c r="R3" s="402" t="s">
        <v>12</v>
      </c>
      <c r="S3" s="407"/>
    </row>
    <row r="4" spans="1:22" ht="16.2" customHeight="1" thickBot="1" x14ac:dyDescent="0.35">
      <c r="A4" s="398" t="s">
        <v>13</v>
      </c>
      <c r="B4" s="135">
        <f>SUM(B6:B19)-B19-B10</f>
        <v>1306594.7199999997</v>
      </c>
      <c r="C4" s="135">
        <f>SUM(C6:C19)-C14-C19-C10</f>
        <v>2349005.7700000005</v>
      </c>
      <c r="D4" s="142">
        <f>SUM(D6:D19)-D19-D10</f>
        <v>682760.61</v>
      </c>
      <c r="E4" s="142">
        <f>SUM(E6:E19)-E19-E10</f>
        <v>493624.57999999996</v>
      </c>
      <c r="F4" s="217">
        <f t="shared" ref="F4:F19" si="0">IFERROR((SUM(D4-C4)/C4),0)</f>
        <v>-0.70934059902287949</v>
      </c>
      <c r="G4" s="217">
        <f>IFERROR((SUM(D4-B4)/D4),0)</f>
        <v>-0.91369376156600446</v>
      </c>
      <c r="H4" s="262">
        <f>SUM(H6:H18)</f>
        <v>3448</v>
      </c>
      <c r="I4" s="218">
        <f>AVERAGE(I5:I19)</f>
        <v>179.09987558430197</v>
      </c>
      <c r="J4" s="219">
        <f>SUM(J6:J19)</f>
        <v>138</v>
      </c>
      <c r="K4" s="220">
        <f t="shared" ref="K4:K19" si="1">IFERROR(J4/H4,0)</f>
        <v>4.0023201856148494E-2</v>
      </c>
      <c r="L4" s="221">
        <f>SUM(L6:L19)</f>
        <v>7524</v>
      </c>
      <c r="M4" s="222">
        <f t="shared" ref="M4:M19" si="2">IFERROR(L4/SUM(H4),0)</f>
        <v>2.1821345707656614</v>
      </c>
      <c r="N4" s="249">
        <f>SUM(N6:N19)</f>
        <v>417137.44000000006</v>
      </c>
      <c r="O4" s="222">
        <f>SUM(N4/D4)</f>
        <v>0.6109570966608634</v>
      </c>
      <c r="P4" s="244">
        <f>SUM(P6:P19)</f>
        <v>271638.76</v>
      </c>
      <c r="Q4" s="222">
        <f>SUM(P4/D4)</f>
        <v>0.39785359029426143</v>
      </c>
      <c r="R4" s="257">
        <f>SUM(R6:R19)</f>
        <v>21503.320000000003</v>
      </c>
      <c r="S4" s="24"/>
    </row>
    <row r="5" spans="1:22" ht="16.2" hidden="1" customHeight="1" thickBot="1" x14ac:dyDescent="0.35">
      <c r="A5" s="403" t="s">
        <v>25</v>
      </c>
      <c r="B5" s="404"/>
      <c r="C5" s="117"/>
      <c r="D5" s="143"/>
      <c r="E5" s="252"/>
      <c r="F5" s="153">
        <f t="shared" si="0"/>
        <v>0</v>
      </c>
      <c r="G5" s="153">
        <f>IFERROR((SUM(F5-D5)/D5),0)</f>
        <v>0</v>
      </c>
      <c r="H5" s="148"/>
      <c r="I5" s="119"/>
      <c r="J5" s="118"/>
      <c r="K5" s="120">
        <f t="shared" si="1"/>
        <v>0</v>
      </c>
      <c r="L5" s="121" t="e">
        <f>J5+'Nov 19 - Nov 25'!J5+'Nov 26 - Dec 2'!J5+'Dec 3 - Dec 9'!J5+'Dec 10 - Dec 16'!J5+'Dec 17 - Dec 23'!J5+'Dec 24 - Dec 30'!J5</f>
        <v>#DIV/0!</v>
      </c>
      <c r="M5" s="122">
        <f t="shared" si="2"/>
        <v>0</v>
      </c>
      <c r="N5" s="245"/>
      <c r="O5" s="122">
        <f>IFERROR(N5/SUM(H5),0)</f>
        <v>0</v>
      </c>
      <c r="P5" s="245"/>
      <c r="Q5" s="122"/>
      <c r="R5" s="71"/>
      <c r="S5" s="25"/>
    </row>
    <row r="6" spans="1:22" ht="16.5" customHeight="1" x14ac:dyDescent="0.3">
      <c r="A6" s="408" t="s">
        <v>15</v>
      </c>
      <c r="B6" s="200">
        <f>'21 - 27 June 2021'!D6</f>
        <v>132613.41</v>
      </c>
      <c r="C6" s="255">
        <v>289905.34999999998</v>
      </c>
      <c r="D6" s="123">
        <v>76505.179999999993</v>
      </c>
      <c r="E6" s="197">
        <v>55058.69</v>
      </c>
      <c r="F6" s="154">
        <f t="shared" si="0"/>
        <v>-0.73610290393054145</v>
      </c>
      <c r="G6" s="154">
        <f t="shared" ref="G6:G19" si="3">IFERROR((SUM(D6-B6)/B6),0)</f>
        <v>-0.42309620120619784</v>
      </c>
      <c r="H6" s="149">
        <v>347</v>
      </c>
      <c r="I6" s="63">
        <f t="shared" ref="I6:I19" si="4">IFERROR(D6/H6,0)</f>
        <v>220.47602305475502</v>
      </c>
      <c r="J6" s="125">
        <v>10</v>
      </c>
      <c r="K6" s="126">
        <f t="shared" si="1"/>
        <v>2.8818443804034581E-2</v>
      </c>
      <c r="L6" s="46">
        <f>J6+'12 - 18 April 2021'!L6+'19 - 25 April 2021'!J6+'26 April - 2 May 2021'!J6+'3 - 9 May 2021'!J6+'10 - 16 May 2021'!J6+'17 - 23 May 2021'!J6+'24 - 30 May 2021'!J6+'31 May - 6 June 2021'!J6+'7 - 13 June 2021'!J6+'14 - 20 June 2021'!J6+'21 - 27 June 2021'!J6</f>
        <v>564</v>
      </c>
      <c r="M6" s="171">
        <f t="shared" si="2"/>
        <v>1.6253602305475505</v>
      </c>
      <c r="N6" s="259">
        <v>65325.65</v>
      </c>
      <c r="O6" s="128">
        <f t="shared" ref="O6:O19" si="5">SUM(N6/D6)</f>
        <v>0.85387224760467206</v>
      </c>
      <c r="P6" s="260">
        <v>1330.17</v>
      </c>
      <c r="Q6" s="128">
        <f t="shared" ref="Q6:Q19" si="6">SUM(P6/D6)</f>
        <v>1.7386665844064418E-2</v>
      </c>
      <c r="R6" s="129">
        <v>1935.2</v>
      </c>
      <c r="S6" s="26"/>
    </row>
    <row r="7" spans="1:22" ht="15.6" customHeight="1" x14ac:dyDescent="0.3">
      <c r="A7" s="409" t="s">
        <v>16</v>
      </c>
      <c r="B7" s="200">
        <f>'21 - 27 June 2021'!D7</f>
        <v>110299.53</v>
      </c>
      <c r="C7" s="73">
        <v>262280.90999999997</v>
      </c>
      <c r="D7" s="145">
        <v>45573.7</v>
      </c>
      <c r="E7" s="145">
        <v>34882.019999999997</v>
      </c>
      <c r="F7" s="155">
        <f t="shared" si="0"/>
        <v>-0.8262408804361705</v>
      </c>
      <c r="G7" s="155">
        <f t="shared" si="3"/>
        <v>-0.58681872896466558</v>
      </c>
      <c r="H7" s="150">
        <v>225</v>
      </c>
      <c r="I7" s="63">
        <f t="shared" si="4"/>
        <v>202.54977777777776</v>
      </c>
      <c r="J7" s="61">
        <v>17</v>
      </c>
      <c r="K7" s="28">
        <f t="shared" si="1"/>
        <v>7.5555555555555556E-2</v>
      </c>
      <c r="L7" s="46">
        <f>J7+'12 - 18 April 2021'!L7+'19 - 25 April 2021'!J7+'26 April - 2 May 2021'!J7+'3 - 9 May 2021'!J7+'10 - 16 May 2021'!J7+'17 - 23 May 2021'!J7+'24 - 30 May 2021'!J7+'31 May - 6 June 2021'!J7+'7 - 13 June 2021'!J7+'14 - 20 June 2021'!J7+'21 - 27 June 2021'!J7</f>
        <v>701</v>
      </c>
      <c r="M7" s="172">
        <f t="shared" si="2"/>
        <v>3.1155555555555554</v>
      </c>
      <c r="N7" s="260">
        <v>27299.439999999999</v>
      </c>
      <c r="O7" s="89">
        <f t="shared" si="5"/>
        <v>0.59901741574636247</v>
      </c>
      <c r="P7" s="260">
        <v>16979.04</v>
      </c>
      <c r="Q7" s="89">
        <f t="shared" si="6"/>
        <v>0.37256224533009175</v>
      </c>
      <c r="R7" s="130">
        <v>1417.45</v>
      </c>
      <c r="S7" s="26"/>
    </row>
    <row r="8" spans="1:22" ht="15.6" customHeight="1" x14ac:dyDescent="0.3">
      <c r="A8" s="409" t="s">
        <v>17</v>
      </c>
      <c r="B8" s="200">
        <f>'21 - 27 June 2021'!D8</f>
        <v>88716.479999999996</v>
      </c>
      <c r="C8" s="73">
        <v>99818.07</v>
      </c>
      <c r="D8" s="145">
        <v>61668.56</v>
      </c>
      <c r="E8" s="145">
        <v>43721.54</v>
      </c>
      <c r="F8" s="155">
        <f t="shared" si="0"/>
        <v>-0.38219041902934014</v>
      </c>
      <c r="G8" s="155">
        <f t="shared" si="3"/>
        <v>-0.3048804461132813</v>
      </c>
      <c r="H8" s="150">
        <v>322</v>
      </c>
      <c r="I8" s="63">
        <f t="shared" si="4"/>
        <v>191.51726708074534</v>
      </c>
      <c r="J8" s="61">
        <v>1</v>
      </c>
      <c r="K8" s="28">
        <f t="shared" si="1"/>
        <v>3.105590062111801E-3</v>
      </c>
      <c r="L8" s="46">
        <f>J8+'12 - 18 April 2021'!L8+'19 - 25 April 2021'!J8+'26 April - 2 May 2021'!J8+'3 - 9 May 2021'!J8+'10 - 16 May 2021'!J8+'17 - 23 May 2021'!J8+'24 - 30 May 2021'!J8+'31 May - 6 June 2021'!J8+'7 - 13 June 2021'!J8+'14 - 20 June 2021'!J8+'21 - 27 June 2021'!J8</f>
        <v>289</v>
      </c>
      <c r="M8" s="172">
        <f t="shared" si="2"/>
        <v>0.89751552795031053</v>
      </c>
      <c r="N8" s="260">
        <v>47067.11</v>
      </c>
      <c r="O8" s="89">
        <f t="shared" si="5"/>
        <v>0.76322699930077831</v>
      </c>
      <c r="P8" s="260">
        <v>15910.96</v>
      </c>
      <c r="Q8" s="89">
        <f t="shared" si="6"/>
        <v>0.25800764603551629</v>
      </c>
      <c r="R8" s="130">
        <v>1557.9</v>
      </c>
      <c r="S8" s="26"/>
    </row>
    <row r="9" spans="1:22" ht="15.6" customHeight="1" x14ac:dyDescent="0.3">
      <c r="A9" s="409" t="s">
        <v>18</v>
      </c>
      <c r="B9" s="200">
        <f>'21 - 27 June 2021'!D9</f>
        <v>121954.48</v>
      </c>
      <c r="C9" s="73">
        <v>285273.64</v>
      </c>
      <c r="D9" s="145">
        <v>50431.71</v>
      </c>
      <c r="E9" s="145">
        <v>37900.47</v>
      </c>
      <c r="F9" s="155">
        <f t="shared" si="0"/>
        <v>-0.82321636867675541</v>
      </c>
      <c r="G9" s="155">
        <f t="shared" si="3"/>
        <v>-0.586471034110432</v>
      </c>
      <c r="H9" s="150">
        <v>256</v>
      </c>
      <c r="I9" s="63">
        <f t="shared" si="4"/>
        <v>196.9988671875</v>
      </c>
      <c r="J9" s="61">
        <v>13</v>
      </c>
      <c r="K9" s="28">
        <f t="shared" si="1"/>
        <v>5.078125E-2</v>
      </c>
      <c r="L9" s="46">
        <f>J9+'12 - 18 April 2021'!L9+'19 - 25 April 2021'!J9+'26 April - 2 May 2021'!J9+'3 - 9 May 2021'!J9+'10 - 16 May 2021'!J9+'17 - 23 May 2021'!J9+'24 - 30 May 2021'!J9+'31 May - 6 June 2021'!J9+'7 - 13 June 2021'!J9+'14 - 20 June 2021'!J9+'21 - 27 June 2021'!J9</f>
        <v>473</v>
      </c>
      <c r="M9" s="172">
        <f t="shared" si="2"/>
        <v>1.84765625</v>
      </c>
      <c r="N9" s="260">
        <v>26928.51</v>
      </c>
      <c r="O9" s="89">
        <f t="shared" si="5"/>
        <v>0.53395988357325186</v>
      </c>
      <c r="P9" s="260">
        <v>15464.75</v>
      </c>
      <c r="Q9" s="89">
        <f t="shared" si="6"/>
        <v>0.30664734548957395</v>
      </c>
      <c r="R9" s="130">
        <v>1546.9</v>
      </c>
      <c r="S9" s="26"/>
    </row>
    <row r="10" spans="1:22" ht="15.6" customHeight="1" x14ac:dyDescent="0.3">
      <c r="A10" s="411" t="s">
        <v>20</v>
      </c>
      <c r="B10" s="200">
        <f>'21 - 27 June 2021'!D10</f>
        <v>0</v>
      </c>
      <c r="C10" s="73">
        <v>151033.79</v>
      </c>
      <c r="D10" s="145">
        <v>38908.65</v>
      </c>
      <c r="E10" s="145">
        <v>32285.37</v>
      </c>
      <c r="F10" s="155">
        <f t="shared" si="0"/>
        <v>-0.74238446906483646</v>
      </c>
      <c r="G10" s="155">
        <f t="shared" si="3"/>
        <v>0</v>
      </c>
      <c r="H10" s="150">
        <v>189</v>
      </c>
      <c r="I10" s="63">
        <f t="shared" si="4"/>
        <v>205.86587301587304</v>
      </c>
      <c r="J10" s="61">
        <v>12</v>
      </c>
      <c r="K10" s="28">
        <f t="shared" si="1"/>
        <v>6.3492063492063489E-2</v>
      </c>
      <c r="L10" s="46">
        <f>J10+'12 - 18 April 2021'!L10+'19 - 25 April 2021'!J10+'26 April - 2 May 2021'!J10+'3 - 9 May 2021'!J10+'10 - 16 May 2021'!J10+'17 - 23 May 2021'!J10+'24 - 30 May 2021'!J10+'31 May - 6 June 2021'!J10+'7 - 13 June 2021'!J10+'14 - 20 June 2021'!J10+'21 - 27 June 2021'!J10</f>
        <v>337</v>
      </c>
      <c r="M10" s="172">
        <f t="shared" si="2"/>
        <v>1.783068783068783</v>
      </c>
      <c r="N10" s="260">
        <v>18884.97</v>
      </c>
      <c r="O10" s="89">
        <f t="shared" si="5"/>
        <v>0.48536687857327354</v>
      </c>
      <c r="P10" s="260">
        <v>18686.32</v>
      </c>
      <c r="Q10" s="89">
        <f t="shared" si="6"/>
        <v>0.4802613300641374</v>
      </c>
      <c r="R10" s="130">
        <v>1624.72</v>
      </c>
      <c r="S10" s="26"/>
    </row>
    <row r="11" spans="1:22" ht="15.6" customHeight="1" x14ac:dyDescent="0.3">
      <c r="A11" s="409" t="s">
        <v>21</v>
      </c>
      <c r="B11" s="200">
        <f>'21 - 27 June 2021'!D11</f>
        <v>177064.58</v>
      </c>
      <c r="C11" s="73">
        <v>338755.04</v>
      </c>
      <c r="D11" s="145">
        <v>87544.53</v>
      </c>
      <c r="E11" s="145">
        <v>64439.83</v>
      </c>
      <c r="F11" s="155">
        <f t="shared" si="0"/>
        <v>-0.74156980808315054</v>
      </c>
      <c r="G11" s="155">
        <f t="shared" si="3"/>
        <v>-0.50557852959637661</v>
      </c>
      <c r="H11" s="150">
        <v>398</v>
      </c>
      <c r="I11" s="63">
        <f t="shared" si="4"/>
        <v>219.96113065326634</v>
      </c>
      <c r="J11" s="61">
        <v>18</v>
      </c>
      <c r="K11" s="28">
        <f t="shared" si="1"/>
        <v>4.5226130653266333E-2</v>
      </c>
      <c r="L11" s="46">
        <f>J11+'12 - 18 April 2021'!L11+'19 - 25 April 2021'!J11+'26 April - 2 May 2021'!J11+'3 - 9 May 2021'!J11+'10 - 16 May 2021'!J11+'17 - 23 May 2021'!J11+'24 - 30 May 2021'!J11+'31 May - 6 June 2021'!J11+'7 - 13 June 2021'!J11+'14 - 20 June 2021'!J11+'21 - 27 June 2021'!J11</f>
        <v>1096</v>
      </c>
      <c r="M11" s="172">
        <f t="shared" si="2"/>
        <v>2.7537688442211055</v>
      </c>
      <c r="N11" s="260">
        <v>51789.29</v>
      </c>
      <c r="O11" s="89">
        <f t="shared" si="5"/>
        <v>0.59157653824859191</v>
      </c>
      <c r="P11" s="260">
        <v>39975.65</v>
      </c>
      <c r="Q11" s="89">
        <f t="shared" si="6"/>
        <v>0.45663218478641671</v>
      </c>
      <c r="R11" s="130">
        <v>5031.55</v>
      </c>
      <c r="S11" s="26"/>
    </row>
    <row r="12" spans="1:22" ht="15.6" customHeight="1" x14ac:dyDescent="0.3">
      <c r="A12" s="198" t="s">
        <v>22</v>
      </c>
      <c r="B12" s="200">
        <f>'21 - 27 June 2021'!D12</f>
        <v>93610.01</v>
      </c>
      <c r="C12" s="73">
        <v>130753.32</v>
      </c>
      <c r="D12" s="145">
        <v>49395.18</v>
      </c>
      <c r="E12" s="145">
        <v>29952.46</v>
      </c>
      <c r="F12" s="155">
        <f t="shared" si="0"/>
        <v>-0.62222618897936977</v>
      </c>
      <c r="G12" s="155">
        <f t="shared" si="3"/>
        <v>-0.4723301493077503</v>
      </c>
      <c r="H12" s="150">
        <v>207</v>
      </c>
      <c r="I12" s="63">
        <f t="shared" si="4"/>
        <v>238.62405797101448</v>
      </c>
      <c r="J12" s="61">
        <v>10</v>
      </c>
      <c r="K12" s="28">
        <f t="shared" si="1"/>
        <v>4.8309178743961352E-2</v>
      </c>
      <c r="L12" s="46">
        <f>J12+'12 - 18 April 2021'!L12+'19 - 25 April 2021'!J12+'26 April - 2 May 2021'!J12+'3 - 9 May 2021'!J12+'10 - 16 May 2021'!J12+'17 - 23 May 2021'!J12+'24 - 30 May 2021'!J12+'31 May - 6 June 2021'!J12+'7 - 13 June 2021'!J12+'14 - 20 June 2021'!J12+'21 - 27 June 2021'!J12</f>
        <v>464</v>
      </c>
      <c r="M12" s="172">
        <f t="shared" si="2"/>
        <v>2.2415458937198069</v>
      </c>
      <c r="N12" s="260">
        <v>33199.71</v>
      </c>
      <c r="O12" s="89">
        <f t="shared" si="5"/>
        <v>0.67212448664019442</v>
      </c>
      <c r="P12" s="260">
        <v>17415.88</v>
      </c>
      <c r="Q12" s="89">
        <f t="shared" si="6"/>
        <v>0.35258257991974118</v>
      </c>
      <c r="R12" s="130">
        <v>1430.7</v>
      </c>
      <c r="S12" s="26"/>
    </row>
    <row r="13" spans="1:22" ht="15.6" customHeight="1" x14ac:dyDescent="0.3">
      <c r="A13" s="198" t="s">
        <v>23</v>
      </c>
      <c r="B13" s="200">
        <f>'21 - 27 June 2021'!D13</f>
        <v>151392.85999999999</v>
      </c>
      <c r="C13" s="73">
        <v>216356.41</v>
      </c>
      <c r="D13" s="145">
        <v>94163.55</v>
      </c>
      <c r="E13" s="145">
        <v>67471.47</v>
      </c>
      <c r="F13" s="155">
        <f t="shared" si="0"/>
        <v>-0.56477577900280374</v>
      </c>
      <c r="G13" s="155">
        <f t="shared" si="3"/>
        <v>-0.37801855384725536</v>
      </c>
      <c r="H13" s="150">
        <v>431</v>
      </c>
      <c r="I13" s="63">
        <f t="shared" si="4"/>
        <v>218.47691415313227</v>
      </c>
      <c r="J13" s="61">
        <v>17</v>
      </c>
      <c r="K13" s="28">
        <f t="shared" si="1"/>
        <v>3.9443155452436193E-2</v>
      </c>
      <c r="L13" s="46">
        <f>J13+'12 - 18 April 2021'!L13+'19 - 25 April 2021'!J13+'26 April - 2 May 2021'!J13+'3 - 9 May 2021'!J13+'10 - 16 May 2021'!J13+'17 - 23 May 2021'!J13+'24 - 30 May 2021'!J13+'31 May - 6 June 2021'!J13+'7 - 13 June 2021'!J13+'14 - 20 June 2021'!J13+'21 - 27 June 2021'!J13</f>
        <v>782</v>
      </c>
      <c r="M13" s="172">
        <f t="shared" si="2"/>
        <v>1.814385150812065</v>
      </c>
      <c r="N13" s="260">
        <v>53696.52</v>
      </c>
      <c r="O13" s="89">
        <f t="shared" si="5"/>
        <v>0.57024740464861401</v>
      </c>
      <c r="P13" s="260">
        <v>37910.67</v>
      </c>
      <c r="Q13" s="89">
        <f t="shared" si="6"/>
        <v>0.4026045109811599</v>
      </c>
      <c r="R13" s="130">
        <v>1712</v>
      </c>
      <c r="S13" s="26"/>
    </row>
    <row r="14" spans="1:22" ht="15.6" hidden="1" customHeight="1" x14ac:dyDescent="0.3">
      <c r="A14" s="198" t="s">
        <v>24</v>
      </c>
      <c r="B14" s="200">
        <f>'21 - 27 June 2021'!D14</f>
        <v>0</v>
      </c>
      <c r="C14" s="73"/>
      <c r="D14" s="145"/>
      <c r="E14" s="145"/>
      <c r="F14" s="155">
        <f t="shared" si="0"/>
        <v>0</v>
      </c>
      <c r="G14" s="155">
        <f t="shared" si="3"/>
        <v>0</v>
      </c>
      <c r="H14" s="150"/>
      <c r="I14" s="63">
        <f t="shared" si="4"/>
        <v>0</v>
      </c>
      <c r="J14" s="61"/>
      <c r="K14" s="28">
        <f t="shared" si="1"/>
        <v>0</v>
      </c>
      <c r="L14" s="46">
        <f>J14+'12 - 18 April 2021'!L14+'19 - 25 April 2021'!J14+'26 April - 2 May 2021'!J14+'3 - 9 May 2021'!J14+'10 - 16 May 2021'!J14+'17 - 23 May 2021'!J14+'24 - 30 May 2021'!J14+'31 May - 6 June 2021'!J14+'7 - 13 June 2021'!J14+'14 - 20 June 2021'!J14+'21 - 27 June 2021'!J14</f>
        <v>0</v>
      </c>
      <c r="M14" s="172">
        <f t="shared" si="2"/>
        <v>0</v>
      </c>
      <c r="N14" s="247"/>
      <c r="O14" s="89" t="e">
        <f t="shared" si="5"/>
        <v>#DIV/0!</v>
      </c>
      <c r="P14" s="260"/>
      <c r="Q14" s="89" t="e">
        <f t="shared" si="6"/>
        <v>#DIV/0!</v>
      </c>
      <c r="R14" s="130"/>
      <c r="S14" s="26"/>
    </row>
    <row r="15" spans="1:22" ht="15.6" customHeight="1" x14ac:dyDescent="0.3">
      <c r="A15" s="198" t="s">
        <v>26</v>
      </c>
      <c r="B15" s="200">
        <f>'21 - 27 June 2021'!D15</f>
        <v>108896.3</v>
      </c>
      <c r="C15" s="73">
        <v>216202.84</v>
      </c>
      <c r="D15" s="145">
        <v>34859.870000000003</v>
      </c>
      <c r="E15" s="145">
        <v>27005.56</v>
      </c>
      <c r="F15" s="155">
        <f t="shared" si="0"/>
        <v>-0.83876312633081052</v>
      </c>
      <c r="G15" s="155">
        <f t="shared" si="3"/>
        <v>-0.6798801244854048</v>
      </c>
      <c r="H15" s="150">
        <v>171</v>
      </c>
      <c r="I15" s="63">
        <f t="shared" si="4"/>
        <v>203.85888888888891</v>
      </c>
      <c r="J15" s="61">
        <v>5</v>
      </c>
      <c r="K15" s="28">
        <f t="shared" si="1"/>
        <v>2.9239766081871343E-2</v>
      </c>
      <c r="L15" s="46">
        <f>J15+'12 - 18 April 2021'!L15+'19 - 25 April 2021'!J15+'26 April - 2 May 2021'!J15+'3 - 9 May 2021'!J15+'10 - 16 May 2021'!J15+'17 - 23 May 2021'!J15+'24 - 30 May 2021'!J15+'31 May - 6 June 2021'!J15+'7 - 13 June 2021'!J15+'14 - 20 June 2021'!J15+'21 - 27 June 2021'!J15</f>
        <v>627</v>
      </c>
      <c r="M15" s="172">
        <f t="shared" si="2"/>
        <v>3.6666666666666665</v>
      </c>
      <c r="N15" s="260">
        <v>0</v>
      </c>
      <c r="O15" s="89">
        <f t="shared" si="5"/>
        <v>0</v>
      </c>
      <c r="P15" s="260">
        <v>35564.35</v>
      </c>
      <c r="Q15" s="89">
        <f t="shared" si="6"/>
        <v>1.020208910704486</v>
      </c>
      <c r="R15" s="130">
        <v>795</v>
      </c>
      <c r="S15" s="9"/>
    </row>
    <row r="16" spans="1:22" ht="15.6" customHeight="1" x14ac:dyDescent="0.3">
      <c r="A16" s="198" t="s">
        <v>27</v>
      </c>
      <c r="B16" s="200">
        <f>'21 - 27 June 2021'!D16</f>
        <v>87193.5</v>
      </c>
      <c r="C16" s="73">
        <v>133866.99</v>
      </c>
      <c r="D16" s="145">
        <v>58655.79</v>
      </c>
      <c r="E16" s="145">
        <v>44443.63</v>
      </c>
      <c r="F16" s="155">
        <f t="shared" si="0"/>
        <v>-0.56183529636395046</v>
      </c>
      <c r="G16" s="155">
        <f t="shared" si="3"/>
        <v>-0.32729171325844242</v>
      </c>
      <c r="H16" s="150">
        <v>275</v>
      </c>
      <c r="I16" s="63">
        <f t="shared" si="4"/>
        <v>213.29378181818183</v>
      </c>
      <c r="J16" s="61">
        <v>12</v>
      </c>
      <c r="K16" s="28">
        <f t="shared" si="1"/>
        <v>4.363636363636364E-2</v>
      </c>
      <c r="L16" s="46">
        <f>J16+'12 - 18 April 2021'!L16+'19 - 25 April 2021'!J16+'26 April - 2 May 2021'!J16+'3 - 9 May 2021'!J16+'10 - 16 May 2021'!J16+'17 - 23 May 2021'!J16+'24 - 30 May 2021'!J16+'31 May - 6 June 2021'!J16+'7 - 13 June 2021'!J16+'14 - 20 June 2021'!J16+'21 - 27 June 2021'!J16</f>
        <v>370</v>
      </c>
      <c r="M16" s="172">
        <f t="shared" si="2"/>
        <v>1.3454545454545455</v>
      </c>
      <c r="N16" s="260">
        <v>32263.51</v>
      </c>
      <c r="O16" s="89">
        <f t="shared" si="5"/>
        <v>0.55004817086258662</v>
      </c>
      <c r="P16" s="260">
        <v>28423.83</v>
      </c>
      <c r="Q16" s="89">
        <f t="shared" si="6"/>
        <v>0.48458694359073506</v>
      </c>
      <c r="R16" s="130">
        <v>1476.5</v>
      </c>
      <c r="S16" s="9"/>
      <c r="V16" s="238"/>
    </row>
    <row r="17" spans="1:19" ht="15.6" customHeight="1" x14ac:dyDescent="0.3">
      <c r="A17" s="251" t="s">
        <v>28</v>
      </c>
      <c r="B17" s="200">
        <f>'21 - 27 June 2021'!D17</f>
        <v>114871.66</v>
      </c>
      <c r="C17" s="73">
        <v>204115.87</v>
      </c>
      <c r="D17" s="145">
        <v>63036.160000000003</v>
      </c>
      <c r="E17" s="145">
        <v>46235.519999999997</v>
      </c>
      <c r="F17" s="155">
        <f t="shared" si="0"/>
        <v>-0.69117462547130704</v>
      </c>
      <c r="G17" s="155">
        <f t="shared" si="3"/>
        <v>-0.45124706999097947</v>
      </c>
      <c r="H17" s="150">
        <v>326</v>
      </c>
      <c r="I17" s="63">
        <f t="shared" si="4"/>
        <v>193.36245398773008</v>
      </c>
      <c r="J17" s="61">
        <v>10</v>
      </c>
      <c r="K17" s="28">
        <f t="shared" si="1"/>
        <v>3.0674846625766871E-2</v>
      </c>
      <c r="L17" s="46">
        <f>J17+'12 - 18 April 2021'!L17+'19 - 25 April 2021'!J17+'26 April - 2 May 2021'!J17+'3 - 9 May 2021'!J17+'10 - 16 May 2021'!J17+'17 - 23 May 2021'!J17+'24 - 30 May 2021'!J17+'31 May - 6 June 2021'!J17+'7 - 13 June 2021'!J17+'14 - 20 June 2021'!J17+'21 - 27 June 2021'!J17</f>
        <v>781</v>
      </c>
      <c r="M17" s="172">
        <f t="shared" si="2"/>
        <v>2.3957055214723928</v>
      </c>
      <c r="N17" s="260">
        <v>29431.25</v>
      </c>
      <c r="O17" s="89">
        <f t="shared" si="5"/>
        <v>0.46689471566795943</v>
      </c>
      <c r="P17" s="260">
        <v>17020.8</v>
      </c>
      <c r="Q17" s="89">
        <f t="shared" si="6"/>
        <v>0.27001644770239808</v>
      </c>
      <c r="R17" s="130">
        <v>2194.9</v>
      </c>
      <c r="S17" s="9"/>
    </row>
    <row r="18" spans="1:19" ht="15.6" customHeight="1" x14ac:dyDescent="0.3">
      <c r="A18" s="198" t="s">
        <v>33</v>
      </c>
      <c r="B18" s="200">
        <f>'21 - 27 June 2021'!D18</f>
        <v>119981.91</v>
      </c>
      <c r="C18" s="73">
        <v>171677.33</v>
      </c>
      <c r="D18" s="145">
        <v>60926.38</v>
      </c>
      <c r="E18" s="145">
        <v>42513.39</v>
      </c>
      <c r="F18" s="155">
        <f t="shared" si="0"/>
        <v>-0.64511109300220359</v>
      </c>
      <c r="G18" s="155">
        <f t="shared" si="3"/>
        <v>-0.49220361636183324</v>
      </c>
      <c r="H18" s="150">
        <v>301</v>
      </c>
      <c r="I18" s="63">
        <f t="shared" si="4"/>
        <v>202.41322259136211</v>
      </c>
      <c r="J18" s="61">
        <v>13</v>
      </c>
      <c r="K18" s="28">
        <f t="shared" si="1"/>
        <v>4.3189368770764118E-2</v>
      </c>
      <c r="L18" s="46">
        <f>J18+'12 - 18 April 2021'!L18+'19 - 25 April 2021'!J18+'26 April - 2 May 2021'!J18+'3 - 9 May 2021'!J18+'10 - 16 May 2021'!J18+'17 - 23 May 2021'!J18+'24 - 30 May 2021'!J18+'31 May - 6 June 2021'!J18+'7 - 13 June 2021'!J18+'14 - 20 June 2021'!J18+'21 - 27 June 2021'!J18</f>
        <v>1040</v>
      </c>
      <c r="M18" s="172">
        <f t="shared" si="2"/>
        <v>3.4551495016611296</v>
      </c>
      <c r="N18" s="260">
        <v>31251.48</v>
      </c>
      <c r="O18" s="89">
        <f t="shared" si="5"/>
        <v>0.51293840205178776</v>
      </c>
      <c r="P18" s="260">
        <v>26956.34</v>
      </c>
      <c r="Q18" s="89">
        <f t="shared" si="6"/>
        <v>0.44244118885776573</v>
      </c>
      <c r="R18" s="130">
        <v>780.5</v>
      </c>
      <c r="S18" s="9"/>
    </row>
    <row r="19" spans="1:19" ht="16.2" customHeight="1" thickBot="1" x14ac:dyDescent="0.35">
      <c r="A19" s="203" t="s">
        <v>37</v>
      </c>
      <c r="B19" s="201">
        <f>'23 - 29 Nov 2020'!D19</f>
        <v>0</v>
      </c>
      <c r="C19" s="205">
        <v>0</v>
      </c>
      <c r="D19" s="206">
        <v>0</v>
      </c>
      <c r="E19" s="216">
        <v>0</v>
      </c>
      <c r="F19" s="265">
        <f t="shared" si="0"/>
        <v>0</v>
      </c>
      <c r="G19" s="156">
        <f t="shared" si="3"/>
        <v>0</v>
      </c>
      <c r="H19" s="151">
        <v>0</v>
      </c>
      <c r="I19" s="132">
        <f t="shared" si="4"/>
        <v>0</v>
      </c>
      <c r="J19" s="133">
        <v>0</v>
      </c>
      <c r="K19" s="114">
        <f t="shared" si="1"/>
        <v>0</v>
      </c>
      <c r="L19" s="115">
        <v>0</v>
      </c>
      <c r="M19" s="213">
        <f t="shared" si="2"/>
        <v>0</v>
      </c>
      <c r="N19" s="261">
        <v>0</v>
      </c>
      <c r="O19" s="116" t="e">
        <f t="shared" si="5"/>
        <v>#DIV/0!</v>
      </c>
      <c r="P19" s="261">
        <v>0</v>
      </c>
      <c r="Q19" s="116" t="e">
        <f t="shared" si="6"/>
        <v>#DIV/0!</v>
      </c>
      <c r="R19" s="134">
        <v>0</v>
      </c>
      <c r="S19" s="9"/>
    </row>
    <row r="20" spans="1:19" x14ac:dyDescent="0.3">
      <c r="A20" s="81"/>
      <c r="B20" s="81"/>
      <c r="C20" s="81"/>
      <c r="D20" s="395"/>
      <c r="E20" s="83"/>
      <c r="F20" s="81"/>
      <c r="G20" s="81"/>
      <c r="H20" s="396"/>
      <c r="I20" s="397"/>
      <c r="J20" s="91"/>
      <c r="K20" s="397"/>
      <c r="L20" s="397"/>
      <c r="M20" s="397"/>
      <c r="N20" s="397"/>
      <c r="O20" s="397"/>
      <c r="P20" s="397"/>
      <c r="Q20" s="397"/>
      <c r="R20" s="397"/>
      <c r="S20" s="9"/>
    </row>
    <row r="21" spans="1:19" x14ac:dyDescent="0.3">
      <c r="A21" s="81"/>
      <c r="B21" s="81"/>
      <c r="C21" s="81"/>
      <c r="D21" s="83"/>
      <c r="E21" s="83"/>
      <c r="F21" s="81"/>
      <c r="G21" s="81"/>
      <c r="H21" s="82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9"/>
    </row>
    <row r="22" spans="1:19" x14ac:dyDescent="0.3">
      <c r="A22" s="81"/>
      <c r="B22" s="81"/>
      <c r="C22" s="81"/>
      <c r="D22" s="83"/>
      <c r="E22" s="83"/>
      <c r="F22" s="81"/>
      <c r="G22" s="81"/>
      <c r="H22" s="82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9"/>
    </row>
    <row r="23" spans="1:19" ht="15" customHeight="1" x14ac:dyDescent="0.3">
      <c r="A23" s="81"/>
      <c r="B23" s="81"/>
      <c r="C23" s="81"/>
      <c r="D23" s="83"/>
      <c r="E23" s="83"/>
      <c r="F23" s="81"/>
      <c r="G23" s="81"/>
      <c r="H23" s="82"/>
      <c r="I23" s="81"/>
      <c r="J23" s="81"/>
      <c r="K23" s="81"/>
      <c r="L23" s="81"/>
      <c r="M23" s="81"/>
      <c r="N23" s="81"/>
      <c r="O23" s="81"/>
      <c r="P23" s="81"/>
      <c r="Q23" s="81"/>
      <c r="R23" s="27"/>
      <c r="S23" s="9"/>
    </row>
    <row r="24" spans="1:19" x14ac:dyDescent="0.3">
      <c r="A24" s="81"/>
      <c r="B24" s="81"/>
      <c r="C24" s="81"/>
      <c r="D24" s="83"/>
      <c r="E24" s="83"/>
      <c r="F24" s="81"/>
      <c r="G24" s="81"/>
      <c r="H24" s="82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9"/>
    </row>
    <row r="25" spans="1:19" x14ac:dyDescent="0.3">
      <c r="A25" s="81"/>
      <c r="B25" s="81"/>
      <c r="C25" s="81"/>
      <c r="D25" s="83"/>
      <c r="E25" s="83"/>
      <c r="F25" s="81"/>
      <c r="G25" s="81"/>
      <c r="H25" s="82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9"/>
    </row>
    <row r="26" spans="1:19" x14ac:dyDescent="0.3">
      <c r="A26" s="81"/>
      <c r="B26" s="81"/>
      <c r="C26" s="81"/>
      <c r="D26" s="83"/>
      <c r="E26" s="83"/>
      <c r="F26" s="81"/>
      <c r="G26" s="81"/>
      <c r="H26" s="82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9"/>
    </row>
    <row r="27" spans="1:19" x14ac:dyDescent="0.3">
      <c r="A27" s="81"/>
      <c r="B27" s="81"/>
      <c r="C27" s="81"/>
      <c r="D27" s="83"/>
      <c r="E27" s="83"/>
      <c r="F27" s="81"/>
      <c r="G27" s="81"/>
      <c r="H27" s="82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9"/>
    </row>
    <row r="28" spans="1:19" x14ac:dyDescent="0.3">
      <c r="A28" s="81"/>
      <c r="B28" s="81"/>
      <c r="C28" s="81"/>
      <c r="D28" s="83"/>
      <c r="E28" s="83"/>
      <c r="F28" s="81"/>
      <c r="G28" s="81"/>
      <c r="H28" s="82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9"/>
    </row>
    <row r="29" spans="1:19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9"/>
    </row>
    <row r="30" spans="1:19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9"/>
    </row>
    <row r="31" spans="1:19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9"/>
    </row>
    <row r="32" spans="1:19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9"/>
    </row>
    <row r="33" spans="1:19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9"/>
    </row>
    <row r="34" spans="1:19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9"/>
    </row>
    <row r="35" spans="1:19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9"/>
    </row>
    <row r="36" spans="1:19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9"/>
    </row>
    <row r="37" spans="1:19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9"/>
    </row>
    <row r="38" spans="1:19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9"/>
    </row>
    <row r="39" spans="1:19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9"/>
    </row>
    <row r="40" spans="1:19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9"/>
    </row>
    <row r="41" spans="1:19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9"/>
    </row>
  </sheetData>
  <conditionalFormatting sqref="C6:R19">
    <cfRule type="cellIs" dxfId="311" priority="5" operator="equal">
      <formula>0</formula>
    </cfRule>
  </conditionalFormatting>
  <conditionalFormatting sqref="D7:E19">
    <cfRule type="cellIs" dxfId="310" priority="4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X41"/>
  <sheetViews>
    <sheetView zoomScale="70" zoomScaleNormal="70" workbookViewId="0">
      <pane xSplit="1" topLeftCell="B1" activePane="topRight" state="frozen"/>
      <selection pane="topRight" activeCell="G12" sqref="G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-0.68261978958938563</v>
      </c>
      <c r="H2" s="413"/>
      <c r="I2" s="400">
        <f>(((E4-E19-B19)-B4)/E4)</f>
        <v>-3.8949445863182643E-2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682760.61</v>
      </c>
      <c r="C4" s="135">
        <f>SUM(C6:C19)-C14-C19-C10</f>
        <v>2070590.4099999997</v>
      </c>
      <c r="D4" s="142">
        <f>SUM(D6:D19)-D19-D10</f>
        <v>636421.1399999999</v>
      </c>
      <c r="E4" s="142">
        <f>SUM(E6:E19)-E19-E10</f>
        <v>657164.42000000016</v>
      </c>
      <c r="F4" s="142">
        <f>SUM(F6:F19)-F19-F10</f>
        <v>1150789</v>
      </c>
      <c r="G4" s="217">
        <f t="shared" ref="G4:G19" si="0">IFERROR((SUM(E4-C4)/C4),0)</f>
        <v>-0.68261978958938563</v>
      </c>
      <c r="H4" s="217">
        <f>IFERROR((SUM(E4-D4)/D4),0)</f>
        <v>3.2593637602924795E-2</v>
      </c>
      <c r="I4" s="217">
        <f>IFERROR((SUM(E4-B4)/E4),0)</f>
        <v>-3.8949445863182643E-2</v>
      </c>
      <c r="J4" s="262">
        <f>SUM(J6:J18)</f>
        <v>3401</v>
      </c>
      <c r="K4" s="218">
        <f>AVERAGE(K5:K19)</f>
        <v>178.48324884484728</v>
      </c>
      <c r="L4" s="219">
        <f>SUM(L6:L19)</f>
        <v>133</v>
      </c>
      <c r="M4" s="220">
        <f t="shared" ref="M4:M19" si="1">IFERROR(L4/J4,0)</f>
        <v>3.9106145251396648E-2</v>
      </c>
      <c r="N4" s="221">
        <f>SUM(N6:N19)</f>
        <v>7657</v>
      </c>
      <c r="O4" s="222">
        <f t="shared" ref="O4:O19" si="2">IFERROR(N4/SUM(J4),0)</f>
        <v>2.2513966480446927</v>
      </c>
      <c r="P4" s="249">
        <f>SUM(P6:P19)</f>
        <v>281448.43000000005</v>
      </c>
      <c r="Q4" s="222">
        <f>SUM(P4/E4)</f>
        <v>0.42827703605742984</v>
      </c>
      <c r="R4" s="244">
        <f>SUM(R6:R19)</f>
        <v>458014.16000000003</v>
      </c>
      <c r="S4" s="222">
        <f>SUM(R4/E4)</f>
        <v>0.696955200343926</v>
      </c>
      <c r="T4" s="257">
        <f>SUM(T6:T19)</f>
        <v>26781.33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'28 June - 4 July 2021'!D6</f>
        <v>76505.179999999993</v>
      </c>
      <c r="C6" s="255">
        <v>226514.71</v>
      </c>
      <c r="D6" s="197">
        <v>80792.570000000007</v>
      </c>
      <c r="E6" s="123">
        <v>67895.53</v>
      </c>
      <c r="F6" s="197">
        <v>122954.22</v>
      </c>
      <c r="G6" s="162">
        <f t="shared" si="0"/>
        <v>-0.70025995221237503</v>
      </c>
      <c r="H6" s="154">
        <f t="shared" ref="H6:H18" si="3">IFERROR((SUM(E6-D6)/D6),0)</f>
        <v>-0.15963151066985501</v>
      </c>
      <c r="I6" s="266">
        <f t="shared" ref="I6:I19" si="4">IFERROR((SUM(E6-B6)/B6),0)</f>
        <v>-0.11253682430392288</v>
      </c>
      <c r="J6" s="149">
        <v>293</v>
      </c>
      <c r="K6" s="63">
        <f t="shared" ref="K6:K19" si="5">IFERROR(E6/J6,0)</f>
        <v>231.72535836177474</v>
      </c>
      <c r="L6" s="125">
        <v>5</v>
      </c>
      <c r="M6" s="126">
        <f t="shared" si="1"/>
        <v>1.7064846416382253E-2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</f>
        <v>569</v>
      </c>
      <c r="O6" s="171">
        <f t="shared" si="2"/>
        <v>1.9419795221843004</v>
      </c>
      <c r="P6" s="259">
        <v>17888.830000000002</v>
      </c>
      <c r="Q6" s="128">
        <f t="shared" ref="Q6:Q19" si="6">SUM(P6/E6)</f>
        <v>0.26347581350348104</v>
      </c>
      <c r="R6" s="260">
        <v>52652.04</v>
      </c>
      <c r="S6" s="128">
        <f t="shared" ref="S6:S19" si="7">SUM(R6/E6)</f>
        <v>0.77548610342978397</v>
      </c>
      <c r="T6" s="129">
        <v>3068.4</v>
      </c>
      <c r="U6" s="26"/>
    </row>
    <row r="7" spans="1:24" ht="15.6" customHeight="1" x14ac:dyDescent="0.3">
      <c r="A7" s="409" t="s">
        <v>16</v>
      </c>
      <c r="B7" s="200">
        <f>'28 June - 4 July 2021'!D7</f>
        <v>45573.7</v>
      </c>
      <c r="C7" s="73">
        <v>204794.67</v>
      </c>
      <c r="D7" s="145">
        <v>51345.599999999999</v>
      </c>
      <c r="E7" s="145">
        <v>12625.24</v>
      </c>
      <c r="F7" s="145">
        <v>47507.26</v>
      </c>
      <c r="G7" s="163">
        <f t="shared" si="0"/>
        <v>-0.93835171589182476</v>
      </c>
      <c r="H7" s="155">
        <f t="shared" si="3"/>
        <v>-0.75411252376055593</v>
      </c>
      <c r="I7" s="263">
        <f t="shared" si="4"/>
        <v>-0.72297092401977459</v>
      </c>
      <c r="J7" s="150">
        <v>66</v>
      </c>
      <c r="K7" s="63">
        <f t="shared" si="5"/>
        <v>191.29151515151514</v>
      </c>
      <c r="L7" s="61">
        <v>12</v>
      </c>
      <c r="M7" s="28">
        <f t="shared" si="1"/>
        <v>0.18181818181818182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</f>
        <v>713</v>
      </c>
      <c r="O7" s="172">
        <f t="shared" si="2"/>
        <v>10.803030303030303</v>
      </c>
      <c r="P7" s="260">
        <v>7114.5</v>
      </c>
      <c r="Q7" s="89">
        <f t="shared" si="6"/>
        <v>0.56351404012913819</v>
      </c>
      <c r="R7" s="260">
        <v>5620.96</v>
      </c>
      <c r="S7" s="89">
        <f t="shared" si="7"/>
        <v>0.44521609094163755</v>
      </c>
      <c r="T7" s="130">
        <v>127.8</v>
      </c>
      <c r="U7" s="26"/>
    </row>
    <row r="8" spans="1:24" ht="15.6" customHeight="1" x14ac:dyDescent="0.3">
      <c r="A8" s="409" t="s">
        <v>17</v>
      </c>
      <c r="B8" s="200">
        <f>'28 June - 4 July 2021'!D8</f>
        <v>61668.56</v>
      </c>
      <c r="C8" s="73">
        <v>95007.83</v>
      </c>
      <c r="D8" s="145">
        <v>46298.73</v>
      </c>
      <c r="E8" s="145">
        <v>49051.79</v>
      </c>
      <c r="F8" s="145">
        <v>92773.33</v>
      </c>
      <c r="G8" s="163">
        <f t="shared" si="0"/>
        <v>-0.48370792175760674</v>
      </c>
      <c r="H8" s="155">
        <f t="shared" si="3"/>
        <v>5.9462970150585069E-2</v>
      </c>
      <c r="I8" s="263">
        <f t="shared" si="4"/>
        <v>-0.204589988804668</v>
      </c>
      <c r="J8" s="150">
        <v>244</v>
      </c>
      <c r="K8" s="63">
        <f t="shared" si="5"/>
        <v>201.0319262295082</v>
      </c>
      <c r="L8" s="61">
        <v>0</v>
      </c>
      <c r="M8" s="28">
        <f t="shared" si="1"/>
        <v>0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</f>
        <v>289</v>
      </c>
      <c r="O8" s="172">
        <f t="shared" si="2"/>
        <v>1.1844262295081966</v>
      </c>
      <c r="P8" s="260">
        <v>33261.01</v>
      </c>
      <c r="Q8" s="89">
        <f t="shared" si="6"/>
        <v>0.67807943400230652</v>
      </c>
      <c r="R8" s="260">
        <v>16905.61</v>
      </c>
      <c r="S8" s="89">
        <f t="shared" si="7"/>
        <v>0.34464817695745659</v>
      </c>
      <c r="T8" s="130">
        <v>1048</v>
      </c>
      <c r="U8" s="26"/>
    </row>
    <row r="9" spans="1:24" ht="15.6" customHeight="1" x14ac:dyDescent="0.3">
      <c r="A9" s="409" t="s">
        <v>18</v>
      </c>
      <c r="B9" s="200">
        <f>'28 June - 4 July 2021'!D9</f>
        <v>50431.71</v>
      </c>
      <c r="C9" s="73">
        <v>279254.78000000003</v>
      </c>
      <c r="D9" s="145">
        <v>0</v>
      </c>
      <c r="E9" s="145">
        <v>64927.23</v>
      </c>
      <c r="F9" s="145">
        <v>102827.7</v>
      </c>
      <c r="G9" s="163">
        <f t="shared" si="0"/>
        <v>-0.76749823225944425</v>
      </c>
      <c r="H9" s="155">
        <f t="shared" si="3"/>
        <v>0</v>
      </c>
      <c r="I9" s="263">
        <f t="shared" si="4"/>
        <v>0.28742868326297094</v>
      </c>
      <c r="J9" s="150">
        <v>315</v>
      </c>
      <c r="K9" s="63">
        <f t="shared" si="5"/>
        <v>206.11819047619048</v>
      </c>
      <c r="L9" s="61">
        <v>5</v>
      </c>
      <c r="M9" s="28">
        <f t="shared" si="1"/>
        <v>1.5873015873015872E-2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</f>
        <v>478</v>
      </c>
      <c r="O9" s="172">
        <f t="shared" si="2"/>
        <v>1.5174603174603174</v>
      </c>
      <c r="P9" s="260">
        <v>38907.71</v>
      </c>
      <c r="Q9" s="89">
        <f t="shared" si="6"/>
        <v>0.59925103843179506</v>
      </c>
      <c r="R9" s="260">
        <v>28740.959999999999</v>
      </c>
      <c r="S9" s="89">
        <f t="shared" si="7"/>
        <v>0.44266419497643744</v>
      </c>
      <c r="T9" s="130">
        <v>3029.65</v>
      </c>
      <c r="U9" s="26"/>
    </row>
    <row r="10" spans="1:24" ht="15.6" customHeight="1" x14ac:dyDescent="0.3">
      <c r="A10" s="409" t="s">
        <v>20</v>
      </c>
      <c r="B10" s="200">
        <f>'28 June - 4 July 2021'!D10</f>
        <v>38908.65</v>
      </c>
      <c r="C10" s="73">
        <v>131503.14000000001</v>
      </c>
      <c r="D10" s="145">
        <v>81602.67</v>
      </c>
      <c r="E10" s="145">
        <v>56369.37</v>
      </c>
      <c r="F10" s="145">
        <v>88654.74</v>
      </c>
      <c r="G10" s="163">
        <f t="shared" si="0"/>
        <v>-0.57134582489817365</v>
      </c>
      <c r="H10" s="155">
        <f t="shared" si="3"/>
        <v>-0.30922149973769236</v>
      </c>
      <c r="I10" s="263">
        <f t="shared" si="4"/>
        <v>0.44876190769918772</v>
      </c>
      <c r="J10" s="150">
        <v>255</v>
      </c>
      <c r="K10" s="63">
        <f t="shared" si="5"/>
        <v>221.05635294117647</v>
      </c>
      <c r="L10" s="61">
        <v>17</v>
      </c>
      <c r="M10" s="28">
        <f t="shared" si="1"/>
        <v>6.6666666666666666E-2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</f>
        <v>354</v>
      </c>
      <c r="O10" s="172">
        <f t="shared" si="2"/>
        <v>1.388235294117647</v>
      </c>
      <c r="P10" s="260">
        <v>21759.78</v>
      </c>
      <c r="Q10" s="89">
        <f t="shared" si="6"/>
        <v>0.3860213445706418</v>
      </c>
      <c r="R10" s="260">
        <v>35743.57</v>
      </c>
      <c r="S10" s="89">
        <f t="shared" si="7"/>
        <v>0.63409560901603124</v>
      </c>
      <c r="T10" s="130">
        <v>1247.8</v>
      </c>
      <c r="U10" s="26"/>
    </row>
    <row r="11" spans="1:24" ht="15.6" customHeight="1" x14ac:dyDescent="0.3">
      <c r="A11" s="409" t="s">
        <v>21</v>
      </c>
      <c r="B11" s="200">
        <f>'28 June - 4 July 2021'!D11</f>
        <v>87544.53</v>
      </c>
      <c r="C11" s="73">
        <v>326039.56</v>
      </c>
      <c r="D11" s="145">
        <v>108225.41</v>
      </c>
      <c r="E11" s="145">
        <v>98911.55</v>
      </c>
      <c r="F11" s="145">
        <v>163351.38</v>
      </c>
      <c r="G11" s="163">
        <f t="shared" si="0"/>
        <v>-0.69662715162540401</v>
      </c>
      <c r="H11" s="155">
        <f t="shared" si="3"/>
        <v>-8.6059826430779987E-2</v>
      </c>
      <c r="I11" s="263">
        <f t="shared" si="4"/>
        <v>0.12984272118429335</v>
      </c>
      <c r="J11" s="150">
        <v>448</v>
      </c>
      <c r="K11" s="63">
        <f t="shared" si="5"/>
        <v>220.78470982142858</v>
      </c>
      <c r="L11" s="61">
        <v>33</v>
      </c>
      <c r="M11" s="28">
        <f t="shared" si="1"/>
        <v>7.3660714285714288E-2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</f>
        <v>1129</v>
      </c>
      <c r="O11" s="172">
        <f t="shared" si="2"/>
        <v>2.5200892857142856</v>
      </c>
      <c r="P11" s="260">
        <v>54453.43</v>
      </c>
      <c r="Q11" s="89">
        <f t="shared" si="6"/>
        <v>0.55052650575185602</v>
      </c>
      <c r="R11" s="260">
        <v>50996.22</v>
      </c>
      <c r="S11" s="89">
        <f t="shared" si="7"/>
        <v>0.51557396482008422</v>
      </c>
      <c r="T11" s="130">
        <v>7523.23</v>
      </c>
      <c r="U11" s="26"/>
    </row>
    <row r="12" spans="1:24" ht="15.6" customHeight="1" x14ac:dyDescent="0.3">
      <c r="A12" s="198" t="s">
        <v>22</v>
      </c>
      <c r="B12" s="200">
        <f>'28 June - 4 July 2021'!D12</f>
        <v>49395.18</v>
      </c>
      <c r="C12" s="73">
        <v>125918.89</v>
      </c>
      <c r="D12" s="145">
        <v>43519.28</v>
      </c>
      <c r="E12" s="145">
        <v>45614.879999999997</v>
      </c>
      <c r="F12" s="145">
        <v>75567.34</v>
      </c>
      <c r="G12" s="163">
        <f t="shared" si="0"/>
        <v>-0.63774394771110199</v>
      </c>
      <c r="H12" s="155">
        <f t="shared" si="3"/>
        <v>4.8153370184433164E-2</v>
      </c>
      <c r="I12" s="263">
        <f t="shared" si="4"/>
        <v>-7.653175876674613E-2</v>
      </c>
      <c r="J12" s="150">
        <v>214</v>
      </c>
      <c r="K12" s="63">
        <f t="shared" si="5"/>
        <v>213.15364485981308</v>
      </c>
      <c r="L12" s="61">
        <v>14</v>
      </c>
      <c r="M12" s="28">
        <f t="shared" si="1"/>
        <v>6.5420560747663545E-2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</f>
        <v>478</v>
      </c>
      <c r="O12" s="172">
        <f t="shared" si="2"/>
        <v>2.2336448598130842</v>
      </c>
      <c r="P12" s="260">
        <v>8495.26</v>
      </c>
      <c r="Q12" s="89">
        <f t="shared" si="6"/>
        <v>0.18623878874612848</v>
      </c>
      <c r="R12" s="260">
        <v>40813.730000000003</v>
      </c>
      <c r="S12" s="89">
        <f t="shared" si="7"/>
        <v>0.89474596885928459</v>
      </c>
      <c r="T12" s="130">
        <v>3698.3</v>
      </c>
      <c r="U12" s="26"/>
    </row>
    <row r="13" spans="1:24" ht="15.6" customHeight="1" x14ac:dyDescent="0.3">
      <c r="A13" s="198" t="s">
        <v>23</v>
      </c>
      <c r="B13" s="200">
        <f>'28 June - 4 July 2021'!D13</f>
        <v>94163.55</v>
      </c>
      <c r="C13" s="73">
        <v>197895.08</v>
      </c>
      <c r="D13" s="145">
        <v>86048.79</v>
      </c>
      <c r="E13" s="145">
        <v>84170.91</v>
      </c>
      <c r="F13" s="145">
        <v>151642.38</v>
      </c>
      <c r="G13" s="163">
        <f t="shared" si="0"/>
        <v>-0.57466901147820348</v>
      </c>
      <c r="H13" s="155">
        <f t="shared" si="3"/>
        <v>-2.1823432961695224E-2</v>
      </c>
      <c r="I13" s="263">
        <f t="shared" si="4"/>
        <v>-0.10612004326514876</v>
      </c>
      <c r="J13" s="150">
        <v>390</v>
      </c>
      <c r="K13" s="63">
        <f t="shared" si="5"/>
        <v>215.82284615384617</v>
      </c>
      <c r="L13" s="61">
        <v>9</v>
      </c>
      <c r="M13" s="28">
        <f t="shared" si="1"/>
        <v>2.3076923076923078E-2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</f>
        <v>791</v>
      </c>
      <c r="O13" s="172">
        <f t="shared" si="2"/>
        <v>2.0282051282051281</v>
      </c>
      <c r="P13" s="260">
        <v>35663.910000000003</v>
      </c>
      <c r="Q13" s="89">
        <f t="shared" si="6"/>
        <v>0.42370826215375362</v>
      </c>
      <c r="R13" s="260">
        <v>50114.13</v>
      </c>
      <c r="S13" s="89">
        <f t="shared" si="7"/>
        <v>0.59538538908513639</v>
      </c>
      <c r="T13" s="130">
        <v>1498</v>
      </c>
      <c r="U13" s="26"/>
    </row>
    <row r="14" spans="1:24" ht="15.6" hidden="1" customHeight="1" x14ac:dyDescent="0.3">
      <c r="A14" s="198" t="s">
        <v>24</v>
      </c>
      <c r="B14" s="200">
        <f>'28 June - 4 July 2021'!D14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'28 June - 4 July 2021'!D15</f>
        <v>34859.870000000003</v>
      </c>
      <c r="C15" s="73">
        <v>157538.72</v>
      </c>
      <c r="D15" s="145">
        <v>53938.79</v>
      </c>
      <c r="E15" s="145">
        <v>53639.31</v>
      </c>
      <c r="F15" s="145">
        <v>80644.87</v>
      </c>
      <c r="G15" s="163">
        <f t="shared" si="0"/>
        <v>-0.65951665723829678</v>
      </c>
      <c r="H15" s="155">
        <f t="shared" si="3"/>
        <v>-5.552219469513558E-3</v>
      </c>
      <c r="I15" s="263">
        <f t="shared" si="4"/>
        <v>0.53871227861721782</v>
      </c>
      <c r="J15" s="150">
        <v>275</v>
      </c>
      <c r="K15" s="63">
        <f t="shared" si="5"/>
        <v>195.05203636363635</v>
      </c>
      <c r="L15" s="61">
        <v>0</v>
      </c>
      <c r="M15" s="28">
        <f t="shared" si="1"/>
        <v>0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</f>
        <v>627</v>
      </c>
      <c r="O15" s="172">
        <f t="shared" si="2"/>
        <v>2.2799999999999998</v>
      </c>
      <c r="P15" s="260">
        <v>0</v>
      </c>
      <c r="Q15" s="89">
        <f t="shared" si="6"/>
        <v>0</v>
      </c>
      <c r="R15" s="260">
        <v>55475.22</v>
      </c>
      <c r="S15" s="89">
        <f t="shared" si="7"/>
        <v>1.0342269503466768</v>
      </c>
      <c r="T15" s="130">
        <v>299.60000000000002</v>
      </c>
      <c r="U15" s="9"/>
    </row>
    <row r="16" spans="1:24" ht="15.6" customHeight="1" x14ac:dyDescent="0.3">
      <c r="A16" s="198" t="s">
        <v>27</v>
      </c>
      <c r="B16" s="200">
        <f>'28 June - 4 July 2021'!D16</f>
        <v>58655.79</v>
      </c>
      <c r="C16" s="73">
        <v>107345.47</v>
      </c>
      <c r="D16" s="145">
        <v>47187.09</v>
      </c>
      <c r="E16" s="145">
        <v>53928.76</v>
      </c>
      <c r="F16" s="145">
        <v>98372.39</v>
      </c>
      <c r="G16" s="163">
        <f t="shared" si="0"/>
        <v>-0.49761494360218461</v>
      </c>
      <c r="H16" s="155">
        <f t="shared" si="3"/>
        <v>0.14287106918438933</v>
      </c>
      <c r="I16" s="263">
        <f t="shared" si="4"/>
        <v>-8.0589316076042944E-2</v>
      </c>
      <c r="J16" s="150">
        <v>271</v>
      </c>
      <c r="K16" s="63">
        <f t="shared" si="5"/>
        <v>198.99911439114391</v>
      </c>
      <c r="L16" s="61">
        <v>4</v>
      </c>
      <c r="M16" s="28">
        <f t="shared" si="1"/>
        <v>1.4760147601476014E-2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</f>
        <v>374</v>
      </c>
      <c r="O16" s="172">
        <f t="shared" si="2"/>
        <v>1.3800738007380073</v>
      </c>
      <c r="P16" s="260">
        <v>25366.11</v>
      </c>
      <c r="Q16" s="89">
        <f t="shared" si="6"/>
        <v>0.47036330892829725</v>
      </c>
      <c r="R16" s="260">
        <v>29926.17</v>
      </c>
      <c r="S16" s="89">
        <f t="shared" si="7"/>
        <v>0.55492041723191854</v>
      </c>
      <c r="T16" s="130">
        <v>1601.7</v>
      </c>
      <c r="U16" s="9"/>
      <c r="X16" s="238"/>
    </row>
    <row r="17" spans="1:21" ht="15.6" customHeight="1" x14ac:dyDescent="0.3">
      <c r="A17" s="198" t="s">
        <v>28</v>
      </c>
      <c r="B17" s="200">
        <f>'28 June - 4 July 2021'!D17</f>
        <v>63036.160000000003</v>
      </c>
      <c r="C17" s="73">
        <v>190547.85</v>
      </c>
      <c r="D17" s="145">
        <v>63047.6</v>
      </c>
      <c r="E17" s="145">
        <v>67366.8</v>
      </c>
      <c r="F17" s="145">
        <v>113602.32</v>
      </c>
      <c r="G17" s="163">
        <f t="shared" si="0"/>
        <v>-0.64645730718032246</v>
      </c>
      <c r="H17" s="155">
        <f t="shared" si="3"/>
        <v>6.8506969337453039E-2</v>
      </c>
      <c r="I17" s="263">
        <f t="shared" si="4"/>
        <v>6.8700885333116732E-2</v>
      </c>
      <c r="J17" s="150">
        <v>352</v>
      </c>
      <c r="K17" s="63">
        <f t="shared" si="5"/>
        <v>191.38295454545457</v>
      </c>
      <c r="L17" s="61">
        <v>14</v>
      </c>
      <c r="M17" s="28">
        <f t="shared" si="1"/>
        <v>3.9772727272727272E-2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</f>
        <v>795</v>
      </c>
      <c r="O17" s="172">
        <f t="shared" si="2"/>
        <v>2.2585227272727271</v>
      </c>
      <c r="P17" s="260">
        <v>23624.52</v>
      </c>
      <c r="Q17" s="89">
        <f t="shared" si="6"/>
        <v>0.3506849071055772</v>
      </c>
      <c r="R17" s="260">
        <v>45700.35</v>
      </c>
      <c r="S17" s="89">
        <f t="shared" si="7"/>
        <v>0.67838089385275824</v>
      </c>
      <c r="T17" s="130">
        <v>2251.6999999999998</v>
      </c>
      <c r="U17" s="9"/>
    </row>
    <row r="18" spans="1:21" ht="15.6" customHeight="1" x14ac:dyDescent="0.3">
      <c r="A18" s="198" t="s">
        <v>33</v>
      </c>
      <c r="B18" s="200">
        <f>'28 June - 4 July 2021'!D18</f>
        <v>60926.38</v>
      </c>
      <c r="C18" s="73">
        <v>159732.85</v>
      </c>
      <c r="D18" s="73">
        <v>56017.279999999999</v>
      </c>
      <c r="E18" s="145">
        <v>59032.42</v>
      </c>
      <c r="F18" s="145">
        <v>101545.81</v>
      </c>
      <c r="G18" s="163">
        <f t="shared" si="0"/>
        <v>-0.6304303091067367</v>
      </c>
      <c r="H18" s="155">
        <f t="shared" si="3"/>
        <v>5.3825176802586625E-2</v>
      </c>
      <c r="I18" s="263">
        <f t="shared" si="4"/>
        <v>-3.1086041875456889E-2</v>
      </c>
      <c r="J18" s="150">
        <v>278</v>
      </c>
      <c r="K18" s="63">
        <f t="shared" si="5"/>
        <v>212.34683453237409</v>
      </c>
      <c r="L18" s="61">
        <v>20</v>
      </c>
      <c r="M18" s="28">
        <f t="shared" si="1"/>
        <v>7.1942446043165464E-2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</f>
        <v>1060</v>
      </c>
      <c r="O18" s="172">
        <f t="shared" si="2"/>
        <v>3.8129496402877696</v>
      </c>
      <c r="P18" s="260">
        <v>14913.37</v>
      </c>
      <c r="Q18" s="89">
        <f t="shared" si="6"/>
        <v>0.25263016491615964</v>
      </c>
      <c r="R18" s="260">
        <v>45325.2</v>
      </c>
      <c r="S18" s="89">
        <f t="shared" si="7"/>
        <v>0.76780182821574994</v>
      </c>
      <c r="T18" s="130">
        <v>1387.15</v>
      </c>
      <c r="U18" s="9"/>
    </row>
    <row r="19" spans="1:21" ht="16.2" hidden="1" customHeight="1" thickBot="1" x14ac:dyDescent="0.35">
      <c r="A19" s="203" t="s">
        <v>37</v>
      </c>
      <c r="B19" s="201">
        <f>'23 - 29 Nov 2020'!D19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115"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309" priority="1" operator="equal">
      <formula>0</formula>
    </cfRule>
  </conditionalFormatting>
  <conditionalFormatting sqref="D7:F19">
    <cfRule type="cellIs" dxfId="30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-0.56612175500016892</v>
      </c>
      <c r="H2" s="413"/>
      <c r="I2" s="400">
        <f>(((E4-E19-B19)-B4)/E4)</f>
        <v>0.27429832543112709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657164.42000000016</v>
      </c>
      <c r="C4" s="135">
        <f>SUM(C6:C19)-C14-C19-C10</f>
        <v>2087122.9899999998</v>
      </c>
      <c r="D4" s="142">
        <f>SUM(D6:D19)-D19-D10</f>
        <v>638254.63</v>
      </c>
      <c r="E4" s="142">
        <f>SUM(E6:E19)-E19-E10</f>
        <v>905557.25999999989</v>
      </c>
      <c r="F4" s="142">
        <f>SUM(F6:F19)-F19-F10</f>
        <v>1996346.2599999998</v>
      </c>
      <c r="G4" s="217">
        <f t="shared" ref="G4:G19" si="0">IFERROR((SUM(E4-C4)/C4),0)</f>
        <v>-0.56612175500016892</v>
      </c>
      <c r="H4" s="217">
        <f>IFERROR((SUM(E4-D4)/D4),0)</f>
        <v>0.41880249266660219</v>
      </c>
      <c r="I4" s="217">
        <f>IFERROR((SUM(E4-B4)/E4),0)</f>
        <v>0.27429832543112709</v>
      </c>
      <c r="J4" s="262">
        <f>SUM(J6:J18)</f>
        <v>4091</v>
      </c>
      <c r="K4" s="218">
        <f>AVERAGE(K5:K19)</f>
        <v>203.14903177808961</v>
      </c>
      <c r="L4" s="219">
        <f>SUM(L6:L19)</f>
        <v>332</v>
      </c>
      <c r="M4" s="220">
        <f t="shared" ref="M4:M19" si="1">IFERROR(L4/J4,0)</f>
        <v>8.1153752138841365E-2</v>
      </c>
      <c r="N4" s="221">
        <f>SUM(N6:N19)</f>
        <v>7989</v>
      </c>
      <c r="O4" s="222">
        <f t="shared" ref="O4:O19" si="2">IFERROR(N4/SUM(J4),0)</f>
        <v>1.9528232705939867</v>
      </c>
      <c r="P4" s="249">
        <f>SUM(P6:P19)</f>
        <v>315440.45999999996</v>
      </c>
      <c r="Q4" s="222">
        <f>SUM(P4/E4)</f>
        <v>0.34833850263648708</v>
      </c>
      <c r="R4" s="244">
        <f>SUM(R6:R19)</f>
        <v>213179.45</v>
      </c>
      <c r="S4" s="222">
        <f>SUM(R4/E4)</f>
        <v>0.2354124464752235</v>
      </c>
      <c r="T4" s="257">
        <f>SUM(T6:T19)</f>
        <v>36383.459999999992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'5 - 11 July 2021'!E6</f>
        <v>67895.53</v>
      </c>
      <c r="C6" s="255">
        <v>246778.34</v>
      </c>
      <c r="D6" s="197">
        <v>72545.98</v>
      </c>
      <c r="E6" s="123">
        <v>104954.75</v>
      </c>
      <c r="F6" s="197">
        <v>227908.97</v>
      </c>
      <c r="G6" s="162">
        <f t="shared" si="0"/>
        <v>-0.57470031608122496</v>
      </c>
      <c r="H6" s="154">
        <f t="shared" ref="H6:H18" si="3">IFERROR((SUM(E6-D6)/D6),0)</f>
        <v>0.44673419533377323</v>
      </c>
      <c r="I6" s="266">
        <f t="shared" ref="I6:I19" si="4">IFERROR((SUM(E6-B6)/B6),0)</f>
        <v>0.54582709642298988</v>
      </c>
      <c r="J6" s="149">
        <v>385</v>
      </c>
      <c r="K6" s="63">
        <f t="shared" ref="K6:K19" si="5">IFERROR(E6/J6,0)</f>
        <v>272.60974025974025</v>
      </c>
      <c r="L6" s="125">
        <v>22</v>
      </c>
      <c r="M6" s="126">
        <f t="shared" si="1"/>
        <v>5.7142857142857141E-2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</f>
        <v>591</v>
      </c>
      <c r="O6" s="171">
        <f t="shared" si="2"/>
        <v>1.535064935064935</v>
      </c>
      <c r="P6" s="259">
        <v>28464.959999999999</v>
      </c>
      <c r="Q6" s="128">
        <f t="shared" ref="Q6:Q19" si="6">SUM(P6/E6)</f>
        <v>0.2712117364864382</v>
      </c>
      <c r="R6" s="260">
        <v>18746.3</v>
      </c>
      <c r="S6" s="128">
        <f t="shared" ref="S6:S19" si="7">SUM(R6/E6)</f>
        <v>0.17861316424459112</v>
      </c>
      <c r="T6" s="129">
        <v>4551</v>
      </c>
      <c r="U6" s="26"/>
    </row>
    <row r="7" spans="1:24" ht="15.6" customHeight="1" x14ac:dyDescent="0.3">
      <c r="A7" s="409" t="s">
        <v>16</v>
      </c>
      <c r="B7" s="200">
        <f>'5 - 11 July 2021'!E7</f>
        <v>12625.24</v>
      </c>
      <c r="C7" s="73">
        <v>191381.89</v>
      </c>
      <c r="D7" s="145">
        <v>58282.09</v>
      </c>
      <c r="E7" s="145">
        <v>50825.27</v>
      </c>
      <c r="F7" s="145">
        <v>98332.53</v>
      </c>
      <c r="G7" s="163">
        <f t="shared" si="0"/>
        <v>-0.73443009680801052</v>
      </c>
      <c r="H7" s="155">
        <f t="shared" si="3"/>
        <v>-0.12794359296312127</v>
      </c>
      <c r="I7" s="263">
        <f t="shared" si="4"/>
        <v>3.025687432476531</v>
      </c>
      <c r="J7" s="150">
        <v>217</v>
      </c>
      <c r="K7" s="63">
        <f t="shared" si="5"/>
        <v>234.21783410138246</v>
      </c>
      <c r="L7" s="61">
        <v>15</v>
      </c>
      <c r="M7" s="28">
        <f t="shared" si="1"/>
        <v>6.9124423963133647E-2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</f>
        <v>728</v>
      </c>
      <c r="O7" s="172">
        <f t="shared" si="2"/>
        <v>3.3548387096774195</v>
      </c>
      <c r="P7" s="260">
        <v>18188.650000000001</v>
      </c>
      <c r="Q7" s="89">
        <f t="shared" si="6"/>
        <v>0.35786627400110227</v>
      </c>
      <c r="R7" s="260">
        <v>9674.9599999999991</v>
      </c>
      <c r="S7" s="89">
        <f t="shared" si="7"/>
        <v>0.19035727700020089</v>
      </c>
      <c r="T7" s="130">
        <v>2286.3000000000002</v>
      </c>
      <c r="U7" s="26"/>
    </row>
    <row r="8" spans="1:24" ht="15.6" customHeight="1" x14ac:dyDescent="0.3">
      <c r="A8" s="409" t="s">
        <v>17</v>
      </c>
      <c r="B8" s="200">
        <f>'5 - 11 July 2021'!E8</f>
        <v>49051.79</v>
      </c>
      <c r="C8" s="73">
        <v>97633.12</v>
      </c>
      <c r="D8" s="145">
        <v>48298.25</v>
      </c>
      <c r="E8" s="145">
        <v>60937.2</v>
      </c>
      <c r="F8" s="145">
        <v>153710.53</v>
      </c>
      <c r="G8" s="163">
        <f t="shared" si="0"/>
        <v>-0.37585524256522784</v>
      </c>
      <c r="H8" s="155">
        <f t="shared" si="3"/>
        <v>0.26168546479427301</v>
      </c>
      <c r="I8" s="263">
        <f t="shared" si="4"/>
        <v>0.24230328801456574</v>
      </c>
      <c r="J8" s="150">
        <v>276</v>
      </c>
      <c r="K8" s="63">
        <f t="shared" si="5"/>
        <v>220.78695652173911</v>
      </c>
      <c r="L8" s="61">
        <v>9</v>
      </c>
      <c r="M8" s="28">
        <f t="shared" si="1"/>
        <v>3.2608695652173912E-2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</f>
        <v>298</v>
      </c>
      <c r="O8" s="172">
        <f t="shared" si="2"/>
        <v>1.0797101449275361</v>
      </c>
      <c r="P8" s="260">
        <v>36395.56</v>
      </c>
      <c r="Q8" s="89">
        <f t="shared" si="6"/>
        <v>0.59726341216859324</v>
      </c>
      <c r="R8" s="260">
        <v>11867.74</v>
      </c>
      <c r="S8" s="89">
        <f t="shared" si="7"/>
        <v>0.19475361519728507</v>
      </c>
      <c r="T8" s="130">
        <v>1297</v>
      </c>
      <c r="U8" s="26"/>
    </row>
    <row r="9" spans="1:24" ht="15.6" customHeight="1" x14ac:dyDescent="0.3">
      <c r="A9" s="409" t="s">
        <v>18</v>
      </c>
      <c r="B9" s="200">
        <f>'5 - 11 July 2021'!E9</f>
        <v>64927.23</v>
      </c>
      <c r="C9" s="73">
        <v>304596.21000000002</v>
      </c>
      <c r="D9" s="145">
        <v>0</v>
      </c>
      <c r="E9" s="145">
        <v>78861.789999999994</v>
      </c>
      <c r="F9" s="145">
        <v>181689.49</v>
      </c>
      <c r="G9" s="163">
        <f t="shared" si="0"/>
        <v>-0.74109398800464399</v>
      </c>
      <c r="H9" s="155">
        <f t="shared" si="3"/>
        <v>0</v>
      </c>
      <c r="I9" s="263">
        <f t="shared" si="4"/>
        <v>0.21461811939304956</v>
      </c>
      <c r="J9" s="150">
        <v>344</v>
      </c>
      <c r="K9" s="63">
        <f t="shared" si="5"/>
        <v>229.2493895348837</v>
      </c>
      <c r="L9" s="61">
        <v>21</v>
      </c>
      <c r="M9" s="28">
        <f t="shared" si="1"/>
        <v>6.1046511627906974E-2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</f>
        <v>499</v>
      </c>
      <c r="O9" s="172">
        <f t="shared" si="2"/>
        <v>1.4505813953488371</v>
      </c>
      <c r="P9" s="260">
        <v>17009.91</v>
      </c>
      <c r="Q9" s="89">
        <f t="shared" si="6"/>
        <v>0.21569266941569551</v>
      </c>
      <c r="R9" s="260">
        <v>12576.02</v>
      </c>
      <c r="S9" s="89">
        <f t="shared" si="7"/>
        <v>0.15946911679280931</v>
      </c>
      <c r="T9" s="130">
        <v>2219.4</v>
      </c>
      <c r="U9" s="26"/>
    </row>
    <row r="10" spans="1:24" ht="15.6" customHeight="1" x14ac:dyDescent="0.3">
      <c r="A10" s="409" t="s">
        <v>20</v>
      </c>
      <c r="B10" s="200">
        <f>'5 - 11 July 2021'!E10</f>
        <v>56369.37</v>
      </c>
      <c r="C10" s="73">
        <v>142718.31</v>
      </c>
      <c r="D10" s="145">
        <v>74386.990000000005</v>
      </c>
      <c r="E10" s="145">
        <v>73055.399999999994</v>
      </c>
      <c r="F10" s="145">
        <v>161710.14000000001</v>
      </c>
      <c r="G10" s="163">
        <f t="shared" si="0"/>
        <v>-0.48811473454247045</v>
      </c>
      <c r="H10" s="155">
        <f t="shared" si="3"/>
        <v>-1.7900845295662736E-2</v>
      </c>
      <c r="I10" s="263">
        <f t="shared" si="4"/>
        <v>0.29601235564633754</v>
      </c>
      <c r="J10" s="150">
        <v>306</v>
      </c>
      <c r="K10" s="63">
        <f t="shared" si="5"/>
        <v>238.74313725490194</v>
      </c>
      <c r="L10" s="61">
        <v>24</v>
      </c>
      <c r="M10" s="28">
        <f t="shared" si="1"/>
        <v>7.8431372549019607E-2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</f>
        <v>378</v>
      </c>
      <c r="O10" s="172">
        <f t="shared" si="2"/>
        <v>1.2352941176470589</v>
      </c>
      <c r="P10" s="260">
        <v>25253.49</v>
      </c>
      <c r="Q10" s="89">
        <f t="shared" si="6"/>
        <v>0.34567588432887925</v>
      </c>
      <c r="R10" s="260">
        <v>19476.259999999998</v>
      </c>
      <c r="S10" s="89">
        <f t="shared" si="7"/>
        <v>0.26659576157272424</v>
      </c>
      <c r="T10" s="130">
        <v>3003.75</v>
      </c>
      <c r="U10" s="26"/>
    </row>
    <row r="11" spans="1:24" ht="15.6" customHeight="1" x14ac:dyDescent="0.3">
      <c r="A11" s="409" t="s">
        <v>21</v>
      </c>
      <c r="B11" s="200">
        <f>'5 - 11 July 2021'!E11</f>
        <v>98911.55</v>
      </c>
      <c r="C11" s="73">
        <v>312926.61</v>
      </c>
      <c r="D11" s="145">
        <v>92576.49</v>
      </c>
      <c r="E11" s="145">
        <v>123729.06</v>
      </c>
      <c r="F11" s="145">
        <v>287080.44</v>
      </c>
      <c r="G11" s="163">
        <f t="shared" si="0"/>
        <v>-0.60460677984528066</v>
      </c>
      <c r="H11" s="155">
        <f t="shared" si="3"/>
        <v>0.33650627713364367</v>
      </c>
      <c r="I11" s="263">
        <f t="shared" si="4"/>
        <v>0.25090608730729619</v>
      </c>
      <c r="J11" s="150">
        <v>486</v>
      </c>
      <c r="K11" s="63">
        <f t="shared" si="5"/>
        <v>254.58654320987654</v>
      </c>
      <c r="L11" s="61">
        <v>65</v>
      </c>
      <c r="M11" s="28">
        <f t="shared" si="1"/>
        <v>0.13374485596707819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</f>
        <v>1194</v>
      </c>
      <c r="O11" s="172">
        <f t="shared" si="2"/>
        <v>2.4567901234567899</v>
      </c>
      <c r="P11" s="260">
        <v>46377</v>
      </c>
      <c r="Q11" s="89">
        <f t="shared" si="6"/>
        <v>0.37482706164582519</v>
      </c>
      <c r="R11" s="260">
        <v>30822.61</v>
      </c>
      <c r="S11" s="89">
        <f t="shared" si="7"/>
        <v>0.24911374902549169</v>
      </c>
      <c r="T11" s="130">
        <v>6371.11</v>
      </c>
      <c r="U11" s="26"/>
    </row>
    <row r="12" spans="1:24" ht="15.6" customHeight="1" x14ac:dyDescent="0.3">
      <c r="A12" s="198" t="s">
        <v>22</v>
      </c>
      <c r="B12" s="200">
        <f>'5 - 11 July 2021'!E12</f>
        <v>45614.879999999997</v>
      </c>
      <c r="C12" s="73">
        <v>130704.48</v>
      </c>
      <c r="D12" s="145">
        <v>41476.379999999997</v>
      </c>
      <c r="E12" s="145">
        <v>59060.2</v>
      </c>
      <c r="F12" s="145">
        <v>134627.54</v>
      </c>
      <c r="G12" s="163">
        <f t="shared" si="0"/>
        <v>-0.54813943638351192</v>
      </c>
      <c r="H12" s="155">
        <f t="shared" si="3"/>
        <v>0.42394779872303229</v>
      </c>
      <c r="I12" s="263">
        <f t="shared" si="4"/>
        <v>0.29475732480278366</v>
      </c>
      <c r="J12" s="150">
        <v>251</v>
      </c>
      <c r="K12" s="63">
        <f t="shared" si="5"/>
        <v>235.29960159362548</v>
      </c>
      <c r="L12" s="61">
        <v>22</v>
      </c>
      <c r="M12" s="28">
        <f t="shared" si="1"/>
        <v>8.7649402390438252E-2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</f>
        <v>500</v>
      </c>
      <c r="O12" s="172">
        <f t="shared" si="2"/>
        <v>1.9920318725099602</v>
      </c>
      <c r="P12" s="260">
        <v>19320.25</v>
      </c>
      <c r="Q12" s="89">
        <f t="shared" si="6"/>
        <v>0.32712808287137535</v>
      </c>
      <c r="R12" s="260">
        <v>7322.32</v>
      </c>
      <c r="S12" s="89">
        <f t="shared" si="7"/>
        <v>0.12398061638802442</v>
      </c>
      <c r="T12" s="130">
        <v>3772.3</v>
      </c>
      <c r="U12" s="26"/>
    </row>
    <row r="13" spans="1:24" ht="15.6" customHeight="1" x14ac:dyDescent="0.3">
      <c r="A13" s="198" t="s">
        <v>23</v>
      </c>
      <c r="B13" s="200">
        <f>'5 - 11 July 2021'!E13</f>
        <v>84170.91</v>
      </c>
      <c r="C13" s="73">
        <v>187064.58</v>
      </c>
      <c r="D13" s="145">
        <v>89704.17</v>
      </c>
      <c r="E13" s="145">
        <v>117167.6</v>
      </c>
      <c r="F13" s="145">
        <v>268809.98</v>
      </c>
      <c r="G13" s="163">
        <f t="shared" si="0"/>
        <v>-0.37365160202963055</v>
      </c>
      <c r="H13" s="155">
        <f t="shared" si="3"/>
        <v>0.30615555553326013</v>
      </c>
      <c r="I13" s="263">
        <f t="shared" si="4"/>
        <v>0.3920201171639941</v>
      </c>
      <c r="J13" s="150">
        <v>495</v>
      </c>
      <c r="K13" s="63">
        <f t="shared" si="5"/>
        <v>236.70222222222225</v>
      </c>
      <c r="L13" s="61">
        <v>44</v>
      </c>
      <c r="M13" s="28">
        <f t="shared" si="1"/>
        <v>8.8888888888888892E-2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</f>
        <v>835</v>
      </c>
      <c r="O13" s="172">
        <f t="shared" si="2"/>
        <v>1.6868686868686869</v>
      </c>
      <c r="P13" s="260">
        <v>39225.74</v>
      </c>
      <c r="Q13" s="89">
        <f t="shared" si="6"/>
        <v>0.33478316531191216</v>
      </c>
      <c r="R13" s="260">
        <v>28636.2</v>
      </c>
      <c r="S13" s="89">
        <f t="shared" si="7"/>
        <v>0.24440374301428039</v>
      </c>
      <c r="T13" s="130">
        <v>3362</v>
      </c>
      <c r="U13" s="26"/>
    </row>
    <row r="14" spans="1:24" ht="15.6" hidden="1" customHeight="1" x14ac:dyDescent="0.3">
      <c r="A14" s="198" t="s">
        <v>24</v>
      </c>
      <c r="B14" s="200">
        <f>'5 - 11 July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'5 - 11 July 2021'!E15</f>
        <v>53639.31</v>
      </c>
      <c r="C15" s="73">
        <v>151349.99</v>
      </c>
      <c r="D15" s="145">
        <v>57907.26</v>
      </c>
      <c r="E15" s="145">
        <v>108441.60000000001</v>
      </c>
      <c r="F15" s="145">
        <v>189086.47</v>
      </c>
      <c r="G15" s="163">
        <f t="shared" si="0"/>
        <v>-0.28350441252093894</v>
      </c>
      <c r="H15" s="155">
        <f t="shared" si="3"/>
        <v>0.87267710473609017</v>
      </c>
      <c r="I15" s="263">
        <f t="shared" si="4"/>
        <v>1.0216814869542508</v>
      </c>
      <c r="J15" s="150">
        <v>411</v>
      </c>
      <c r="K15" s="63">
        <f t="shared" si="5"/>
        <v>263.84817518248178</v>
      </c>
      <c r="L15" s="61">
        <v>29</v>
      </c>
      <c r="M15" s="28">
        <f t="shared" si="1"/>
        <v>7.0559610705596104E-2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</f>
        <v>656</v>
      </c>
      <c r="O15" s="172">
        <f t="shared" si="2"/>
        <v>1.5961070559610706</v>
      </c>
      <c r="P15" s="260">
        <v>0</v>
      </c>
      <c r="Q15" s="89">
        <f t="shared" si="6"/>
        <v>0</v>
      </c>
      <c r="R15" s="260">
        <v>32779.129999999997</v>
      </c>
      <c r="S15" s="89">
        <f t="shared" si="7"/>
        <v>0.30227449613432478</v>
      </c>
      <c r="T15" s="130">
        <v>2946.6</v>
      </c>
      <c r="U15" s="9"/>
    </row>
    <row r="16" spans="1:24" ht="15.6" customHeight="1" x14ac:dyDescent="0.3">
      <c r="A16" s="198" t="s">
        <v>27</v>
      </c>
      <c r="B16" s="200">
        <f>'5 - 11 July 2021'!E16</f>
        <v>53928.76</v>
      </c>
      <c r="C16" s="73">
        <v>115444.65</v>
      </c>
      <c r="D16" s="145">
        <v>46581.21</v>
      </c>
      <c r="E16" s="145">
        <v>58555.33</v>
      </c>
      <c r="F16" s="145">
        <v>156927.72</v>
      </c>
      <c r="G16" s="163">
        <f t="shared" si="0"/>
        <v>-0.49278437762165672</v>
      </c>
      <c r="H16" s="155">
        <f t="shared" si="3"/>
        <v>0.25705901585639368</v>
      </c>
      <c r="I16" s="263">
        <f t="shared" si="4"/>
        <v>8.5790402004422117E-2</v>
      </c>
      <c r="J16" s="150">
        <v>262</v>
      </c>
      <c r="K16" s="63">
        <f t="shared" si="5"/>
        <v>223.49362595419848</v>
      </c>
      <c r="L16" s="61">
        <v>4</v>
      </c>
      <c r="M16" s="28">
        <f t="shared" si="1"/>
        <v>1.5267175572519083E-2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</f>
        <v>378</v>
      </c>
      <c r="O16" s="172">
        <f t="shared" si="2"/>
        <v>1.4427480916030535</v>
      </c>
      <c r="P16" s="260">
        <v>25192.84</v>
      </c>
      <c r="Q16" s="89">
        <f t="shared" si="6"/>
        <v>0.43023991155032343</v>
      </c>
      <c r="R16" s="260">
        <v>19896</v>
      </c>
      <c r="S16" s="89">
        <f t="shared" si="7"/>
        <v>0.33978119498259168</v>
      </c>
      <c r="T16" s="130">
        <v>1699.3</v>
      </c>
      <c r="U16" s="9"/>
      <c r="X16" s="238"/>
    </row>
    <row r="17" spans="1:21" ht="15.6" customHeight="1" x14ac:dyDescent="0.3">
      <c r="A17" s="198" t="s">
        <v>28</v>
      </c>
      <c r="B17" s="200">
        <f>'5 - 11 July 2021'!E17</f>
        <v>67366.8</v>
      </c>
      <c r="C17" s="73">
        <v>188856.74</v>
      </c>
      <c r="D17" s="145">
        <v>71151.03</v>
      </c>
      <c r="E17" s="145">
        <v>67441.919999999998</v>
      </c>
      <c r="F17" s="145">
        <v>181044.24</v>
      </c>
      <c r="G17" s="163">
        <f t="shared" si="0"/>
        <v>-0.64289376169471102</v>
      </c>
      <c r="H17" s="155">
        <f t="shared" si="3"/>
        <v>-5.2130095657083257E-2</v>
      </c>
      <c r="I17" s="263">
        <f t="shared" si="4"/>
        <v>1.1150893318369781E-3</v>
      </c>
      <c r="J17" s="150">
        <v>313</v>
      </c>
      <c r="K17" s="63">
        <f t="shared" si="5"/>
        <v>215.46939297124601</v>
      </c>
      <c r="L17" s="61">
        <v>24</v>
      </c>
      <c r="M17" s="28">
        <f t="shared" si="1"/>
        <v>7.6677316293929709E-2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</f>
        <v>819</v>
      </c>
      <c r="O17" s="172">
        <f t="shared" si="2"/>
        <v>2.6166134185303513</v>
      </c>
      <c r="P17" s="260">
        <v>33304.58</v>
      </c>
      <c r="Q17" s="89">
        <f t="shared" si="6"/>
        <v>0.49382609510524023</v>
      </c>
      <c r="R17" s="260">
        <v>9832.0400000000009</v>
      </c>
      <c r="S17" s="89">
        <f t="shared" si="7"/>
        <v>0.14578529199643192</v>
      </c>
      <c r="T17" s="130">
        <v>3057</v>
      </c>
      <c r="U17" s="9"/>
    </row>
    <row r="18" spans="1:21" ht="15.6" customHeight="1" x14ac:dyDescent="0.3">
      <c r="A18" s="198" t="s">
        <v>33</v>
      </c>
      <c r="B18" s="200">
        <f>'5 - 11 July 2021'!E18</f>
        <v>59032.42</v>
      </c>
      <c r="C18" s="73">
        <v>160386.38</v>
      </c>
      <c r="D18" s="73">
        <v>59731.77</v>
      </c>
      <c r="E18" s="145">
        <v>75582.539999999994</v>
      </c>
      <c r="F18" s="145">
        <v>117128.35</v>
      </c>
      <c r="G18" s="163">
        <f t="shared" si="0"/>
        <v>-0.52874714174607595</v>
      </c>
      <c r="H18" s="155">
        <f t="shared" si="3"/>
        <v>0.26536581788887215</v>
      </c>
      <c r="I18" s="263">
        <f t="shared" si="4"/>
        <v>0.28035645497846767</v>
      </c>
      <c r="J18" s="150">
        <v>345</v>
      </c>
      <c r="K18" s="63">
        <f t="shared" si="5"/>
        <v>219.0798260869565</v>
      </c>
      <c r="L18" s="61">
        <v>53</v>
      </c>
      <c r="M18" s="28">
        <f t="shared" si="1"/>
        <v>0.15362318840579711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</f>
        <v>1113</v>
      </c>
      <c r="O18" s="172">
        <f t="shared" si="2"/>
        <v>3.2260869565217392</v>
      </c>
      <c r="P18" s="260">
        <v>26707.48</v>
      </c>
      <c r="Q18" s="89">
        <f t="shared" si="6"/>
        <v>0.35335515318749544</v>
      </c>
      <c r="R18" s="260">
        <v>11549.87</v>
      </c>
      <c r="S18" s="89">
        <f t="shared" si="7"/>
        <v>0.15281135034625723</v>
      </c>
      <c r="T18" s="130">
        <v>1817.7</v>
      </c>
      <c r="U18" s="9"/>
    </row>
    <row r="19" spans="1:21" ht="16.2" hidden="1" customHeight="1" thickBot="1" x14ac:dyDescent="0.35">
      <c r="A19" s="203" t="s">
        <v>37</v>
      </c>
      <c r="B19" s="201">
        <f>'23 - 29 Nov 2020'!D19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115"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307" priority="1" operator="equal">
      <formula>0</formula>
    </cfRule>
  </conditionalFormatting>
  <conditionalFormatting sqref="D7:F19">
    <cfRule type="cellIs" dxfId="306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X41"/>
  <sheetViews>
    <sheetView zoomScale="70" zoomScaleNormal="70" workbookViewId="0">
      <pane xSplit="1" topLeftCell="B1" activePane="topRight" state="frozen"/>
      <selection pane="topRight" activeCell="H13" sqref="H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-0.55224345587026713</v>
      </c>
      <c r="H2" s="413"/>
      <c r="I2" s="400">
        <f>(((E4-E19-B19)-B4)/E4)</f>
        <v>0.12087842680526263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905557.25999999989</v>
      </c>
      <c r="C4" s="135">
        <f>SUM(C6:C19)-C14-C19-C10</f>
        <v>2300514.83</v>
      </c>
      <c r="D4" s="142">
        <f>SUM(D6:D19)-D19-D10</f>
        <v>731407.52</v>
      </c>
      <c r="E4" s="142">
        <f>SUM(E6:E19)-E19-E10</f>
        <v>1030070.5700000001</v>
      </c>
      <c r="F4" s="142">
        <f>SUM(F6:F19)-F19-F10</f>
        <v>3086416.83</v>
      </c>
      <c r="G4" s="217">
        <f t="shared" ref="G4:G19" si="0">IFERROR((SUM(E4-C4)/C4),0)</f>
        <v>-0.55224345587026713</v>
      </c>
      <c r="H4" s="217">
        <f>IFERROR((SUM(E4-D4)/D4),0)</f>
        <v>0.40834014121156431</v>
      </c>
      <c r="I4" s="217">
        <f>IFERROR((SUM(E4-B4)/E4),0)</f>
        <v>0.12087842680526263</v>
      </c>
      <c r="J4" s="262">
        <f>SUM(J6:J18)</f>
        <v>4654</v>
      </c>
      <c r="K4" s="218">
        <f>AVERAGE(K5:K19)</f>
        <v>205.97779791596483</v>
      </c>
      <c r="L4" s="219">
        <f>SUM(L6:L19)</f>
        <v>430</v>
      </c>
      <c r="M4" s="220">
        <f t="shared" ref="M4:M19" si="1">IFERROR(L4/J4,0)</f>
        <v>9.2393639879673403E-2</v>
      </c>
      <c r="N4" s="221">
        <f>SUM(N6:N19)</f>
        <v>8419</v>
      </c>
      <c r="O4" s="222">
        <f t="shared" ref="O4:O19" si="2">IFERROR(N4/SUM(J4),0)</f>
        <v>1.8089815212720242</v>
      </c>
      <c r="P4" s="249">
        <f>SUM(P6:P19)</f>
        <v>329599.55</v>
      </c>
      <c r="Q4" s="222">
        <f>SUM(P4/E4)</f>
        <v>0.31997763997858902</v>
      </c>
      <c r="R4" s="244">
        <f>SUM(R6:R19)</f>
        <v>237375.24000000002</v>
      </c>
      <c r="S4" s="222">
        <f>SUM(R4/E4)</f>
        <v>0.23044560917801973</v>
      </c>
      <c r="T4" s="257">
        <f>SUM(T6:T19)</f>
        <v>40592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'12 - 18 July 2021'!E6</f>
        <v>104954.75</v>
      </c>
      <c r="C6" s="255">
        <v>271945.84000000003</v>
      </c>
      <c r="D6" s="197">
        <v>94828.28</v>
      </c>
      <c r="E6" s="123">
        <v>120487.58</v>
      </c>
      <c r="F6" s="197">
        <v>348396.55</v>
      </c>
      <c r="G6" s="162">
        <f t="shared" si="0"/>
        <v>-0.55694273536230599</v>
      </c>
      <c r="H6" s="154">
        <f t="shared" ref="H6:H18" si="3">IFERROR((SUM(E6-D6)/D6),0)</f>
        <v>0.2705870021052792</v>
      </c>
      <c r="I6" s="266">
        <f t="shared" ref="I6:I19" si="4">IFERROR((SUM(E6-B6)/B6),0)</f>
        <v>0.14799549329592041</v>
      </c>
      <c r="J6" s="149">
        <v>476</v>
      </c>
      <c r="K6" s="63">
        <f t="shared" ref="K6:K19" si="5">IFERROR(E6/J6,0)</f>
        <v>253.12516806722689</v>
      </c>
      <c r="L6" s="125">
        <v>13</v>
      </c>
      <c r="M6" s="126">
        <f t="shared" si="1"/>
        <v>2.7310924369747899E-2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</f>
        <v>604</v>
      </c>
      <c r="O6" s="171">
        <f t="shared" si="2"/>
        <v>1.26890756302521</v>
      </c>
      <c r="P6" s="259">
        <v>24122.83</v>
      </c>
      <c r="Q6" s="128">
        <f t="shared" ref="Q6:Q19" si="6">SUM(P6/E6)</f>
        <v>0.20021009634354014</v>
      </c>
      <c r="R6" s="260">
        <v>22596.04</v>
      </c>
      <c r="S6" s="128">
        <f t="shared" ref="S6:S19" si="7">SUM(R6/E6)</f>
        <v>0.18753833382660687</v>
      </c>
      <c r="T6" s="129">
        <v>6512.1</v>
      </c>
      <c r="U6" s="26"/>
    </row>
    <row r="7" spans="1:24" ht="15.6" customHeight="1" x14ac:dyDescent="0.3">
      <c r="A7" s="409" t="s">
        <v>16</v>
      </c>
      <c r="B7" s="200">
        <f>'12 - 18 July 2021'!E7</f>
        <v>50825.27</v>
      </c>
      <c r="C7" s="73">
        <v>260258.72</v>
      </c>
      <c r="D7" s="145">
        <v>70362.240000000005</v>
      </c>
      <c r="E7" s="145">
        <v>65479.86</v>
      </c>
      <c r="F7" s="145">
        <v>163812.39000000001</v>
      </c>
      <c r="G7" s="163">
        <f t="shared" si="0"/>
        <v>-0.74840474125132095</v>
      </c>
      <c r="H7" s="155">
        <f t="shared" si="3"/>
        <v>-6.9389206483477558E-2</v>
      </c>
      <c r="I7" s="263">
        <f t="shared" si="4"/>
        <v>0.2883327525854758</v>
      </c>
      <c r="J7" s="150">
        <v>270</v>
      </c>
      <c r="K7" s="63">
        <f t="shared" si="5"/>
        <v>242.518</v>
      </c>
      <c r="L7" s="61">
        <v>32</v>
      </c>
      <c r="M7" s="28">
        <f t="shared" si="1"/>
        <v>0.11851851851851852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</f>
        <v>760</v>
      </c>
      <c r="O7" s="172">
        <f t="shared" si="2"/>
        <v>2.8148148148148149</v>
      </c>
      <c r="P7" s="260">
        <v>24658.77</v>
      </c>
      <c r="Q7" s="89">
        <f t="shared" si="6"/>
        <v>0.37658556386650799</v>
      </c>
      <c r="R7" s="260">
        <v>12806.59</v>
      </c>
      <c r="S7" s="89">
        <f t="shared" si="7"/>
        <v>0.19558059531587269</v>
      </c>
      <c r="T7" s="130">
        <v>2854.8</v>
      </c>
      <c r="U7" s="26"/>
    </row>
    <row r="8" spans="1:24" ht="15.6" customHeight="1" x14ac:dyDescent="0.3">
      <c r="A8" s="409" t="s">
        <v>17</v>
      </c>
      <c r="B8" s="200">
        <f>'12 - 18 July 2021'!E8</f>
        <v>60937.2</v>
      </c>
      <c r="C8" s="73">
        <v>125957.48</v>
      </c>
      <c r="D8" s="145">
        <v>58768.38</v>
      </c>
      <c r="E8" s="145">
        <v>69384.679999999993</v>
      </c>
      <c r="F8" s="145">
        <v>223095.21</v>
      </c>
      <c r="G8" s="163">
        <f t="shared" si="0"/>
        <v>-0.44914204380716416</v>
      </c>
      <c r="H8" s="155">
        <f t="shared" si="3"/>
        <v>0.18064646328518832</v>
      </c>
      <c r="I8" s="263">
        <f t="shared" si="4"/>
        <v>0.1386259952869511</v>
      </c>
      <c r="J8" s="150">
        <v>327</v>
      </c>
      <c r="K8" s="63">
        <f t="shared" si="5"/>
        <v>212.18556574923545</v>
      </c>
      <c r="L8" s="61">
        <v>20</v>
      </c>
      <c r="M8" s="28">
        <f t="shared" si="1"/>
        <v>6.1162079510703363E-2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</f>
        <v>318</v>
      </c>
      <c r="O8" s="172">
        <f t="shared" si="2"/>
        <v>0.97247706422018354</v>
      </c>
      <c r="P8" s="260">
        <v>36365.03</v>
      </c>
      <c r="Q8" s="89">
        <f t="shared" si="6"/>
        <v>0.52410748309280952</v>
      </c>
      <c r="R8" s="260">
        <v>14674.87</v>
      </c>
      <c r="S8" s="89">
        <f t="shared" si="7"/>
        <v>0.21150014671826695</v>
      </c>
      <c r="T8" s="130">
        <v>1989.5</v>
      </c>
      <c r="U8" s="26"/>
    </row>
    <row r="9" spans="1:24" ht="15.6" customHeight="1" x14ac:dyDescent="0.3">
      <c r="A9" s="409" t="s">
        <v>18</v>
      </c>
      <c r="B9" s="200">
        <f>'12 - 18 July 2021'!E9</f>
        <v>78861.789999999994</v>
      </c>
      <c r="C9" s="73">
        <v>342049.35</v>
      </c>
      <c r="D9" s="145">
        <v>0</v>
      </c>
      <c r="E9" s="145">
        <v>93343.71</v>
      </c>
      <c r="F9" s="145">
        <v>275033.2</v>
      </c>
      <c r="G9" s="163">
        <f t="shared" si="0"/>
        <v>-0.72710455377272309</v>
      </c>
      <c r="H9" s="155">
        <f t="shared" si="3"/>
        <v>0</v>
      </c>
      <c r="I9" s="263">
        <f t="shared" si="4"/>
        <v>0.18363671430739797</v>
      </c>
      <c r="J9" s="150">
        <v>388</v>
      </c>
      <c r="K9" s="63">
        <f t="shared" si="5"/>
        <v>240.57657216494846</v>
      </c>
      <c r="L9" s="61">
        <v>28</v>
      </c>
      <c r="M9" s="28">
        <f t="shared" si="1"/>
        <v>7.2164948453608241E-2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</f>
        <v>527</v>
      </c>
      <c r="O9" s="172">
        <f t="shared" si="2"/>
        <v>1.3582474226804124</v>
      </c>
      <c r="P9" s="260">
        <v>20925.43</v>
      </c>
      <c r="Q9" s="89">
        <f t="shared" si="6"/>
        <v>0.22417611213439018</v>
      </c>
      <c r="R9" s="260">
        <v>13315.45</v>
      </c>
      <c r="S9" s="89">
        <f t="shared" si="7"/>
        <v>0.14264967612707916</v>
      </c>
      <c r="T9" s="130">
        <v>3103.77</v>
      </c>
      <c r="U9" s="26"/>
    </row>
    <row r="10" spans="1:24" ht="15.6" customHeight="1" x14ac:dyDescent="0.3">
      <c r="A10" s="409" t="s">
        <v>20</v>
      </c>
      <c r="B10" s="200">
        <f>'12 - 18 July 2021'!E10</f>
        <v>73055.399999999994</v>
      </c>
      <c r="C10" s="73">
        <v>164093.67000000001</v>
      </c>
      <c r="D10" s="145">
        <v>74596.09</v>
      </c>
      <c r="E10" s="145">
        <v>82429.22</v>
      </c>
      <c r="F10" s="145">
        <v>244139.36</v>
      </c>
      <c r="G10" s="163">
        <f t="shared" si="0"/>
        <v>-0.49766971510844998</v>
      </c>
      <c r="H10" s="155">
        <f t="shared" si="3"/>
        <v>0.10500724635835477</v>
      </c>
      <c r="I10" s="263">
        <f t="shared" si="4"/>
        <v>0.12831111731644762</v>
      </c>
      <c r="J10" s="150">
        <v>325</v>
      </c>
      <c r="K10" s="63">
        <f t="shared" si="5"/>
        <v>253.62836923076924</v>
      </c>
      <c r="L10" s="61">
        <v>23</v>
      </c>
      <c r="M10" s="28">
        <f t="shared" si="1"/>
        <v>7.0769230769230765E-2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</f>
        <v>401</v>
      </c>
      <c r="O10" s="172">
        <f t="shared" si="2"/>
        <v>1.2338461538461538</v>
      </c>
      <c r="P10" s="260">
        <v>26258.43</v>
      </c>
      <c r="Q10" s="89">
        <f t="shared" si="6"/>
        <v>0.31855730285935013</v>
      </c>
      <c r="R10" s="260">
        <v>22225.19</v>
      </c>
      <c r="S10" s="89">
        <f t="shared" si="7"/>
        <v>0.26962756653526504</v>
      </c>
      <c r="T10" s="130">
        <v>1913.2</v>
      </c>
      <c r="U10" s="26"/>
    </row>
    <row r="11" spans="1:24" ht="15.6" customHeight="1" x14ac:dyDescent="0.3">
      <c r="A11" s="409" t="s">
        <v>21</v>
      </c>
      <c r="B11" s="200">
        <f>'12 - 18 July 2021'!E11</f>
        <v>123729.06</v>
      </c>
      <c r="C11" s="73">
        <v>353967.18</v>
      </c>
      <c r="D11" s="145">
        <v>116729.46</v>
      </c>
      <c r="E11" s="145">
        <v>144846.87</v>
      </c>
      <c r="F11" s="145">
        <v>431927.31</v>
      </c>
      <c r="G11" s="163">
        <f t="shared" si="0"/>
        <v>-0.59079011223582933</v>
      </c>
      <c r="H11" s="155">
        <f t="shared" si="3"/>
        <v>0.24087672469314933</v>
      </c>
      <c r="I11" s="263">
        <f t="shared" si="4"/>
        <v>0.17067785045808961</v>
      </c>
      <c r="J11" s="150">
        <v>625</v>
      </c>
      <c r="K11" s="63">
        <f t="shared" si="5"/>
        <v>231.75499199999999</v>
      </c>
      <c r="L11" s="61">
        <v>70</v>
      </c>
      <c r="M11" s="28">
        <f t="shared" si="1"/>
        <v>0.112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</f>
        <v>1264</v>
      </c>
      <c r="O11" s="172">
        <f t="shared" si="2"/>
        <v>2.0224000000000002</v>
      </c>
      <c r="P11" s="260">
        <v>45863.89</v>
      </c>
      <c r="Q11" s="89">
        <f t="shared" si="6"/>
        <v>0.31663708024895532</v>
      </c>
      <c r="R11" s="260">
        <v>33949.96</v>
      </c>
      <c r="S11" s="89">
        <f t="shared" si="7"/>
        <v>0.23438518208919529</v>
      </c>
      <c r="T11" s="130">
        <v>6456.78</v>
      </c>
      <c r="U11" s="26"/>
    </row>
    <row r="12" spans="1:24" ht="15.6" customHeight="1" x14ac:dyDescent="0.3">
      <c r="A12" s="198" t="s">
        <v>22</v>
      </c>
      <c r="B12" s="200">
        <f>'12 - 18 July 2021'!E12</f>
        <v>59060.2</v>
      </c>
      <c r="C12" s="73">
        <v>130324.8</v>
      </c>
      <c r="D12" s="145">
        <v>49044.45</v>
      </c>
      <c r="E12" s="145">
        <v>71162.13</v>
      </c>
      <c r="F12" s="145">
        <v>205789.67</v>
      </c>
      <c r="G12" s="163">
        <f t="shared" si="0"/>
        <v>-0.45396325181392949</v>
      </c>
      <c r="H12" s="155">
        <f t="shared" si="3"/>
        <v>0.45097212834479761</v>
      </c>
      <c r="I12" s="263">
        <f t="shared" si="4"/>
        <v>0.20490838161740069</v>
      </c>
      <c r="J12" s="150">
        <v>280</v>
      </c>
      <c r="K12" s="63">
        <f t="shared" si="5"/>
        <v>254.15046428571429</v>
      </c>
      <c r="L12" s="61">
        <v>33</v>
      </c>
      <c r="M12" s="28">
        <f t="shared" si="1"/>
        <v>0.11785714285714285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</f>
        <v>533</v>
      </c>
      <c r="O12" s="172">
        <f t="shared" si="2"/>
        <v>1.9035714285714285</v>
      </c>
      <c r="P12" s="260">
        <v>20962.22</v>
      </c>
      <c r="Q12" s="89">
        <f t="shared" si="6"/>
        <v>0.29456987867001733</v>
      </c>
      <c r="R12" s="260">
        <v>14103.96</v>
      </c>
      <c r="S12" s="89">
        <f t="shared" si="7"/>
        <v>0.19819474206294835</v>
      </c>
      <c r="T12" s="130">
        <v>5160.55</v>
      </c>
      <c r="U12" s="26"/>
    </row>
    <row r="13" spans="1:24" ht="15.6" customHeight="1" x14ac:dyDescent="0.3">
      <c r="A13" s="198" t="s">
        <v>23</v>
      </c>
      <c r="B13" s="200">
        <f>'12 - 18 July 2021'!E13</f>
        <v>117167.6</v>
      </c>
      <c r="C13" s="73">
        <v>212060.52</v>
      </c>
      <c r="D13" s="145">
        <v>92021.6</v>
      </c>
      <c r="E13" s="145">
        <v>130900.28</v>
      </c>
      <c r="F13" s="145">
        <v>399710.26</v>
      </c>
      <c r="G13" s="163">
        <f t="shared" si="0"/>
        <v>-0.38272206443707674</v>
      </c>
      <c r="H13" s="155">
        <f t="shared" si="3"/>
        <v>0.42249515331183102</v>
      </c>
      <c r="I13" s="263">
        <f t="shared" si="4"/>
        <v>0.11720543904628918</v>
      </c>
      <c r="J13" s="150">
        <v>579</v>
      </c>
      <c r="K13" s="63">
        <f t="shared" si="5"/>
        <v>226.07993091537134</v>
      </c>
      <c r="L13" s="61">
        <v>60</v>
      </c>
      <c r="M13" s="28">
        <f t="shared" si="1"/>
        <v>0.10362694300518134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</f>
        <v>895</v>
      </c>
      <c r="O13" s="172">
        <f t="shared" si="2"/>
        <v>1.5457685664939551</v>
      </c>
      <c r="P13" s="260">
        <v>38956.25</v>
      </c>
      <c r="Q13" s="89">
        <f t="shared" si="6"/>
        <v>0.29760249557907748</v>
      </c>
      <c r="R13" s="260">
        <v>31843.58</v>
      </c>
      <c r="S13" s="89">
        <f t="shared" si="7"/>
        <v>0.24326594259385848</v>
      </c>
      <c r="T13" s="130">
        <v>2220</v>
      </c>
      <c r="U13" s="26"/>
    </row>
    <row r="14" spans="1:24" ht="15.6" hidden="1" customHeight="1" x14ac:dyDescent="0.3">
      <c r="A14" s="198" t="s">
        <v>24</v>
      </c>
      <c r="B14" s="200">
        <f>'12 - 18 July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'12 - 18 July 2021'!E15</f>
        <v>108441.60000000001</v>
      </c>
      <c r="C15" s="73">
        <v>129536.18</v>
      </c>
      <c r="D15" s="145">
        <v>60590.68</v>
      </c>
      <c r="E15" s="145">
        <v>87330.55</v>
      </c>
      <c r="F15" s="145">
        <v>276417.02</v>
      </c>
      <c r="G15" s="163">
        <f t="shared" si="0"/>
        <v>-0.32582117212349471</v>
      </c>
      <c r="H15" s="155">
        <f t="shared" si="3"/>
        <v>0.44131985315233302</v>
      </c>
      <c r="I15" s="263">
        <f t="shared" si="4"/>
        <v>-0.1946766738963645</v>
      </c>
      <c r="J15" s="150">
        <v>316</v>
      </c>
      <c r="K15" s="63">
        <f t="shared" si="5"/>
        <v>276.36250000000001</v>
      </c>
      <c r="L15" s="61">
        <v>30</v>
      </c>
      <c r="M15" s="28">
        <f t="shared" si="1"/>
        <v>9.49367088607595E-2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</f>
        <v>686</v>
      </c>
      <c r="O15" s="172">
        <f t="shared" si="2"/>
        <v>2.1708860759493671</v>
      </c>
      <c r="P15" s="260">
        <v>0</v>
      </c>
      <c r="Q15" s="89">
        <f t="shared" si="6"/>
        <v>0</v>
      </c>
      <c r="R15" s="260">
        <v>22413.040000000001</v>
      </c>
      <c r="S15" s="89">
        <f t="shared" si="7"/>
        <v>0.25664604196355112</v>
      </c>
      <c r="T15" s="130">
        <v>1913.4</v>
      </c>
      <c r="U15" s="9"/>
    </row>
    <row r="16" spans="1:24" ht="15.6" customHeight="1" x14ac:dyDescent="0.3">
      <c r="A16" s="198" t="s">
        <v>27</v>
      </c>
      <c r="B16" s="200">
        <f>'12 - 18 July 2021'!E16</f>
        <v>58555.33</v>
      </c>
      <c r="C16" s="73">
        <v>113373.11</v>
      </c>
      <c r="D16" s="145">
        <v>45783.199999999997</v>
      </c>
      <c r="E16" s="145">
        <v>76572.350000000006</v>
      </c>
      <c r="F16" s="145">
        <v>233500.07</v>
      </c>
      <c r="G16" s="163">
        <f t="shared" si="0"/>
        <v>-0.32459866365137197</v>
      </c>
      <c r="H16" s="155">
        <f t="shared" si="3"/>
        <v>0.67249886421220029</v>
      </c>
      <c r="I16" s="263">
        <f t="shared" si="4"/>
        <v>0.30769222887139402</v>
      </c>
      <c r="J16" s="150">
        <v>333</v>
      </c>
      <c r="K16" s="63">
        <f t="shared" si="5"/>
        <v>229.946996996997</v>
      </c>
      <c r="L16" s="61">
        <v>12</v>
      </c>
      <c r="M16" s="28">
        <f t="shared" si="1"/>
        <v>3.6036036036036036E-2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</f>
        <v>390</v>
      </c>
      <c r="O16" s="172">
        <f t="shared" si="2"/>
        <v>1.1711711711711712</v>
      </c>
      <c r="P16" s="260">
        <v>30444.01</v>
      </c>
      <c r="Q16" s="89">
        <f t="shared" si="6"/>
        <v>0.39758489846530759</v>
      </c>
      <c r="R16" s="260">
        <v>23231.65</v>
      </c>
      <c r="S16" s="89">
        <f t="shared" si="7"/>
        <v>0.30339476325331532</v>
      </c>
      <c r="T16" s="130">
        <v>3380.9</v>
      </c>
      <c r="U16" s="9"/>
      <c r="X16" s="238"/>
    </row>
    <row r="17" spans="1:21" ht="15.6" customHeight="1" x14ac:dyDescent="0.3">
      <c r="A17" s="198" t="s">
        <v>28</v>
      </c>
      <c r="B17" s="200">
        <f>'12 - 18 July 2021'!E17</f>
        <v>67441.919999999998</v>
      </c>
      <c r="C17" s="73">
        <v>198530.03</v>
      </c>
      <c r="D17" s="145">
        <v>67674.37</v>
      </c>
      <c r="E17" s="145">
        <v>77712.2</v>
      </c>
      <c r="F17" s="145">
        <v>258756.44</v>
      </c>
      <c r="G17" s="163">
        <f t="shared" si="0"/>
        <v>-0.60856198933733097</v>
      </c>
      <c r="H17" s="155">
        <f t="shared" si="3"/>
        <v>0.14832542955331543</v>
      </c>
      <c r="I17" s="263">
        <f t="shared" si="4"/>
        <v>0.15228332763954525</v>
      </c>
      <c r="J17" s="150">
        <v>358</v>
      </c>
      <c r="K17" s="63">
        <f t="shared" si="5"/>
        <v>217.07318435754189</v>
      </c>
      <c r="L17" s="61">
        <v>51</v>
      </c>
      <c r="M17" s="28">
        <f t="shared" si="1"/>
        <v>0.14245810055865921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</f>
        <v>870</v>
      </c>
      <c r="O17" s="172">
        <f t="shared" si="2"/>
        <v>2.430167597765363</v>
      </c>
      <c r="P17" s="260">
        <v>28122.3</v>
      </c>
      <c r="Q17" s="89">
        <f t="shared" si="6"/>
        <v>0.36187754303700065</v>
      </c>
      <c r="R17" s="260">
        <v>12922.14</v>
      </c>
      <c r="S17" s="89">
        <f t="shared" si="7"/>
        <v>0.16628199948013311</v>
      </c>
      <c r="T17" s="130">
        <v>3479</v>
      </c>
      <c r="U17" s="9"/>
    </row>
    <row r="18" spans="1:21" ht="15.6" customHeight="1" x14ac:dyDescent="0.3">
      <c r="A18" s="198" t="s">
        <v>33</v>
      </c>
      <c r="B18" s="200">
        <f>'12 - 18 July 2021'!E18</f>
        <v>75582.539999999994</v>
      </c>
      <c r="C18" s="73">
        <v>162511.62</v>
      </c>
      <c r="D18" s="73">
        <v>75604.86</v>
      </c>
      <c r="E18" s="145">
        <v>92850.36</v>
      </c>
      <c r="F18" s="145">
        <v>269978.71000000002</v>
      </c>
      <c r="G18" s="163">
        <f t="shared" si="0"/>
        <v>-0.42865402486296056</v>
      </c>
      <c r="H18" s="155">
        <f t="shared" si="3"/>
        <v>0.22810041576692291</v>
      </c>
      <c r="I18" s="263">
        <f t="shared" si="4"/>
        <v>0.22846308155296194</v>
      </c>
      <c r="J18" s="150">
        <v>377</v>
      </c>
      <c r="K18" s="63">
        <f t="shared" si="5"/>
        <v>246.28742705570292</v>
      </c>
      <c r="L18" s="61">
        <v>58</v>
      </c>
      <c r="M18" s="28">
        <f t="shared" si="1"/>
        <v>0.15384615384615385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</f>
        <v>1171</v>
      </c>
      <c r="O18" s="172">
        <f t="shared" si="2"/>
        <v>3.1061007957559683</v>
      </c>
      <c r="P18" s="260">
        <v>32920.39</v>
      </c>
      <c r="Q18" s="89">
        <f t="shared" si="6"/>
        <v>0.35455317566889349</v>
      </c>
      <c r="R18" s="260">
        <v>13292.77</v>
      </c>
      <c r="S18" s="89">
        <f t="shared" si="7"/>
        <v>0.1431633652255091</v>
      </c>
      <c r="T18" s="130">
        <v>1608</v>
      </c>
      <c r="U18" s="9"/>
    </row>
    <row r="19" spans="1:21" ht="16.2" hidden="1" customHeight="1" thickBot="1" x14ac:dyDescent="0.35">
      <c r="A19" s="203" t="s">
        <v>37</v>
      </c>
      <c r="B19" s="200">
        <f>'12 - 18 July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115"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305" priority="1" operator="equal">
      <formula>0</formula>
    </cfRule>
  </conditionalFormatting>
  <conditionalFormatting sqref="D7:F19">
    <cfRule type="cellIs" dxfId="30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X41"/>
  <sheetViews>
    <sheetView zoomScale="70" zoomScaleNormal="70" workbookViewId="0">
      <pane xSplit="1" topLeftCell="B1" activePane="topRight" state="frozen"/>
      <selection pane="topRight" activeCell="J9" sqref="J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-0.29595580312778524</v>
      </c>
      <c r="H2" s="413"/>
      <c r="I2" s="400">
        <f>(((E4-E19-B19)-B4)/E4)</f>
        <v>0.37251086173246978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1030070.5700000001</v>
      </c>
      <c r="C4" s="135">
        <f>SUM(C6:C19)-C14-C19-C10</f>
        <v>2331636.4899999998</v>
      </c>
      <c r="D4" s="142">
        <f>SUM(D6:D19)-D19-D10</f>
        <v>886887.34000000008</v>
      </c>
      <c r="E4" s="142">
        <f>SUM(E6:E19)-E19-E10</f>
        <v>1641575.1399999997</v>
      </c>
      <c r="F4" s="142">
        <f>SUM(F6:F19)-F19-F10</f>
        <v>255405.49000000002</v>
      </c>
      <c r="G4" s="217">
        <f t="shared" ref="G4:G19" si="0">IFERROR((SUM(E4-C4)/C4),0)</f>
        <v>-0.29595580312778524</v>
      </c>
      <c r="H4" s="217">
        <f>IFERROR((SUM(E4-D4)/D4),0)</f>
        <v>0.85093987247579783</v>
      </c>
      <c r="I4" s="217">
        <f>IFERROR((SUM(E4-B4)/E4),0)</f>
        <v>0.37251086173246978</v>
      </c>
      <c r="J4" s="262">
        <f>SUM(J6:J18)</f>
        <v>6556</v>
      </c>
      <c r="K4" s="218">
        <f>AVERAGE(K5:K19)</f>
        <v>228.66521091181829</v>
      </c>
      <c r="L4" s="219">
        <f>SUM(L6:L19)</f>
        <v>483</v>
      </c>
      <c r="M4" s="220">
        <f t="shared" ref="M4:M19" si="1">IFERROR(L4/J4,0)</f>
        <v>7.3672971323978029E-2</v>
      </c>
      <c r="N4" s="221">
        <f>SUM(N6:N19)</f>
        <v>8902</v>
      </c>
      <c r="O4" s="222">
        <f t="shared" ref="O4:O19" si="2">IFERROR(N4/SUM(J4),0)</f>
        <v>1.3578401464307503</v>
      </c>
      <c r="P4" s="249">
        <f>SUM(P6:P19)</f>
        <v>379873.24</v>
      </c>
      <c r="Q4" s="222">
        <f>SUM(P4/E4)</f>
        <v>0.23140776851676742</v>
      </c>
      <c r="R4" s="244">
        <f>SUM(R6:R19)</f>
        <v>235464.29000000004</v>
      </c>
      <c r="S4" s="222">
        <f>SUM(R4/E4)</f>
        <v>0.14343802136282358</v>
      </c>
      <c r="T4" s="257">
        <f>SUM(T6:T19)</f>
        <v>60417.39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'19 - 25 July 2021'!E6</f>
        <v>120487.58</v>
      </c>
      <c r="C6" s="255">
        <v>261957.32</v>
      </c>
      <c r="D6" s="197">
        <v>113180.17</v>
      </c>
      <c r="E6" s="123">
        <v>176130.36</v>
      </c>
      <c r="F6" s="197">
        <v>38804.39</v>
      </c>
      <c r="G6" s="162">
        <f t="shared" si="0"/>
        <v>-0.32763718914210915</v>
      </c>
      <c r="H6" s="154">
        <f t="shared" ref="H6:H18" si="3">IFERROR((SUM(E6-D6)/D6),0)</f>
        <v>0.55619451711373102</v>
      </c>
      <c r="I6" s="266">
        <f t="shared" ref="I6:I19" si="4">IFERROR((SUM(E6-B6)/B6),0)</f>
        <v>0.46181340848575414</v>
      </c>
      <c r="J6" s="149">
        <v>637</v>
      </c>
      <c r="K6" s="63">
        <f t="shared" ref="K6:K19" si="5">IFERROR(E6/J6,0)</f>
        <v>276.49978021978018</v>
      </c>
      <c r="L6" s="125">
        <v>23</v>
      </c>
      <c r="M6" s="126">
        <f t="shared" si="1"/>
        <v>3.6106750392464679E-2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</f>
        <v>627</v>
      </c>
      <c r="O6" s="171">
        <f t="shared" si="2"/>
        <v>0.98430141287284145</v>
      </c>
      <c r="P6" s="259">
        <v>35228.61</v>
      </c>
      <c r="Q6" s="128">
        <f t="shared" ref="Q6:Q19" si="6">SUM(P6/E6)</f>
        <v>0.20001440978148233</v>
      </c>
      <c r="R6" s="260">
        <v>11489.09</v>
      </c>
      <c r="S6" s="128">
        <f t="shared" ref="S6:S19" si="7">SUM(R6/E6)</f>
        <v>6.5230605331187658E-2</v>
      </c>
      <c r="T6" s="129">
        <v>10655</v>
      </c>
      <c r="U6" s="26"/>
    </row>
    <row r="7" spans="1:24" ht="15.6" customHeight="1" x14ac:dyDescent="0.3">
      <c r="A7" s="409" t="s">
        <v>16</v>
      </c>
      <c r="B7" s="200">
        <f>'19 - 25 July 2021'!E7</f>
        <v>65479.86</v>
      </c>
      <c r="C7" s="73">
        <v>212110.67</v>
      </c>
      <c r="D7" s="145">
        <v>95683.98</v>
      </c>
      <c r="E7" s="145">
        <v>125875.45</v>
      </c>
      <c r="F7" s="145">
        <v>18942.599999999999</v>
      </c>
      <c r="G7" s="163">
        <f t="shared" si="0"/>
        <v>-0.40655767104974028</v>
      </c>
      <c r="H7" s="155">
        <f t="shared" si="3"/>
        <v>0.31553317493691213</v>
      </c>
      <c r="I7" s="263">
        <f t="shared" si="4"/>
        <v>0.9223536824910743</v>
      </c>
      <c r="J7" s="150">
        <v>409</v>
      </c>
      <c r="K7" s="63">
        <f t="shared" si="5"/>
        <v>307.76393643031787</v>
      </c>
      <c r="L7" s="61">
        <v>36</v>
      </c>
      <c r="M7" s="28">
        <f t="shared" si="1"/>
        <v>8.8019559902200492E-2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</f>
        <v>796</v>
      </c>
      <c r="O7" s="172">
        <f t="shared" si="2"/>
        <v>1.9462102689486553</v>
      </c>
      <c r="P7" s="260">
        <v>25997.95</v>
      </c>
      <c r="Q7" s="89">
        <f t="shared" si="6"/>
        <v>0.20653709678892906</v>
      </c>
      <c r="R7" s="260">
        <v>13668.48</v>
      </c>
      <c r="S7" s="89">
        <f t="shared" si="7"/>
        <v>0.10858733772153346</v>
      </c>
      <c r="T7" s="130">
        <v>6193.68</v>
      </c>
      <c r="U7" s="26"/>
    </row>
    <row r="8" spans="1:24" ht="15.6" customHeight="1" x14ac:dyDescent="0.3">
      <c r="A8" s="409" t="s">
        <v>17</v>
      </c>
      <c r="B8" s="200">
        <f>'19 - 25 July 2021'!E8</f>
        <v>69384.679999999993</v>
      </c>
      <c r="C8" s="73">
        <v>132507.6</v>
      </c>
      <c r="D8" s="145">
        <v>73006.92</v>
      </c>
      <c r="E8" s="145">
        <v>108071.58</v>
      </c>
      <c r="F8" s="145">
        <v>17465.61</v>
      </c>
      <c r="G8" s="163">
        <f t="shared" si="0"/>
        <v>-0.18441221484654469</v>
      </c>
      <c r="H8" s="155">
        <f t="shared" si="3"/>
        <v>0.48029227914285394</v>
      </c>
      <c r="I8" s="263">
        <f t="shared" si="4"/>
        <v>0.55757121024410594</v>
      </c>
      <c r="J8" s="150">
        <v>432</v>
      </c>
      <c r="K8" s="63">
        <f t="shared" si="5"/>
        <v>250.16569444444445</v>
      </c>
      <c r="L8" s="61">
        <v>13</v>
      </c>
      <c r="M8" s="28">
        <f t="shared" si="1"/>
        <v>3.0092592592592591E-2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</f>
        <v>331</v>
      </c>
      <c r="O8" s="172">
        <f t="shared" si="2"/>
        <v>0.76620370370370372</v>
      </c>
      <c r="P8" s="260">
        <v>46285.22</v>
      </c>
      <c r="Q8" s="89">
        <f t="shared" si="6"/>
        <v>0.42828299539990072</v>
      </c>
      <c r="R8" s="260">
        <v>14208.52</v>
      </c>
      <c r="S8" s="89">
        <f t="shared" si="7"/>
        <v>0.13147323283327586</v>
      </c>
      <c r="T8" s="130">
        <v>2093</v>
      </c>
      <c r="U8" s="26"/>
    </row>
    <row r="9" spans="1:24" ht="15.6" customHeight="1" x14ac:dyDescent="0.3">
      <c r="A9" s="409" t="s">
        <v>18</v>
      </c>
      <c r="B9" s="200">
        <f>'19 - 25 July 2021'!E9</f>
        <v>93343.71</v>
      </c>
      <c r="C9" s="73">
        <v>347205.66</v>
      </c>
      <c r="D9" s="145">
        <v>0</v>
      </c>
      <c r="E9" s="145">
        <v>178233.72</v>
      </c>
      <c r="F9" s="145">
        <v>34581.75</v>
      </c>
      <c r="G9" s="163">
        <f t="shared" si="0"/>
        <v>-0.48666240060717902</v>
      </c>
      <c r="H9" s="155">
        <f t="shared" si="3"/>
        <v>0</v>
      </c>
      <c r="I9" s="263">
        <f t="shared" si="4"/>
        <v>0.90943471177650848</v>
      </c>
      <c r="J9" s="150">
        <v>665</v>
      </c>
      <c r="K9" s="63">
        <f t="shared" si="5"/>
        <v>268.02063157894736</v>
      </c>
      <c r="L9" s="61">
        <v>40</v>
      </c>
      <c r="M9" s="28">
        <f t="shared" si="1"/>
        <v>6.0150375939849621E-2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</f>
        <v>567</v>
      </c>
      <c r="O9" s="172">
        <f t="shared" si="2"/>
        <v>0.85263157894736841</v>
      </c>
      <c r="P9" s="260">
        <v>30596.87</v>
      </c>
      <c r="Q9" s="89">
        <f t="shared" si="6"/>
        <v>0.1716671233703701</v>
      </c>
      <c r="R9" s="260">
        <v>10012.57</v>
      </c>
      <c r="S9" s="89">
        <f t="shared" si="7"/>
        <v>5.6176631447741758E-2</v>
      </c>
      <c r="T9" s="130">
        <v>3734.65</v>
      </c>
      <c r="U9" s="26"/>
    </row>
    <row r="10" spans="1:24" ht="15.6" customHeight="1" x14ac:dyDescent="0.3">
      <c r="A10" s="409" t="s">
        <v>20</v>
      </c>
      <c r="B10" s="200">
        <f>'19 - 25 July 2021'!E10</f>
        <v>82429.22</v>
      </c>
      <c r="C10" s="73">
        <v>139006.44</v>
      </c>
      <c r="D10" s="145">
        <v>99765.32</v>
      </c>
      <c r="E10" s="145">
        <v>108477.81</v>
      </c>
      <c r="F10" s="145">
        <v>19299.21</v>
      </c>
      <c r="G10" s="163">
        <f t="shared" si="0"/>
        <v>-0.21962025644279506</v>
      </c>
      <c r="H10" s="155">
        <f t="shared" si="3"/>
        <v>8.7329845681846055E-2</v>
      </c>
      <c r="I10" s="263">
        <f t="shared" si="4"/>
        <v>0.31601160365219999</v>
      </c>
      <c r="J10" s="150">
        <v>423</v>
      </c>
      <c r="K10" s="63">
        <f t="shared" si="5"/>
        <v>256.4487234042553</v>
      </c>
      <c r="L10" s="61">
        <v>15</v>
      </c>
      <c r="M10" s="28">
        <f t="shared" si="1"/>
        <v>3.5460992907801421E-2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</f>
        <v>416</v>
      </c>
      <c r="O10" s="172">
        <f t="shared" si="2"/>
        <v>0.98345153664302598</v>
      </c>
      <c r="P10" s="260">
        <v>29518.29</v>
      </c>
      <c r="Q10" s="89">
        <f t="shared" si="6"/>
        <v>0.27211362397526279</v>
      </c>
      <c r="R10" s="260">
        <v>20279.099999999999</v>
      </c>
      <c r="S10" s="89">
        <f t="shared" si="7"/>
        <v>0.18694238019738782</v>
      </c>
      <c r="T10" s="130">
        <v>2992.1</v>
      </c>
      <c r="U10" s="26"/>
    </row>
    <row r="11" spans="1:24" ht="15.6" customHeight="1" x14ac:dyDescent="0.3">
      <c r="A11" s="409" t="s">
        <v>21</v>
      </c>
      <c r="B11" s="200">
        <f>'19 - 25 July 2021'!E11</f>
        <v>144846.87</v>
      </c>
      <c r="C11" s="73">
        <v>363089.6</v>
      </c>
      <c r="D11" s="145">
        <v>124064.25</v>
      </c>
      <c r="E11" s="145">
        <v>238834.43</v>
      </c>
      <c r="F11" s="145">
        <v>36527.160000000003</v>
      </c>
      <c r="G11" s="163">
        <f t="shared" si="0"/>
        <v>-0.34221627388942011</v>
      </c>
      <c r="H11" s="155">
        <f t="shared" si="3"/>
        <v>0.92508663857638274</v>
      </c>
      <c r="I11" s="263">
        <f t="shared" si="4"/>
        <v>0.64887532605985898</v>
      </c>
      <c r="J11" s="150">
        <v>823</v>
      </c>
      <c r="K11" s="63">
        <f t="shared" si="5"/>
        <v>290.19979343863912</v>
      </c>
      <c r="L11" s="61">
        <v>65</v>
      </c>
      <c r="M11" s="28">
        <f t="shared" si="1"/>
        <v>7.8979343863912518E-2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</f>
        <v>1329</v>
      </c>
      <c r="O11" s="172">
        <f t="shared" si="2"/>
        <v>1.614823815309842</v>
      </c>
      <c r="P11" s="260">
        <v>47540.77</v>
      </c>
      <c r="Q11" s="89">
        <f t="shared" si="6"/>
        <v>0.19905325207927516</v>
      </c>
      <c r="R11" s="260">
        <v>31140</v>
      </c>
      <c r="S11" s="89">
        <f t="shared" si="7"/>
        <v>0.13038321149928006</v>
      </c>
      <c r="T11" s="130">
        <v>10634.41</v>
      </c>
      <c r="U11" s="26"/>
    </row>
    <row r="12" spans="1:24" ht="15.6" customHeight="1" x14ac:dyDescent="0.3">
      <c r="A12" s="198" t="s">
        <v>22</v>
      </c>
      <c r="B12" s="200">
        <f>'19 - 25 July 2021'!E12</f>
        <v>71162.13</v>
      </c>
      <c r="C12" s="73">
        <v>157461.4</v>
      </c>
      <c r="D12" s="145">
        <v>55893.07</v>
      </c>
      <c r="E12" s="145">
        <v>100052.68</v>
      </c>
      <c r="F12" s="145">
        <v>17019.34</v>
      </c>
      <c r="G12" s="163">
        <f t="shared" si="0"/>
        <v>-0.36458916280434445</v>
      </c>
      <c r="H12" s="155">
        <f t="shared" si="3"/>
        <v>0.79007308061625514</v>
      </c>
      <c r="I12" s="263">
        <f t="shared" si="4"/>
        <v>0.40598208625851961</v>
      </c>
      <c r="J12" s="150">
        <v>363</v>
      </c>
      <c r="K12" s="63">
        <f t="shared" si="5"/>
        <v>275.62721763085398</v>
      </c>
      <c r="L12" s="61">
        <v>51</v>
      </c>
      <c r="M12" s="28">
        <f t="shared" si="1"/>
        <v>0.14049586776859505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</f>
        <v>584</v>
      </c>
      <c r="O12" s="172">
        <f t="shared" si="2"/>
        <v>1.6088154269972452</v>
      </c>
      <c r="P12" s="260">
        <v>19465.78</v>
      </c>
      <c r="Q12" s="89">
        <f t="shared" si="6"/>
        <v>0.19455530826360673</v>
      </c>
      <c r="R12" s="260">
        <v>17887.830000000002</v>
      </c>
      <c r="S12" s="89">
        <f t="shared" si="7"/>
        <v>0.17878411652741338</v>
      </c>
      <c r="T12" s="130">
        <v>4096.8</v>
      </c>
      <c r="U12" s="26"/>
    </row>
    <row r="13" spans="1:24" ht="15.6" customHeight="1" x14ac:dyDescent="0.3">
      <c r="A13" s="198" t="s">
        <v>23</v>
      </c>
      <c r="B13" s="200">
        <f>'19 - 25 July 2021'!E13</f>
        <v>130900.28</v>
      </c>
      <c r="C13" s="73">
        <v>216093.02</v>
      </c>
      <c r="D13" s="145">
        <v>115238.2</v>
      </c>
      <c r="E13" s="145">
        <v>197544.45</v>
      </c>
      <c r="F13" s="145">
        <v>23395.93</v>
      </c>
      <c r="G13" s="163">
        <f t="shared" si="0"/>
        <v>-8.5836044125812014E-2</v>
      </c>
      <c r="H13" s="155">
        <f t="shared" si="3"/>
        <v>0.7142271399587985</v>
      </c>
      <c r="I13" s="263">
        <f t="shared" si="4"/>
        <v>0.50912167643950046</v>
      </c>
      <c r="J13" s="150">
        <v>746</v>
      </c>
      <c r="K13" s="63">
        <f t="shared" si="5"/>
        <v>264.80489276139411</v>
      </c>
      <c r="L13" s="61">
        <v>56</v>
      </c>
      <c r="M13" s="28">
        <f t="shared" si="1"/>
        <v>7.5067024128686322E-2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</f>
        <v>951</v>
      </c>
      <c r="O13" s="172">
        <f t="shared" si="2"/>
        <v>1.2747989276139411</v>
      </c>
      <c r="P13" s="260">
        <v>38963.879999999997</v>
      </c>
      <c r="Q13" s="89">
        <f t="shared" si="6"/>
        <v>0.19724107662857648</v>
      </c>
      <c r="R13" s="260">
        <v>31330.12</v>
      </c>
      <c r="S13" s="89">
        <f t="shared" si="7"/>
        <v>0.158597824439006</v>
      </c>
      <c r="T13" s="130">
        <v>4350</v>
      </c>
      <c r="U13" s="26"/>
    </row>
    <row r="14" spans="1:24" ht="15.6" hidden="1" customHeight="1" x14ac:dyDescent="0.3">
      <c r="A14" s="198" t="s">
        <v>24</v>
      </c>
      <c r="B14" s="200">
        <f>'19 - 25 July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'19 - 25 July 2021'!E15</f>
        <v>87330.55</v>
      </c>
      <c r="C15" s="73">
        <v>137311.25</v>
      </c>
      <c r="D15" s="145">
        <v>79999.16</v>
      </c>
      <c r="E15" s="145">
        <v>116789.49</v>
      </c>
      <c r="F15" s="145">
        <v>18216.02</v>
      </c>
      <c r="G15" s="163">
        <f t="shared" si="0"/>
        <v>-0.1494543236624821</v>
      </c>
      <c r="H15" s="155">
        <f t="shared" si="3"/>
        <v>0.4598839537815147</v>
      </c>
      <c r="I15" s="263">
        <f t="shared" si="4"/>
        <v>0.3373268575544297</v>
      </c>
      <c r="J15" s="150">
        <v>411</v>
      </c>
      <c r="K15" s="63">
        <f t="shared" si="5"/>
        <v>284.15934306569346</v>
      </c>
      <c r="L15" s="61">
        <v>48</v>
      </c>
      <c r="M15" s="28">
        <f t="shared" si="1"/>
        <v>0.11678832116788321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</f>
        <v>734</v>
      </c>
      <c r="O15" s="172">
        <f t="shared" si="2"/>
        <v>1.7858880778588808</v>
      </c>
      <c r="P15" s="260">
        <v>0</v>
      </c>
      <c r="Q15" s="89">
        <f t="shared" si="6"/>
        <v>0</v>
      </c>
      <c r="R15" s="260">
        <v>18833.91</v>
      </c>
      <c r="S15" s="89">
        <f t="shared" si="7"/>
        <v>0.16126374042732783</v>
      </c>
      <c r="T15" s="130">
        <v>2574.65</v>
      </c>
      <c r="U15" s="9"/>
    </row>
    <row r="16" spans="1:24" ht="15.6" customHeight="1" x14ac:dyDescent="0.3">
      <c r="A16" s="198" t="s">
        <v>27</v>
      </c>
      <c r="B16" s="200">
        <f>'19 - 25 July 2021'!E16</f>
        <v>76572.350000000006</v>
      </c>
      <c r="C16" s="73">
        <v>126564.93</v>
      </c>
      <c r="D16" s="145">
        <v>62056.69</v>
      </c>
      <c r="E16" s="145">
        <v>118177.43</v>
      </c>
      <c r="F16" s="145">
        <v>13964.73</v>
      </c>
      <c r="G16" s="163">
        <f t="shared" si="0"/>
        <v>-6.6270332547886696E-2</v>
      </c>
      <c r="H16" s="155">
        <f t="shared" si="3"/>
        <v>0.90434633236158724</v>
      </c>
      <c r="I16" s="263">
        <f t="shared" si="4"/>
        <v>0.5433433870058838</v>
      </c>
      <c r="J16" s="150">
        <v>508</v>
      </c>
      <c r="K16" s="63">
        <f t="shared" si="5"/>
        <v>232.63273622047242</v>
      </c>
      <c r="L16" s="61">
        <v>27</v>
      </c>
      <c r="M16" s="28">
        <f t="shared" si="1"/>
        <v>5.3149606299212601E-2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</f>
        <v>417</v>
      </c>
      <c r="O16" s="172">
        <f t="shared" si="2"/>
        <v>0.82086614173228345</v>
      </c>
      <c r="P16" s="260">
        <v>37603.57</v>
      </c>
      <c r="Q16" s="89">
        <f t="shared" si="6"/>
        <v>0.3181958687035249</v>
      </c>
      <c r="R16" s="260">
        <v>22377.48</v>
      </c>
      <c r="S16" s="89">
        <f t="shared" si="7"/>
        <v>0.18935493858683508</v>
      </c>
      <c r="T16" s="130">
        <v>3885.1</v>
      </c>
      <c r="U16" s="9"/>
      <c r="X16" s="238"/>
    </row>
    <row r="17" spans="1:21" ht="15.6" customHeight="1" x14ac:dyDescent="0.3">
      <c r="A17" s="198" t="s">
        <v>28</v>
      </c>
      <c r="B17" s="200">
        <f>'19 - 25 July 2021'!E17</f>
        <v>77712.2</v>
      </c>
      <c r="C17" s="73">
        <v>214731.95</v>
      </c>
      <c r="D17" s="145">
        <v>92644.37</v>
      </c>
      <c r="E17" s="145">
        <v>140061.42000000001</v>
      </c>
      <c r="F17" s="145">
        <v>19661.25</v>
      </c>
      <c r="G17" s="163">
        <f t="shared" si="0"/>
        <v>-0.34773833144066357</v>
      </c>
      <c r="H17" s="155">
        <f t="shared" si="3"/>
        <v>0.51181793345888171</v>
      </c>
      <c r="I17" s="263">
        <f t="shared" si="4"/>
        <v>0.80230928991844286</v>
      </c>
      <c r="J17" s="150">
        <v>574</v>
      </c>
      <c r="K17" s="63">
        <f t="shared" si="5"/>
        <v>244.00944250871083</v>
      </c>
      <c r="L17" s="61">
        <v>37</v>
      </c>
      <c r="M17" s="28">
        <f t="shared" si="1"/>
        <v>6.4459930313588848E-2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</f>
        <v>907</v>
      </c>
      <c r="O17" s="172">
        <f t="shared" si="2"/>
        <v>1.5801393728222997</v>
      </c>
      <c r="P17" s="260">
        <v>33735.49</v>
      </c>
      <c r="Q17" s="89">
        <f t="shared" si="6"/>
        <v>0.24086211606308144</v>
      </c>
      <c r="R17" s="260">
        <v>25043.86</v>
      </c>
      <c r="S17" s="89">
        <f t="shared" si="7"/>
        <v>0.17880626942094402</v>
      </c>
      <c r="T17" s="130">
        <v>4104.5</v>
      </c>
      <c r="U17" s="9"/>
    </row>
    <row r="18" spans="1:21" ht="15.6" customHeight="1" x14ac:dyDescent="0.3">
      <c r="A18" s="198" t="s">
        <v>33</v>
      </c>
      <c r="B18" s="200">
        <f>'19 - 25 July 2021'!E18</f>
        <v>92850.36</v>
      </c>
      <c r="C18" s="73">
        <v>162603.09</v>
      </c>
      <c r="D18" s="73">
        <v>75120.53</v>
      </c>
      <c r="E18" s="145">
        <v>141804.13</v>
      </c>
      <c r="F18" s="145">
        <v>16826.71</v>
      </c>
      <c r="G18" s="163">
        <f t="shared" si="0"/>
        <v>-0.12791245234023529</v>
      </c>
      <c r="H18" s="155">
        <f t="shared" si="3"/>
        <v>0.88768809272245564</v>
      </c>
      <c r="I18" s="263">
        <f t="shared" si="4"/>
        <v>0.52723295849364504</v>
      </c>
      <c r="J18" s="150">
        <v>565</v>
      </c>
      <c r="K18" s="63">
        <f t="shared" si="5"/>
        <v>250.98076106194691</v>
      </c>
      <c r="L18" s="61">
        <v>72</v>
      </c>
      <c r="M18" s="28">
        <f t="shared" si="1"/>
        <v>0.12743362831858407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</f>
        <v>1243</v>
      </c>
      <c r="O18" s="172">
        <f t="shared" si="2"/>
        <v>2.2000000000000002</v>
      </c>
      <c r="P18" s="260">
        <v>34936.81</v>
      </c>
      <c r="Q18" s="89">
        <f t="shared" si="6"/>
        <v>0.24637371281076226</v>
      </c>
      <c r="R18" s="260">
        <v>19193.330000000002</v>
      </c>
      <c r="S18" s="89">
        <f t="shared" si="7"/>
        <v>0.1353509943610246</v>
      </c>
      <c r="T18" s="130">
        <v>5103.5</v>
      </c>
      <c r="U18" s="9"/>
    </row>
    <row r="19" spans="1:21" ht="16.2" hidden="1" customHeight="1" thickBot="1" x14ac:dyDescent="0.35">
      <c r="A19" s="203" t="s">
        <v>37</v>
      </c>
      <c r="B19" s="200">
        <f>'12 - 18 July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303" priority="1" operator="equal">
      <formula>0</formula>
    </cfRule>
  </conditionalFormatting>
  <conditionalFormatting sqref="D7:F19">
    <cfRule type="cellIs" dxfId="30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X41"/>
  <sheetViews>
    <sheetView zoomScale="70" zoomScaleNormal="70" workbookViewId="0">
      <pane xSplit="1" topLeftCell="B1" activePane="topRight" state="frozen"/>
      <selection pane="topRight" activeCell="C6" sqref="C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-0.26581860640910682</v>
      </c>
      <c r="H2" s="413"/>
      <c r="I2" s="400">
        <f>(((E4-E19-B19)-B4)/E4)</f>
        <v>-1.7599594481412122E-2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1641575.1399999997</v>
      </c>
      <c r="C4" s="135">
        <f>SUM(C6:C19)-C14-C19-C10</f>
        <v>2197255.0300000003</v>
      </c>
      <c r="D4" s="142">
        <f>SUM(D6:D19)-D19-D10</f>
        <v>873332.38000000012</v>
      </c>
      <c r="E4" s="142">
        <f>SUM(E6:E19)-E19-E10</f>
        <v>1613183.76</v>
      </c>
      <c r="F4" s="142">
        <f>SUM(F6:F19)-F19-F10</f>
        <v>1868588.25</v>
      </c>
      <c r="G4" s="217">
        <f t="shared" ref="G4:G19" si="0">IFERROR((SUM(E4-C4)/C4),0)</f>
        <v>-0.26581860640910682</v>
      </c>
      <c r="H4" s="217">
        <f>IFERROR((SUM(E4-D4)/D4),0)</f>
        <v>0.84715899346363388</v>
      </c>
      <c r="I4" s="217">
        <f>IFERROR((SUM(E4-B4)/E4),0)</f>
        <v>-1.7599594481412122E-2</v>
      </c>
      <c r="J4" s="262">
        <f>SUM(J6:J18)</f>
        <v>6375</v>
      </c>
      <c r="K4" s="218">
        <f>AVERAGE(K5:K19)</f>
        <v>232.86866796805393</v>
      </c>
      <c r="L4" s="219">
        <f>SUM(L6:L19)</f>
        <v>532</v>
      </c>
      <c r="M4" s="220">
        <f t="shared" ref="M4:M19" si="1">IFERROR(L4/J4,0)</f>
        <v>8.3450980392156857E-2</v>
      </c>
      <c r="N4" s="221">
        <f>SUM(N6:N19)</f>
        <v>9434</v>
      </c>
      <c r="O4" s="222">
        <f t="shared" ref="O4:O19" si="2">IFERROR(N4/SUM(J4),0)</f>
        <v>1.4798431372549019</v>
      </c>
      <c r="P4" s="249">
        <f>SUM(P6:P19)</f>
        <v>324263.54000000004</v>
      </c>
      <c r="Q4" s="222">
        <f>SUM(P4/E4)</f>
        <v>0.20100843316201003</v>
      </c>
      <c r="R4" s="244">
        <f>SUM(R6:R19)</f>
        <v>192007.33999999997</v>
      </c>
      <c r="S4" s="222">
        <f>SUM(R4/E4)</f>
        <v>0.11902384883914277</v>
      </c>
      <c r="T4" s="257">
        <f>SUM(T6:T19)</f>
        <v>58415.41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'26 July - 1 August 2021'!E6</f>
        <v>176130.36</v>
      </c>
      <c r="C6" s="255">
        <v>267972.63</v>
      </c>
      <c r="D6" s="197">
        <v>112106.32</v>
      </c>
      <c r="E6" s="123">
        <v>172837.49</v>
      </c>
      <c r="F6" s="197">
        <v>211641.88</v>
      </c>
      <c r="G6" s="162">
        <f t="shared" si="0"/>
        <v>-0.35501812255975551</v>
      </c>
      <c r="H6" s="154">
        <f t="shared" ref="H6:H18" si="3">IFERROR((SUM(E6-D6)/D6),0)</f>
        <v>0.54172833431692324</v>
      </c>
      <c r="I6" s="266">
        <f t="shared" ref="I6:I19" si="4">IFERROR((SUM(E6-B6)/B6),0)</f>
        <v>-1.8695641114910545E-2</v>
      </c>
      <c r="J6" s="149">
        <v>585</v>
      </c>
      <c r="K6" s="63">
        <f t="shared" ref="K6:K19" si="5">IFERROR(E6/J6,0)</f>
        <v>295.44870085470086</v>
      </c>
      <c r="L6" s="125">
        <v>24</v>
      </c>
      <c r="M6" s="126">
        <f t="shared" si="1"/>
        <v>4.1025641025641026E-2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</f>
        <v>651</v>
      </c>
      <c r="O6" s="171">
        <f t="shared" si="2"/>
        <v>1.1128205128205129</v>
      </c>
      <c r="P6" s="259">
        <v>39291.61</v>
      </c>
      <c r="Q6" s="128">
        <f t="shared" ref="Q6:Q19" si="6">SUM(P6/E6)</f>
        <v>0.22733268112143959</v>
      </c>
      <c r="R6" s="260">
        <v>6293.57</v>
      </c>
      <c r="S6" s="128">
        <f t="shared" ref="S6:S19" si="7">SUM(R6/E6)</f>
        <v>3.6413222617384687E-2</v>
      </c>
      <c r="T6" s="129">
        <v>3386.5</v>
      </c>
      <c r="U6" s="26"/>
    </row>
    <row r="7" spans="1:24" ht="15.6" customHeight="1" x14ac:dyDescent="0.3">
      <c r="A7" s="409" t="s">
        <v>16</v>
      </c>
      <c r="B7" s="200">
        <f>'26 July - 1 August 2021'!E7</f>
        <v>125875.45</v>
      </c>
      <c r="C7" s="73">
        <v>215626.05</v>
      </c>
      <c r="D7" s="145">
        <v>88114</v>
      </c>
      <c r="E7" s="145">
        <v>162250.41</v>
      </c>
      <c r="F7" s="145">
        <v>181192.01</v>
      </c>
      <c r="G7" s="163">
        <f t="shared" si="0"/>
        <v>-0.24753799459759146</v>
      </c>
      <c r="H7" s="155">
        <f t="shared" si="3"/>
        <v>0.84136924892752574</v>
      </c>
      <c r="I7" s="263">
        <f t="shared" si="4"/>
        <v>0.28897580902392012</v>
      </c>
      <c r="J7" s="150">
        <v>574</v>
      </c>
      <c r="K7" s="63">
        <f t="shared" si="5"/>
        <v>282.66621951219514</v>
      </c>
      <c r="L7" s="61">
        <v>46</v>
      </c>
      <c r="M7" s="28">
        <f t="shared" si="1"/>
        <v>8.0139372822299645E-2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</f>
        <v>842</v>
      </c>
      <c r="O7" s="172">
        <f t="shared" si="2"/>
        <v>1.4668989547038327</v>
      </c>
      <c r="P7" s="260">
        <v>22978.11</v>
      </c>
      <c r="Q7" s="89">
        <f t="shared" si="6"/>
        <v>0.14162127541002825</v>
      </c>
      <c r="R7" s="260">
        <v>12212.17</v>
      </c>
      <c r="S7" s="89">
        <f t="shared" si="7"/>
        <v>7.5267421512216826E-2</v>
      </c>
      <c r="T7" s="130">
        <v>6032.23</v>
      </c>
      <c r="U7" s="26"/>
    </row>
    <row r="8" spans="1:24" ht="15.6" customHeight="1" x14ac:dyDescent="0.3">
      <c r="A8" s="409" t="s">
        <v>17</v>
      </c>
      <c r="B8" s="200">
        <f>'26 July - 1 August 2021'!E8</f>
        <v>108071.58</v>
      </c>
      <c r="C8" s="73">
        <v>103484.13</v>
      </c>
      <c r="D8" s="145">
        <v>61802.85</v>
      </c>
      <c r="E8" s="145">
        <v>109675.64</v>
      </c>
      <c r="F8" s="145">
        <v>127141.25</v>
      </c>
      <c r="G8" s="163">
        <f t="shared" si="0"/>
        <v>5.9830526671094349E-2</v>
      </c>
      <c r="H8" s="155">
        <f t="shared" si="3"/>
        <v>0.77460489281643163</v>
      </c>
      <c r="I8" s="263">
        <f t="shared" si="4"/>
        <v>1.4842570081792064E-2</v>
      </c>
      <c r="J8" s="150">
        <v>441</v>
      </c>
      <c r="K8" s="63">
        <f t="shared" si="5"/>
        <v>248.69759637188207</v>
      </c>
      <c r="L8" s="61">
        <v>14</v>
      </c>
      <c r="M8" s="28">
        <f t="shared" si="1"/>
        <v>3.1746031746031744E-2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</f>
        <v>345</v>
      </c>
      <c r="O8" s="172">
        <f t="shared" si="2"/>
        <v>0.78231292517006801</v>
      </c>
      <c r="P8" s="260">
        <v>45073.5</v>
      </c>
      <c r="Q8" s="89">
        <f t="shared" si="6"/>
        <v>0.41097093210488672</v>
      </c>
      <c r="R8" s="260">
        <v>17777.91</v>
      </c>
      <c r="S8" s="89">
        <f t="shared" si="7"/>
        <v>0.16209533858202241</v>
      </c>
      <c r="T8" s="130">
        <v>2954.9</v>
      </c>
      <c r="U8" s="26"/>
    </row>
    <row r="9" spans="1:24" ht="15.6" customHeight="1" x14ac:dyDescent="0.3">
      <c r="A9" s="409" t="s">
        <v>18</v>
      </c>
      <c r="B9" s="200">
        <f>'26 July - 1 August 2021'!E9</f>
        <v>178233.72</v>
      </c>
      <c r="C9" s="73">
        <v>317143.52</v>
      </c>
      <c r="D9" s="145">
        <v>0</v>
      </c>
      <c r="E9" s="145">
        <v>166512.56</v>
      </c>
      <c r="F9" s="145">
        <v>201094.31</v>
      </c>
      <c r="G9" s="163">
        <f t="shared" si="0"/>
        <v>-0.47496149377417524</v>
      </c>
      <c r="H9" s="155">
        <f t="shared" si="3"/>
        <v>0</v>
      </c>
      <c r="I9" s="263">
        <f t="shared" si="4"/>
        <v>-6.5762864625167464E-2</v>
      </c>
      <c r="J9" s="150">
        <v>652</v>
      </c>
      <c r="K9" s="63">
        <f t="shared" si="5"/>
        <v>255.38736196319019</v>
      </c>
      <c r="L9" s="61">
        <v>47</v>
      </c>
      <c r="M9" s="28">
        <f t="shared" si="1"/>
        <v>7.2085889570552147E-2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</f>
        <v>614</v>
      </c>
      <c r="O9" s="172">
        <f t="shared" si="2"/>
        <v>0.94171779141104295</v>
      </c>
      <c r="P9" s="260">
        <v>19188.580000000002</v>
      </c>
      <c r="Q9" s="89">
        <f t="shared" si="6"/>
        <v>0.11523803369547619</v>
      </c>
      <c r="R9" s="260">
        <v>10501.35</v>
      </c>
      <c r="S9" s="89">
        <f t="shared" si="7"/>
        <v>6.3066413728790197E-2</v>
      </c>
      <c r="T9" s="130">
        <v>3759.88</v>
      </c>
      <c r="U9" s="26"/>
    </row>
    <row r="10" spans="1:24" ht="15.6" customHeight="1" x14ac:dyDescent="0.3">
      <c r="A10" s="409" t="s">
        <v>20</v>
      </c>
      <c r="B10" s="200">
        <f>'26 July - 1 August 2021'!E10</f>
        <v>108477.81</v>
      </c>
      <c r="C10" s="73">
        <v>126339</v>
      </c>
      <c r="D10" s="145">
        <v>97609.38</v>
      </c>
      <c r="E10" s="145">
        <v>117926</v>
      </c>
      <c r="F10" s="145">
        <v>137225.21</v>
      </c>
      <c r="G10" s="163">
        <f t="shared" si="0"/>
        <v>-6.6590680629101076E-2</v>
      </c>
      <c r="H10" s="155">
        <f t="shared" si="3"/>
        <v>0.20814208634457051</v>
      </c>
      <c r="I10" s="263">
        <f t="shared" si="4"/>
        <v>8.7097905092294939E-2</v>
      </c>
      <c r="J10" s="150">
        <v>400</v>
      </c>
      <c r="K10" s="63">
        <f t="shared" si="5"/>
        <v>294.815</v>
      </c>
      <c r="L10" s="61">
        <v>40</v>
      </c>
      <c r="M10" s="28">
        <f t="shared" si="1"/>
        <v>0.1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</f>
        <v>456</v>
      </c>
      <c r="O10" s="172">
        <f t="shared" si="2"/>
        <v>1.1399999999999999</v>
      </c>
      <c r="P10" s="260">
        <v>22849.279999999999</v>
      </c>
      <c r="Q10" s="89">
        <f t="shared" si="6"/>
        <v>0.19375947628173598</v>
      </c>
      <c r="R10" s="260">
        <v>22117.45</v>
      </c>
      <c r="S10" s="89">
        <f t="shared" si="7"/>
        <v>0.18755363533063107</v>
      </c>
      <c r="T10" s="130">
        <v>6706.8</v>
      </c>
      <c r="U10" s="26"/>
    </row>
    <row r="11" spans="1:24" ht="15.6" customHeight="1" x14ac:dyDescent="0.3">
      <c r="A11" s="409" t="s">
        <v>21</v>
      </c>
      <c r="B11" s="200">
        <f>'26 July - 1 August 2021'!E11</f>
        <v>238834.43</v>
      </c>
      <c r="C11" s="73">
        <v>313954.43</v>
      </c>
      <c r="D11" s="145">
        <v>140006.54999999999</v>
      </c>
      <c r="E11" s="145">
        <v>222857.07</v>
      </c>
      <c r="F11" s="145">
        <v>259384.23</v>
      </c>
      <c r="G11" s="163">
        <f t="shared" si="0"/>
        <v>-0.29016109121314193</v>
      </c>
      <c r="H11" s="155">
        <f t="shared" si="3"/>
        <v>0.59176174257561542</v>
      </c>
      <c r="I11" s="263">
        <f t="shared" si="4"/>
        <v>-6.6897222481699922E-2</v>
      </c>
      <c r="J11" s="150">
        <v>804</v>
      </c>
      <c r="K11" s="63">
        <f t="shared" si="5"/>
        <v>277.18541044776123</v>
      </c>
      <c r="L11" s="61">
        <v>73</v>
      </c>
      <c r="M11" s="28">
        <f t="shared" si="1"/>
        <v>9.0796019900497515E-2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</f>
        <v>1402</v>
      </c>
      <c r="O11" s="172">
        <f t="shared" si="2"/>
        <v>1.7437810945273631</v>
      </c>
      <c r="P11" s="260">
        <v>44855.7</v>
      </c>
      <c r="Q11" s="89">
        <f t="shared" si="6"/>
        <v>0.20127564272472934</v>
      </c>
      <c r="R11" s="260">
        <v>23340.87</v>
      </c>
      <c r="S11" s="89">
        <f t="shared" si="7"/>
        <v>0.10473470731711584</v>
      </c>
      <c r="T11" s="130">
        <v>8143.5</v>
      </c>
      <c r="U11" s="26"/>
    </row>
    <row r="12" spans="1:24" ht="15.6" customHeight="1" x14ac:dyDescent="0.3">
      <c r="A12" s="198" t="s">
        <v>22</v>
      </c>
      <c r="B12" s="200">
        <f>'26 July - 1 August 2021'!E12</f>
        <v>100052.68</v>
      </c>
      <c r="C12" s="73">
        <v>120679.88</v>
      </c>
      <c r="D12" s="145">
        <v>55535.83</v>
      </c>
      <c r="E12" s="145">
        <v>102729.9</v>
      </c>
      <c r="F12" s="145">
        <v>119749.24</v>
      </c>
      <c r="G12" s="163">
        <f t="shared" si="0"/>
        <v>-0.14874045284102047</v>
      </c>
      <c r="H12" s="155">
        <f t="shared" si="3"/>
        <v>0.84979498820851318</v>
      </c>
      <c r="I12" s="263">
        <f t="shared" si="4"/>
        <v>2.6758103830901894E-2</v>
      </c>
      <c r="J12" s="150">
        <v>373</v>
      </c>
      <c r="K12" s="63">
        <f t="shared" si="5"/>
        <v>275.41528150134047</v>
      </c>
      <c r="L12" s="61">
        <v>27</v>
      </c>
      <c r="M12" s="28">
        <f t="shared" si="1"/>
        <v>7.2386058981233251E-2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</f>
        <v>611</v>
      </c>
      <c r="O12" s="172">
        <f t="shared" si="2"/>
        <v>1.6380697050938338</v>
      </c>
      <c r="P12" s="260">
        <v>21948.04</v>
      </c>
      <c r="Q12" s="89">
        <f t="shared" si="6"/>
        <v>0.2136480226302177</v>
      </c>
      <c r="R12" s="260">
        <v>12495.74</v>
      </c>
      <c r="S12" s="89">
        <f t="shared" si="7"/>
        <v>0.12163683601366301</v>
      </c>
      <c r="T12" s="130">
        <v>6118.8</v>
      </c>
      <c r="U12" s="26"/>
    </row>
    <row r="13" spans="1:24" ht="15.6" customHeight="1" x14ac:dyDescent="0.3">
      <c r="A13" s="198" t="s">
        <v>23</v>
      </c>
      <c r="B13" s="200">
        <f>'26 July - 1 August 2021'!E13</f>
        <v>197544.45</v>
      </c>
      <c r="C13" s="73">
        <v>210396.93</v>
      </c>
      <c r="D13" s="145">
        <v>98860.87</v>
      </c>
      <c r="E13" s="145">
        <v>165697.49</v>
      </c>
      <c r="F13" s="145">
        <v>189093.42</v>
      </c>
      <c r="G13" s="163">
        <f t="shared" si="0"/>
        <v>-0.21245290984046206</v>
      </c>
      <c r="H13" s="155">
        <f t="shared" si="3"/>
        <v>0.67606748757116941</v>
      </c>
      <c r="I13" s="263">
        <f t="shared" si="4"/>
        <v>-0.16121414699324643</v>
      </c>
      <c r="J13" s="150">
        <v>642</v>
      </c>
      <c r="K13" s="63">
        <f t="shared" si="5"/>
        <v>258.09577881619936</v>
      </c>
      <c r="L13" s="61">
        <v>79</v>
      </c>
      <c r="M13" s="28">
        <f t="shared" si="1"/>
        <v>0.12305295950155763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</f>
        <v>1030</v>
      </c>
      <c r="O13" s="172">
        <f t="shared" si="2"/>
        <v>1.604361370716511</v>
      </c>
      <c r="P13" s="260">
        <v>36061.17</v>
      </c>
      <c r="Q13" s="89">
        <f t="shared" si="6"/>
        <v>0.21763256643175463</v>
      </c>
      <c r="R13" s="260">
        <v>24502.36</v>
      </c>
      <c r="S13" s="89">
        <f t="shared" si="7"/>
        <v>0.1478740565110552</v>
      </c>
      <c r="T13" s="130">
        <v>6420.5</v>
      </c>
      <c r="U13" s="26"/>
    </row>
    <row r="14" spans="1:24" ht="15.6" hidden="1" customHeight="1" x14ac:dyDescent="0.3">
      <c r="A14" s="198" t="s">
        <v>24</v>
      </c>
      <c r="B14" s="200">
        <f>'26 July - 1 August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'26 July - 1 August 2021'!E15</f>
        <v>116789.49</v>
      </c>
      <c r="C15" s="73">
        <v>182706.98</v>
      </c>
      <c r="D15" s="145">
        <v>107151.8</v>
      </c>
      <c r="E15" s="145">
        <v>153553.32999999999</v>
      </c>
      <c r="F15" s="145">
        <v>171769.35</v>
      </c>
      <c r="G15" s="163">
        <f t="shared" si="0"/>
        <v>-0.1595650587623966</v>
      </c>
      <c r="H15" s="155">
        <f t="shared" si="3"/>
        <v>0.4330448018605379</v>
      </c>
      <c r="I15" s="263">
        <f t="shared" si="4"/>
        <v>0.31478722957005789</v>
      </c>
      <c r="J15" s="150">
        <v>473</v>
      </c>
      <c r="K15" s="63">
        <f t="shared" si="5"/>
        <v>324.6370613107822</v>
      </c>
      <c r="L15" s="61">
        <v>30</v>
      </c>
      <c r="M15" s="28">
        <f t="shared" si="1"/>
        <v>6.3424947145877375E-2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</f>
        <v>764</v>
      </c>
      <c r="O15" s="172">
        <f t="shared" si="2"/>
        <v>1.6152219873150107</v>
      </c>
      <c r="P15" s="260">
        <v>0</v>
      </c>
      <c r="Q15" s="89">
        <f t="shared" si="6"/>
        <v>0</v>
      </c>
      <c r="R15" s="260">
        <v>22673.040000000001</v>
      </c>
      <c r="S15" s="89">
        <f t="shared" si="7"/>
        <v>0.14765580140788873</v>
      </c>
      <c r="T15" s="130">
        <v>2597.4</v>
      </c>
      <c r="U15" s="9"/>
    </row>
    <row r="16" spans="1:24" ht="15.6" customHeight="1" x14ac:dyDescent="0.3">
      <c r="A16" s="198" t="s">
        <v>27</v>
      </c>
      <c r="B16" s="200">
        <f>'26 July - 1 August 2021'!E16</f>
        <v>118177.43</v>
      </c>
      <c r="C16" s="73">
        <v>123420.75</v>
      </c>
      <c r="D16" s="145">
        <v>56624.28</v>
      </c>
      <c r="E16" s="145">
        <v>104945.28</v>
      </c>
      <c r="F16" s="145">
        <v>118910.01</v>
      </c>
      <c r="G16" s="163">
        <f t="shared" si="0"/>
        <v>-0.14969500671483524</v>
      </c>
      <c r="H16" s="155">
        <f t="shared" si="3"/>
        <v>0.85336184407112992</v>
      </c>
      <c r="I16" s="263">
        <f t="shared" si="4"/>
        <v>-0.11196850363051553</v>
      </c>
      <c r="J16" s="150">
        <v>426</v>
      </c>
      <c r="K16" s="63">
        <f t="shared" si="5"/>
        <v>246.35042253521127</v>
      </c>
      <c r="L16" s="61">
        <v>21</v>
      </c>
      <c r="M16" s="28">
        <f t="shared" si="1"/>
        <v>4.9295774647887321E-2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</f>
        <v>438</v>
      </c>
      <c r="O16" s="172">
        <f t="shared" si="2"/>
        <v>1.028169014084507</v>
      </c>
      <c r="P16" s="260">
        <v>20650.43</v>
      </c>
      <c r="Q16" s="89">
        <f t="shared" si="6"/>
        <v>0.1967733089091763</v>
      </c>
      <c r="R16" s="260">
        <v>16733.43</v>
      </c>
      <c r="S16" s="89">
        <f t="shared" si="7"/>
        <v>0.15944909575733182</v>
      </c>
      <c r="T16" s="130">
        <v>5514.9</v>
      </c>
      <c r="U16" s="9"/>
      <c r="X16" s="238"/>
    </row>
    <row r="17" spans="1:21" ht="15.6" customHeight="1" x14ac:dyDescent="0.3">
      <c r="A17" s="198" t="s">
        <v>28</v>
      </c>
      <c r="B17" s="200">
        <f>'26 July - 1 August 2021'!E17</f>
        <v>140061.42000000001</v>
      </c>
      <c r="C17" s="73">
        <v>198462.73</v>
      </c>
      <c r="D17" s="145">
        <v>83224.039999999994</v>
      </c>
      <c r="E17" s="145">
        <v>132455.42000000001</v>
      </c>
      <c r="F17" s="145">
        <v>152116.67000000001</v>
      </c>
      <c r="G17" s="163">
        <f t="shared" si="0"/>
        <v>-0.33259297602124083</v>
      </c>
      <c r="H17" s="155">
        <f t="shared" si="3"/>
        <v>0.59155239279419769</v>
      </c>
      <c r="I17" s="263">
        <f t="shared" si="4"/>
        <v>-5.4304747160210137E-2</v>
      </c>
      <c r="J17" s="150">
        <v>520</v>
      </c>
      <c r="K17" s="63">
        <f t="shared" si="5"/>
        <v>254.72196153846156</v>
      </c>
      <c r="L17" s="61">
        <v>48</v>
      </c>
      <c r="M17" s="28">
        <f t="shared" si="1"/>
        <v>9.2307692307692313E-2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</f>
        <v>955</v>
      </c>
      <c r="O17" s="172">
        <f t="shared" si="2"/>
        <v>1.8365384615384615</v>
      </c>
      <c r="P17" s="260">
        <v>24348.61</v>
      </c>
      <c r="Q17" s="89">
        <f t="shared" si="6"/>
        <v>0.18382494276187414</v>
      </c>
      <c r="R17" s="260">
        <v>12863.62</v>
      </c>
      <c r="S17" s="89">
        <f t="shared" si="7"/>
        <v>9.7116599683123569E-2</v>
      </c>
      <c r="T17" s="130">
        <v>4725.5</v>
      </c>
      <c r="U17" s="9"/>
    </row>
    <row r="18" spans="1:21" ht="15.6" customHeight="1" x14ac:dyDescent="0.3">
      <c r="A18" s="198" t="s">
        <v>33</v>
      </c>
      <c r="B18" s="200">
        <f>'26 July - 1 August 2021'!E18</f>
        <v>141804.13</v>
      </c>
      <c r="C18" s="73">
        <v>143407</v>
      </c>
      <c r="D18" s="73">
        <v>69905.84</v>
      </c>
      <c r="E18" s="145">
        <v>119669.17</v>
      </c>
      <c r="F18" s="145">
        <v>136495.88</v>
      </c>
      <c r="G18" s="163">
        <f t="shared" si="0"/>
        <v>-0.16552769390615521</v>
      </c>
      <c r="H18" s="155">
        <f t="shared" si="3"/>
        <v>0.71186227073446229</v>
      </c>
      <c r="I18" s="263">
        <f t="shared" si="4"/>
        <v>-0.1560953125977361</v>
      </c>
      <c r="J18" s="150">
        <v>485</v>
      </c>
      <c r="K18" s="63">
        <f t="shared" si="5"/>
        <v>246.74055670103093</v>
      </c>
      <c r="L18" s="61">
        <v>83</v>
      </c>
      <c r="M18" s="28">
        <f t="shared" si="1"/>
        <v>0.1711340206185567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</f>
        <v>1326</v>
      </c>
      <c r="O18" s="172">
        <f t="shared" si="2"/>
        <v>2.7340206185567011</v>
      </c>
      <c r="P18" s="260">
        <v>27018.51</v>
      </c>
      <c r="Q18" s="89">
        <f t="shared" si="6"/>
        <v>0.22577669754039406</v>
      </c>
      <c r="R18" s="260">
        <v>10495.83</v>
      </c>
      <c r="S18" s="89">
        <f t="shared" si="7"/>
        <v>8.7707051030770922E-2</v>
      </c>
      <c r="T18" s="130">
        <v>2054.5</v>
      </c>
      <c r="U18" s="9"/>
    </row>
    <row r="19" spans="1:21" ht="16.2" hidden="1" customHeight="1" thickBot="1" x14ac:dyDescent="0.35">
      <c r="A19" s="203" t="s">
        <v>37</v>
      </c>
      <c r="B19" s="200">
        <f>'12 - 18 July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301" priority="1" operator="equal">
      <formula>0</formula>
    </cfRule>
  </conditionalFormatting>
  <conditionalFormatting sqref="D7:F19">
    <cfRule type="cellIs" dxfId="300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X41"/>
  <sheetViews>
    <sheetView zoomScale="70" zoomScaleNormal="70" workbookViewId="0">
      <pane xSplit="1" topLeftCell="B1" activePane="topRight" state="frozen"/>
      <selection pane="topRight" activeCell="I12" sqref="I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-0.28239500622709984</v>
      </c>
      <c r="H2" s="413"/>
      <c r="I2" s="400">
        <f>(((E4-E19-B19)-B4)/E4)</f>
        <v>-3.9183995549887295E-2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1613183.76</v>
      </c>
      <c r="C4" s="135">
        <f>SUM(C6:C19)-C14-C19-C10</f>
        <v>2163246.15</v>
      </c>
      <c r="D4" s="142">
        <f>SUM(D6:D19)-D19-D10</f>
        <v>986160.14999999991</v>
      </c>
      <c r="E4" s="142">
        <f>SUM(E6:E19)-E19-E10</f>
        <v>1552356.2400000002</v>
      </c>
      <c r="F4" s="142">
        <f>SUM(F6:F19)-F19-F10</f>
        <v>3300892.17</v>
      </c>
      <c r="G4" s="217">
        <f t="shared" ref="G4:G19" si="0">IFERROR((SUM(E4-C4)/C4),0)</f>
        <v>-0.28239500622709984</v>
      </c>
      <c r="H4" s="217">
        <f>IFERROR((SUM(E4-D4)/D4),0)</f>
        <v>0.57414213097132383</v>
      </c>
      <c r="I4" s="217">
        <f>IFERROR((SUM(E4-B4)/E4),0)</f>
        <v>-3.9183995549887295E-2</v>
      </c>
      <c r="J4" s="262">
        <f>SUM(J6:J18)</f>
        <v>6255</v>
      </c>
      <c r="K4" s="218">
        <f>AVERAGE(K5:K19)</f>
        <v>229.88759174378598</v>
      </c>
      <c r="L4" s="219">
        <f>SUM(L6:L19)</f>
        <v>435</v>
      </c>
      <c r="M4" s="220">
        <f t="shared" ref="M4:M19" si="1">IFERROR(L4/J4,0)</f>
        <v>6.9544364508393283E-2</v>
      </c>
      <c r="N4" s="221">
        <f>SUM(N6:N19)</f>
        <v>9869</v>
      </c>
      <c r="O4" s="222">
        <f t="shared" ref="O4:O19" si="2">IFERROR(N4/SUM(J4),0)</f>
        <v>1.5777777777777777</v>
      </c>
      <c r="P4" s="249">
        <f>SUM(P6:P19)</f>
        <v>362274.19000000006</v>
      </c>
      <c r="Q4" s="222">
        <f>SUM(P4/E4)</f>
        <v>0.23337052453887774</v>
      </c>
      <c r="R4" s="244">
        <f>SUM(R6:R19)</f>
        <v>189671.63</v>
      </c>
      <c r="S4" s="222">
        <f>SUM(R4/E4)</f>
        <v>0.12218305638401658</v>
      </c>
      <c r="T4" s="257">
        <f>SUM(T6:T19)</f>
        <v>53343.75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'2 - 8 August 2021'!E6</f>
        <v>172837.49</v>
      </c>
      <c r="C6" s="255">
        <v>222616.58</v>
      </c>
      <c r="D6" s="197">
        <v>145715.87</v>
      </c>
      <c r="E6" s="123">
        <v>183717.7</v>
      </c>
      <c r="F6" s="197">
        <v>395359.58</v>
      </c>
      <c r="G6" s="162">
        <f t="shared" si="0"/>
        <v>-0.17473487374570204</v>
      </c>
      <c r="H6" s="154">
        <f t="shared" ref="H6:H18" si="3">IFERROR((SUM(E6-D6)/D6),0)</f>
        <v>0.26079403705306786</v>
      </c>
      <c r="I6" s="266">
        <f t="shared" ref="I6:I19" si="4">IFERROR((SUM(E6-B6)/B6),0)</f>
        <v>6.2950520746396066E-2</v>
      </c>
      <c r="J6" s="149">
        <v>606</v>
      </c>
      <c r="K6" s="63">
        <f t="shared" ref="K6:K19" si="5">IFERROR(E6/J6,0)</f>
        <v>303.16452145214521</v>
      </c>
      <c r="L6" s="125">
        <v>32</v>
      </c>
      <c r="M6" s="126">
        <f t="shared" si="1"/>
        <v>5.2805280528052806E-2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</f>
        <v>683</v>
      </c>
      <c r="O6" s="171">
        <f t="shared" si="2"/>
        <v>1.1270627062706271</v>
      </c>
      <c r="P6" s="259">
        <v>48160.22</v>
      </c>
      <c r="Q6" s="128">
        <f t="shared" ref="Q6:Q19" si="6">SUM(P6/E6)</f>
        <v>0.26214251539182126</v>
      </c>
      <c r="R6" s="260">
        <v>4791.7</v>
      </c>
      <c r="S6" s="128">
        <f t="shared" ref="S6:S19" si="7">SUM(R6/E6)</f>
        <v>2.6081863641880993E-2</v>
      </c>
      <c r="T6" s="129">
        <v>6111</v>
      </c>
      <c r="U6" s="26"/>
    </row>
    <row r="7" spans="1:24" ht="15.6" customHeight="1" x14ac:dyDescent="0.3">
      <c r="A7" s="409" t="s">
        <v>16</v>
      </c>
      <c r="B7" s="200">
        <f>'2 - 8 August 2021'!E7</f>
        <v>162250.41</v>
      </c>
      <c r="C7" s="73">
        <v>197449.78</v>
      </c>
      <c r="D7" s="145">
        <v>95568.74</v>
      </c>
      <c r="E7" s="145">
        <v>145245.69</v>
      </c>
      <c r="F7" s="145">
        <v>326437.7</v>
      </c>
      <c r="G7" s="163">
        <f t="shared" si="0"/>
        <v>-0.26439173545799849</v>
      </c>
      <c r="H7" s="155">
        <f t="shared" si="3"/>
        <v>0.51980333736742779</v>
      </c>
      <c r="I7" s="263">
        <f t="shared" si="4"/>
        <v>-0.10480540542239616</v>
      </c>
      <c r="J7" s="150">
        <v>501</v>
      </c>
      <c r="K7" s="63">
        <f t="shared" si="5"/>
        <v>289.91155688622757</v>
      </c>
      <c r="L7" s="61">
        <v>54</v>
      </c>
      <c r="M7" s="28">
        <f t="shared" si="1"/>
        <v>0.10778443113772455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</f>
        <v>896</v>
      </c>
      <c r="O7" s="172">
        <f t="shared" si="2"/>
        <v>1.7884231536926147</v>
      </c>
      <c r="P7" s="260">
        <v>22357.52</v>
      </c>
      <c r="Q7" s="89">
        <f t="shared" si="6"/>
        <v>0.15392897372720665</v>
      </c>
      <c r="R7" s="260">
        <v>7370.7</v>
      </c>
      <c r="S7" s="89">
        <f t="shared" si="7"/>
        <v>5.0746428344965004E-2</v>
      </c>
      <c r="T7" s="130">
        <v>5953.68</v>
      </c>
      <c r="U7" s="26"/>
    </row>
    <row r="8" spans="1:24" ht="15.6" customHeight="1" x14ac:dyDescent="0.3">
      <c r="A8" s="409" t="s">
        <v>17</v>
      </c>
      <c r="B8" s="200">
        <f>'2 - 8 August 2021'!E8</f>
        <v>109675.64</v>
      </c>
      <c r="C8" s="73">
        <v>78509.75</v>
      </c>
      <c r="D8" s="145">
        <v>70400.77</v>
      </c>
      <c r="E8" s="145">
        <v>107457.81</v>
      </c>
      <c r="F8" s="145">
        <v>234599.06</v>
      </c>
      <c r="G8" s="163">
        <f t="shared" si="0"/>
        <v>0.36871929919532287</v>
      </c>
      <c r="H8" s="155">
        <f t="shared" si="3"/>
        <v>0.52637265189002891</v>
      </c>
      <c r="I8" s="263">
        <f t="shared" si="4"/>
        <v>-2.0221719244127519E-2</v>
      </c>
      <c r="J8" s="150">
        <v>471</v>
      </c>
      <c r="K8" s="63">
        <f t="shared" si="5"/>
        <v>228.14821656050955</v>
      </c>
      <c r="L8" s="61">
        <v>18</v>
      </c>
      <c r="M8" s="28">
        <f t="shared" si="1"/>
        <v>3.8216560509554139E-2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</f>
        <v>363</v>
      </c>
      <c r="O8" s="172">
        <f t="shared" si="2"/>
        <v>0.77070063694267521</v>
      </c>
      <c r="P8" s="260">
        <v>49720.88</v>
      </c>
      <c r="Q8" s="89">
        <f t="shared" si="6"/>
        <v>0.46270140811542687</v>
      </c>
      <c r="R8" s="260">
        <v>12550.48</v>
      </c>
      <c r="S8" s="89">
        <f t="shared" si="7"/>
        <v>0.11679448892546758</v>
      </c>
      <c r="T8" s="130">
        <v>2406.9</v>
      </c>
      <c r="U8" s="26"/>
    </row>
    <row r="9" spans="1:24" ht="15.6" customHeight="1" x14ac:dyDescent="0.3">
      <c r="A9" s="409" t="s">
        <v>18</v>
      </c>
      <c r="B9" s="200">
        <f>'2 - 8 August 2021'!E9</f>
        <v>166512.56</v>
      </c>
      <c r="C9" s="73">
        <v>311549.81</v>
      </c>
      <c r="D9" s="145">
        <v>0</v>
      </c>
      <c r="E9" s="145">
        <v>146042.81</v>
      </c>
      <c r="F9" s="145">
        <v>347137.12</v>
      </c>
      <c r="G9" s="163">
        <f t="shared" si="0"/>
        <v>-0.53123768555660489</v>
      </c>
      <c r="H9" s="155">
        <f t="shared" si="3"/>
        <v>0</v>
      </c>
      <c r="I9" s="263">
        <f t="shared" si="4"/>
        <v>-0.12293216799981936</v>
      </c>
      <c r="J9" s="150">
        <v>545</v>
      </c>
      <c r="K9" s="63">
        <f t="shared" si="5"/>
        <v>267.96845871559634</v>
      </c>
      <c r="L9" s="61">
        <v>16</v>
      </c>
      <c r="M9" s="28">
        <f t="shared" si="1"/>
        <v>2.9357798165137616E-2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</f>
        <v>630</v>
      </c>
      <c r="O9" s="172">
        <f t="shared" si="2"/>
        <v>1.1559633027522935</v>
      </c>
      <c r="P9" s="260">
        <v>18608.5</v>
      </c>
      <c r="Q9" s="89">
        <f t="shared" si="6"/>
        <v>0.1274181180162173</v>
      </c>
      <c r="R9" s="260">
        <v>17875.04</v>
      </c>
      <c r="S9" s="89">
        <f t="shared" si="7"/>
        <v>0.12239589199906521</v>
      </c>
      <c r="T9" s="130">
        <v>2805</v>
      </c>
      <c r="U9" s="26"/>
    </row>
    <row r="10" spans="1:24" ht="15.6" customHeight="1" x14ac:dyDescent="0.3">
      <c r="A10" s="409" t="s">
        <v>20</v>
      </c>
      <c r="B10" s="200">
        <f>'2 - 8 August 2021'!E10</f>
        <v>117926</v>
      </c>
      <c r="C10" s="73">
        <v>154333.15</v>
      </c>
      <c r="D10" s="145">
        <v>110791.55</v>
      </c>
      <c r="E10" s="145">
        <v>122396.48</v>
      </c>
      <c r="F10" s="145">
        <v>259621.69</v>
      </c>
      <c r="G10" s="163">
        <f t="shared" si="0"/>
        <v>-0.20693331277175384</v>
      </c>
      <c r="H10" s="155">
        <f t="shared" si="3"/>
        <v>0.10474562365090111</v>
      </c>
      <c r="I10" s="263">
        <f t="shared" si="4"/>
        <v>3.7909197293217747E-2</v>
      </c>
      <c r="J10" s="150">
        <v>466</v>
      </c>
      <c r="K10" s="63">
        <f t="shared" si="5"/>
        <v>262.65339055793993</v>
      </c>
      <c r="L10" s="61">
        <v>28</v>
      </c>
      <c r="M10" s="28">
        <f t="shared" si="1"/>
        <v>6.0085836909871244E-2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</f>
        <v>484</v>
      </c>
      <c r="O10" s="172">
        <f t="shared" si="2"/>
        <v>1.03862660944206</v>
      </c>
      <c r="P10" s="260">
        <v>31099.32</v>
      </c>
      <c r="Q10" s="89">
        <f t="shared" si="6"/>
        <v>0.25408671883374423</v>
      </c>
      <c r="R10" s="260">
        <v>23060.57</v>
      </c>
      <c r="S10" s="89">
        <f t="shared" si="7"/>
        <v>0.18840876796456893</v>
      </c>
      <c r="T10" s="130">
        <v>4281.2</v>
      </c>
      <c r="U10" s="26"/>
    </row>
    <row r="11" spans="1:24" ht="15.6" customHeight="1" x14ac:dyDescent="0.3">
      <c r="A11" s="409" t="s">
        <v>21</v>
      </c>
      <c r="B11" s="200">
        <f>'2 - 8 August 2021'!E11</f>
        <v>222857.07</v>
      </c>
      <c r="C11" s="73">
        <v>351899.09</v>
      </c>
      <c r="D11" s="145">
        <v>149185.19</v>
      </c>
      <c r="E11" s="145">
        <v>171775.88</v>
      </c>
      <c r="F11" s="145">
        <v>312107.89</v>
      </c>
      <c r="G11" s="163">
        <f t="shared" si="0"/>
        <v>-0.51186040293539836</v>
      </c>
      <c r="H11" s="155">
        <f t="shared" si="3"/>
        <v>0.15142716244152654</v>
      </c>
      <c r="I11" s="263">
        <f t="shared" si="4"/>
        <v>-0.22921054288293388</v>
      </c>
      <c r="J11" s="150">
        <v>565</v>
      </c>
      <c r="K11" s="63">
        <f t="shared" si="5"/>
        <v>304.02810619469028</v>
      </c>
      <c r="L11" s="61">
        <v>32</v>
      </c>
      <c r="M11" s="28">
        <f t="shared" si="1"/>
        <v>5.663716814159292E-2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</f>
        <v>1434</v>
      </c>
      <c r="O11" s="172">
        <f t="shared" si="2"/>
        <v>2.538053097345133</v>
      </c>
      <c r="P11" s="260">
        <v>36680.410000000003</v>
      </c>
      <c r="Q11" s="89">
        <f t="shared" si="6"/>
        <v>0.21353644062251348</v>
      </c>
      <c r="R11" s="260">
        <v>20760.87</v>
      </c>
      <c r="S11" s="89">
        <f t="shared" si="7"/>
        <v>0.12086021623059069</v>
      </c>
      <c r="T11" s="130">
        <v>5601.91</v>
      </c>
      <c r="U11" s="26"/>
    </row>
    <row r="12" spans="1:24" ht="15.6" customHeight="1" x14ac:dyDescent="0.3">
      <c r="A12" s="198" t="s">
        <v>22</v>
      </c>
      <c r="B12" s="200">
        <f>'2 - 8 August 2021'!E12</f>
        <v>102729.9</v>
      </c>
      <c r="C12" s="73">
        <v>158515.24</v>
      </c>
      <c r="D12" s="145">
        <v>58499.72</v>
      </c>
      <c r="E12" s="145">
        <v>100293.99</v>
      </c>
      <c r="F12" s="145">
        <v>220043.23</v>
      </c>
      <c r="G12" s="163">
        <f t="shared" si="0"/>
        <v>-0.36729118285409018</v>
      </c>
      <c r="H12" s="155">
        <f t="shared" si="3"/>
        <v>0.71443538533175888</v>
      </c>
      <c r="I12" s="263">
        <f t="shared" si="4"/>
        <v>-2.371179179576724E-2</v>
      </c>
      <c r="J12" s="150">
        <v>383</v>
      </c>
      <c r="K12" s="63">
        <f t="shared" si="5"/>
        <v>261.86420365535247</v>
      </c>
      <c r="L12" s="61">
        <v>50</v>
      </c>
      <c r="M12" s="28">
        <f t="shared" si="1"/>
        <v>0.13054830287206268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</f>
        <v>661</v>
      </c>
      <c r="O12" s="172">
        <f t="shared" si="2"/>
        <v>1.7258485639686685</v>
      </c>
      <c r="P12" s="260">
        <v>20786.259999999998</v>
      </c>
      <c r="Q12" s="89">
        <f t="shared" si="6"/>
        <v>0.20725329603498671</v>
      </c>
      <c r="R12" s="260">
        <v>7721.29</v>
      </c>
      <c r="S12" s="89">
        <f t="shared" si="7"/>
        <v>7.6986567191114838E-2</v>
      </c>
      <c r="T12" s="130">
        <v>6938.26</v>
      </c>
      <c r="U12" s="26"/>
    </row>
    <row r="13" spans="1:24" ht="15.6" customHeight="1" x14ac:dyDescent="0.3">
      <c r="A13" s="198" t="s">
        <v>23</v>
      </c>
      <c r="B13" s="200">
        <f>'2 - 8 August 2021'!E13</f>
        <v>165697.49</v>
      </c>
      <c r="C13" s="73">
        <v>217294.07999999999</v>
      </c>
      <c r="D13" s="145">
        <v>114003.83</v>
      </c>
      <c r="E13" s="145">
        <v>173155.22</v>
      </c>
      <c r="F13" s="145">
        <v>361248.64</v>
      </c>
      <c r="G13" s="163">
        <f t="shared" si="0"/>
        <v>-0.20312960205818764</v>
      </c>
      <c r="H13" s="155">
        <f t="shared" si="3"/>
        <v>0.51885441041761493</v>
      </c>
      <c r="I13" s="263">
        <f t="shared" si="4"/>
        <v>4.5008104830073233E-2</v>
      </c>
      <c r="J13" s="150">
        <v>664</v>
      </c>
      <c r="K13" s="63">
        <f t="shared" si="5"/>
        <v>260.77593373493977</v>
      </c>
      <c r="L13" s="61">
        <v>75</v>
      </c>
      <c r="M13" s="28">
        <f t="shared" si="1"/>
        <v>0.11295180722891567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</f>
        <v>1105</v>
      </c>
      <c r="O13" s="172">
        <f t="shared" si="2"/>
        <v>1.6641566265060241</v>
      </c>
      <c r="P13" s="260">
        <v>35498.370000000003</v>
      </c>
      <c r="Q13" s="89">
        <f t="shared" si="6"/>
        <v>0.20500895092853685</v>
      </c>
      <c r="R13" s="260">
        <v>28363.87</v>
      </c>
      <c r="S13" s="89">
        <f t="shared" si="7"/>
        <v>0.16380603483972356</v>
      </c>
      <c r="T13" s="130">
        <v>4728.5</v>
      </c>
      <c r="U13" s="26"/>
    </row>
    <row r="14" spans="1:24" ht="15.6" hidden="1" customHeight="1" x14ac:dyDescent="0.3">
      <c r="A14" s="198" t="s">
        <v>24</v>
      </c>
      <c r="B14" s="200">
        <f>'2 - 8 August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'2 - 8 August 2021'!E15</f>
        <v>153553.32999999999</v>
      </c>
      <c r="C15" s="73">
        <v>149035.45000000001</v>
      </c>
      <c r="D15" s="145">
        <v>81451.259999999995</v>
      </c>
      <c r="E15" s="145">
        <v>131076.87</v>
      </c>
      <c r="F15" s="145">
        <v>302846.21999999997</v>
      </c>
      <c r="G15" s="163">
        <f t="shared" si="0"/>
        <v>-0.12049871356110251</v>
      </c>
      <c r="H15" s="155">
        <f t="shared" si="3"/>
        <v>0.60926755460873172</v>
      </c>
      <c r="I15" s="263">
        <f t="shared" si="4"/>
        <v>-0.1463755947200884</v>
      </c>
      <c r="J15" s="150">
        <v>421</v>
      </c>
      <c r="K15" s="63">
        <f t="shared" si="5"/>
        <v>311.34648456057005</v>
      </c>
      <c r="L15" s="61">
        <v>33</v>
      </c>
      <c r="M15" s="28">
        <f t="shared" si="1"/>
        <v>7.8384798099762468E-2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</f>
        <v>797</v>
      </c>
      <c r="O15" s="172">
        <f t="shared" si="2"/>
        <v>1.8931116389548694</v>
      </c>
      <c r="P15" s="260">
        <v>0</v>
      </c>
      <c r="Q15" s="89">
        <f t="shared" si="6"/>
        <v>0</v>
      </c>
      <c r="R15" s="260">
        <v>12455.65</v>
      </c>
      <c r="S15" s="89">
        <f t="shared" si="7"/>
        <v>9.5025537304941746E-2</v>
      </c>
      <c r="T15" s="130">
        <v>3012.7</v>
      </c>
      <c r="U15" s="9"/>
    </row>
    <row r="16" spans="1:24" ht="15.6" customHeight="1" x14ac:dyDescent="0.3">
      <c r="A16" s="198" t="s">
        <v>27</v>
      </c>
      <c r="B16" s="200">
        <f>'2 - 8 August 2021'!E16</f>
        <v>104945.28</v>
      </c>
      <c r="C16" s="73">
        <v>119169.43</v>
      </c>
      <c r="D16" s="145">
        <v>81736.92</v>
      </c>
      <c r="E16" s="145">
        <v>108865.93</v>
      </c>
      <c r="F16" s="145">
        <v>227775.94</v>
      </c>
      <c r="G16" s="163">
        <f t="shared" si="0"/>
        <v>-8.6460932136706539E-2</v>
      </c>
      <c r="H16" s="155">
        <f t="shared" si="3"/>
        <v>0.33190643836347145</v>
      </c>
      <c r="I16" s="263">
        <f t="shared" si="4"/>
        <v>3.7358993181970584E-2</v>
      </c>
      <c r="J16" s="150">
        <v>459</v>
      </c>
      <c r="K16" s="63">
        <f t="shared" si="5"/>
        <v>237.1806753812636</v>
      </c>
      <c r="L16" s="61">
        <v>6</v>
      </c>
      <c r="M16" s="28">
        <f t="shared" si="1"/>
        <v>1.3071895424836602E-2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</f>
        <v>444</v>
      </c>
      <c r="O16" s="172">
        <f t="shared" si="2"/>
        <v>0.9673202614379085</v>
      </c>
      <c r="P16" s="260">
        <v>38235.519999999997</v>
      </c>
      <c r="Q16" s="89">
        <f t="shared" si="6"/>
        <v>0.35121658355373436</v>
      </c>
      <c r="R16" s="260">
        <v>16259.22</v>
      </c>
      <c r="S16" s="89">
        <f t="shared" si="7"/>
        <v>0.14935085751804997</v>
      </c>
      <c r="T16" s="130">
        <v>4038.6</v>
      </c>
      <c r="U16" s="9"/>
      <c r="X16" s="238"/>
    </row>
    <row r="17" spans="1:21" ht="15.6" customHeight="1" x14ac:dyDescent="0.3">
      <c r="A17" s="198" t="s">
        <v>28</v>
      </c>
      <c r="B17" s="200">
        <f>'2 - 8 August 2021'!E17</f>
        <v>132455.42000000001</v>
      </c>
      <c r="C17" s="73">
        <v>209337.65</v>
      </c>
      <c r="D17" s="145">
        <v>98739.65</v>
      </c>
      <c r="E17" s="145">
        <v>152726.99</v>
      </c>
      <c r="F17" s="145">
        <v>304843.56</v>
      </c>
      <c r="G17" s="163">
        <f t="shared" si="0"/>
        <v>-0.27042751268106813</v>
      </c>
      <c r="H17" s="155">
        <f t="shared" si="3"/>
        <v>0.54676454696770749</v>
      </c>
      <c r="I17" s="263">
        <f t="shared" si="4"/>
        <v>0.15304447337828814</v>
      </c>
      <c r="J17" s="150">
        <v>678</v>
      </c>
      <c r="K17" s="63">
        <f t="shared" si="5"/>
        <v>225.2610471976401</v>
      </c>
      <c r="L17" s="61">
        <v>46</v>
      </c>
      <c r="M17" s="28">
        <f t="shared" si="1"/>
        <v>6.7846607669616518E-2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</f>
        <v>1001</v>
      </c>
      <c r="O17" s="172">
        <f t="shared" si="2"/>
        <v>1.4764011799410028</v>
      </c>
      <c r="P17" s="260">
        <v>40321.54</v>
      </c>
      <c r="Q17" s="89">
        <f t="shared" si="6"/>
        <v>0.26401057206718997</v>
      </c>
      <c r="R17" s="260">
        <v>24678.61</v>
      </c>
      <c r="S17" s="89">
        <f t="shared" si="7"/>
        <v>0.16158643603203338</v>
      </c>
      <c r="T17" s="130">
        <v>5274</v>
      </c>
      <c r="U17" s="9"/>
    </row>
    <row r="18" spans="1:21" ht="15.6" customHeight="1" x14ac:dyDescent="0.3">
      <c r="A18" s="198" t="s">
        <v>33</v>
      </c>
      <c r="B18" s="200">
        <f>'2 - 8 August 2021'!E18</f>
        <v>119669.17</v>
      </c>
      <c r="C18" s="73">
        <v>147869.29</v>
      </c>
      <c r="D18" s="73">
        <v>90858.2</v>
      </c>
      <c r="E18" s="145">
        <v>131997.35</v>
      </c>
      <c r="F18" s="145">
        <v>268493.23</v>
      </c>
      <c r="G18" s="163">
        <f t="shared" si="0"/>
        <v>-0.10733763582688469</v>
      </c>
      <c r="H18" s="155">
        <f t="shared" si="3"/>
        <v>0.45278411854956413</v>
      </c>
      <c r="I18" s="263">
        <f t="shared" si="4"/>
        <v>0.10301884771157022</v>
      </c>
      <c r="J18" s="150">
        <v>496</v>
      </c>
      <c r="K18" s="63">
        <f t="shared" si="5"/>
        <v>266.12368951612905</v>
      </c>
      <c r="L18" s="61">
        <v>45</v>
      </c>
      <c r="M18" s="28">
        <f t="shared" si="1"/>
        <v>9.0725806451612906E-2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</f>
        <v>1371</v>
      </c>
      <c r="O18" s="172">
        <f t="shared" si="2"/>
        <v>2.7641129032258065</v>
      </c>
      <c r="P18" s="260">
        <v>20805.650000000001</v>
      </c>
      <c r="Q18" s="89">
        <f t="shared" si="6"/>
        <v>0.15762172498160001</v>
      </c>
      <c r="R18" s="260">
        <v>13783.63</v>
      </c>
      <c r="S18" s="89">
        <f t="shared" si="7"/>
        <v>0.10442353577552882</v>
      </c>
      <c r="T18" s="130">
        <v>2192</v>
      </c>
      <c r="U18" s="9"/>
    </row>
    <row r="19" spans="1:21" ht="16.2" hidden="1" customHeight="1" thickBot="1" x14ac:dyDescent="0.35">
      <c r="A19" s="203" t="s">
        <v>37</v>
      </c>
      <c r="B19" s="200">
        <f>'12 - 18 July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99" priority="1" operator="equal">
      <formula>0</formula>
    </cfRule>
  </conditionalFormatting>
  <conditionalFormatting sqref="D7:F19">
    <cfRule type="cellIs" dxfId="29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X41"/>
  <sheetViews>
    <sheetView zoomScale="70" zoomScaleNormal="70" workbookViewId="0">
      <pane xSplit="1" topLeftCell="B1" activePane="topRight" state="frozen"/>
      <selection pane="topRight" activeCell="E6" sqref="E6:E1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-0.24964522736334652</v>
      </c>
      <c r="H2" s="413"/>
      <c r="I2" s="400">
        <f>(((E4-E19-B19)-B4)/E4)</f>
        <v>6.5549471195888206E-2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1552356.2400000002</v>
      </c>
      <c r="C4" s="135">
        <f>SUM(C6:C19)-C14-C19-C10</f>
        <v>2213953.1599999997</v>
      </c>
      <c r="D4" s="142">
        <f>SUM(D6:D19)-D19-D10</f>
        <v>1347058.6299999997</v>
      </c>
      <c r="E4" s="142">
        <f>SUM(E6:E19)-E19-E10</f>
        <v>1661250.3200000003</v>
      </c>
      <c r="F4" s="142">
        <f>SUM(F6:F19)-F19-F10</f>
        <v>5081194.709999999</v>
      </c>
      <c r="G4" s="217">
        <f t="shared" ref="G4:G19" si="0">IFERROR((SUM(E4-C4)/C4),0)</f>
        <v>-0.24964522736334652</v>
      </c>
      <c r="H4" s="217">
        <f>IFERROR((SUM(E4-D4)/D4),0)</f>
        <v>0.23324277281086178</v>
      </c>
      <c r="I4" s="217">
        <f>IFERROR((SUM(E4-B4)/E4),0)</f>
        <v>6.5549471195888206E-2</v>
      </c>
      <c r="J4" s="262">
        <f>SUM(J6:J18)</f>
        <v>6825</v>
      </c>
      <c r="K4" s="218">
        <f>AVERAGE(K5:K19)</f>
        <v>224.87845795076265</v>
      </c>
      <c r="L4" s="219">
        <f>SUM(L6:L19)</f>
        <v>622</v>
      </c>
      <c r="M4" s="220">
        <f t="shared" ref="M4:M19" si="1">IFERROR(L4/J4,0)</f>
        <v>9.1135531135531134E-2</v>
      </c>
      <c r="N4" s="221">
        <f>SUM(N6:N19)</f>
        <v>10491</v>
      </c>
      <c r="O4" s="222">
        <f t="shared" ref="O4:O19" si="2">IFERROR(N4/SUM(J4),0)</f>
        <v>1.5371428571428571</v>
      </c>
      <c r="P4" s="249">
        <f>SUM(P6:P19)</f>
        <v>361329.24999999994</v>
      </c>
      <c r="Q4" s="222">
        <f>SUM(P4/E4)</f>
        <v>0.21750439753113177</v>
      </c>
      <c r="R4" s="244">
        <f>SUM(R6:R19)</f>
        <v>201677.79</v>
      </c>
      <c r="S4" s="222">
        <f>SUM(R4/E4)</f>
        <v>0.12140120460593799</v>
      </c>
      <c r="T4" s="257">
        <f>SUM(T6:T19)</f>
        <v>65473.33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'9 - 15 August 2021'!E6</f>
        <v>183717.7</v>
      </c>
      <c r="C6" s="255">
        <v>231767.72</v>
      </c>
      <c r="D6" s="197">
        <v>148267.85999999999</v>
      </c>
      <c r="E6" s="123">
        <v>159000.87</v>
      </c>
      <c r="F6" s="197">
        <v>554360.44999999995</v>
      </c>
      <c r="G6" s="162">
        <f t="shared" si="0"/>
        <v>-0.31396455899898401</v>
      </c>
      <c r="H6" s="154">
        <f t="shared" ref="H6:H18" si="3">IFERROR((SUM(E6-D6)/D6),0)</f>
        <v>7.2389322945647219E-2</v>
      </c>
      <c r="I6" s="266">
        <f t="shared" ref="I6:I19" si="4">IFERROR((SUM(E6-B6)/B6),0)</f>
        <v>-0.13453700977096936</v>
      </c>
      <c r="J6" s="149">
        <v>553</v>
      </c>
      <c r="K6" s="63">
        <f t="shared" ref="K6:K19" si="5">IFERROR(E6/J6,0)</f>
        <v>287.52417721518987</v>
      </c>
      <c r="L6" s="125">
        <v>42</v>
      </c>
      <c r="M6" s="126">
        <f t="shared" si="1"/>
        <v>7.5949367088607597E-2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</f>
        <v>725</v>
      </c>
      <c r="O6" s="171">
        <f t="shared" si="2"/>
        <v>1.3110307414104883</v>
      </c>
      <c r="P6" s="259">
        <v>41047.629999999997</v>
      </c>
      <c r="Q6" s="128">
        <f t="shared" ref="Q6:Q19" si="6">SUM(P6/E6)</f>
        <v>0.25815978239615922</v>
      </c>
      <c r="R6" s="260">
        <v>5865.7</v>
      </c>
      <c r="S6" s="128">
        <f t="shared" ref="S6:S19" si="7">SUM(R6/E6)</f>
        <v>3.689099311217605E-2</v>
      </c>
      <c r="T6" s="129">
        <v>13351</v>
      </c>
      <c r="U6" s="26"/>
    </row>
    <row r="7" spans="1:24" ht="15.6" customHeight="1" x14ac:dyDescent="0.3">
      <c r="A7" s="409" t="s">
        <v>16</v>
      </c>
      <c r="B7" s="200">
        <f>'9 - 15 August 2021'!E7</f>
        <v>145245.69</v>
      </c>
      <c r="C7" s="73">
        <v>221483.49</v>
      </c>
      <c r="D7" s="145">
        <v>148887.07999999999</v>
      </c>
      <c r="E7" s="145">
        <v>161964.35</v>
      </c>
      <c r="F7" s="145">
        <v>488402.05</v>
      </c>
      <c r="G7" s="163">
        <f t="shared" si="0"/>
        <v>-0.26872946602024372</v>
      </c>
      <c r="H7" s="155">
        <f t="shared" si="3"/>
        <v>8.7833477558966297E-2</v>
      </c>
      <c r="I7" s="263">
        <f t="shared" si="4"/>
        <v>0.11510606614213477</v>
      </c>
      <c r="J7" s="150">
        <v>559</v>
      </c>
      <c r="K7" s="63">
        <f t="shared" si="5"/>
        <v>289.73944543828264</v>
      </c>
      <c r="L7" s="61">
        <v>53</v>
      </c>
      <c r="M7" s="28">
        <f t="shared" si="1"/>
        <v>9.4812164579606437E-2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</f>
        <v>949</v>
      </c>
      <c r="O7" s="172">
        <f t="shared" si="2"/>
        <v>1.6976744186046511</v>
      </c>
      <c r="P7" s="260">
        <v>22891.3</v>
      </c>
      <c r="Q7" s="89">
        <f t="shared" si="6"/>
        <v>0.14133542350523431</v>
      </c>
      <c r="R7" s="260">
        <v>13570.87</v>
      </c>
      <c r="S7" s="89">
        <f t="shared" si="7"/>
        <v>8.3789241274391552E-2</v>
      </c>
      <c r="T7" s="130">
        <v>6555.5</v>
      </c>
      <c r="U7" s="26"/>
    </row>
    <row r="8" spans="1:24" ht="15.6" customHeight="1" x14ac:dyDescent="0.3">
      <c r="A8" s="409" t="s">
        <v>17</v>
      </c>
      <c r="B8" s="200">
        <f>'9 - 15 August 2021'!E8</f>
        <v>107457.81</v>
      </c>
      <c r="C8" s="73">
        <v>108339.36</v>
      </c>
      <c r="D8" s="145">
        <v>97802.64</v>
      </c>
      <c r="E8" s="145">
        <v>123573.27</v>
      </c>
      <c r="F8" s="145">
        <v>358172.33</v>
      </c>
      <c r="G8" s="163">
        <f t="shared" si="0"/>
        <v>0.14061288528933533</v>
      </c>
      <c r="H8" s="155">
        <f t="shared" si="3"/>
        <v>0.26349626145061122</v>
      </c>
      <c r="I8" s="263">
        <f t="shared" si="4"/>
        <v>0.14997011385212491</v>
      </c>
      <c r="J8" s="150">
        <v>540</v>
      </c>
      <c r="K8" s="63">
        <f t="shared" si="5"/>
        <v>228.83938888888889</v>
      </c>
      <c r="L8" s="61">
        <v>5</v>
      </c>
      <c r="M8" s="28">
        <f t="shared" si="1"/>
        <v>9.2592592592592587E-3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</f>
        <v>368</v>
      </c>
      <c r="O8" s="172">
        <f t="shared" si="2"/>
        <v>0.68148148148148147</v>
      </c>
      <c r="P8" s="260">
        <v>61950.78</v>
      </c>
      <c r="Q8" s="89">
        <f t="shared" si="6"/>
        <v>0.50132832124617244</v>
      </c>
      <c r="R8" s="260">
        <v>13094.43</v>
      </c>
      <c r="S8" s="89">
        <f t="shared" si="7"/>
        <v>0.1059649064882721</v>
      </c>
      <c r="T8" s="130">
        <v>2666.9</v>
      </c>
      <c r="U8" s="26"/>
    </row>
    <row r="9" spans="1:24" ht="15.6" customHeight="1" x14ac:dyDescent="0.3">
      <c r="A9" s="409" t="s">
        <v>18</v>
      </c>
      <c r="B9" s="200">
        <f>'9 - 15 August 2021'!E9</f>
        <v>146042.81</v>
      </c>
      <c r="C9" s="73">
        <v>318980.90000000002</v>
      </c>
      <c r="D9" s="145">
        <v>0</v>
      </c>
      <c r="E9" s="145">
        <v>176608.28</v>
      </c>
      <c r="F9" s="145">
        <v>523745.4</v>
      </c>
      <c r="G9" s="163">
        <f t="shared" si="0"/>
        <v>-0.44633587779080192</v>
      </c>
      <c r="H9" s="155">
        <f t="shared" si="3"/>
        <v>0</v>
      </c>
      <c r="I9" s="263">
        <f t="shared" si="4"/>
        <v>0.20929116606288253</v>
      </c>
      <c r="J9" s="150">
        <v>663</v>
      </c>
      <c r="K9" s="63">
        <f t="shared" si="5"/>
        <v>266.37749622926094</v>
      </c>
      <c r="L9" s="61">
        <v>42</v>
      </c>
      <c r="M9" s="28">
        <f t="shared" si="1"/>
        <v>6.3348416289592757E-2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</f>
        <v>672</v>
      </c>
      <c r="O9" s="172">
        <f t="shared" si="2"/>
        <v>1.0135746606334841</v>
      </c>
      <c r="P9" s="260">
        <v>17700.810000000001</v>
      </c>
      <c r="Q9" s="89">
        <f t="shared" si="6"/>
        <v>0.10022638802665425</v>
      </c>
      <c r="R9" s="260">
        <v>10695.57</v>
      </c>
      <c r="S9" s="89">
        <f t="shared" si="7"/>
        <v>6.0560977095751117E-2</v>
      </c>
      <c r="T9" s="130">
        <v>4146.25</v>
      </c>
      <c r="U9" s="26"/>
    </row>
    <row r="10" spans="1:24" ht="15.6" customHeight="1" x14ac:dyDescent="0.3">
      <c r="A10" s="409" t="s">
        <v>20</v>
      </c>
      <c r="B10" s="200">
        <f>'9 - 15 August 2021'!E10</f>
        <v>122396.48</v>
      </c>
      <c r="C10" s="73">
        <v>146426.01999999999</v>
      </c>
      <c r="D10" s="145">
        <v>130770.31</v>
      </c>
      <c r="E10" s="145">
        <v>123252.63</v>
      </c>
      <c r="F10" s="145">
        <v>385874.32</v>
      </c>
      <c r="G10" s="163">
        <f t="shared" si="0"/>
        <v>-0.15826005514593641</v>
      </c>
      <c r="H10" s="155">
        <f t="shared" si="3"/>
        <v>-5.7487666734138604E-2</v>
      </c>
      <c r="I10" s="263">
        <f t="shared" si="4"/>
        <v>6.994890702739235E-3</v>
      </c>
      <c r="J10" s="150">
        <v>482</v>
      </c>
      <c r="K10" s="63">
        <f t="shared" si="5"/>
        <v>255.71085062240664</v>
      </c>
      <c r="L10" s="61">
        <v>57</v>
      </c>
      <c r="M10" s="28">
        <f t="shared" si="1"/>
        <v>0.11825726141078838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</f>
        <v>541</v>
      </c>
      <c r="O10" s="172">
        <f t="shared" si="2"/>
        <v>1.1224066390041494</v>
      </c>
      <c r="P10" s="260">
        <v>41461.449999999997</v>
      </c>
      <c r="Q10" s="89">
        <f t="shared" si="6"/>
        <v>0.33639403881280255</v>
      </c>
      <c r="R10" s="260">
        <v>19727.57</v>
      </c>
      <c r="S10" s="89">
        <f t="shared" si="7"/>
        <v>0.16005800444177135</v>
      </c>
      <c r="T10" s="130">
        <v>4681.8999999999996</v>
      </c>
      <c r="U10" s="26"/>
    </row>
    <row r="11" spans="1:24" ht="15.6" customHeight="1" x14ac:dyDescent="0.3">
      <c r="A11" s="409" t="s">
        <v>21</v>
      </c>
      <c r="B11" s="200">
        <f>'9 - 15 August 2021'!E11</f>
        <v>171775.88</v>
      </c>
      <c r="C11" s="73">
        <v>360091.79</v>
      </c>
      <c r="D11" s="145">
        <v>217481.86</v>
      </c>
      <c r="E11" s="145">
        <v>228766.7</v>
      </c>
      <c r="F11" s="145">
        <v>659926.81000000006</v>
      </c>
      <c r="G11" s="163">
        <f t="shared" si="0"/>
        <v>-0.36469892857040692</v>
      </c>
      <c r="H11" s="155">
        <f t="shared" si="3"/>
        <v>5.1888649471730774E-2</v>
      </c>
      <c r="I11" s="263">
        <f t="shared" si="4"/>
        <v>0.33177428635498768</v>
      </c>
      <c r="J11" s="150">
        <v>850</v>
      </c>
      <c r="K11" s="63">
        <f t="shared" si="5"/>
        <v>269.13729411764706</v>
      </c>
      <c r="L11" s="61">
        <v>91</v>
      </c>
      <c r="M11" s="28">
        <f t="shared" si="1"/>
        <v>0.10705882352941176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</f>
        <v>1525</v>
      </c>
      <c r="O11" s="172">
        <f t="shared" si="2"/>
        <v>1.7941176470588236</v>
      </c>
      <c r="P11" s="260">
        <v>39973.39</v>
      </c>
      <c r="Q11" s="89">
        <f t="shared" si="6"/>
        <v>0.17473430355029818</v>
      </c>
      <c r="R11" s="260">
        <v>23021.040000000001</v>
      </c>
      <c r="S11" s="89">
        <f t="shared" si="7"/>
        <v>0.10063107961079999</v>
      </c>
      <c r="T11" s="130">
        <v>6674.68</v>
      </c>
      <c r="U11" s="26"/>
    </row>
    <row r="12" spans="1:24" ht="15.6" customHeight="1" x14ac:dyDescent="0.3">
      <c r="A12" s="198" t="s">
        <v>22</v>
      </c>
      <c r="B12" s="200">
        <f>'9 - 15 August 2021'!E12</f>
        <v>100293.99</v>
      </c>
      <c r="C12" s="73">
        <v>140341.66</v>
      </c>
      <c r="D12" s="145">
        <v>97296.56</v>
      </c>
      <c r="E12" s="145">
        <v>88965.05</v>
      </c>
      <c r="F12" s="145">
        <v>309008.28000000003</v>
      </c>
      <c r="G12" s="163">
        <f t="shared" si="0"/>
        <v>-0.36608238779561253</v>
      </c>
      <c r="H12" s="155">
        <f t="shared" si="3"/>
        <v>-8.5630057218877981E-2</v>
      </c>
      <c r="I12" s="263">
        <f t="shared" si="4"/>
        <v>-0.1129573167843856</v>
      </c>
      <c r="J12" s="150">
        <v>350</v>
      </c>
      <c r="K12" s="63">
        <f t="shared" si="5"/>
        <v>254.18585714285715</v>
      </c>
      <c r="L12" s="61">
        <v>59</v>
      </c>
      <c r="M12" s="28">
        <f t="shared" si="1"/>
        <v>0.16857142857142857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</f>
        <v>720</v>
      </c>
      <c r="O12" s="172">
        <f t="shared" si="2"/>
        <v>2.0571428571428569</v>
      </c>
      <c r="P12" s="260">
        <v>16186.17</v>
      </c>
      <c r="Q12" s="89">
        <f t="shared" si="6"/>
        <v>0.18193852529729371</v>
      </c>
      <c r="R12" s="260">
        <v>9916</v>
      </c>
      <c r="S12" s="89">
        <f t="shared" si="7"/>
        <v>0.11145950010706451</v>
      </c>
      <c r="T12" s="130">
        <v>5698.75</v>
      </c>
      <c r="U12" s="26"/>
    </row>
    <row r="13" spans="1:24" ht="15.6" customHeight="1" x14ac:dyDescent="0.3">
      <c r="A13" s="198" t="s">
        <v>23</v>
      </c>
      <c r="B13" s="200">
        <f>'9 - 15 August 2021'!E13</f>
        <v>173155.22</v>
      </c>
      <c r="C13" s="73">
        <v>198305.39</v>
      </c>
      <c r="D13" s="145">
        <v>159754.29</v>
      </c>
      <c r="E13" s="145">
        <v>170345.73</v>
      </c>
      <c r="F13" s="145">
        <v>531594.37</v>
      </c>
      <c r="G13" s="163">
        <f t="shared" si="0"/>
        <v>-0.14099294023223474</v>
      </c>
      <c r="H13" s="155">
        <f t="shared" si="3"/>
        <v>6.6298313491299679E-2</v>
      </c>
      <c r="I13" s="263">
        <f t="shared" si="4"/>
        <v>-1.6225268865703215E-2</v>
      </c>
      <c r="J13" s="150">
        <v>676</v>
      </c>
      <c r="K13" s="63">
        <f t="shared" si="5"/>
        <v>251.99072485207103</v>
      </c>
      <c r="L13" s="61">
        <v>80</v>
      </c>
      <c r="M13" s="28">
        <f t="shared" si="1"/>
        <v>0.11834319526627218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</f>
        <v>1185</v>
      </c>
      <c r="O13" s="172">
        <f t="shared" si="2"/>
        <v>1.7529585798816567</v>
      </c>
      <c r="P13" s="260">
        <v>27250.44</v>
      </c>
      <c r="Q13" s="89">
        <f t="shared" si="6"/>
        <v>0.15997137116380902</v>
      </c>
      <c r="R13" s="260">
        <v>25797.17</v>
      </c>
      <c r="S13" s="89">
        <f t="shared" si="7"/>
        <v>0.15144007425369568</v>
      </c>
      <c r="T13" s="130">
        <v>3419</v>
      </c>
      <c r="U13" s="26"/>
    </row>
    <row r="14" spans="1:24" ht="15.6" hidden="1" customHeight="1" x14ac:dyDescent="0.3">
      <c r="A14" s="198" t="s">
        <v>24</v>
      </c>
      <c r="B14" s="200">
        <f>'9 - 15 August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'9 - 15 August 2021'!E15</f>
        <v>131076.87</v>
      </c>
      <c r="C15" s="73">
        <v>144589.57</v>
      </c>
      <c r="D15" s="145">
        <v>127454.92</v>
      </c>
      <c r="E15" s="145">
        <v>144860.75</v>
      </c>
      <c r="F15" s="145">
        <v>447706.97</v>
      </c>
      <c r="G15" s="163">
        <f t="shared" si="0"/>
        <v>1.8755156405817722E-3</v>
      </c>
      <c r="H15" s="155">
        <f t="shared" si="3"/>
        <v>0.13656459868320503</v>
      </c>
      <c r="I15" s="263">
        <f t="shared" si="4"/>
        <v>0.10515875150207664</v>
      </c>
      <c r="J15" s="150">
        <v>441</v>
      </c>
      <c r="K15" s="63">
        <f t="shared" si="5"/>
        <v>328.48242630385488</v>
      </c>
      <c r="L15" s="61">
        <v>58</v>
      </c>
      <c r="M15" s="28">
        <f t="shared" si="1"/>
        <v>0.13151927437641722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</f>
        <v>855</v>
      </c>
      <c r="O15" s="172">
        <f t="shared" si="2"/>
        <v>1.9387755102040816</v>
      </c>
      <c r="P15" s="260">
        <v>0</v>
      </c>
      <c r="Q15" s="89">
        <f t="shared" si="6"/>
        <v>0</v>
      </c>
      <c r="R15" s="260">
        <v>16139.57</v>
      </c>
      <c r="S15" s="89">
        <f t="shared" si="7"/>
        <v>0.11141437552960343</v>
      </c>
      <c r="T15" s="130">
        <v>1481.5</v>
      </c>
      <c r="U15" s="9"/>
    </row>
    <row r="16" spans="1:24" ht="15.6" customHeight="1" x14ac:dyDescent="0.3">
      <c r="A16" s="198" t="s">
        <v>27</v>
      </c>
      <c r="B16" s="200">
        <f>'9 - 15 August 2021'!E16</f>
        <v>108865.93</v>
      </c>
      <c r="C16" s="73">
        <v>132180.87</v>
      </c>
      <c r="D16" s="145">
        <v>98588.4</v>
      </c>
      <c r="E16" s="145">
        <v>123771.25</v>
      </c>
      <c r="F16" s="145">
        <v>351547.19</v>
      </c>
      <c r="G16" s="163">
        <f t="shared" si="0"/>
        <v>-6.362206573462556E-2</v>
      </c>
      <c r="H16" s="155">
        <f t="shared" si="3"/>
        <v>0.25543420929845712</v>
      </c>
      <c r="I16" s="263">
        <f t="shared" si="4"/>
        <v>0.13691445983146433</v>
      </c>
      <c r="J16" s="150">
        <v>527</v>
      </c>
      <c r="K16" s="63">
        <f t="shared" si="5"/>
        <v>234.86005692599622</v>
      </c>
      <c r="L16" s="61">
        <v>25</v>
      </c>
      <c r="M16" s="28">
        <f t="shared" si="1"/>
        <v>4.743833017077799E-2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</f>
        <v>469</v>
      </c>
      <c r="O16" s="172">
        <f t="shared" si="2"/>
        <v>0.88994307400379502</v>
      </c>
      <c r="P16" s="260">
        <v>32990.79</v>
      </c>
      <c r="Q16" s="89">
        <f t="shared" si="6"/>
        <v>0.26654647181797064</v>
      </c>
      <c r="R16" s="260">
        <v>25713.64</v>
      </c>
      <c r="S16" s="89">
        <f t="shared" si="7"/>
        <v>0.20775131543068362</v>
      </c>
      <c r="T16" s="130">
        <v>6186.85</v>
      </c>
      <c r="U16" s="9"/>
      <c r="X16" s="238"/>
    </row>
    <row r="17" spans="1:21" ht="15.6" customHeight="1" x14ac:dyDescent="0.3">
      <c r="A17" s="198" t="s">
        <v>28</v>
      </c>
      <c r="B17" s="200">
        <f>'9 - 15 August 2021'!E17</f>
        <v>152726.99</v>
      </c>
      <c r="C17" s="73">
        <v>198741.03</v>
      </c>
      <c r="D17" s="145">
        <v>153599.29</v>
      </c>
      <c r="E17" s="145">
        <v>149229.03</v>
      </c>
      <c r="F17" s="145">
        <v>454072.59</v>
      </c>
      <c r="G17" s="163">
        <f t="shared" si="0"/>
        <v>-0.24912822480591953</v>
      </c>
      <c r="H17" s="155">
        <f t="shared" si="3"/>
        <v>-2.8452345059667979E-2</v>
      </c>
      <c r="I17" s="263">
        <f t="shared" si="4"/>
        <v>-2.2903351922276424E-2</v>
      </c>
      <c r="J17" s="150">
        <v>655</v>
      </c>
      <c r="K17" s="63">
        <f t="shared" si="5"/>
        <v>227.83058015267176</v>
      </c>
      <c r="L17" s="61">
        <v>51</v>
      </c>
      <c r="M17" s="28">
        <f t="shared" si="1"/>
        <v>7.786259541984733E-2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</f>
        <v>1052</v>
      </c>
      <c r="O17" s="172">
        <f t="shared" si="2"/>
        <v>1.6061068702290076</v>
      </c>
      <c r="P17" s="260">
        <v>31384.32</v>
      </c>
      <c r="Q17" s="89">
        <f t="shared" si="6"/>
        <v>0.21030975005332408</v>
      </c>
      <c r="R17" s="260">
        <v>29672</v>
      </c>
      <c r="S17" s="89">
        <f t="shared" si="7"/>
        <v>0.19883530704448055</v>
      </c>
      <c r="T17" s="130">
        <v>6820.5</v>
      </c>
      <c r="U17" s="9"/>
    </row>
    <row r="18" spans="1:21" ht="15.6" customHeight="1" x14ac:dyDescent="0.3">
      <c r="A18" s="198" t="s">
        <v>33</v>
      </c>
      <c r="B18" s="200">
        <f>'9 - 15 August 2021'!E18</f>
        <v>131997.35</v>
      </c>
      <c r="C18" s="73">
        <v>159131.38</v>
      </c>
      <c r="D18" s="73">
        <v>97925.73</v>
      </c>
      <c r="E18" s="145">
        <v>134165.04</v>
      </c>
      <c r="F18" s="145">
        <v>402658.27</v>
      </c>
      <c r="G18" s="163">
        <f t="shared" si="0"/>
        <v>-0.15689136862886499</v>
      </c>
      <c r="H18" s="155">
        <f t="shared" si="3"/>
        <v>0.37006933724160151</v>
      </c>
      <c r="I18" s="263">
        <f t="shared" si="4"/>
        <v>1.6422223627974367E-2</v>
      </c>
      <c r="J18" s="150">
        <v>529</v>
      </c>
      <c r="K18" s="63">
        <f t="shared" si="5"/>
        <v>253.62011342155012</v>
      </c>
      <c r="L18" s="61">
        <v>59</v>
      </c>
      <c r="M18" s="28">
        <f t="shared" si="1"/>
        <v>0.11153119092627599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</f>
        <v>1430</v>
      </c>
      <c r="O18" s="172">
        <f t="shared" si="2"/>
        <v>2.7032136105860114</v>
      </c>
      <c r="P18" s="260">
        <v>28492.17</v>
      </c>
      <c r="Q18" s="89">
        <f t="shared" si="6"/>
        <v>0.21236657477983831</v>
      </c>
      <c r="R18" s="260">
        <v>8464.23</v>
      </c>
      <c r="S18" s="89">
        <f t="shared" si="7"/>
        <v>6.3088193466792827E-2</v>
      </c>
      <c r="T18" s="130">
        <v>3790.5</v>
      </c>
      <c r="U18" s="9"/>
    </row>
    <row r="19" spans="1:21" ht="16.2" hidden="1" customHeight="1" thickBot="1" x14ac:dyDescent="0.35">
      <c r="A19" s="203" t="s">
        <v>37</v>
      </c>
      <c r="B19" s="200">
        <f>'12 - 18 July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97" priority="1" operator="equal">
      <formula>0</formula>
    </cfRule>
  </conditionalFormatting>
  <conditionalFormatting sqref="D7:F19">
    <cfRule type="cellIs" dxfId="296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-0.21829575780064611</v>
      </c>
      <c r="H2" s="413"/>
      <c r="I2" s="400">
        <f>(((E4-E19-B19)-B4)/E4)</f>
        <v>7.3352917131310105E-2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1661250.3200000003</v>
      </c>
      <c r="C4" s="135">
        <f>SUM(C6:C19)-C14-C19-C10</f>
        <v>2293391.75</v>
      </c>
      <c r="D4" s="142">
        <f>SUM(D6:D19)-D19-D10</f>
        <v>1573890.9999999998</v>
      </c>
      <c r="E4" s="142">
        <f>SUM(E6:E19)-E19-E10</f>
        <v>1792754.06</v>
      </c>
      <c r="F4" s="142">
        <f>SUM(F6:F19)-F19-F10</f>
        <v>6873948.7699999986</v>
      </c>
      <c r="G4" s="217">
        <f t="shared" ref="G4:G19" si="0">IFERROR((SUM(E4-C4)/C4),0)</f>
        <v>-0.21829575780064611</v>
      </c>
      <c r="H4" s="217">
        <f>IFERROR((SUM(E4-D4)/D4),0)</f>
        <v>0.13905858792000228</v>
      </c>
      <c r="I4" s="217">
        <f>IFERROR((SUM(E4-B4)/E4),0)</f>
        <v>7.3352917131310105E-2</v>
      </c>
      <c r="J4" s="262">
        <f>SUM(J6:J18)</f>
        <v>7199</v>
      </c>
      <c r="K4" s="218">
        <f>AVERAGE(K5:K19)</f>
        <v>229.74153906387164</v>
      </c>
      <c r="L4" s="219">
        <f>SUM(L6:L19)</f>
        <v>620</v>
      </c>
      <c r="M4" s="220">
        <f t="shared" ref="M4:M19" si="1">IFERROR(L4/J4,0)</f>
        <v>8.6123072648979018E-2</v>
      </c>
      <c r="N4" s="221">
        <f>SUM(N6:N19)</f>
        <v>11111</v>
      </c>
      <c r="O4" s="222">
        <f t="shared" ref="O4:O19" si="2">IFERROR(N4/SUM(J4),0)</f>
        <v>1.5434088067787193</v>
      </c>
      <c r="P4" s="249">
        <f>SUM(P6:P19)</f>
        <v>354600.76999999996</v>
      </c>
      <c r="Q4" s="222">
        <f>SUM(P4/E4)</f>
        <v>0.19779666263871126</v>
      </c>
      <c r="R4" s="244">
        <f>SUM(R6:R19)</f>
        <v>215677.20999999996</v>
      </c>
      <c r="S4" s="222">
        <f>SUM(R4/E4)</f>
        <v>0.12030496252229933</v>
      </c>
      <c r="T4" s="257">
        <f>SUM(T6:T19)</f>
        <v>68012.930000000008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'16 - 22 August 2021'!E6</f>
        <v>159000.87</v>
      </c>
      <c r="C6" s="255">
        <v>248696.5</v>
      </c>
      <c r="D6" s="197">
        <v>159546.92000000001</v>
      </c>
      <c r="E6" s="123">
        <v>182635.28</v>
      </c>
      <c r="F6" s="197">
        <v>736995.73</v>
      </c>
      <c r="G6" s="162">
        <f t="shared" si="0"/>
        <v>-0.26562987416389056</v>
      </c>
      <c r="H6" s="154">
        <f t="shared" ref="H6:H18" si="3">IFERROR((SUM(E6-D6)/D6),0)</f>
        <v>0.14471203831449697</v>
      </c>
      <c r="I6" s="266">
        <f t="shared" ref="I6:I19" si="4">IFERROR((SUM(E6-B6)/B6),0)</f>
        <v>0.14864327471918867</v>
      </c>
      <c r="J6" s="149">
        <v>642</v>
      </c>
      <c r="K6" s="63">
        <f t="shared" ref="K6:K19" si="5">IFERROR(E6/J6,0)</f>
        <v>284.47862928348911</v>
      </c>
      <c r="L6" s="125">
        <v>18</v>
      </c>
      <c r="M6" s="126">
        <f t="shared" si="1"/>
        <v>2.8037383177570093E-2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</f>
        <v>743</v>
      </c>
      <c r="O6" s="171">
        <f t="shared" si="2"/>
        <v>1.1573208722741433</v>
      </c>
      <c r="P6" s="259">
        <v>39222.5</v>
      </c>
      <c r="Q6" s="128">
        <f t="shared" ref="Q6:Q19" si="6">SUM(P6/E6)</f>
        <v>0.21475861618850423</v>
      </c>
      <c r="R6" s="260">
        <v>8928.83</v>
      </c>
      <c r="S6" s="128">
        <f t="shared" ref="S6:S19" si="7">SUM(R6/E6)</f>
        <v>4.8888856523230342E-2</v>
      </c>
      <c r="T6" s="129">
        <v>5708.3</v>
      </c>
      <c r="U6" s="26"/>
    </row>
    <row r="7" spans="1:24" ht="15.6" customHeight="1" x14ac:dyDescent="0.3">
      <c r="A7" s="409" t="s">
        <v>16</v>
      </c>
      <c r="B7" s="200">
        <f>'16 - 22 August 2021'!E7</f>
        <v>161964.35</v>
      </c>
      <c r="C7" s="73">
        <v>252827.21</v>
      </c>
      <c r="D7" s="145">
        <v>159359.63</v>
      </c>
      <c r="E7" s="145">
        <v>156293.04</v>
      </c>
      <c r="F7" s="145">
        <v>644695.09</v>
      </c>
      <c r="G7" s="163">
        <f t="shared" si="0"/>
        <v>-0.38181875281541089</v>
      </c>
      <c r="H7" s="155">
        <f t="shared" si="3"/>
        <v>-1.9243204819187874E-2</v>
      </c>
      <c r="I7" s="263">
        <f t="shared" si="4"/>
        <v>-3.5015792055473921E-2</v>
      </c>
      <c r="J7" s="150">
        <v>566</v>
      </c>
      <c r="K7" s="63">
        <f t="shared" si="5"/>
        <v>276.13611307420496</v>
      </c>
      <c r="L7" s="61">
        <v>53</v>
      </c>
      <c r="M7" s="28">
        <f t="shared" si="1"/>
        <v>9.3639575971731448E-2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</f>
        <v>1002</v>
      </c>
      <c r="O7" s="172">
        <f t="shared" si="2"/>
        <v>1.7703180212014133</v>
      </c>
      <c r="P7" s="260">
        <v>26276.560000000001</v>
      </c>
      <c r="Q7" s="89">
        <f t="shared" si="6"/>
        <v>0.16812367332544045</v>
      </c>
      <c r="R7" s="260">
        <v>13146.09</v>
      </c>
      <c r="S7" s="89">
        <f t="shared" si="7"/>
        <v>8.4111806898119063E-2</v>
      </c>
      <c r="T7" s="130">
        <v>5489.58</v>
      </c>
      <c r="U7" s="26"/>
    </row>
    <row r="8" spans="1:24" ht="15.6" customHeight="1" x14ac:dyDescent="0.3">
      <c r="A8" s="409" t="s">
        <v>17</v>
      </c>
      <c r="B8" s="200">
        <f>'16 - 22 August 2021'!E8</f>
        <v>123573.27</v>
      </c>
      <c r="C8" s="73">
        <v>100438.88</v>
      </c>
      <c r="D8" s="145">
        <v>89576.67</v>
      </c>
      <c r="E8" s="145">
        <v>112270.21</v>
      </c>
      <c r="F8" s="145">
        <v>470442.54</v>
      </c>
      <c r="G8" s="163">
        <f t="shared" si="0"/>
        <v>0.11779631553040019</v>
      </c>
      <c r="H8" s="155">
        <f t="shared" si="3"/>
        <v>0.25334208114679868</v>
      </c>
      <c r="I8" s="263">
        <f t="shared" si="4"/>
        <v>-9.1468486671915358E-2</v>
      </c>
      <c r="J8" s="150">
        <v>487</v>
      </c>
      <c r="K8" s="63">
        <f t="shared" si="5"/>
        <v>230.53431211498975</v>
      </c>
      <c r="L8" s="61">
        <v>7</v>
      </c>
      <c r="M8" s="28">
        <f t="shared" si="1"/>
        <v>1.4373716632443531E-2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</f>
        <v>375</v>
      </c>
      <c r="O8" s="172">
        <f t="shared" si="2"/>
        <v>0.77002053388090352</v>
      </c>
      <c r="P8" s="260">
        <v>53445.22</v>
      </c>
      <c r="Q8" s="89">
        <f t="shared" si="6"/>
        <v>0.47604097293485065</v>
      </c>
      <c r="R8" s="260">
        <v>16202.48</v>
      </c>
      <c r="S8" s="89">
        <f t="shared" si="7"/>
        <v>0.14431682277961355</v>
      </c>
      <c r="T8" s="130">
        <v>3008.3</v>
      </c>
      <c r="U8" s="26"/>
    </row>
    <row r="9" spans="1:24" ht="15.6" customHeight="1" x14ac:dyDescent="0.3">
      <c r="A9" s="409" t="s">
        <v>18</v>
      </c>
      <c r="B9" s="200">
        <f>'16 - 22 August 2021'!E9</f>
        <v>176608.28</v>
      </c>
      <c r="C9" s="73">
        <v>336182.19</v>
      </c>
      <c r="D9" s="145">
        <v>167047.18</v>
      </c>
      <c r="E9" s="145">
        <v>210003.64</v>
      </c>
      <c r="F9" s="145">
        <v>733749.04</v>
      </c>
      <c r="G9" s="163">
        <f t="shared" si="0"/>
        <v>-0.37532788396672645</v>
      </c>
      <c r="H9" s="155">
        <f t="shared" si="3"/>
        <v>0.25715166218310315</v>
      </c>
      <c r="I9" s="263">
        <f t="shared" si="4"/>
        <v>0.18909283302006008</v>
      </c>
      <c r="J9" s="150">
        <v>767</v>
      </c>
      <c r="K9" s="63">
        <f t="shared" si="5"/>
        <v>273.79874837027381</v>
      </c>
      <c r="L9" s="61">
        <v>31</v>
      </c>
      <c r="M9" s="28">
        <f t="shared" si="1"/>
        <v>4.0417209908735333E-2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</f>
        <v>703</v>
      </c>
      <c r="O9" s="172">
        <f t="shared" si="2"/>
        <v>0.91655801825293348</v>
      </c>
      <c r="P9" s="260">
        <v>25863</v>
      </c>
      <c r="Q9" s="89">
        <f t="shared" si="6"/>
        <v>0.12315500817033456</v>
      </c>
      <c r="R9" s="260">
        <v>10684.56</v>
      </c>
      <c r="S9" s="89">
        <f t="shared" si="7"/>
        <v>5.0877975257952665E-2</v>
      </c>
      <c r="T9" s="130">
        <v>4333.5</v>
      </c>
      <c r="U9" s="26"/>
    </row>
    <row r="10" spans="1:24" ht="15.6" customHeight="1" x14ac:dyDescent="0.3">
      <c r="A10" s="409" t="s">
        <v>20</v>
      </c>
      <c r="B10" s="200">
        <f>'16 - 22 August 2021'!E10</f>
        <v>123252.63</v>
      </c>
      <c r="C10" s="73">
        <v>152135.32999999999</v>
      </c>
      <c r="D10" s="145">
        <v>122866.07</v>
      </c>
      <c r="E10" s="145">
        <v>141625.92000000001</v>
      </c>
      <c r="F10" s="145">
        <v>527500.24</v>
      </c>
      <c r="G10" s="163">
        <f t="shared" si="0"/>
        <v>-6.9079351916481041E-2</v>
      </c>
      <c r="H10" s="155">
        <f t="shared" si="3"/>
        <v>0.15268535894409258</v>
      </c>
      <c r="I10" s="263">
        <f t="shared" si="4"/>
        <v>0.14907016588611544</v>
      </c>
      <c r="J10" s="150">
        <v>492</v>
      </c>
      <c r="K10" s="63">
        <f t="shared" si="5"/>
        <v>287.85756097560977</v>
      </c>
      <c r="L10" s="61">
        <v>50</v>
      </c>
      <c r="M10" s="28">
        <f t="shared" si="1"/>
        <v>0.1016260162601626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</f>
        <v>591</v>
      </c>
      <c r="O10" s="172">
        <f t="shared" si="2"/>
        <v>1.2012195121951219</v>
      </c>
      <c r="P10" s="260">
        <v>38223.19</v>
      </c>
      <c r="Q10" s="89">
        <f t="shared" si="6"/>
        <v>0.26988837918934611</v>
      </c>
      <c r="R10" s="260">
        <v>17008.61</v>
      </c>
      <c r="S10" s="89">
        <f t="shared" si="7"/>
        <v>0.12009531871002144</v>
      </c>
      <c r="T10" s="130">
        <v>5111.8999999999996</v>
      </c>
      <c r="U10" s="26"/>
    </row>
    <row r="11" spans="1:24" ht="15.6" customHeight="1" x14ac:dyDescent="0.3">
      <c r="A11" s="409" t="s">
        <v>21</v>
      </c>
      <c r="B11" s="200">
        <f>'16 - 22 August 2021'!E11</f>
        <v>228766.7</v>
      </c>
      <c r="C11" s="73">
        <v>359955.15</v>
      </c>
      <c r="D11" s="145">
        <v>225625.91</v>
      </c>
      <c r="E11" s="145">
        <v>248736.18</v>
      </c>
      <c r="F11" s="145">
        <v>908662.99</v>
      </c>
      <c r="G11" s="163">
        <f t="shared" si="0"/>
        <v>-0.30898007710127229</v>
      </c>
      <c r="H11" s="155">
        <f t="shared" si="3"/>
        <v>0.10242737635939059</v>
      </c>
      <c r="I11" s="263">
        <f t="shared" si="4"/>
        <v>8.7291900438306716E-2</v>
      </c>
      <c r="J11" s="150">
        <v>894</v>
      </c>
      <c r="K11" s="63">
        <f t="shared" si="5"/>
        <v>278.22838926174495</v>
      </c>
      <c r="L11" s="61">
        <v>94</v>
      </c>
      <c r="M11" s="28">
        <f t="shared" si="1"/>
        <v>0.10514541387024609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</f>
        <v>1619</v>
      </c>
      <c r="O11" s="172">
        <f t="shared" si="2"/>
        <v>1.8109619686800895</v>
      </c>
      <c r="P11" s="260">
        <v>37265.089999999997</v>
      </c>
      <c r="Q11" s="89">
        <f t="shared" si="6"/>
        <v>0.14981773057703143</v>
      </c>
      <c r="R11" s="260">
        <v>34162.129999999997</v>
      </c>
      <c r="S11" s="89">
        <f t="shared" si="7"/>
        <v>0.13734282644366411</v>
      </c>
      <c r="T11" s="130">
        <v>11156.05</v>
      </c>
      <c r="U11" s="26"/>
    </row>
    <row r="12" spans="1:24" ht="15.6" customHeight="1" x14ac:dyDescent="0.3">
      <c r="A12" s="198" t="s">
        <v>22</v>
      </c>
      <c r="B12" s="200">
        <f>'16 - 22 August 2021'!E12</f>
        <v>88965.05</v>
      </c>
      <c r="C12" s="73">
        <v>142994.71</v>
      </c>
      <c r="D12" s="145">
        <v>87304.83</v>
      </c>
      <c r="E12" s="145">
        <v>107488.05</v>
      </c>
      <c r="F12" s="145">
        <v>416496.33</v>
      </c>
      <c r="G12" s="163">
        <f t="shared" si="0"/>
        <v>-0.2483075073196763</v>
      </c>
      <c r="H12" s="155">
        <f t="shared" si="3"/>
        <v>0.2311810240052011</v>
      </c>
      <c r="I12" s="263">
        <f t="shared" si="4"/>
        <v>0.20820535704751472</v>
      </c>
      <c r="J12" s="150">
        <v>415</v>
      </c>
      <c r="K12" s="63">
        <f t="shared" si="5"/>
        <v>259.00734939759036</v>
      </c>
      <c r="L12" s="61">
        <v>53</v>
      </c>
      <c r="M12" s="28">
        <f t="shared" si="1"/>
        <v>0.12771084337349398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</f>
        <v>773</v>
      </c>
      <c r="O12" s="172">
        <f t="shared" si="2"/>
        <v>1.8626506024096385</v>
      </c>
      <c r="P12" s="260">
        <v>16731.52</v>
      </c>
      <c r="Q12" s="89">
        <f t="shared" si="6"/>
        <v>0.15565935003937648</v>
      </c>
      <c r="R12" s="260">
        <v>13374.77</v>
      </c>
      <c r="S12" s="89">
        <f t="shared" si="7"/>
        <v>0.12443029713535597</v>
      </c>
      <c r="T12" s="130">
        <v>5759</v>
      </c>
      <c r="U12" s="26"/>
    </row>
    <row r="13" spans="1:24" ht="15.6" customHeight="1" x14ac:dyDescent="0.3">
      <c r="A13" s="198" t="s">
        <v>23</v>
      </c>
      <c r="B13" s="200">
        <f>'16 - 22 August 2021'!E13</f>
        <v>170345.73</v>
      </c>
      <c r="C13" s="73">
        <v>200652.94</v>
      </c>
      <c r="D13" s="145">
        <v>157305.47</v>
      </c>
      <c r="E13" s="145">
        <v>200623.02</v>
      </c>
      <c r="F13" s="145">
        <v>732217.39</v>
      </c>
      <c r="G13" s="163">
        <f t="shared" si="0"/>
        <v>-1.4911319016812217E-4</v>
      </c>
      <c r="H13" s="155">
        <f t="shared" si="3"/>
        <v>0.27537217872970332</v>
      </c>
      <c r="I13" s="263">
        <f t="shared" si="4"/>
        <v>0.17774023452187487</v>
      </c>
      <c r="J13" s="150">
        <v>754</v>
      </c>
      <c r="K13" s="63">
        <f t="shared" si="5"/>
        <v>266.07827586206895</v>
      </c>
      <c r="L13" s="61">
        <v>105</v>
      </c>
      <c r="M13" s="28">
        <f t="shared" si="1"/>
        <v>0.13925729442970822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</f>
        <v>1290</v>
      </c>
      <c r="O13" s="172">
        <f t="shared" si="2"/>
        <v>1.7108753315649867</v>
      </c>
      <c r="P13" s="260">
        <v>30332.95</v>
      </c>
      <c r="Q13" s="89">
        <f t="shared" si="6"/>
        <v>0.15119376629860323</v>
      </c>
      <c r="R13" s="260">
        <v>27341.87</v>
      </c>
      <c r="S13" s="89">
        <f t="shared" si="7"/>
        <v>0.13628480919088945</v>
      </c>
      <c r="T13" s="130">
        <v>8270.5</v>
      </c>
      <c r="U13" s="26"/>
    </row>
    <row r="14" spans="1:24" ht="15.6" hidden="1" customHeight="1" x14ac:dyDescent="0.3">
      <c r="A14" s="198" t="s">
        <v>24</v>
      </c>
      <c r="B14" s="200">
        <f>'16 - 22 August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'16 - 22 August 2021'!E15</f>
        <v>144860.75</v>
      </c>
      <c r="C15" s="73">
        <v>149768.1</v>
      </c>
      <c r="D15" s="145">
        <v>143641.04999999999</v>
      </c>
      <c r="E15" s="145">
        <v>139227.04999999999</v>
      </c>
      <c r="F15" s="145">
        <v>586934.02</v>
      </c>
      <c r="G15" s="163">
        <f t="shared" si="0"/>
        <v>-7.0382477977620178E-2</v>
      </c>
      <c r="H15" s="155">
        <f t="shared" si="3"/>
        <v>-3.0729377152283421E-2</v>
      </c>
      <c r="I15" s="263">
        <f t="shared" si="4"/>
        <v>-3.8890451692401233E-2</v>
      </c>
      <c r="J15" s="150">
        <v>457</v>
      </c>
      <c r="K15" s="63">
        <f t="shared" si="5"/>
        <v>304.65437636761487</v>
      </c>
      <c r="L15" s="61">
        <v>33</v>
      </c>
      <c r="M15" s="28">
        <f t="shared" si="1"/>
        <v>7.2210065645514229E-2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</f>
        <v>888</v>
      </c>
      <c r="O15" s="172">
        <f t="shared" si="2"/>
        <v>1.9431072210065645</v>
      </c>
      <c r="P15" s="260">
        <v>0</v>
      </c>
      <c r="Q15" s="89">
        <f t="shared" si="6"/>
        <v>0</v>
      </c>
      <c r="R15" s="260">
        <v>16450.52</v>
      </c>
      <c r="S15" s="89">
        <f t="shared" si="7"/>
        <v>0.11815606234564334</v>
      </c>
      <c r="T15" s="130">
        <v>3681</v>
      </c>
      <c r="U15" s="9"/>
    </row>
    <row r="16" spans="1:24" ht="15.6" customHeight="1" x14ac:dyDescent="0.3">
      <c r="A16" s="198" t="s">
        <v>27</v>
      </c>
      <c r="B16" s="200">
        <f>'16 - 22 August 2021'!E16</f>
        <v>123771.25</v>
      </c>
      <c r="C16" s="73">
        <v>139344.51999999999</v>
      </c>
      <c r="D16" s="145">
        <v>102765.68</v>
      </c>
      <c r="E16" s="145">
        <v>119149.06</v>
      </c>
      <c r="F16" s="145">
        <v>470696.25</v>
      </c>
      <c r="G16" s="163">
        <f t="shared" si="0"/>
        <v>-0.14493185666720151</v>
      </c>
      <c r="H16" s="155">
        <f t="shared" si="3"/>
        <v>0.15942462503045771</v>
      </c>
      <c r="I16" s="263">
        <f t="shared" si="4"/>
        <v>-3.7344617590918748E-2</v>
      </c>
      <c r="J16" s="150">
        <v>523</v>
      </c>
      <c r="K16" s="63">
        <f t="shared" si="5"/>
        <v>227.81847036328872</v>
      </c>
      <c r="L16" s="61">
        <v>37</v>
      </c>
      <c r="M16" s="28">
        <f t="shared" si="1"/>
        <v>7.0745697896749518E-2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</f>
        <v>506</v>
      </c>
      <c r="O16" s="172">
        <f t="shared" si="2"/>
        <v>0.9674952198852772</v>
      </c>
      <c r="P16" s="260">
        <v>35279.599999999999</v>
      </c>
      <c r="Q16" s="89">
        <f t="shared" si="6"/>
        <v>0.29609633512845168</v>
      </c>
      <c r="R16" s="260">
        <v>24590.65</v>
      </c>
      <c r="S16" s="89">
        <f t="shared" si="7"/>
        <v>0.20638559800639639</v>
      </c>
      <c r="T16" s="130">
        <v>6650.8</v>
      </c>
      <c r="U16" s="9"/>
      <c r="X16" s="238"/>
    </row>
    <row r="17" spans="1:21" ht="15.6" customHeight="1" x14ac:dyDescent="0.3">
      <c r="A17" s="198" t="s">
        <v>28</v>
      </c>
      <c r="B17" s="200">
        <f>'16 - 22 August 2021'!E17</f>
        <v>149229.03</v>
      </c>
      <c r="C17" s="73">
        <v>190535.34</v>
      </c>
      <c r="D17" s="145">
        <v>159701.51</v>
      </c>
      <c r="E17" s="145">
        <v>164986.63</v>
      </c>
      <c r="F17" s="145">
        <v>619059.22</v>
      </c>
      <c r="G17" s="163">
        <f t="shared" si="0"/>
        <v>-0.13408908814501286</v>
      </c>
      <c r="H17" s="155">
        <f t="shared" si="3"/>
        <v>3.3093738437413617E-2</v>
      </c>
      <c r="I17" s="263">
        <f t="shared" si="4"/>
        <v>0.10559339560137868</v>
      </c>
      <c r="J17" s="150">
        <v>648</v>
      </c>
      <c r="K17" s="63">
        <f t="shared" si="5"/>
        <v>254.60899691358026</v>
      </c>
      <c r="L17" s="61">
        <v>63</v>
      </c>
      <c r="M17" s="28">
        <f t="shared" si="1"/>
        <v>9.7222222222222224E-2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</f>
        <v>1115</v>
      </c>
      <c r="O17" s="172">
        <f t="shared" si="2"/>
        <v>1.720679012345679</v>
      </c>
      <c r="P17" s="260">
        <v>25702.19</v>
      </c>
      <c r="Q17" s="89">
        <f t="shared" si="6"/>
        <v>0.15578347166676473</v>
      </c>
      <c r="R17" s="260">
        <v>20473.650000000001</v>
      </c>
      <c r="S17" s="89">
        <f t="shared" si="7"/>
        <v>0.12409278254850106</v>
      </c>
      <c r="T17" s="130">
        <v>5563.5</v>
      </c>
      <c r="U17" s="9"/>
    </row>
    <row r="18" spans="1:21" ht="15.6" customHeight="1" x14ac:dyDescent="0.3">
      <c r="A18" s="198" t="s">
        <v>33</v>
      </c>
      <c r="B18" s="200">
        <f>'16 - 22 August 2021'!E18</f>
        <v>134165.04</v>
      </c>
      <c r="C18" s="73">
        <v>171996.21</v>
      </c>
      <c r="D18" s="73">
        <v>122016.15</v>
      </c>
      <c r="E18" s="145">
        <v>151341.9</v>
      </c>
      <c r="F18" s="145">
        <v>554000.17000000004</v>
      </c>
      <c r="G18" s="163">
        <f t="shared" si="0"/>
        <v>-0.12008584375202221</v>
      </c>
      <c r="H18" s="155">
        <f t="shared" si="3"/>
        <v>0.24034318407850108</v>
      </c>
      <c r="I18" s="263">
        <f t="shared" si="4"/>
        <v>0.12802783795242029</v>
      </c>
      <c r="J18" s="150">
        <v>554</v>
      </c>
      <c r="K18" s="63">
        <f t="shared" si="5"/>
        <v>273.1803249097473</v>
      </c>
      <c r="L18" s="61">
        <v>76</v>
      </c>
      <c r="M18" s="28">
        <f t="shared" si="1"/>
        <v>0.13718411552346571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</f>
        <v>1506</v>
      </c>
      <c r="O18" s="172">
        <f t="shared" si="2"/>
        <v>2.7184115523465704</v>
      </c>
      <c r="P18" s="260">
        <v>26258.95</v>
      </c>
      <c r="Q18" s="89">
        <f t="shared" si="6"/>
        <v>0.17350746885033161</v>
      </c>
      <c r="R18" s="260">
        <v>13313.05</v>
      </c>
      <c r="S18" s="89">
        <f t="shared" si="7"/>
        <v>8.7966716421559399E-2</v>
      </c>
      <c r="T18" s="130">
        <v>3280.5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95" priority="1" operator="equal">
      <formula>0</formula>
    </cfRule>
  </conditionalFormatting>
  <conditionalFormatting sqref="D7:F19">
    <cfRule type="cellIs" dxfId="29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X41"/>
  <sheetViews>
    <sheetView zoomScale="70" zoomScaleNormal="70" workbookViewId="0">
      <pane xSplit="1" topLeftCell="B1" activePane="topRight" state="frozen"/>
      <selection pane="topRight" activeCell="D15" sqref="D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-0.15128610908807349</v>
      </c>
      <c r="H2" s="413"/>
      <c r="I2" s="400">
        <f>(((E4-E19-B19)-B4)/E4)</f>
        <v>3.4258276131951565E-2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1792754.06</v>
      </c>
      <c r="C4" s="135">
        <f>SUM(C6:C19)-C14-C19-C10</f>
        <v>2187249.92</v>
      </c>
      <c r="D4" s="142">
        <f>SUM(D6:D19)-D19-D10</f>
        <v>1697196.21</v>
      </c>
      <c r="E4" s="142">
        <f>SUM(E6:E19)-E19-E10</f>
        <v>1856349.39</v>
      </c>
      <c r="F4" s="142">
        <f>SUM(F6:F19)-F19-F10</f>
        <v>1521175.84</v>
      </c>
      <c r="G4" s="217">
        <f t="shared" ref="G4:G19" si="0">IFERROR((SUM(E4-C4)/C4),0)</f>
        <v>-0.15128610908807349</v>
      </c>
      <c r="H4" s="217">
        <f>IFERROR((SUM(E4-D4)/D4),0)</f>
        <v>9.3774178296096911E-2</v>
      </c>
      <c r="I4" s="217">
        <f>IFERROR((SUM(E4-B4)/E4),0)</f>
        <v>3.4258276131951565E-2</v>
      </c>
      <c r="J4" s="262">
        <f>SUM(J6:J18)</f>
        <v>7295</v>
      </c>
      <c r="K4" s="218">
        <f>AVERAGE(K5:K19)</f>
        <v>234.64070258171893</v>
      </c>
      <c r="L4" s="219">
        <f>SUM(L6:L19)</f>
        <v>653</v>
      </c>
      <c r="M4" s="220">
        <f t="shared" ref="M4:M19" si="1">IFERROR(L4/J4,0)</f>
        <v>8.9513365318711444E-2</v>
      </c>
      <c r="N4" s="221">
        <f>SUM(N6:N19)</f>
        <v>11764</v>
      </c>
      <c r="O4" s="222">
        <f t="shared" ref="O4:O19" si="2">IFERROR(N4/SUM(J4),0)</f>
        <v>1.6126113776559288</v>
      </c>
      <c r="P4" s="249">
        <f>SUM(P6:P19)</f>
        <v>354135.45999999996</v>
      </c>
      <c r="Q4" s="222">
        <f>SUM(P4/E4)</f>
        <v>0.19076983131930783</v>
      </c>
      <c r="R4" s="244">
        <f>SUM(R6:R19)</f>
        <v>197586.16999999998</v>
      </c>
      <c r="S4" s="222">
        <f>SUM(R4/E4)</f>
        <v>0.1064380288885165</v>
      </c>
      <c r="T4" s="257">
        <f>SUM(T6:T19)</f>
        <v>72991.679999999993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'23 - 29 August 2021'!E6</f>
        <v>182635.28</v>
      </c>
      <c r="C6" s="255">
        <v>239676.58</v>
      </c>
      <c r="D6" s="197">
        <v>182984.25</v>
      </c>
      <c r="E6" s="123">
        <v>191939.76</v>
      </c>
      <c r="F6" s="197">
        <v>163112.10999999999</v>
      </c>
      <c r="G6" s="162">
        <f t="shared" si="0"/>
        <v>-0.19917181728811376</v>
      </c>
      <c r="H6" s="154">
        <f t="shared" ref="H6:H18" si="3">IFERROR((SUM(E6-D6)/D6),0)</f>
        <v>4.8941425286602586E-2</v>
      </c>
      <c r="I6" s="266">
        <f t="shared" ref="I6:I19" si="4">IFERROR((SUM(E6-B6)/B6),0)</f>
        <v>5.0945688040120236E-2</v>
      </c>
      <c r="J6" s="149">
        <v>663</v>
      </c>
      <c r="K6" s="63">
        <f t="shared" ref="K6:K19" si="5">IFERROR(E6/J6,0)</f>
        <v>289.50190045248871</v>
      </c>
      <c r="L6" s="125">
        <v>44</v>
      </c>
      <c r="M6" s="126">
        <f t="shared" si="1"/>
        <v>6.636500754147813E-2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</f>
        <v>787</v>
      </c>
      <c r="O6" s="171">
        <f t="shared" si="2"/>
        <v>1.1870286576168929</v>
      </c>
      <c r="P6" s="259">
        <v>37717.17</v>
      </c>
      <c r="Q6" s="128">
        <f t="shared" ref="Q6:Q19" si="6">SUM(P6/E6)</f>
        <v>0.19650524727133137</v>
      </c>
      <c r="R6" s="260">
        <v>6694.39</v>
      </c>
      <c r="S6" s="128">
        <f t="shared" ref="S6:S19" si="7">SUM(R6/E6)</f>
        <v>3.4877557416972911E-2</v>
      </c>
      <c r="T6" s="129">
        <v>12033.5</v>
      </c>
      <c r="U6" s="26"/>
    </row>
    <row r="7" spans="1:24" ht="15.6" customHeight="1" x14ac:dyDescent="0.3">
      <c r="A7" s="409" t="s">
        <v>16</v>
      </c>
      <c r="B7" s="200">
        <f>'23 - 29 August 2021'!E7</f>
        <v>156293.04</v>
      </c>
      <c r="C7" s="73">
        <v>216653.28</v>
      </c>
      <c r="D7" s="145">
        <v>157610.76</v>
      </c>
      <c r="E7" s="145">
        <v>201746.45</v>
      </c>
      <c r="F7" s="145">
        <v>169190.68</v>
      </c>
      <c r="G7" s="163">
        <f t="shared" si="0"/>
        <v>-6.880500493692035E-2</v>
      </c>
      <c r="H7" s="155">
        <f t="shared" si="3"/>
        <v>0.28002967563889675</v>
      </c>
      <c r="I7" s="263">
        <f t="shared" si="4"/>
        <v>0.29082171541355906</v>
      </c>
      <c r="J7" s="150">
        <v>702</v>
      </c>
      <c r="K7" s="63">
        <f t="shared" si="5"/>
        <v>287.38810541310545</v>
      </c>
      <c r="L7" s="61">
        <v>57</v>
      </c>
      <c r="M7" s="28">
        <f t="shared" si="1"/>
        <v>8.11965811965812E-2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</f>
        <v>1059</v>
      </c>
      <c r="O7" s="172">
        <f t="shared" si="2"/>
        <v>1.5085470085470085</v>
      </c>
      <c r="P7" s="260">
        <v>22427.98</v>
      </c>
      <c r="Q7" s="89">
        <f t="shared" si="6"/>
        <v>0.11116914324886509</v>
      </c>
      <c r="R7" s="260">
        <v>11654.7</v>
      </c>
      <c r="S7" s="89">
        <f t="shared" si="7"/>
        <v>5.7769046245919074E-2</v>
      </c>
      <c r="T7" s="130">
        <v>8961.6</v>
      </c>
      <c r="U7" s="26"/>
    </row>
    <row r="8" spans="1:24" ht="15.6" customHeight="1" x14ac:dyDescent="0.3">
      <c r="A8" s="409" t="s">
        <v>17</v>
      </c>
      <c r="B8" s="200">
        <f>'23 - 29 August 2021'!E8</f>
        <v>112270.21</v>
      </c>
      <c r="C8" s="73">
        <v>120525.49</v>
      </c>
      <c r="D8" s="145">
        <v>105575.56</v>
      </c>
      <c r="E8" s="145">
        <v>110116.65</v>
      </c>
      <c r="F8" s="145">
        <v>91256.73</v>
      </c>
      <c r="G8" s="163">
        <f t="shared" si="0"/>
        <v>-8.6362146297849607E-2</v>
      </c>
      <c r="H8" s="155">
        <f t="shared" si="3"/>
        <v>4.3012701045582864E-2</v>
      </c>
      <c r="I8" s="263">
        <f t="shared" si="4"/>
        <v>-1.9181936152074645E-2</v>
      </c>
      <c r="J8" s="150">
        <v>455</v>
      </c>
      <c r="K8" s="63">
        <f t="shared" si="5"/>
        <v>242.01461538461538</v>
      </c>
      <c r="L8" s="61">
        <v>33</v>
      </c>
      <c r="M8" s="28">
        <f t="shared" si="1"/>
        <v>7.2527472527472533E-2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</f>
        <v>408</v>
      </c>
      <c r="O8" s="172">
        <f t="shared" si="2"/>
        <v>0.89670329670329674</v>
      </c>
      <c r="P8" s="260">
        <v>46231.43</v>
      </c>
      <c r="Q8" s="89">
        <f t="shared" si="6"/>
        <v>0.41984050550030355</v>
      </c>
      <c r="R8" s="260">
        <v>13364.78</v>
      </c>
      <c r="S8" s="89">
        <f t="shared" si="7"/>
        <v>0.12136929338115536</v>
      </c>
      <c r="T8" s="130">
        <v>3713.5</v>
      </c>
      <c r="U8" s="26"/>
    </row>
    <row r="9" spans="1:24" ht="15.6" customHeight="1" x14ac:dyDescent="0.3">
      <c r="A9" s="409" t="s">
        <v>18</v>
      </c>
      <c r="B9" s="200">
        <f>'23 - 29 August 2021'!E9</f>
        <v>210003.64</v>
      </c>
      <c r="C9" s="73">
        <v>320270.55</v>
      </c>
      <c r="D9" s="145">
        <v>192741.92</v>
      </c>
      <c r="E9" s="145">
        <v>206523.85</v>
      </c>
      <c r="F9" s="145">
        <v>164986.72</v>
      </c>
      <c r="G9" s="163">
        <f t="shared" si="0"/>
        <v>-0.35515816237240666</v>
      </c>
      <c r="H9" s="155">
        <f t="shared" si="3"/>
        <v>7.1504579802878332E-2</v>
      </c>
      <c r="I9" s="263">
        <f t="shared" si="4"/>
        <v>-1.6570141355645111E-2</v>
      </c>
      <c r="J9" s="150">
        <v>773</v>
      </c>
      <c r="K9" s="63">
        <f t="shared" si="5"/>
        <v>267.17186287192754</v>
      </c>
      <c r="L9" s="61">
        <v>27</v>
      </c>
      <c r="M9" s="28">
        <f t="shared" si="1"/>
        <v>3.4928848641655887E-2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</f>
        <v>730</v>
      </c>
      <c r="O9" s="172">
        <f t="shared" si="2"/>
        <v>0.94437257438551103</v>
      </c>
      <c r="P9" s="260">
        <v>23232.71</v>
      </c>
      <c r="Q9" s="89">
        <f t="shared" si="6"/>
        <v>0.11249407756053356</v>
      </c>
      <c r="R9" s="260">
        <v>13898.41</v>
      </c>
      <c r="S9" s="89">
        <f t="shared" si="7"/>
        <v>6.7296876365611033E-2</v>
      </c>
      <c r="T9" s="130">
        <v>3900.43</v>
      </c>
      <c r="U9" s="26"/>
    </row>
    <row r="10" spans="1:24" ht="15.6" customHeight="1" x14ac:dyDescent="0.3">
      <c r="A10" s="409" t="s">
        <v>20</v>
      </c>
      <c r="B10" s="200">
        <f>'23 - 29 August 2021'!E10</f>
        <v>141625.92000000001</v>
      </c>
      <c r="C10" s="73">
        <v>146999.51</v>
      </c>
      <c r="D10" s="145">
        <v>124582.41</v>
      </c>
      <c r="E10" s="145">
        <v>141777.65</v>
      </c>
      <c r="F10" s="145">
        <v>115842.79</v>
      </c>
      <c r="G10" s="163">
        <f t="shared" si="0"/>
        <v>-3.5522975552775754E-2</v>
      </c>
      <c r="H10" s="155">
        <f t="shared" si="3"/>
        <v>0.13802301625084945</v>
      </c>
      <c r="I10" s="263">
        <f t="shared" si="4"/>
        <v>1.0713434376982784E-3</v>
      </c>
      <c r="J10" s="150">
        <v>508</v>
      </c>
      <c r="K10" s="63">
        <f t="shared" si="5"/>
        <v>279.0898622047244</v>
      </c>
      <c r="L10" s="61">
        <v>43</v>
      </c>
      <c r="M10" s="28">
        <f t="shared" si="1"/>
        <v>8.4645669291338585E-2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</f>
        <v>634</v>
      </c>
      <c r="O10" s="172">
        <f t="shared" si="2"/>
        <v>1.2480314960629921</v>
      </c>
      <c r="P10" s="260">
        <v>47166.36</v>
      </c>
      <c r="Q10" s="89">
        <f t="shared" si="6"/>
        <v>0.33267838760199514</v>
      </c>
      <c r="R10" s="260">
        <v>14696.7</v>
      </c>
      <c r="S10" s="89">
        <f t="shared" si="7"/>
        <v>0.10366020314203263</v>
      </c>
      <c r="T10" s="130">
        <v>3922.5</v>
      </c>
      <c r="U10" s="26"/>
    </row>
    <row r="11" spans="1:24" ht="15.6" customHeight="1" x14ac:dyDescent="0.3">
      <c r="A11" s="409" t="s">
        <v>21</v>
      </c>
      <c r="B11" s="200">
        <f>'23 - 29 August 2021'!E11</f>
        <v>248736.18</v>
      </c>
      <c r="C11" s="73">
        <v>328209.32</v>
      </c>
      <c r="D11" s="145">
        <v>257820.21</v>
      </c>
      <c r="E11" s="145">
        <v>237125.78</v>
      </c>
      <c r="F11" s="145">
        <v>197628.75</v>
      </c>
      <c r="G11" s="163">
        <f t="shared" si="0"/>
        <v>-0.27751661652996329</v>
      </c>
      <c r="H11" s="155">
        <f t="shared" si="3"/>
        <v>-8.0266903824180405E-2</v>
      </c>
      <c r="I11" s="263">
        <f t="shared" si="4"/>
        <v>-4.6677568176853063E-2</v>
      </c>
      <c r="J11" s="150">
        <v>855</v>
      </c>
      <c r="K11" s="63">
        <f t="shared" si="5"/>
        <v>277.34009356725147</v>
      </c>
      <c r="L11" s="61">
        <v>65</v>
      </c>
      <c r="M11" s="28">
        <f t="shared" si="1"/>
        <v>7.6023391812865493E-2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</f>
        <v>1684</v>
      </c>
      <c r="O11" s="172">
        <f t="shared" si="2"/>
        <v>1.9695906432748538</v>
      </c>
      <c r="P11" s="260">
        <v>38495.83</v>
      </c>
      <c r="Q11" s="89">
        <f t="shared" si="6"/>
        <v>0.16234350394124167</v>
      </c>
      <c r="R11" s="260">
        <v>27307.78</v>
      </c>
      <c r="S11" s="89">
        <f t="shared" si="7"/>
        <v>0.11516158217803227</v>
      </c>
      <c r="T11" s="130">
        <v>9492.5499999999993</v>
      </c>
      <c r="U11" s="26"/>
    </row>
    <row r="12" spans="1:24" ht="15.6" customHeight="1" x14ac:dyDescent="0.3">
      <c r="A12" s="198" t="s">
        <v>22</v>
      </c>
      <c r="B12" s="200">
        <f>'23 - 29 August 2021'!E12</f>
        <v>107488.05</v>
      </c>
      <c r="C12" s="73">
        <v>145518.20000000001</v>
      </c>
      <c r="D12" s="145">
        <v>104337.88</v>
      </c>
      <c r="E12" s="145">
        <v>109444.49</v>
      </c>
      <c r="F12" s="145">
        <v>86858.32</v>
      </c>
      <c r="G12" s="163">
        <f t="shared" si="0"/>
        <v>-0.24789826976969206</v>
      </c>
      <c r="H12" s="155">
        <f t="shared" si="3"/>
        <v>4.8943010917990672E-2</v>
      </c>
      <c r="I12" s="263">
        <f t="shared" si="4"/>
        <v>1.8201465186130014E-2</v>
      </c>
      <c r="J12" s="150">
        <v>407</v>
      </c>
      <c r="K12" s="63">
        <f t="shared" si="5"/>
        <v>268.90538083538087</v>
      </c>
      <c r="L12" s="61">
        <v>48</v>
      </c>
      <c r="M12" s="28">
        <f t="shared" si="1"/>
        <v>0.11793611793611794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</f>
        <v>821</v>
      </c>
      <c r="O12" s="172">
        <f t="shared" si="2"/>
        <v>2.0171990171990171</v>
      </c>
      <c r="P12" s="260">
        <v>20992.17</v>
      </c>
      <c r="Q12" s="89">
        <f t="shared" si="6"/>
        <v>0.1918065496033651</v>
      </c>
      <c r="R12" s="260">
        <v>8548.7000000000007</v>
      </c>
      <c r="S12" s="89">
        <f t="shared" si="7"/>
        <v>7.8109916725821474E-2</v>
      </c>
      <c r="T12" s="130">
        <v>8651.5</v>
      </c>
      <c r="U12" s="26"/>
    </row>
    <row r="13" spans="1:24" ht="15.6" customHeight="1" x14ac:dyDescent="0.3">
      <c r="A13" s="198" t="s">
        <v>23</v>
      </c>
      <c r="B13" s="200">
        <f>'23 - 29 August 2021'!E13</f>
        <v>200623.02</v>
      </c>
      <c r="C13" s="73">
        <v>208795.8</v>
      </c>
      <c r="D13" s="145">
        <v>160475.67000000001</v>
      </c>
      <c r="E13" s="145">
        <v>180434.4</v>
      </c>
      <c r="F13" s="145">
        <v>144194.82999999999</v>
      </c>
      <c r="G13" s="163">
        <f t="shared" si="0"/>
        <v>-0.13583319204696645</v>
      </c>
      <c r="H13" s="155">
        <f t="shared" si="3"/>
        <v>0.1243723113915024</v>
      </c>
      <c r="I13" s="263">
        <f t="shared" si="4"/>
        <v>-0.10062962864381164</v>
      </c>
      <c r="J13" s="150">
        <v>680</v>
      </c>
      <c r="K13" s="63">
        <f t="shared" si="5"/>
        <v>265.34470588235291</v>
      </c>
      <c r="L13" s="61">
        <v>89</v>
      </c>
      <c r="M13" s="28">
        <f t="shared" si="1"/>
        <v>0.13088235294117648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</f>
        <v>1379</v>
      </c>
      <c r="O13" s="172">
        <f t="shared" si="2"/>
        <v>2.0279411764705881</v>
      </c>
      <c r="P13" s="260">
        <v>26738.22</v>
      </c>
      <c r="Q13" s="89">
        <f t="shared" si="6"/>
        <v>0.14818803953126455</v>
      </c>
      <c r="R13" s="260">
        <v>25645.71</v>
      </c>
      <c r="S13" s="89">
        <f t="shared" si="7"/>
        <v>0.14213315199318977</v>
      </c>
      <c r="T13" s="130">
        <v>4991</v>
      </c>
      <c r="U13" s="26"/>
    </row>
    <row r="14" spans="1:24" ht="15.6" hidden="1" customHeight="1" x14ac:dyDescent="0.3">
      <c r="A14" s="198" t="s">
        <v>24</v>
      </c>
      <c r="B14" s="200">
        <f>'23 - 29 August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'23 - 29 August 2021'!E15</f>
        <v>139227.04999999999</v>
      </c>
      <c r="C15" s="73">
        <v>154810.43</v>
      </c>
      <c r="D15" s="145">
        <v>148414.68</v>
      </c>
      <c r="E15" s="145">
        <v>162189.07999999999</v>
      </c>
      <c r="F15" s="145">
        <v>133676.59</v>
      </c>
      <c r="G15" s="163">
        <f t="shared" si="0"/>
        <v>4.7662486306639641E-2</v>
      </c>
      <c r="H15" s="155">
        <f t="shared" si="3"/>
        <v>9.2810226050414918E-2</v>
      </c>
      <c r="I15" s="263">
        <f t="shared" si="4"/>
        <v>0.16492506305347993</v>
      </c>
      <c r="J15" s="150">
        <v>494</v>
      </c>
      <c r="K15" s="63">
        <f t="shared" si="5"/>
        <v>328.31797570850199</v>
      </c>
      <c r="L15" s="61">
        <v>60</v>
      </c>
      <c r="M15" s="28">
        <f t="shared" si="1"/>
        <v>0.1214574898785425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</f>
        <v>948</v>
      </c>
      <c r="O15" s="172">
        <f t="shared" si="2"/>
        <v>1.9190283400809716</v>
      </c>
      <c r="P15" s="260">
        <v>0</v>
      </c>
      <c r="Q15" s="89">
        <f t="shared" si="6"/>
        <v>0</v>
      </c>
      <c r="R15" s="260">
        <v>16166.52</v>
      </c>
      <c r="S15" s="89">
        <f t="shared" si="7"/>
        <v>9.9676994283462245E-2</v>
      </c>
      <c r="T15" s="130">
        <v>3589.6</v>
      </c>
      <c r="U15" s="9"/>
    </row>
    <row r="16" spans="1:24" ht="15.6" customHeight="1" x14ac:dyDescent="0.3">
      <c r="A16" s="198" t="s">
        <v>27</v>
      </c>
      <c r="B16" s="200">
        <f>'23 - 29 August 2021'!E16</f>
        <v>119149.06</v>
      </c>
      <c r="C16" s="73">
        <v>112130.31</v>
      </c>
      <c r="D16" s="145">
        <v>102976.22</v>
      </c>
      <c r="E16" s="145">
        <v>131562.69</v>
      </c>
      <c r="F16" s="145">
        <v>110992.37</v>
      </c>
      <c r="G16" s="163">
        <f t="shared" si="0"/>
        <v>0.17330175935480785</v>
      </c>
      <c r="H16" s="155">
        <f t="shared" si="3"/>
        <v>0.27760263486074749</v>
      </c>
      <c r="I16" s="263">
        <f t="shared" si="4"/>
        <v>0.10418571493556059</v>
      </c>
      <c r="J16" s="150">
        <v>515</v>
      </c>
      <c r="K16" s="63">
        <f t="shared" si="5"/>
        <v>255.46153398058252</v>
      </c>
      <c r="L16" s="61">
        <v>27</v>
      </c>
      <c r="M16" s="28">
        <f t="shared" si="1"/>
        <v>5.2427184466019419E-2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</f>
        <v>533</v>
      </c>
      <c r="O16" s="172">
        <f t="shared" si="2"/>
        <v>1.0349514563106796</v>
      </c>
      <c r="P16" s="260">
        <v>35434.6</v>
      </c>
      <c r="Q16" s="89">
        <f t="shared" si="6"/>
        <v>0.2693362381082357</v>
      </c>
      <c r="R16" s="260">
        <v>23446.95</v>
      </c>
      <c r="S16" s="89">
        <f t="shared" si="7"/>
        <v>0.17821884000699589</v>
      </c>
      <c r="T16" s="130">
        <v>4675.5</v>
      </c>
      <c r="U16" s="9"/>
      <c r="X16" s="238"/>
    </row>
    <row r="17" spans="1:21" ht="15.6" customHeight="1" x14ac:dyDescent="0.3">
      <c r="A17" s="198" t="s">
        <v>28</v>
      </c>
      <c r="B17" s="200">
        <f>'23 - 29 August 2021'!E17</f>
        <v>164986.63</v>
      </c>
      <c r="C17" s="73">
        <v>179173.79</v>
      </c>
      <c r="D17" s="145">
        <v>154600.57999999999</v>
      </c>
      <c r="E17" s="145">
        <v>180862.94</v>
      </c>
      <c r="F17" s="145">
        <v>141035.93</v>
      </c>
      <c r="G17" s="163">
        <f t="shared" si="0"/>
        <v>9.4274391360477123E-3</v>
      </c>
      <c r="H17" s="155">
        <f t="shared" si="3"/>
        <v>0.16987232518791337</v>
      </c>
      <c r="I17" s="263">
        <f t="shared" si="4"/>
        <v>9.6227857978552545E-2</v>
      </c>
      <c r="J17" s="150">
        <v>701</v>
      </c>
      <c r="K17" s="63">
        <f t="shared" si="5"/>
        <v>258.00704707560629</v>
      </c>
      <c r="L17" s="61">
        <v>74</v>
      </c>
      <c r="M17" s="28">
        <f t="shared" si="1"/>
        <v>0.10556348074179743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</f>
        <v>1189</v>
      </c>
      <c r="O17" s="172">
        <f t="shared" si="2"/>
        <v>1.6961483594864479</v>
      </c>
      <c r="P17" s="260">
        <v>31235.19</v>
      </c>
      <c r="Q17" s="89">
        <f t="shared" si="6"/>
        <v>0.17270088609639983</v>
      </c>
      <c r="R17" s="260">
        <v>27221.1</v>
      </c>
      <c r="S17" s="89">
        <f t="shared" si="7"/>
        <v>0.1505067870731284</v>
      </c>
      <c r="T17" s="130">
        <v>5091</v>
      </c>
      <c r="U17" s="9"/>
    </row>
    <row r="18" spans="1:21" ht="15.6" customHeight="1" x14ac:dyDescent="0.3">
      <c r="A18" s="198" t="s">
        <v>33</v>
      </c>
      <c r="B18" s="200">
        <f>'23 - 29 August 2021'!E18</f>
        <v>151341.9</v>
      </c>
      <c r="C18" s="73">
        <v>161486.17000000001</v>
      </c>
      <c r="D18" s="73">
        <v>129658.48</v>
      </c>
      <c r="E18" s="145">
        <v>144403.29999999999</v>
      </c>
      <c r="F18" s="145">
        <v>118242.81</v>
      </c>
      <c r="G18" s="163">
        <f t="shared" si="0"/>
        <v>-0.10578534372324282</v>
      </c>
      <c r="H18" s="155">
        <f t="shared" si="3"/>
        <v>0.11372044466354991</v>
      </c>
      <c r="I18" s="263">
        <f t="shared" si="4"/>
        <v>-4.5847184421498648E-2</v>
      </c>
      <c r="J18" s="150">
        <v>542</v>
      </c>
      <c r="K18" s="63">
        <f t="shared" si="5"/>
        <v>266.42675276752766</v>
      </c>
      <c r="L18" s="61">
        <v>86</v>
      </c>
      <c r="M18" s="28">
        <f t="shared" si="1"/>
        <v>0.15867158671586715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</f>
        <v>1592</v>
      </c>
      <c r="O18" s="172">
        <f t="shared" si="2"/>
        <v>2.9372693726937271</v>
      </c>
      <c r="P18" s="260">
        <v>24463.8</v>
      </c>
      <c r="Q18" s="89">
        <f t="shared" si="6"/>
        <v>0.1694130258796025</v>
      </c>
      <c r="R18" s="260">
        <v>8940.43</v>
      </c>
      <c r="S18" s="89">
        <f t="shared" si="7"/>
        <v>6.1912920272597656E-2</v>
      </c>
      <c r="T18" s="130">
        <v>3969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>
        <v>0</v>
      </c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93" priority="1" operator="equal">
      <formula>0</formula>
    </cfRule>
  </conditionalFormatting>
  <conditionalFormatting sqref="D7:F19">
    <cfRule type="cellIs" dxfId="29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X41"/>
  <sheetViews>
    <sheetView zoomScale="70" zoomScaleNormal="70" workbookViewId="0">
      <pane xSplit="1" topLeftCell="B1" activePane="topRight" state="frozen"/>
      <selection pane="topRight" activeCell="C11" sqref="C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-0.21770625257928244</v>
      </c>
      <c r="H2" s="413"/>
      <c r="I2" s="400">
        <f>(((E4-E19-B19)-B4)/E4)</f>
        <v>-9.2207418314525558E-2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1856349.39</v>
      </c>
      <c r="C4" s="135">
        <f>SUM(C6:C19)-C14-C19-C10</f>
        <v>2172624.8300000005</v>
      </c>
      <c r="D4" s="142">
        <f>SUM(D6:D19)-D19-D10</f>
        <v>1559187.66</v>
      </c>
      <c r="E4" s="142">
        <f>SUM(E6:E19)-E19-E10</f>
        <v>1699630.8199999998</v>
      </c>
      <c r="F4" s="142">
        <f>SUM(F6:F19)-F19-F10</f>
        <v>3220806.66</v>
      </c>
      <c r="G4" s="217">
        <f t="shared" ref="G4:G19" si="0">IFERROR((SUM(E4-C4)/C4),0)</f>
        <v>-0.21770625257928244</v>
      </c>
      <c r="H4" s="217">
        <f>IFERROR((SUM(E4-D4)/D4),0)</f>
        <v>9.0074571267450845E-2</v>
      </c>
      <c r="I4" s="217">
        <f>IFERROR((SUM(E4-B4)/E4),0)</f>
        <v>-9.2207418314525558E-2</v>
      </c>
      <c r="J4" s="262">
        <f>SUM(J6:J18)</f>
        <v>6869</v>
      </c>
      <c r="K4" s="218">
        <f>AVERAGE(K5:K19)</f>
        <v>225.67332255085225</v>
      </c>
      <c r="L4" s="219">
        <f>SUM(L6:L19)</f>
        <v>568</v>
      </c>
      <c r="M4" s="220">
        <f t="shared" ref="M4:M19" si="1">IFERROR(L4/J4,0)</f>
        <v>8.2690347940020378E-2</v>
      </c>
      <c r="N4" s="221">
        <f>SUM(N6:N19)</f>
        <v>12332</v>
      </c>
      <c r="O4" s="222">
        <f t="shared" ref="O4:O19" si="2">IFERROR(N4/SUM(J4),0)</f>
        <v>1.7953122725287525</v>
      </c>
      <c r="P4" s="249">
        <f>SUM(P6:P19)</f>
        <v>321152.33</v>
      </c>
      <c r="Q4" s="222">
        <f>SUM(P4/E4)</f>
        <v>0.18895416947075602</v>
      </c>
      <c r="R4" s="244">
        <f>SUM(R6:R19)</f>
        <v>192119.47</v>
      </c>
      <c r="S4" s="222">
        <f>SUM(R4/E4)</f>
        <v>0.11303600037095116</v>
      </c>
      <c r="T4" s="257">
        <f>SUM(T6:T19)</f>
        <v>64526.26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'30 August - 5 Sept 2021'!E6</f>
        <v>191939.76</v>
      </c>
      <c r="C6" s="255">
        <v>239200.57</v>
      </c>
      <c r="D6" s="197">
        <v>172765.9</v>
      </c>
      <c r="E6" s="123">
        <v>190960.44</v>
      </c>
      <c r="F6" s="197">
        <v>354072.55</v>
      </c>
      <c r="G6" s="162">
        <f t="shared" si="0"/>
        <v>-0.20167230370730305</v>
      </c>
      <c r="H6" s="154">
        <f t="shared" ref="H6:H18" si="3">IFERROR((SUM(E6-D6)/D6),0)</f>
        <v>0.10531325915588671</v>
      </c>
      <c r="I6" s="266">
        <f t="shared" ref="I6:I19" si="4">IFERROR((SUM(E6-B6)/B6),0)</f>
        <v>-5.1022258233521132E-3</v>
      </c>
      <c r="J6" s="149">
        <v>618</v>
      </c>
      <c r="K6" s="63">
        <f t="shared" ref="K6:K19" si="5">IFERROR(E6/J6,0)</f>
        <v>308.99747572815534</v>
      </c>
      <c r="L6" s="125">
        <v>33</v>
      </c>
      <c r="M6" s="126">
        <f t="shared" si="1"/>
        <v>5.3398058252427182E-2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</f>
        <v>820</v>
      </c>
      <c r="O6" s="171">
        <f t="shared" si="2"/>
        <v>1.3268608414239482</v>
      </c>
      <c r="P6" s="259">
        <v>36158.1</v>
      </c>
      <c r="Q6" s="128">
        <f t="shared" ref="Q6:Q19" si="6">SUM(P6/E6)</f>
        <v>0.18934864205382015</v>
      </c>
      <c r="R6" s="260">
        <v>9224.6200000000008</v>
      </c>
      <c r="S6" s="128">
        <f t="shared" ref="S6:S19" si="7">SUM(R6/E6)</f>
        <v>4.8306445041706024E-2</v>
      </c>
      <c r="T6" s="129">
        <v>7809.85</v>
      </c>
      <c r="U6" s="26"/>
    </row>
    <row r="7" spans="1:24" ht="15.6" customHeight="1" x14ac:dyDescent="0.3">
      <c r="A7" s="409" t="s">
        <v>16</v>
      </c>
      <c r="B7" s="200">
        <f>'30 August - 5 Sept 2021'!E7</f>
        <v>201746.45</v>
      </c>
      <c r="C7" s="73">
        <v>229551.86</v>
      </c>
      <c r="D7" s="145">
        <v>143196.01</v>
      </c>
      <c r="E7" s="145">
        <v>169362.77</v>
      </c>
      <c r="F7" s="145">
        <v>338553.45</v>
      </c>
      <c r="G7" s="163">
        <f t="shared" si="0"/>
        <v>-0.26220258027968057</v>
      </c>
      <c r="H7" s="155">
        <f t="shared" si="3"/>
        <v>0.18273386248681076</v>
      </c>
      <c r="I7" s="263">
        <f t="shared" si="4"/>
        <v>-0.16051672780363679</v>
      </c>
      <c r="J7" s="150">
        <v>641</v>
      </c>
      <c r="K7" s="63">
        <f t="shared" si="5"/>
        <v>264.21648985959439</v>
      </c>
      <c r="L7" s="61">
        <v>76</v>
      </c>
      <c r="M7" s="28">
        <f t="shared" si="1"/>
        <v>0.11856474258970359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</f>
        <v>1135</v>
      </c>
      <c r="O7" s="172">
        <f t="shared" si="2"/>
        <v>1.7706708268330733</v>
      </c>
      <c r="P7" s="260">
        <v>21695.06</v>
      </c>
      <c r="Q7" s="89">
        <f t="shared" si="6"/>
        <v>0.12809816466747681</v>
      </c>
      <c r="R7" s="260">
        <v>14340.35</v>
      </c>
      <c r="S7" s="89">
        <f t="shared" si="7"/>
        <v>8.4672386971469588E-2</v>
      </c>
      <c r="T7" s="130">
        <v>6940.73</v>
      </c>
      <c r="U7" s="26"/>
    </row>
    <row r="8" spans="1:24" ht="15.6" customHeight="1" x14ac:dyDescent="0.3">
      <c r="A8" s="409" t="s">
        <v>17</v>
      </c>
      <c r="B8" s="200">
        <f>'30 August - 5 Sept 2021'!E8</f>
        <v>110116.65</v>
      </c>
      <c r="C8" s="73">
        <v>100323.41</v>
      </c>
      <c r="D8" s="145">
        <v>90991.77</v>
      </c>
      <c r="E8" s="145">
        <v>103027.19</v>
      </c>
      <c r="F8" s="145">
        <v>194283.92</v>
      </c>
      <c r="G8" s="163">
        <f t="shared" si="0"/>
        <v>2.6950638938608634E-2</v>
      </c>
      <c r="H8" s="155">
        <f t="shared" si="3"/>
        <v>0.13226932501697677</v>
      </c>
      <c r="I8" s="263">
        <f t="shared" si="4"/>
        <v>-6.4381362854754404E-2</v>
      </c>
      <c r="J8" s="150">
        <v>422</v>
      </c>
      <c r="K8" s="63">
        <f t="shared" si="5"/>
        <v>244.14026066350712</v>
      </c>
      <c r="L8" s="61">
        <v>14</v>
      </c>
      <c r="M8" s="28">
        <f t="shared" si="1"/>
        <v>3.3175355450236969E-2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</f>
        <v>422</v>
      </c>
      <c r="O8" s="172">
        <f t="shared" si="2"/>
        <v>1</v>
      </c>
      <c r="P8" s="260">
        <v>42597.65</v>
      </c>
      <c r="Q8" s="89">
        <f t="shared" si="6"/>
        <v>0.41346027199227697</v>
      </c>
      <c r="R8" s="260">
        <v>14590.26</v>
      </c>
      <c r="S8" s="89">
        <f t="shared" si="7"/>
        <v>0.14161562593330945</v>
      </c>
      <c r="T8" s="130">
        <v>5522</v>
      </c>
      <c r="U8" s="26"/>
    </row>
    <row r="9" spans="1:24" ht="15.6" customHeight="1" x14ac:dyDescent="0.3">
      <c r="A9" s="409" t="s">
        <v>18</v>
      </c>
      <c r="B9" s="200">
        <f>'30 August - 5 Sept 2021'!E9</f>
        <v>206523.85</v>
      </c>
      <c r="C9" s="73">
        <v>313819.25</v>
      </c>
      <c r="D9" s="145">
        <v>168420.84</v>
      </c>
      <c r="E9" s="145">
        <v>191574.23</v>
      </c>
      <c r="F9" s="145">
        <v>356560.95</v>
      </c>
      <c r="G9" s="163">
        <f t="shared" si="0"/>
        <v>-0.38953958369347957</v>
      </c>
      <c r="H9" s="155">
        <f t="shared" si="3"/>
        <v>0.13747342668520127</v>
      </c>
      <c r="I9" s="263">
        <f t="shared" si="4"/>
        <v>-7.2386893813958991E-2</v>
      </c>
      <c r="J9" s="150">
        <v>747</v>
      </c>
      <c r="K9" s="63">
        <f t="shared" si="5"/>
        <v>256.45813922356092</v>
      </c>
      <c r="L9" s="61">
        <v>25</v>
      </c>
      <c r="M9" s="28">
        <f t="shared" si="1"/>
        <v>3.3467202141900937E-2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</f>
        <v>755</v>
      </c>
      <c r="O9" s="172">
        <f t="shared" si="2"/>
        <v>1.0107095046854082</v>
      </c>
      <c r="P9" s="260">
        <v>27746.93</v>
      </c>
      <c r="Q9" s="89">
        <f t="shared" si="6"/>
        <v>0.14483644277207847</v>
      </c>
      <c r="R9" s="260">
        <v>6434.48</v>
      </c>
      <c r="S9" s="89">
        <f t="shared" si="7"/>
        <v>3.3587398472122262E-2</v>
      </c>
      <c r="T9" s="130">
        <v>5594.5</v>
      </c>
      <c r="U9" s="26"/>
    </row>
    <row r="10" spans="1:24" ht="15.6" customHeight="1" x14ac:dyDescent="0.3">
      <c r="A10" s="409" t="s">
        <v>20</v>
      </c>
      <c r="B10" s="200">
        <f>'30 August - 5 Sept 2021'!E10</f>
        <v>141777.65</v>
      </c>
      <c r="C10" s="73">
        <v>143750.60999999999</v>
      </c>
      <c r="D10" s="145">
        <v>107290.46</v>
      </c>
      <c r="E10" s="145">
        <v>115490.13</v>
      </c>
      <c r="F10" s="145">
        <v>231332.92</v>
      </c>
      <c r="G10" s="163">
        <f t="shared" si="0"/>
        <v>-0.19659380923670505</v>
      </c>
      <c r="H10" s="155">
        <f t="shared" si="3"/>
        <v>7.6424968259060477E-2</v>
      </c>
      <c r="I10" s="263">
        <f t="shared" si="4"/>
        <v>-0.18541370942458132</v>
      </c>
      <c r="J10" s="150">
        <v>476</v>
      </c>
      <c r="K10" s="63">
        <f t="shared" si="5"/>
        <v>242.62632352941176</v>
      </c>
      <c r="L10" s="61">
        <v>47</v>
      </c>
      <c r="M10" s="28">
        <f t="shared" si="1"/>
        <v>9.8739495798319324E-2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</f>
        <v>681</v>
      </c>
      <c r="O10" s="172">
        <f t="shared" si="2"/>
        <v>1.430672268907563</v>
      </c>
      <c r="P10" s="260">
        <v>29581.37</v>
      </c>
      <c r="Q10" s="89">
        <f t="shared" si="6"/>
        <v>0.25613764570184483</v>
      </c>
      <c r="R10" s="260">
        <v>21037.48</v>
      </c>
      <c r="S10" s="89">
        <f t="shared" si="7"/>
        <v>0.18215825023315843</v>
      </c>
      <c r="T10" s="130">
        <v>3607.55</v>
      </c>
      <c r="U10" s="26"/>
    </row>
    <row r="11" spans="1:24" ht="15.6" customHeight="1" x14ac:dyDescent="0.3">
      <c r="A11" s="409" t="s">
        <v>21</v>
      </c>
      <c r="B11" s="200">
        <f>'30 August - 5 Sept 2021'!E11</f>
        <v>237125.78</v>
      </c>
      <c r="C11" s="73">
        <v>326839.88</v>
      </c>
      <c r="D11" s="145">
        <v>235120.91</v>
      </c>
      <c r="E11" s="145">
        <v>224233.88</v>
      </c>
      <c r="F11" s="145">
        <v>421862.63</v>
      </c>
      <c r="G11" s="163">
        <f t="shared" si="0"/>
        <v>-0.31393353834299537</v>
      </c>
      <c r="H11" s="155">
        <f t="shared" si="3"/>
        <v>-4.6303963352302434E-2</v>
      </c>
      <c r="I11" s="263">
        <f t="shared" si="4"/>
        <v>-5.4367348839084451E-2</v>
      </c>
      <c r="J11" s="150">
        <v>809</v>
      </c>
      <c r="K11" s="63">
        <f t="shared" si="5"/>
        <v>277.17414091470954</v>
      </c>
      <c r="L11" s="61">
        <v>51</v>
      </c>
      <c r="M11" s="28">
        <f t="shared" si="1"/>
        <v>6.3040791100123603E-2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</f>
        <v>1735</v>
      </c>
      <c r="O11" s="172">
        <f t="shared" si="2"/>
        <v>2.1446229913473425</v>
      </c>
      <c r="P11" s="260">
        <v>35119.47</v>
      </c>
      <c r="Q11" s="89">
        <f t="shared" si="6"/>
        <v>0.15661982034115451</v>
      </c>
      <c r="R11" s="260">
        <v>20603.259999999998</v>
      </c>
      <c r="S11" s="89">
        <f t="shared" si="7"/>
        <v>9.1882903689665438E-2</v>
      </c>
      <c r="T11" s="130">
        <v>6690.8</v>
      </c>
      <c r="U11" s="26"/>
    </row>
    <row r="12" spans="1:24" ht="15.6" customHeight="1" x14ac:dyDescent="0.3">
      <c r="A12" s="198" t="s">
        <v>22</v>
      </c>
      <c r="B12" s="200">
        <f>'30 August - 5 Sept 2021'!E12</f>
        <v>109444.49</v>
      </c>
      <c r="C12" s="73">
        <v>125103.86</v>
      </c>
      <c r="D12" s="145">
        <v>86007.75</v>
      </c>
      <c r="E12" s="145">
        <v>98117.72</v>
      </c>
      <c r="F12" s="145">
        <v>184976.04</v>
      </c>
      <c r="G12" s="163">
        <f t="shared" si="0"/>
        <v>-0.21570989096579435</v>
      </c>
      <c r="H12" s="155">
        <f t="shared" si="3"/>
        <v>0.14080091619650556</v>
      </c>
      <c r="I12" s="263">
        <f t="shared" si="4"/>
        <v>-0.10349328687081463</v>
      </c>
      <c r="J12" s="150">
        <v>378</v>
      </c>
      <c r="K12" s="63">
        <f t="shared" si="5"/>
        <v>259.57068783068786</v>
      </c>
      <c r="L12" s="61">
        <v>53</v>
      </c>
      <c r="M12" s="28">
        <f t="shared" si="1"/>
        <v>0.1402116402116402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</f>
        <v>874</v>
      </c>
      <c r="O12" s="172">
        <f t="shared" si="2"/>
        <v>2.3121693121693121</v>
      </c>
      <c r="P12" s="260">
        <v>19838.7</v>
      </c>
      <c r="Q12" s="89">
        <f t="shared" si="6"/>
        <v>0.20219283530029031</v>
      </c>
      <c r="R12" s="260">
        <v>8861.0400000000009</v>
      </c>
      <c r="S12" s="89">
        <f t="shared" si="7"/>
        <v>9.031029257508226E-2</v>
      </c>
      <c r="T12" s="130">
        <v>7547.25</v>
      </c>
      <c r="U12" s="26"/>
    </row>
    <row r="13" spans="1:24" ht="15.6" customHeight="1" x14ac:dyDescent="0.3">
      <c r="A13" s="198" t="s">
        <v>23</v>
      </c>
      <c r="B13" s="200">
        <f>'30 August - 5 Sept 2021'!E13</f>
        <v>180434.4</v>
      </c>
      <c r="C13" s="73">
        <v>193711.92</v>
      </c>
      <c r="D13" s="145">
        <v>151321.60999999999</v>
      </c>
      <c r="E13" s="145">
        <v>165850.01</v>
      </c>
      <c r="F13" s="145">
        <v>310044.84000000003</v>
      </c>
      <c r="G13" s="163">
        <f t="shared" si="0"/>
        <v>-0.14383167540748137</v>
      </c>
      <c r="H13" s="155">
        <f t="shared" si="3"/>
        <v>9.6010080780927626E-2</v>
      </c>
      <c r="I13" s="263">
        <f t="shared" si="4"/>
        <v>-8.0829320794704257E-2</v>
      </c>
      <c r="J13" s="150">
        <v>660</v>
      </c>
      <c r="K13" s="63">
        <f t="shared" si="5"/>
        <v>251.28789393939397</v>
      </c>
      <c r="L13" s="61">
        <v>71</v>
      </c>
      <c r="M13" s="28">
        <f t="shared" si="1"/>
        <v>0.10757575757575757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</f>
        <v>1450</v>
      </c>
      <c r="O13" s="172">
        <f t="shared" si="2"/>
        <v>2.1969696969696968</v>
      </c>
      <c r="P13" s="260">
        <v>31047.43</v>
      </c>
      <c r="Q13" s="89">
        <f t="shared" si="6"/>
        <v>0.18720185787145865</v>
      </c>
      <c r="R13" s="260">
        <v>30349.23</v>
      </c>
      <c r="S13" s="89">
        <f t="shared" si="7"/>
        <v>0.18299202996731806</v>
      </c>
      <c r="T13" s="130">
        <v>5561.5</v>
      </c>
      <c r="U13" s="26"/>
    </row>
    <row r="14" spans="1:24" ht="15.6" hidden="1" customHeight="1" x14ac:dyDescent="0.3">
      <c r="A14" s="198" t="s">
        <v>24</v>
      </c>
      <c r="B14" s="200">
        <f>'30 August - 5 Sept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'30 August - 5 Sept 2021'!E15</f>
        <v>162189.07999999999</v>
      </c>
      <c r="C15" s="73">
        <v>146744.19</v>
      </c>
      <c r="D15" s="145">
        <v>141895.69</v>
      </c>
      <c r="E15" s="145">
        <v>135359.28</v>
      </c>
      <c r="F15" s="145">
        <v>269035.87</v>
      </c>
      <c r="G15" s="163">
        <f t="shared" si="0"/>
        <v>-7.7583378258451005E-2</v>
      </c>
      <c r="H15" s="155">
        <f t="shared" si="3"/>
        <v>-4.6064894571498281E-2</v>
      </c>
      <c r="I15" s="263">
        <f t="shared" si="4"/>
        <v>-0.16542297422243218</v>
      </c>
      <c r="J15" s="150">
        <v>485</v>
      </c>
      <c r="K15" s="63">
        <f t="shared" si="5"/>
        <v>279.09129896907217</v>
      </c>
      <c r="L15" s="61">
        <v>34</v>
      </c>
      <c r="M15" s="28">
        <f t="shared" si="1"/>
        <v>7.0103092783505155E-2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</f>
        <v>982</v>
      </c>
      <c r="O15" s="172">
        <f t="shared" si="2"/>
        <v>2.024742268041237</v>
      </c>
      <c r="P15" s="260">
        <v>0</v>
      </c>
      <c r="Q15" s="89">
        <f t="shared" si="6"/>
        <v>0</v>
      </c>
      <c r="R15" s="260">
        <v>17572.830000000002</v>
      </c>
      <c r="S15" s="89">
        <f t="shared" si="7"/>
        <v>0.12982360721776889</v>
      </c>
      <c r="T15" s="130">
        <v>1339</v>
      </c>
      <c r="U15" s="9"/>
    </row>
    <row r="16" spans="1:24" ht="15.6" customHeight="1" x14ac:dyDescent="0.3">
      <c r="A16" s="198" t="s">
        <v>27</v>
      </c>
      <c r="B16" s="200">
        <f>'30 August - 5 Sept 2021'!E16</f>
        <v>131562.69</v>
      </c>
      <c r="C16" s="73">
        <v>124313.82</v>
      </c>
      <c r="D16" s="145">
        <v>99944.92</v>
      </c>
      <c r="E16" s="145">
        <v>120334.53</v>
      </c>
      <c r="F16" s="145">
        <v>231326.9</v>
      </c>
      <c r="G16" s="163">
        <f t="shared" si="0"/>
        <v>-3.2010037178489152E-2</v>
      </c>
      <c r="H16" s="155">
        <f t="shared" si="3"/>
        <v>0.20400846786409957</v>
      </c>
      <c r="I16" s="263">
        <f t="shared" si="4"/>
        <v>-8.5344560832558258E-2</v>
      </c>
      <c r="J16" s="150">
        <v>458</v>
      </c>
      <c r="K16" s="63">
        <f t="shared" si="5"/>
        <v>262.73914847161569</v>
      </c>
      <c r="L16" s="61">
        <v>24</v>
      </c>
      <c r="M16" s="28">
        <f t="shared" si="1"/>
        <v>5.2401746724890827E-2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</f>
        <v>557</v>
      </c>
      <c r="O16" s="172">
        <f t="shared" si="2"/>
        <v>1.2161572052401746</v>
      </c>
      <c r="P16" s="260">
        <v>27132.47</v>
      </c>
      <c r="Q16" s="89">
        <f t="shared" si="6"/>
        <v>0.2254753477659322</v>
      </c>
      <c r="R16" s="260">
        <v>20112.13</v>
      </c>
      <c r="S16" s="89">
        <f t="shared" si="7"/>
        <v>0.16713515231247425</v>
      </c>
      <c r="T16" s="130">
        <v>5825</v>
      </c>
      <c r="U16" s="9"/>
      <c r="X16" s="238"/>
    </row>
    <row r="17" spans="1:21" ht="15.6" customHeight="1" x14ac:dyDescent="0.3">
      <c r="A17" s="198" t="s">
        <v>28</v>
      </c>
      <c r="B17" s="200">
        <f>'30 August - 5 Sept 2021'!E17</f>
        <v>180862.94</v>
      </c>
      <c r="C17" s="73">
        <v>218690.87</v>
      </c>
      <c r="D17" s="145">
        <v>166675.46</v>
      </c>
      <c r="E17" s="145">
        <v>154135.10999999999</v>
      </c>
      <c r="F17" s="145">
        <v>295171.03999999998</v>
      </c>
      <c r="G17" s="163">
        <f t="shared" si="0"/>
        <v>-0.2951918385984747</v>
      </c>
      <c r="H17" s="155">
        <f t="shared" si="3"/>
        <v>-7.5238130436238226E-2</v>
      </c>
      <c r="I17" s="263">
        <f t="shared" si="4"/>
        <v>-0.14777947322983923</v>
      </c>
      <c r="J17" s="150">
        <v>623</v>
      </c>
      <c r="K17" s="63">
        <f t="shared" si="5"/>
        <v>247.40788121990366</v>
      </c>
      <c r="L17" s="61">
        <v>51</v>
      </c>
      <c r="M17" s="28">
        <f t="shared" si="1"/>
        <v>8.186195826645265E-2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</f>
        <v>1240</v>
      </c>
      <c r="O17" s="172">
        <f t="shared" si="2"/>
        <v>1.9903691813804174</v>
      </c>
      <c r="P17" s="260">
        <v>24940.7</v>
      </c>
      <c r="Q17" s="89">
        <f t="shared" si="6"/>
        <v>0.16181063483848684</v>
      </c>
      <c r="R17" s="260">
        <v>16383.25</v>
      </c>
      <c r="S17" s="89">
        <f t="shared" si="7"/>
        <v>0.10629148673524158</v>
      </c>
      <c r="T17" s="130">
        <v>4820</v>
      </c>
      <c r="U17" s="9"/>
    </row>
    <row r="18" spans="1:21" ht="15.6" customHeight="1" x14ac:dyDescent="0.3">
      <c r="A18" s="198" t="s">
        <v>33</v>
      </c>
      <c r="B18" s="200">
        <f>'30 August - 5 Sept 2021'!E18</f>
        <v>144403.29999999999</v>
      </c>
      <c r="C18" s="73">
        <v>154325.20000000001</v>
      </c>
      <c r="D18" s="73">
        <v>102846.8</v>
      </c>
      <c r="E18" s="145">
        <v>146675.66</v>
      </c>
      <c r="F18" s="145">
        <v>264918.46999999997</v>
      </c>
      <c r="G18" s="163">
        <f t="shared" si="0"/>
        <v>-4.9567666200983428E-2</v>
      </c>
      <c r="H18" s="155">
        <f t="shared" si="3"/>
        <v>0.42615676909733702</v>
      </c>
      <c r="I18" s="263">
        <f t="shared" si="4"/>
        <v>1.5736205474528735E-2</v>
      </c>
      <c r="J18" s="150">
        <v>552</v>
      </c>
      <c r="K18" s="63">
        <f t="shared" si="5"/>
        <v>265.71677536231886</v>
      </c>
      <c r="L18" s="61">
        <v>89</v>
      </c>
      <c r="M18" s="28">
        <f t="shared" si="1"/>
        <v>0.16123188405797101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</f>
        <v>1681</v>
      </c>
      <c r="O18" s="172">
        <f t="shared" si="2"/>
        <v>3.0452898550724639</v>
      </c>
      <c r="P18" s="260">
        <v>25294.45</v>
      </c>
      <c r="Q18" s="89">
        <f t="shared" si="6"/>
        <v>0.17245158467328525</v>
      </c>
      <c r="R18" s="260">
        <v>12610.54</v>
      </c>
      <c r="S18" s="89">
        <f t="shared" si="7"/>
        <v>8.5975682672912473E-2</v>
      </c>
      <c r="T18" s="130">
        <v>3268.08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91" priority="1" operator="equal">
      <formula>0</formula>
    </cfRule>
  </conditionalFormatting>
  <conditionalFormatting sqref="D7:F19">
    <cfRule type="cellIs" dxfId="290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X41"/>
  <sheetViews>
    <sheetView zoomScale="70" zoomScaleNormal="70" workbookViewId="0">
      <pane xSplit="1" topLeftCell="B1" activePane="topRight" state="frozen"/>
      <selection pane="topRight" activeCell="C16" sqref="C1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-0.17676586191306451</v>
      </c>
      <c r="H2" s="413"/>
      <c r="I2" s="400">
        <f>(((E4-E19-B19)-B4)/E4)</f>
        <v>5.4064382785976063E-2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1699630.8199999998</v>
      </c>
      <c r="C4" s="135">
        <f>SUM(C6:C19)-C14-C19-C10</f>
        <v>2182577.3699999996</v>
      </c>
      <c r="D4" s="142">
        <f>SUM(D6:D19)-D19-D10</f>
        <v>1673713.92</v>
      </c>
      <c r="E4" s="142">
        <f>SUM(E6:E19)-E19-E10</f>
        <v>1796772.2000000002</v>
      </c>
      <c r="F4" s="142">
        <f>SUM(F6:F19)-F19-F10</f>
        <v>5017578.8599999985</v>
      </c>
      <c r="G4" s="217">
        <f t="shared" ref="G4:G19" si="0">IFERROR((SUM(E4-C4)/C4),0)</f>
        <v>-0.17676586191306451</v>
      </c>
      <c r="H4" s="217">
        <f>IFERROR((SUM(E4-D4)/D4),0)</f>
        <v>7.3524082299560645E-2</v>
      </c>
      <c r="I4" s="217">
        <f>IFERROR((SUM(E4-B4)/E4),0)</f>
        <v>5.4064382785976063E-2</v>
      </c>
      <c r="J4" s="262">
        <f>SUM(J6:J18)</f>
        <v>7069</v>
      </c>
      <c r="K4" s="218">
        <f>AVERAGE(K5:K19)</f>
        <v>232.58646562083078</v>
      </c>
      <c r="L4" s="219">
        <f>SUM(L6:L19)</f>
        <v>657</v>
      </c>
      <c r="M4" s="220">
        <f t="shared" ref="M4:M19" si="1">IFERROR(L4/J4,0)</f>
        <v>9.2941010043853439E-2</v>
      </c>
      <c r="N4" s="221">
        <f>SUM(N6:N19)</f>
        <v>12989</v>
      </c>
      <c r="O4" s="222">
        <f t="shared" ref="O4:O19" si="2">IFERROR(N4/SUM(J4),0)</f>
        <v>1.8374593294666854</v>
      </c>
      <c r="P4" s="249">
        <f>SUM(P6:P19)</f>
        <v>328696.69</v>
      </c>
      <c r="Q4" s="222">
        <f>SUM(P4/E4)</f>
        <v>0.18293731948880329</v>
      </c>
      <c r="R4" s="244">
        <f>SUM(R6:R19)</f>
        <v>194147.49000000002</v>
      </c>
      <c r="S4" s="222">
        <f>SUM(R4/E4)</f>
        <v>0.10805348056921184</v>
      </c>
      <c r="T4" s="257">
        <f>SUM(T6:T19)</f>
        <v>67750.25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'6 - 12 Sept 2021'!E6</f>
        <v>190960.44</v>
      </c>
      <c r="C6" s="255">
        <v>225559.84</v>
      </c>
      <c r="D6" s="197">
        <v>186396.77</v>
      </c>
      <c r="E6" s="123">
        <v>175928.66</v>
      </c>
      <c r="F6" s="197">
        <v>530001.21</v>
      </c>
      <c r="G6" s="162">
        <f t="shared" si="0"/>
        <v>-0.22003553469447396</v>
      </c>
      <c r="H6" s="154">
        <f t="shared" ref="H6:H18" si="3">IFERROR((SUM(E6-D6)/D6),0)</f>
        <v>-5.6160361577080903E-2</v>
      </c>
      <c r="I6" s="266">
        <f t="shared" ref="I6:I19" si="4">IFERROR((SUM(E6-B6)/B6),0)</f>
        <v>-7.8716722688741178E-2</v>
      </c>
      <c r="J6" s="149">
        <v>599</v>
      </c>
      <c r="K6" s="63">
        <f t="shared" ref="K6:K19" si="5">IFERROR(E6/J6,0)</f>
        <v>293.70393989983307</v>
      </c>
      <c r="L6" s="125">
        <v>54</v>
      </c>
      <c r="M6" s="126">
        <f t="shared" si="1"/>
        <v>9.0150250417362271E-2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</f>
        <v>874</v>
      </c>
      <c r="O6" s="171">
        <f t="shared" si="2"/>
        <v>1.4590984974958263</v>
      </c>
      <c r="P6" s="259">
        <v>34474.29</v>
      </c>
      <c r="Q6" s="128">
        <f t="shared" ref="Q6:Q19" si="6">SUM(P6/E6)</f>
        <v>0.19595607674156104</v>
      </c>
      <c r="R6" s="260">
        <v>6547.5</v>
      </c>
      <c r="S6" s="128">
        <f t="shared" ref="S6:S19" si="7">SUM(R6/E6)</f>
        <v>3.7216790032959947E-2</v>
      </c>
      <c r="T6" s="129">
        <v>6529</v>
      </c>
      <c r="U6" s="26"/>
    </row>
    <row r="7" spans="1:24" ht="15.6" customHeight="1" x14ac:dyDescent="0.3">
      <c r="A7" s="409" t="s">
        <v>16</v>
      </c>
      <c r="B7" s="200">
        <f>'6 - 12 Sept 2021'!E7</f>
        <v>169362.77</v>
      </c>
      <c r="C7" s="73">
        <v>224151.46</v>
      </c>
      <c r="D7" s="145">
        <v>147411.68</v>
      </c>
      <c r="E7" s="145">
        <v>177196.01</v>
      </c>
      <c r="F7" s="145">
        <v>515749.46</v>
      </c>
      <c r="G7" s="163">
        <f t="shared" si="0"/>
        <v>-0.2094809018866082</v>
      </c>
      <c r="H7" s="155">
        <f t="shared" si="3"/>
        <v>0.20204864363529415</v>
      </c>
      <c r="I7" s="263">
        <f t="shared" si="4"/>
        <v>4.625125108664685E-2</v>
      </c>
      <c r="J7" s="150">
        <v>646</v>
      </c>
      <c r="K7" s="63">
        <f t="shared" si="5"/>
        <v>274.29722910216719</v>
      </c>
      <c r="L7" s="61">
        <v>55</v>
      </c>
      <c r="M7" s="28">
        <f t="shared" si="1"/>
        <v>8.5139318885448914E-2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</f>
        <v>1190</v>
      </c>
      <c r="O7" s="172">
        <f t="shared" si="2"/>
        <v>1.8421052631578947</v>
      </c>
      <c r="P7" s="260">
        <v>22309.040000000001</v>
      </c>
      <c r="Q7" s="89">
        <f t="shared" si="6"/>
        <v>0.12590035181943432</v>
      </c>
      <c r="R7" s="260">
        <v>14186.91</v>
      </c>
      <c r="S7" s="89">
        <f t="shared" si="7"/>
        <v>8.0063371630094832E-2</v>
      </c>
      <c r="T7" s="130">
        <v>8693.4500000000007</v>
      </c>
      <c r="U7" s="26"/>
    </row>
    <row r="8" spans="1:24" ht="15.6" customHeight="1" x14ac:dyDescent="0.3">
      <c r="A8" s="409" t="s">
        <v>17</v>
      </c>
      <c r="B8" s="200">
        <f>'6 - 12 Sept 2021'!E8</f>
        <v>103027.19</v>
      </c>
      <c r="C8" s="73">
        <v>96532.63</v>
      </c>
      <c r="D8" s="145">
        <v>98204.57</v>
      </c>
      <c r="E8" s="145">
        <v>110851.92</v>
      </c>
      <c r="F8" s="145">
        <v>305135.84000000003</v>
      </c>
      <c r="G8" s="163">
        <f t="shared" si="0"/>
        <v>0.14833626722901877</v>
      </c>
      <c r="H8" s="155">
        <f t="shared" si="3"/>
        <v>0.12878575813732487</v>
      </c>
      <c r="I8" s="263">
        <f t="shared" si="4"/>
        <v>7.5948203576162721E-2</v>
      </c>
      <c r="J8" s="150">
        <v>474</v>
      </c>
      <c r="K8" s="63">
        <f t="shared" si="5"/>
        <v>233.86481012658228</v>
      </c>
      <c r="L8" s="61">
        <v>37</v>
      </c>
      <c r="M8" s="28">
        <f t="shared" si="1"/>
        <v>7.805907172995781E-2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</f>
        <v>459</v>
      </c>
      <c r="O8" s="172">
        <f t="shared" si="2"/>
        <v>0.96835443037974689</v>
      </c>
      <c r="P8" s="260">
        <v>51691.07</v>
      </c>
      <c r="Q8" s="89">
        <f t="shared" si="6"/>
        <v>0.46630739458549747</v>
      </c>
      <c r="R8" s="260">
        <v>14408.09</v>
      </c>
      <c r="S8" s="89">
        <f t="shared" si="7"/>
        <v>0.12997600763252454</v>
      </c>
      <c r="T8" s="130">
        <v>3425.9</v>
      </c>
      <c r="U8" s="26"/>
    </row>
    <row r="9" spans="1:24" ht="15.6" customHeight="1" x14ac:dyDescent="0.3">
      <c r="A9" s="409" t="s">
        <v>18</v>
      </c>
      <c r="B9" s="200">
        <f>'6 - 12 Sept 2021'!E9</f>
        <v>191574.23</v>
      </c>
      <c r="C9" s="73">
        <v>319714.43</v>
      </c>
      <c r="D9" s="145">
        <v>191314.49</v>
      </c>
      <c r="E9" s="145">
        <v>203402.98</v>
      </c>
      <c r="F9" s="145">
        <v>559963.93000000005</v>
      </c>
      <c r="G9" s="163">
        <f t="shared" si="0"/>
        <v>-0.36379793680253963</v>
      </c>
      <c r="H9" s="155">
        <f t="shared" si="3"/>
        <v>6.3186484202006968E-2</v>
      </c>
      <c r="I9" s="263">
        <f t="shared" si="4"/>
        <v>6.1744995660428854E-2</v>
      </c>
      <c r="J9" s="150">
        <v>748</v>
      </c>
      <c r="K9" s="63">
        <f t="shared" si="5"/>
        <v>271.92911764705883</v>
      </c>
      <c r="L9" s="61">
        <v>38</v>
      </c>
      <c r="M9" s="28">
        <f t="shared" si="1"/>
        <v>5.0802139037433157E-2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</f>
        <v>793</v>
      </c>
      <c r="O9" s="172">
        <f t="shared" si="2"/>
        <v>1.0601604278074865</v>
      </c>
      <c r="P9" s="260">
        <v>25109.56</v>
      </c>
      <c r="Q9" s="89">
        <f t="shared" si="6"/>
        <v>0.12344735558938222</v>
      </c>
      <c r="R9" s="260">
        <v>10956.76</v>
      </c>
      <c r="S9" s="89">
        <f t="shared" si="7"/>
        <v>5.3867254058913003E-2</v>
      </c>
      <c r="T9" s="130">
        <v>4037.25</v>
      </c>
      <c r="U9" s="26"/>
    </row>
    <row r="10" spans="1:24" ht="15.6" customHeight="1" x14ac:dyDescent="0.3">
      <c r="A10" s="409" t="s">
        <v>20</v>
      </c>
      <c r="B10" s="200">
        <f>'6 - 12 Sept 2021'!E10</f>
        <v>115490.13</v>
      </c>
      <c r="C10" s="73">
        <v>139152.81</v>
      </c>
      <c r="D10" s="145">
        <v>119965.27</v>
      </c>
      <c r="E10" s="145">
        <v>123051.74</v>
      </c>
      <c r="F10" s="145">
        <v>354384.66</v>
      </c>
      <c r="G10" s="163">
        <f t="shared" si="0"/>
        <v>-0.11570783227446138</v>
      </c>
      <c r="H10" s="155">
        <f t="shared" si="3"/>
        <v>2.5728029453857781E-2</v>
      </c>
      <c r="I10" s="263">
        <f t="shared" si="4"/>
        <v>6.5474079906222296E-2</v>
      </c>
      <c r="J10" s="150">
        <v>456</v>
      </c>
      <c r="K10" s="63">
        <f t="shared" si="5"/>
        <v>269.85030701754386</v>
      </c>
      <c r="L10" s="61">
        <v>33</v>
      </c>
      <c r="M10" s="28">
        <f t="shared" si="1"/>
        <v>7.2368421052631582E-2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</f>
        <v>714</v>
      </c>
      <c r="O10" s="172">
        <f t="shared" si="2"/>
        <v>1.5657894736842106</v>
      </c>
      <c r="P10" s="260">
        <v>37144.15</v>
      </c>
      <c r="Q10" s="89">
        <f t="shared" si="6"/>
        <v>0.30185798266647834</v>
      </c>
      <c r="R10" s="260">
        <v>17359</v>
      </c>
      <c r="S10" s="89">
        <f t="shared" si="7"/>
        <v>0.14107073983675483</v>
      </c>
      <c r="T10" s="130">
        <v>3452.4</v>
      </c>
      <c r="U10" s="26"/>
    </row>
    <row r="11" spans="1:24" ht="15.6" customHeight="1" x14ac:dyDescent="0.3">
      <c r="A11" s="409" t="s">
        <v>21</v>
      </c>
      <c r="B11" s="200">
        <f>'6 - 12 Sept 2021'!E11</f>
        <v>224233.88</v>
      </c>
      <c r="C11" s="73">
        <v>285384</v>
      </c>
      <c r="D11" s="145">
        <v>214047.72</v>
      </c>
      <c r="E11" s="145">
        <v>234988.31</v>
      </c>
      <c r="F11" s="145">
        <v>656850.93999999994</v>
      </c>
      <c r="G11" s="163">
        <f t="shared" si="0"/>
        <v>-0.17658905194404734</v>
      </c>
      <c r="H11" s="155">
        <f t="shared" si="3"/>
        <v>9.7831408809213177E-2</v>
      </c>
      <c r="I11" s="263">
        <f t="shared" si="4"/>
        <v>4.7960772029632601E-2</v>
      </c>
      <c r="J11" s="150">
        <v>792</v>
      </c>
      <c r="K11" s="63">
        <f t="shared" si="5"/>
        <v>296.70241161616161</v>
      </c>
      <c r="L11" s="61">
        <v>61</v>
      </c>
      <c r="M11" s="28">
        <f t="shared" si="1"/>
        <v>7.7020202020202017E-2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</f>
        <v>1796</v>
      </c>
      <c r="O11" s="172">
        <f t="shared" si="2"/>
        <v>2.2676767676767677</v>
      </c>
      <c r="P11" s="260">
        <v>37113.82</v>
      </c>
      <c r="Q11" s="89">
        <f t="shared" si="6"/>
        <v>0.15793900556159582</v>
      </c>
      <c r="R11" s="260">
        <v>19198.740000000002</v>
      </c>
      <c r="S11" s="89">
        <f t="shared" si="7"/>
        <v>8.170083013916736E-2</v>
      </c>
      <c r="T11" s="130">
        <v>9512.9500000000007</v>
      </c>
      <c r="U11" s="26"/>
    </row>
    <row r="12" spans="1:24" ht="15.6" customHeight="1" x14ac:dyDescent="0.3">
      <c r="A12" s="198" t="s">
        <v>22</v>
      </c>
      <c r="B12" s="200">
        <f>'6 - 12 Sept 2021'!E12</f>
        <v>98117.72</v>
      </c>
      <c r="C12" s="73">
        <v>131916.09</v>
      </c>
      <c r="D12" s="145">
        <v>81184.59</v>
      </c>
      <c r="E12" s="145">
        <v>105029.58</v>
      </c>
      <c r="F12" s="145">
        <v>290005.62</v>
      </c>
      <c r="G12" s="163">
        <f t="shared" si="0"/>
        <v>-0.20381524346271934</v>
      </c>
      <c r="H12" s="155">
        <f t="shared" si="3"/>
        <v>0.29371325272443954</v>
      </c>
      <c r="I12" s="263">
        <f t="shared" si="4"/>
        <v>7.0444563938093965E-2</v>
      </c>
      <c r="J12" s="150">
        <v>370</v>
      </c>
      <c r="K12" s="63">
        <f t="shared" si="5"/>
        <v>283.86372972972976</v>
      </c>
      <c r="L12" s="61">
        <v>41</v>
      </c>
      <c r="M12" s="28">
        <f t="shared" si="1"/>
        <v>0.11081081081081082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</f>
        <v>915</v>
      </c>
      <c r="O12" s="172">
        <f t="shared" si="2"/>
        <v>2.4729729729729728</v>
      </c>
      <c r="P12" s="260">
        <v>16093.65</v>
      </c>
      <c r="Q12" s="89">
        <f t="shared" si="6"/>
        <v>0.15322969015014626</v>
      </c>
      <c r="R12" s="260">
        <v>8701.65</v>
      </c>
      <c r="S12" s="89">
        <f t="shared" si="7"/>
        <v>8.2849517250283194E-2</v>
      </c>
      <c r="T12" s="130">
        <v>7247</v>
      </c>
      <c r="U12" s="26"/>
    </row>
    <row r="13" spans="1:24" ht="15.6" customHeight="1" x14ac:dyDescent="0.3">
      <c r="A13" s="198" t="s">
        <v>23</v>
      </c>
      <c r="B13" s="200">
        <f>'6 - 12 Sept 2021'!E13</f>
        <v>165850.01</v>
      </c>
      <c r="C13" s="73">
        <v>171225.27</v>
      </c>
      <c r="D13" s="145">
        <v>167682.76999999999</v>
      </c>
      <c r="E13" s="145">
        <v>173022.38</v>
      </c>
      <c r="F13" s="145">
        <v>483067.22</v>
      </c>
      <c r="G13" s="163">
        <f t="shared" si="0"/>
        <v>1.04955886476337E-2</v>
      </c>
      <c r="H13" s="155">
        <f t="shared" si="3"/>
        <v>3.1843522146014262E-2</v>
      </c>
      <c r="I13" s="263">
        <f t="shared" si="4"/>
        <v>4.324612340994128E-2</v>
      </c>
      <c r="J13" s="150">
        <v>664</v>
      </c>
      <c r="K13" s="63">
        <f t="shared" si="5"/>
        <v>260.57587349397591</v>
      </c>
      <c r="L13" s="61">
        <v>109</v>
      </c>
      <c r="M13" s="28">
        <f t="shared" si="1"/>
        <v>0.16415662650602408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</f>
        <v>1559</v>
      </c>
      <c r="O13" s="172">
        <f t="shared" si="2"/>
        <v>2.3478915662650603</v>
      </c>
      <c r="P13" s="260">
        <v>25124.57</v>
      </c>
      <c r="Q13" s="89">
        <f t="shared" si="6"/>
        <v>0.14520994336108425</v>
      </c>
      <c r="R13" s="260">
        <v>23743.52</v>
      </c>
      <c r="S13" s="89">
        <f t="shared" si="7"/>
        <v>0.13722802795800174</v>
      </c>
      <c r="T13" s="130">
        <v>6397</v>
      </c>
      <c r="U13" s="26"/>
    </row>
    <row r="14" spans="1:24" ht="15.6" hidden="1" customHeight="1" x14ac:dyDescent="0.3">
      <c r="A14" s="198" t="s">
        <v>24</v>
      </c>
      <c r="B14" s="200">
        <f>'6 - 12 Sept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'6 - 12 Sept 2021'!E15</f>
        <v>135359.28</v>
      </c>
      <c r="C15" s="73">
        <v>243243.69</v>
      </c>
      <c r="D15" s="145">
        <v>163505.59</v>
      </c>
      <c r="E15" s="145">
        <v>159561.32</v>
      </c>
      <c r="F15" s="145">
        <v>428597.19</v>
      </c>
      <c r="G15" s="163">
        <f t="shared" si="0"/>
        <v>-0.34402688924839114</v>
      </c>
      <c r="H15" s="155">
        <f t="shared" si="3"/>
        <v>-2.4123150774233406E-2</v>
      </c>
      <c r="I15" s="263">
        <f t="shared" si="4"/>
        <v>0.17879852788815076</v>
      </c>
      <c r="J15" s="150">
        <v>530</v>
      </c>
      <c r="K15" s="63">
        <f t="shared" si="5"/>
        <v>301.05909433962267</v>
      </c>
      <c r="L15" s="61">
        <v>35</v>
      </c>
      <c r="M15" s="28">
        <f t="shared" si="1"/>
        <v>6.6037735849056603E-2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</f>
        <v>1017</v>
      </c>
      <c r="O15" s="172">
        <f t="shared" si="2"/>
        <v>1.9188679245283018</v>
      </c>
      <c r="P15" s="260">
        <v>0</v>
      </c>
      <c r="Q15" s="89">
        <f t="shared" si="6"/>
        <v>0</v>
      </c>
      <c r="R15" s="260">
        <v>14593.04</v>
      </c>
      <c r="S15" s="89">
        <f t="shared" si="7"/>
        <v>9.1457252923202184E-2</v>
      </c>
      <c r="T15" s="130">
        <v>3216</v>
      </c>
      <c r="U15" s="9"/>
    </row>
    <row r="16" spans="1:24" ht="15.6" customHeight="1" x14ac:dyDescent="0.3">
      <c r="A16" s="198" t="s">
        <v>27</v>
      </c>
      <c r="B16" s="200">
        <f>'6 - 12 Sept 2021'!E16</f>
        <v>120334.53</v>
      </c>
      <c r="C16" s="73">
        <v>115075.28</v>
      </c>
      <c r="D16" s="145">
        <v>102940.88</v>
      </c>
      <c r="E16" s="145">
        <v>129555.26</v>
      </c>
      <c r="F16" s="145">
        <v>360882.16</v>
      </c>
      <c r="G16" s="163">
        <f t="shared" si="0"/>
        <v>0.12583049982585309</v>
      </c>
      <c r="H16" s="155">
        <f t="shared" si="3"/>
        <v>0.25854043602502708</v>
      </c>
      <c r="I16" s="263">
        <f t="shared" si="4"/>
        <v>7.6625803084118885E-2</v>
      </c>
      <c r="J16" s="150">
        <v>482</v>
      </c>
      <c r="K16" s="63">
        <f t="shared" si="5"/>
        <v>268.78684647302902</v>
      </c>
      <c r="L16" s="61">
        <v>42</v>
      </c>
      <c r="M16" s="28">
        <f t="shared" si="1"/>
        <v>8.7136929460580909E-2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</f>
        <v>599</v>
      </c>
      <c r="O16" s="172">
        <f t="shared" si="2"/>
        <v>1.2427385892116183</v>
      </c>
      <c r="P16" s="260">
        <v>29691.51</v>
      </c>
      <c r="Q16" s="89">
        <f t="shared" si="6"/>
        <v>0.22918027411623426</v>
      </c>
      <c r="R16" s="260">
        <v>27727.45</v>
      </c>
      <c r="S16" s="89">
        <f t="shared" si="7"/>
        <v>0.21402025668429056</v>
      </c>
      <c r="T16" s="130">
        <v>4623.7</v>
      </c>
      <c r="U16" s="9"/>
      <c r="X16" s="238"/>
    </row>
    <row r="17" spans="1:21" ht="15.6" customHeight="1" x14ac:dyDescent="0.3">
      <c r="A17" s="198" t="s">
        <v>28</v>
      </c>
      <c r="B17" s="200">
        <f>'6 - 12 Sept 2021'!E17</f>
        <v>154135.10999999999</v>
      </c>
      <c r="C17" s="73">
        <v>213804.3</v>
      </c>
      <c r="D17" s="145">
        <v>174633.43</v>
      </c>
      <c r="E17" s="145">
        <v>178660.19</v>
      </c>
      <c r="F17" s="145">
        <v>473831.23</v>
      </c>
      <c r="G17" s="163">
        <f t="shared" si="0"/>
        <v>-0.16437513183785354</v>
      </c>
      <c r="H17" s="155">
        <f t="shared" si="3"/>
        <v>2.3058357154182963E-2</v>
      </c>
      <c r="I17" s="263">
        <f t="shared" si="4"/>
        <v>0.15911416938035738</v>
      </c>
      <c r="J17" s="150">
        <v>728</v>
      </c>
      <c r="K17" s="63">
        <f t="shared" si="5"/>
        <v>245.41234890109891</v>
      </c>
      <c r="L17" s="61">
        <v>66</v>
      </c>
      <c r="M17" s="28">
        <f t="shared" si="1"/>
        <v>9.0659340659340656E-2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</f>
        <v>1306</v>
      </c>
      <c r="O17" s="172">
        <f t="shared" si="2"/>
        <v>1.793956043956044</v>
      </c>
      <c r="P17" s="260">
        <v>32572.58</v>
      </c>
      <c r="Q17" s="89">
        <f t="shared" si="6"/>
        <v>0.18231582536658</v>
      </c>
      <c r="R17" s="260">
        <v>22077.13</v>
      </c>
      <c r="S17" s="89">
        <f t="shared" si="7"/>
        <v>0.12357050555022918</v>
      </c>
      <c r="T17" s="130">
        <v>7421</v>
      </c>
      <c r="U17" s="9"/>
    </row>
    <row r="18" spans="1:21" ht="15.6" customHeight="1" x14ac:dyDescent="0.3">
      <c r="A18" s="198" t="s">
        <v>33</v>
      </c>
      <c r="B18" s="200">
        <f>'6 - 12 Sept 2021'!E18</f>
        <v>146675.66</v>
      </c>
      <c r="C18" s="73">
        <v>155970.38</v>
      </c>
      <c r="D18" s="73">
        <v>146391.43</v>
      </c>
      <c r="E18" s="145">
        <v>148575.59</v>
      </c>
      <c r="F18" s="145">
        <v>413494.06</v>
      </c>
      <c r="G18" s="163">
        <f t="shared" si="0"/>
        <v>-4.7411502107002679E-2</v>
      </c>
      <c r="H18" s="155">
        <f t="shared" si="3"/>
        <v>1.4919999073716293E-2</v>
      </c>
      <c r="I18" s="263">
        <f t="shared" si="4"/>
        <v>1.2953273910613343E-2</v>
      </c>
      <c r="J18" s="150">
        <v>580</v>
      </c>
      <c r="K18" s="63">
        <f t="shared" si="5"/>
        <v>256.16481034482757</v>
      </c>
      <c r="L18" s="61">
        <v>86</v>
      </c>
      <c r="M18" s="28">
        <f t="shared" si="1"/>
        <v>0.14827586206896551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</f>
        <v>1767</v>
      </c>
      <c r="O18" s="172">
        <f t="shared" si="2"/>
        <v>3.046551724137931</v>
      </c>
      <c r="P18" s="260">
        <v>17372.45</v>
      </c>
      <c r="Q18" s="89">
        <f t="shared" si="6"/>
        <v>0.11692667685183011</v>
      </c>
      <c r="R18" s="260">
        <v>14647.7</v>
      </c>
      <c r="S18" s="89">
        <f t="shared" si="7"/>
        <v>9.8587527062823713E-2</v>
      </c>
      <c r="T18" s="130">
        <v>3194.6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89" priority="1" operator="equal">
      <formula>0</formula>
    </cfRule>
  </conditionalFormatting>
  <conditionalFormatting sqref="D7:F19">
    <cfRule type="cellIs" dxfId="28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X41"/>
  <sheetViews>
    <sheetView zoomScale="70" zoomScaleNormal="70" workbookViewId="0">
      <pane xSplit="1" topLeftCell="B1" activePane="topRight" state="frozen"/>
      <selection pane="topRight" activeCell="H16" sqref="H1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-0.24906333594101568</v>
      </c>
      <c r="H2" s="413"/>
      <c r="I2" s="400">
        <f>(((E4-E19-B19)-B4)/E4)</f>
        <v>7.5987898154620731E-2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50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1796772.2000000002</v>
      </c>
      <c r="C4" s="135">
        <f>SUM(C6:C19)-C14-C19-C10</f>
        <v>2589476.96</v>
      </c>
      <c r="D4" s="142">
        <f>SUM(D6:D19)-D19-D10</f>
        <v>1797164.2800000003</v>
      </c>
      <c r="E4" s="142">
        <f>SUM(E6:E19)-E19-E10</f>
        <v>1944533.19</v>
      </c>
      <c r="F4" s="142">
        <f>SUM(F6:F19)-F19-F10</f>
        <v>6962112.0499999998</v>
      </c>
      <c r="G4" s="217">
        <f t="shared" ref="G4:G19" si="0">IFERROR((SUM(E4-C4)/C4),0)</f>
        <v>-0.24906333594101568</v>
      </c>
      <c r="H4" s="217">
        <f>IFERROR((SUM(E4-D4)/D4),0)</f>
        <v>8.200080072813358E-2</v>
      </c>
      <c r="I4" s="217">
        <f>IFERROR((SUM(E4-B4)/E4),0)</f>
        <v>7.5987898154620731E-2</v>
      </c>
      <c r="J4" s="262">
        <f>SUM(J6:J18)</f>
        <v>7509</v>
      </c>
      <c r="K4" s="218">
        <f>AVERAGE(K5:K19)</f>
        <v>234.27966262309886</v>
      </c>
      <c r="L4" s="219">
        <f>SUM(L6:L19)</f>
        <v>481</v>
      </c>
      <c r="M4" s="220">
        <f t="shared" ref="M4:M19" si="1">IFERROR(L4/J4,0)</f>
        <v>6.4056465574643756E-2</v>
      </c>
      <c r="N4" s="221">
        <f>SUM(N6:N19)</f>
        <v>13470</v>
      </c>
      <c r="O4" s="222">
        <f t="shared" ref="O4:O19" si="2">IFERROR(N4/SUM(J4),0)</f>
        <v>1.7938473831402317</v>
      </c>
      <c r="P4" s="249">
        <f>SUM(P6:P19)</f>
        <v>318540.31999999995</v>
      </c>
      <c r="Q4" s="222">
        <f>SUM(P4/E4)</f>
        <v>0.16381325946923023</v>
      </c>
      <c r="R4" s="244">
        <f>SUM(R6:R19)</f>
        <v>218448.24</v>
      </c>
      <c r="S4" s="222">
        <f>SUM(R4/E4)</f>
        <v>0.11233968189558133</v>
      </c>
      <c r="T4" s="257">
        <f>SUM(T6:T19)</f>
        <v>69089.459999999992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'13 - 19 Sept 2021'!E6</f>
        <v>175928.66</v>
      </c>
      <c r="C6" s="255">
        <v>313795.07</v>
      </c>
      <c r="D6" s="197">
        <v>193260.05</v>
      </c>
      <c r="E6" s="123">
        <v>197034.69</v>
      </c>
      <c r="F6" s="197">
        <v>727035.9</v>
      </c>
      <c r="G6" s="162">
        <f t="shared" si="0"/>
        <v>-0.37209118677358444</v>
      </c>
      <c r="H6" s="154">
        <f t="shared" ref="H6:H18" si="3">IFERROR((SUM(E6-D6)/D6),0)</f>
        <v>1.9531403412138278E-2</v>
      </c>
      <c r="I6" s="266">
        <f t="shared" ref="I6:I19" si="4">IFERROR((SUM(E6-B6)/B6),0)</f>
        <v>0.11996925344625485</v>
      </c>
      <c r="J6" s="149">
        <v>647</v>
      </c>
      <c r="K6" s="63">
        <f t="shared" ref="K6:K19" si="5">IFERROR(E6/J6,0)</f>
        <v>304.53584234930446</v>
      </c>
      <c r="L6" s="125">
        <v>32</v>
      </c>
      <c r="M6" s="126">
        <f t="shared" si="1"/>
        <v>4.945904173106646E-2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</f>
        <v>906</v>
      </c>
      <c r="O6" s="171">
        <f t="shared" si="2"/>
        <v>1.4003091190108192</v>
      </c>
      <c r="P6" s="259">
        <v>27985.7</v>
      </c>
      <c r="Q6" s="128">
        <f t="shared" ref="Q6:Q19" si="6">SUM(P6/E6)</f>
        <v>0.14203437983433273</v>
      </c>
      <c r="R6" s="260">
        <v>11070.01</v>
      </c>
      <c r="S6" s="128">
        <f t="shared" ref="S6:S19" si="7">SUM(R6/E6)</f>
        <v>5.618305081201691E-2</v>
      </c>
      <c r="T6" s="129">
        <v>5472</v>
      </c>
      <c r="U6" s="26"/>
    </row>
    <row r="7" spans="1:24" ht="15.6" customHeight="1" x14ac:dyDescent="0.3">
      <c r="A7" s="409" t="s">
        <v>16</v>
      </c>
      <c r="B7" s="200">
        <f>'13 - 19 Sept 2021'!E7</f>
        <v>177196.01</v>
      </c>
      <c r="C7" s="73">
        <v>220920.76</v>
      </c>
      <c r="D7" s="145">
        <v>188913.59</v>
      </c>
      <c r="E7" s="145">
        <v>175937.8</v>
      </c>
      <c r="F7" s="145">
        <v>691687.26</v>
      </c>
      <c r="G7" s="163">
        <f t="shared" si="0"/>
        <v>-0.20361581229396467</v>
      </c>
      <c r="H7" s="155">
        <f t="shared" si="3"/>
        <v>-6.868637666564914E-2</v>
      </c>
      <c r="I7" s="263">
        <f t="shared" si="4"/>
        <v>-7.1006677859169675E-3</v>
      </c>
      <c r="J7" s="150">
        <v>678</v>
      </c>
      <c r="K7" s="63">
        <f t="shared" si="5"/>
        <v>259.49528023598816</v>
      </c>
      <c r="L7" s="61">
        <v>34</v>
      </c>
      <c r="M7" s="28">
        <f t="shared" si="1"/>
        <v>5.0147492625368731E-2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</f>
        <v>1224</v>
      </c>
      <c r="O7" s="172">
        <f t="shared" si="2"/>
        <v>1.8053097345132743</v>
      </c>
      <c r="P7" s="260">
        <v>22547.52</v>
      </c>
      <c r="Q7" s="89">
        <f t="shared" si="6"/>
        <v>0.12815620065727776</v>
      </c>
      <c r="R7" s="260">
        <v>10617.39</v>
      </c>
      <c r="S7" s="89">
        <f t="shared" si="7"/>
        <v>6.0347406867654364E-2</v>
      </c>
      <c r="T7" s="130">
        <v>8629.8799999999992</v>
      </c>
      <c r="U7" s="26"/>
    </row>
    <row r="8" spans="1:24" ht="15.6" customHeight="1" x14ac:dyDescent="0.3">
      <c r="A8" s="409" t="s">
        <v>17</v>
      </c>
      <c r="B8" s="200">
        <f>'13 - 19 Sept 2021'!E8</f>
        <v>110851.92</v>
      </c>
      <c r="C8" s="73">
        <v>112847.78</v>
      </c>
      <c r="D8" s="145">
        <v>89530.68</v>
      </c>
      <c r="E8" s="145">
        <v>116334.7</v>
      </c>
      <c r="F8" s="145">
        <v>421470.54</v>
      </c>
      <c r="G8" s="163">
        <f t="shared" si="0"/>
        <v>3.0899322964084878E-2</v>
      </c>
      <c r="H8" s="155">
        <f t="shared" si="3"/>
        <v>0.2993836302818208</v>
      </c>
      <c r="I8" s="263">
        <f t="shared" si="4"/>
        <v>4.946039725789142E-2</v>
      </c>
      <c r="J8" s="150">
        <v>463</v>
      </c>
      <c r="K8" s="63">
        <f t="shared" si="5"/>
        <v>251.26285097192223</v>
      </c>
      <c r="L8" s="61">
        <v>24</v>
      </c>
      <c r="M8" s="28">
        <f t="shared" si="1"/>
        <v>5.183585313174946E-2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</f>
        <v>483</v>
      </c>
      <c r="O8" s="172">
        <f t="shared" si="2"/>
        <v>1.0431965442764579</v>
      </c>
      <c r="P8" s="260">
        <v>47873.919999999998</v>
      </c>
      <c r="Q8" s="89">
        <f t="shared" si="6"/>
        <v>0.41151883315983967</v>
      </c>
      <c r="R8" s="260">
        <v>10898.78</v>
      </c>
      <c r="S8" s="89">
        <f t="shared" si="7"/>
        <v>9.3684687371867553E-2</v>
      </c>
      <c r="T8" s="130">
        <v>1657</v>
      </c>
      <c r="U8" s="26"/>
    </row>
    <row r="9" spans="1:24" ht="15.6" customHeight="1" x14ac:dyDescent="0.3">
      <c r="A9" s="409" t="s">
        <v>18</v>
      </c>
      <c r="B9" s="200">
        <f>'13 - 19 Sept 2021'!E9</f>
        <v>203402.98</v>
      </c>
      <c r="C9" s="73">
        <v>363369.98</v>
      </c>
      <c r="D9" s="145">
        <v>200774.75</v>
      </c>
      <c r="E9" s="145">
        <v>250317.29</v>
      </c>
      <c r="F9" s="145">
        <v>810281.22</v>
      </c>
      <c r="G9" s="163">
        <f t="shared" si="0"/>
        <v>-0.31112281207159703</v>
      </c>
      <c r="H9" s="155">
        <f t="shared" si="3"/>
        <v>0.24675682574626545</v>
      </c>
      <c r="I9" s="263">
        <f t="shared" si="4"/>
        <v>0.23064711244643513</v>
      </c>
      <c r="J9" s="150">
        <v>877</v>
      </c>
      <c r="K9" s="63">
        <f t="shared" si="5"/>
        <v>285.42450399087801</v>
      </c>
      <c r="L9" s="61">
        <v>30</v>
      </c>
      <c r="M9" s="28">
        <f t="shared" si="1"/>
        <v>3.4207525655644243E-2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</f>
        <v>823</v>
      </c>
      <c r="O9" s="172">
        <f t="shared" si="2"/>
        <v>0.93842645381984036</v>
      </c>
      <c r="P9" s="260">
        <v>19114.36</v>
      </c>
      <c r="Q9" s="89">
        <f t="shared" si="6"/>
        <v>7.6360526274473484E-2</v>
      </c>
      <c r="R9" s="260">
        <v>13373.93</v>
      </c>
      <c r="S9" s="89">
        <f t="shared" si="7"/>
        <v>5.3427911431927058E-2</v>
      </c>
      <c r="T9" s="130">
        <v>5519</v>
      </c>
      <c r="U9" s="26"/>
    </row>
    <row r="10" spans="1:24" ht="15.6" customHeight="1" x14ac:dyDescent="0.3">
      <c r="A10" s="409" t="s">
        <v>20</v>
      </c>
      <c r="B10" s="200">
        <f>'13 - 19 Sept 2021'!E10</f>
        <v>123051.74</v>
      </c>
      <c r="C10" s="73">
        <v>149468.42000000001</v>
      </c>
      <c r="D10" s="145">
        <v>103215.87</v>
      </c>
      <c r="E10" s="145">
        <v>119605.31</v>
      </c>
      <c r="F10" s="145">
        <v>473989.97</v>
      </c>
      <c r="G10" s="163">
        <f t="shared" si="0"/>
        <v>-0.19979544842984232</v>
      </c>
      <c r="H10" s="155">
        <f t="shared" si="3"/>
        <v>0.15878798483217749</v>
      </c>
      <c r="I10" s="263">
        <f t="shared" si="4"/>
        <v>-2.8007974531688927E-2</v>
      </c>
      <c r="J10" s="150">
        <v>438</v>
      </c>
      <c r="K10" s="63">
        <f t="shared" si="5"/>
        <v>273.07148401826481</v>
      </c>
      <c r="L10" s="61">
        <v>30</v>
      </c>
      <c r="M10" s="28">
        <f t="shared" si="1"/>
        <v>6.8493150684931503E-2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</f>
        <v>744</v>
      </c>
      <c r="O10" s="172">
        <f t="shared" si="2"/>
        <v>1.6986301369863013</v>
      </c>
      <c r="P10" s="260">
        <v>31806.23</v>
      </c>
      <c r="Q10" s="89">
        <f t="shared" si="6"/>
        <v>0.26592657132028669</v>
      </c>
      <c r="R10" s="260">
        <v>22472.1</v>
      </c>
      <c r="S10" s="89">
        <f t="shared" si="7"/>
        <v>0.18788547097114666</v>
      </c>
      <c r="T10" s="130">
        <v>3239.65</v>
      </c>
      <c r="U10" s="26"/>
    </row>
    <row r="11" spans="1:24" ht="15.6" customHeight="1" x14ac:dyDescent="0.3">
      <c r="A11" s="409" t="s">
        <v>21</v>
      </c>
      <c r="B11" s="200">
        <f>'13 - 19 Sept 2021'!E11</f>
        <v>234988.31</v>
      </c>
      <c r="C11" s="73">
        <v>371983.14</v>
      </c>
      <c r="D11" s="145">
        <v>228682.89</v>
      </c>
      <c r="E11" s="145">
        <v>225388.91</v>
      </c>
      <c r="F11" s="145">
        <v>882239.85</v>
      </c>
      <c r="G11" s="163">
        <f t="shared" si="0"/>
        <v>-0.39408837185470291</v>
      </c>
      <c r="H11" s="155">
        <f t="shared" si="3"/>
        <v>-1.4404138411929333E-2</v>
      </c>
      <c r="I11" s="263">
        <f t="shared" si="4"/>
        <v>-4.0850542735508817E-2</v>
      </c>
      <c r="J11" s="150">
        <v>807</v>
      </c>
      <c r="K11" s="63">
        <f t="shared" si="5"/>
        <v>279.29232961586121</v>
      </c>
      <c r="L11" s="61">
        <v>63</v>
      </c>
      <c r="M11" s="28">
        <f t="shared" si="1"/>
        <v>7.8066914498141265E-2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</f>
        <v>1859</v>
      </c>
      <c r="O11" s="172">
        <f t="shared" si="2"/>
        <v>2.3035935563816605</v>
      </c>
      <c r="P11" s="260">
        <v>40980.269999999997</v>
      </c>
      <c r="Q11" s="89">
        <f t="shared" si="6"/>
        <v>0.181820259035815</v>
      </c>
      <c r="R11" s="260">
        <v>20046.259999999998</v>
      </c>
      <c r="S11" s="89">
        <f t="shared" si="7"/>
        <v>8.8940755780752473E-2</v>
      </c>
      <c r="T11" s="130">
        <v>7590.48</v>
      </c>
      <c r="U11" s="26"/>
    </row>
    <row r="12" spans="1:24" ht="15.6" customHeight="1" x14ac:dyDescent="0.3">
      <c r="A12" s="198" t="s">
        <v>22</v>
      </c>
      <c r="B12" s="200">
        <f>'13 - 19 Sept 2021'!E12</f>
        <v>105029.58</v>
      </c>
      <c r="C12" s="73">
        <v>158117.67000000001</v>
      </c>
      <c r="D12" s="145">
        <v>81582.960000000006</v>
      </c>
      <c r="E12" s="145">
        <v>100609.06</v>
      </c>
      <c r="F12" s="145">
        <v>390614.68</v>
      </c>
      <c r="G12" s="163">
        <f t="shared" si="0"/>
        <v>-0.36370767416443722</v>
      </c>
      <c r="H12" s="155">
        <f t="shared" si="3"/>
        <v>0.23321169028434358</v>
      </c>
      <c r="I12" s="263">
        <f t="shared" si="4"/>
        <v>-4.2088333591355921E-2</v>
      </c>
      <c r="J12" s="150">
        <v>374</v>
      </c>
      <c r="K12" s="63">
        <f t="shared" si="5"/>
        <v>269.00818181818181</v>
      </c>
      <c r="L12" s="61">
        <v>29</v>
      </c>
      <c r="M12" s="28">
        <f t="shared" si="1"/>
        <v>7.7540106951871662E-2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</f>
        <v>944</v>
      </c>
      <c r="O12" s="172">
        <f t="shared" si="2"/>
        <v>2.5240641711229945</v>
      </c>
      <c r="P12" s="260">
        <v>14752.17</v>
      </c>
      <c r="Q12" s="89">
        <f t="shared" si="6"/>
        <v>0.14662864358339101</v>
      </c>
      <c r="R12" s="260">
        <v>9529.57</v>
      </c>
      <c r="S12" s="89">
        <f t="shared" si="7"/>
        <v>9.4718805642354673E-2</v>
      </c>
      <c r="T12" s="130">
        <v>5126.25</v>
      </c>
      <c r="U12" s="26"/>
    </row>
    <row r="13" spans="1:24" ht="15.6" customHeight="1" x14ac:dyDescent="0.3">
      <c r="A13" s="198" t="s">
        <v>23</v>
      </c>
      <c r="B13" s="200">
        <f>'13 - 19 Sept 2021'!E13</f>
        <v>173022.38</v>
      </c>
      <c r="C13" s="73">
        <v>214469.54</v>
      </c>
      <c r="D13" s="145">
        <v>137655.57</v>
      </c>
      <c r="E13" s="145">
        <v>171278.52</v>
      </c>
      <c r="F13" s="145">
        <v>654345.74</v>
      </c>
      <c r="G13" s="163">
        <f t="shared" si="0"/>
        <v>-0.20138533425305999</v>
      </c>
      <c r="H13" s="155">
        <f t="shared" si="3"/>
        <v>0.2442541918209338</v>
      </c>
      <c r="I13" s="263">
        <f t="shared" si="4"/>
        <v>-1.007881176989945E-2</v>
      </c>
      <c r="J13" s="150">
        <v>670</v>
      </c>
      <c r="K13" s="63">
        <f t="shared" si="5"/>
        <v>255.63958208955222</v>
      </c>
      <c r="L13" s="61">
        <v>67</v>
      </c>
      <c r="M13" s="28">
        <f t="shared" si="1"/>
        <v>0.1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</f>
        <v>1626</v>
      </c>
      <c r="O13" s="172">
        <f t="shared" si="2"/>
        <v>2.4268656716417909</v>
      </c>
      <c r="P13" s="260">
        <v>25093.83</v>
      </c>
      <c r="Q13" s="89">
        <f t="shared" si="6"/>
        <v>0.14650891425264537</v>
      </c>
      <c r="R13" s="260">
        <v>22341.96</v>
      </c>
      <c r="S13" s="89">
        <f t="shared" si="7"/>
        <v>0.1304422761242916</v>
      </c>
      <c r="T13" s="130">
        <v>5265.5</v>
      </c>
      <c r="U13" s="26"/>
    </row>
    <row r="14" spans="1:24" ht="15.6" hidden="1" customHeight="1" x14ac:dyDescent="0.3">
      <c r="A14" s="198" t="s">
        <v>24</v>
      </c>
      <c r="B14" s="200">
        <f>'13 - 19 Sept 2021'!E14</f>
        <v>0</v>
      </c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'13 - 19 Sept 2021'!E15</f>
        <v>159561.32</v>
      </c>
      <c r="C15" s="73">
        <v>275297.55</v>
      </c>
      <c r="D15" s="145">
        <v>291679.65000000002</v>
      </c>
      <c r="E15" s="145">
        <v>232193.16</v>
      </c>
      <c r="F15" s="145">
        <v>660790.35</v>
      </c>
      <c r="G15" s="163">
        <f t="shared" si="0"/>
        <v>-0.1565738234866238</v>
      </c>
      <c r="H15" s="155">
        <f t="shared" si="3"/>
        <v>-0.20394460155173669</v>
      </c>
      <c r="I15" s="263">
        <f t="shared" si="4"/>
        <v>0.45519703647475462</v>
      </c>
      <c r="J15" s="150">
        <v>706</v>
      </c>
      <c r="K15" s="63">
        <f t="shared" si="5"/>
        <v>328.88549575070823</v>
      </c>
      <c r="L15" s="61">
        <v>33</v>
      </c>
      <c r="M15" s="28">
        <f t="shared" si="1"/>
        <v>4.6742209631728045E-2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</f>
        <v>1050</v>
      </c>
      <c r="O15" s="172">
        <f t="shared" si="2"/>
        <v>1.4872521246458923</v>
      </c>
      <c r="P15" s="260">
        <v>0</v>
      </c>
      <c r="Q15" s="89">
        <f t="shared" si="6"/>
        <v>0</v>
      </c>
      <c r="R15" s="260">
        <v>25436.52</v>
      </c>
      <c r="S15" s="89">
        <f t="shared" si="7"/>
        <v>0.10954896345783829</v>
      </c>
      <c r="T15" s="130">
        <v>8428.2000000000007</v>
      </c>
      <c r="U15" s="9"/>
    </row>
    <row r="16" spans="1:24" ht="15.6" customHeight="1" x14ac:dyDescent="0.3">
      <c r="A16" s="198" t="s">
        <v>27</v>
      </c>
      <c r="B16" s="200">
        <f>'13 - 19 Sept 2021'!E16</f>
        <v>129555.26</v>
      </c>
      <c r="C16" s="73">
        <v>136655.46</v>
      </c>
      <c r="D16" s="145">
        <v>96179.65</v>
      </c>
      <c r="E16" s="145">
        <v>145486.31</v>
      </c>
      <c r="F16" s="145">
        <v>506368.47</v>
      </c>
      <c r="G16" s="163">
        <f t="shared" si="0"/>
        <v>6.4621274554269595E-2</v>
      </c>
      <c r="H16" s="155">
        <f t="shared" si="3"/>
        <v>0.51265168879279566</v>
      </c>
      <c r="I16" s="263">
        <f t="shared" si="4"/>
        <v>0.12296721877598797</v>
      </c>
      <c r="J16" s="150">
        <v>538</v>
      </c>
      <c r="K16" s="63">
        <f t="shared" si="5"/>
        <v>270.42065055762083</v>
      </c>
      <c r="L16" s="61">
        <v>26</v>
      </c>
      <c r="M16" s="28">
        <f t="shared" si="1"/>
        <v>4.8327137546468404E-2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</f>
        <v>625</v>
      </c>
      <c r="O16" s="172">
        <f t="shared" si="2"/>
        <v>1.1617100371747211</v>
      </c>
      <c r="P16" s="260">
        <v>29769.53</v>
      </c>
      <c r="Q16" s="89">
        <f t="shared" si="6"/>
        <v>0.20462083339662679</v>
      </c>
      <c r="R16" s="260">
        <v>23057.08</v>
      </c>
      <c r="S16" s="89">
        <f t="shared" si="7"/>
        <v>0.15848281532468589</v>
      </c>
      <c r="T16" s="130">
        <v>7406.5</v>
      </c>
      <c r="U16" s="9"/>
      <c r="X16" s="238"/>
    </row>
    <row r="17" spans="1:21" ht="15.6" customHeight="1" x14ac:dyDescent="0.3">
      <c r="A17" s="198" t="s">
        <v>28</v>
      </c>
      <c r="B17" s="200">
        <f>'13 - 19 Sept 2021'!E17</f>
        <v>178660.19</v>
      </c>
      <c r="C17" s="73">
        <v>243291.29</v>
      </c>
      <c r="D17" s="145">
        <v>167831.37</v>
      </c>
      <c r="E17" s="145">
        <v>181897.73</v>
      </c>
      <c r="F17" s="145">
        <v>655728.96</v>
      </c>
      <c r="G17" s="163">
        <f t="shared" si="0"/>
        <v>-0.25234590190220124</v>
      </c>
      <c r="H17" s="155">
        <f t="shared" si="3"/>
        <v>8.3812460090148908E-2</v>
      </c>
      <c r="I17" s="263">
        <f t="shared" si="4"/>
        <v>1.8121216595594174E-2</v>
      </c>
      <c r="J17" s="150">
        <v>716</v>
      </c>
      <c r="K17" s="63">
        <f t="shared" si="5"/>
        <v>254.0471089385475</v>
      </c>
      <c r="L17" s="61">
        <v>48</v>
      </c>
      <c r="M17" s="28">
        <f t="shared" si="1"/>
        <v>6.7039106145251395E-2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</f>
        <v>1354</v>
      </c>
      <c r="O17" s="172">
        <f t="shared" si="2"/>
        <v>1.8910614525139664</v>
      </c>
      <c r="P17" s="260">
        <v>33803.440000000002</v>
      </c>
      <c r="Q17" s="89">
        <f t="shared" si="6"/>
        <v>0.18583761325663603</v>
      </c>
      <c r="R17" s="260">
        <v>30638.94</v>
      </c>
      <c r="S17" s="89">
        <f t="shared" si="7"/>
        <v>0.16844047476568288</v>
      </c>
      <c r="T17" s="130">
        <v>7646</v>
      </c>
      <c r="U17" s="9"/>
    </row>
    <row r="18" spans="1:21" ht="15.6" customHeight="1" x14ac:dyDescent="0.3">
      <c r="A18" s="198" t="s">
        <v>33</v>
      </c>
      <c r="B18" s="200">
        <f>'13 - 19 Sept 2021'!E18</f>
        <v>148575.59</v>
      </c>
      <c r="C18" s="73">
        <v>178728.72</v>
      </c>
      <c r="D18" s="73">
        <v>121073.12</v>
      </c>
      <c r="E18" s="145">
        <v>148055.01999999999</v>
      </c>
      <c r="F18" s="145">
        <v>561549.07999999996</v>
      </c>
      <c r="G18" s="163">
        <f t="shared" si="0"/>
        <v>-0.17162155024665321</v>
      </c>
      <c r="H18" s="155">
        <f t="shared" si="3"/>
        <v>0.22285623761905199</v>
      </c>
      <c r="I18" s="263">
        <f t="shared" si="4"/>
        <v>-3.5037384000965906E-3</v>
      </c>
      <c r="J18" s="150">
        <v>595</v>
      </c>
      <c r="K18" s="63">
        <f t="shared" si="5"/>
        <v>248.8319663865546</v>
      </c>
      <c r="L18" s="61">
        <v>65</v>
      </c>
      <c r="M18" s="28">
        <f t="shared" si="1"/>
        <v>0.1092436974789916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</f>
        <v>1832</v>
      </c>
      <c r="O18" s="172">
        <f t="shared" si="2"/>
        <v>3.0789915966386556</v>
      </c>
      <c r="P18" s="260">
        <v>24813.35</v>
      </c>
      <c r="Q18" s="89">
        <f t="shared" si="6"/>
        <v>0.16759546552356008</v>
      </c>
      <c r="R18" s="260">
        <v>18965.7</v>
      </c>
      <c r="S18" s="89">
        <f t="shared" si="7"/>
        <v>0.12809899995285537</v>
      </c>
      <c r="T18" s="130">
        <v>3109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87" priority="1" operator="equal">
      <formula>0</formula>
    </cfRule>
  </conditionalFormatting>
  <conditionalFormatting sqref="D7:F19">
    <cfRule type="cellIs" dxfId="286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-4.5124528087263617E-2</v>
      </c>
      <c r="H2" s="413"/>
      <c r="I2" s="400">
        <f>(((E4-E19-B19)-B4)/E4)</f>
        <v>5.9582159826035694E-2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1944533.19</v>
      </c>
      <c r="C4" s="135">
        <f>SUM(C6:C19)-C14-C19-C10</f>
        <v>2165448.0199999996</v>
      </c>
      <c r="D4" s="142">
        <f>SUM(D6:D19)-D19-D10</f>
        <v>1753204.8</v>
      </c>
      <c r="E4" s="270">
        <f>SUM(E6:E19)-E19-E10</f>
        <v>2067733.2000000002</v>
      </c>
      <c r="F4" s="142">
        <f>SUM(F6:F19)-F19-F10</f>
        <v>1171937.47</v>
      </c>
      <c r="G4" s="217">
        <f t="shared" ref="G4:G19" si="0">IFERROR((SUM(E4-C4)/C4),0)</f>
        <v>-4.5124528087263617E-2</v>
      </c>
      <c r="H4" s="217">
        <f>IFERROR((SUM(E4-D4)/D4),0)</f>
        <v>0.1794019728898758</v>
      </c>
      <c r="I4" s="217">
        <f>IFERROR((SUM(E4-B4)/E4),0)</f>
        <v>5.9582159826035694E-2</v>
      </c>
      <c r="J4" s="262">
        <f>SUM(J6:J18)</f>
        <v>8103</v>
      </c>
      <c r="K4" s="218">
        <f>AVERAGE(K5:K19)</f>
        <v>232.84225892094585</v>
      </c>
      <c r="L4" s="219">
        <f>SUM(L6:L19)</f>
        <v>589</v>
      </c>
      <c r="M4" s="220">
        <f t="shared" ref="M4:M19" si="1">IFERROR(L4/J4,0)</f>
        <v>7.2689127483648031E-2</v>
      </c>
      <c r="N4" s="221">
        <f>SUM(N6:N19)</f>
        <v>14059</v>
      </c>
      <c r="O4" s="222">
        <f t="shared" ref="O4:O19" si="2">IFERROR(N4/SUM(J4),0)</f>
        <v>1.7350364062692829</v>
      </c>
      <c r="P4" s="249">
        <f>SUM(P6:P19)</f>
        <v>369852.54000000004</v>
      </c>
      <c r="Q4" s="222">
        <f>SUM(P4/E4)</f>
        <v>0.17886859871476649</v>
      </c>
      <c r="R4" s="244">
        <f>SUM(R6:R19)</f>
        <v>241829.31999999998</v>
      </c>
      <c r="S4" s="222">
        <f>SUM(R4/E4)</f>
        <v>0.11695383137437652</v>
      </c>
      <c r="T4" s="257">
        <f>SUM(T6:T19)</f>
        <v>70618.900000000009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'20 - 26 Sept 2021'!E6</f>
        <v>197034.69</v>
      </c>
      <c r="C6" s="255">
        <v>247392.33</v>
      </c>
      <c r="D6" s="197">
        <v>192931.26</v>
      </c>
      <c r="E6" s="268">
        <v>222289.96</v>
      </c>
      <c r="F6" s="197">
        <v>141137.18</v>
      </c>
      <c r="G6" s="162">
        <f t="shared" si="0"/>
        <v>-0.10146785876506356</v>
      </c>
      <c r="H6" s="154">
        <f t="shared" ref="H6:H18" si="3">IFERROR((SUM(E6-D6)/D6),0)</f>
        <v>0.15217181497700258</v>
      </c>
      <c r="I6" s="266">
        <f t="shared" ref="I6:I19" si="4">IFERROR((SUM(E6-B6)/B6),0)</f>
        <v>0.12817676927854679</v>
      </c>
      <c r="J6" s="149">
        <v>703</v>
      </c>
      <c r="K6" s="63">
        <f t="shared" ref="K6:K19" si="5">IFERROR(E6/J6,0)</f>
        <v>316.2019345661451</v>
      </c>
      <c r="L6" s="125">
        <v>34</v>
      </c>
      <c r="M6" s="126">
        <f t="shared" si="1"/>
        <v>4.8364153627311522E-2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</f>
        <v>940</v>
      </c>
      <c r="O6" s="171">
        <f t="shared" si="2"/>
        <v>1.337126600284495</v>
      </c>
      <c r="P6" s="259">
        <v>37724.43</v>
      </c>
      <c r="Q6" s="128">
        <f t="shared" ref="Q6:Q19" si="6">SUM(P6/E6)</f>
        <v>0.16970820454509059</v>
      </c>
      <c r="R6" s="260">
        <v>10473.52</v>
      </c>
      <c r="S6" s="128">
        <f t="shared" ref="S6:S19" si="7">SUM(R6/E6)</f>
        <v>4.7116477955189702E-2</v>
      </c>
      <c r="T6" s="129">
        <v>6978.5</v>
      </c>
      <c r="U6" s="26"/>
    </row>
    <row r="7" spans="1:24" ht="15.6" customHeight="1" x14ac:dyDescent="0.3">
      <c r="A7" s="409" t="s">
        <v>16</v>
      </c>
      <c r="B7" s="200">
        <f>'20 - 26 Sept 2021'!E7</f>
        <v>175937.8</v>
      </c>
      <c r="C7" s="73">
        <v>220441.59</v>
      </c>
      <c r="D7" s="145">
        <v>164012.62</v>
      </c>
      <c r="E7" s="269">
        <v>195010.91</v>
      </c>
      <c r="F7" s="145">
        <v>126837.42</v>
      </c>
      <c r="G7" s="163">
        <f t="shared" si="0"/>
        <v>-0.11536244136145087</v>
      </c>
      <c r="H7" s="155">
        <f t="shared" si="3"/>
        <v>0.18899941967880282</v>
      </c>
      <c r="I7" s="263">
        <f t="shared" si="4"/>
        <v>0.10840825564489277</v>
      </c>
      <c r="J7" s="150">
        <v>771</v>
      </c>
      <c r="K7" s="63">
        <f t="shared" si="5"/>
        <v>252.93243839169909</v>
      </c>
      <c r="L7" s="61">
        <v>63</v>
      </c>
      <c r="M7" s="28">
        <f t="shared" si="1"/>
        <v>8.171206225680934E-2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</f>
        <v>1287</v>
      </c>
      <c r="O7" s="172">
        <f t="shared" si="2"/>
        <v>1.6692607003891051</v>
      </c>
      <c r="P7" s="260">
        <v>26849.43</v>
      </c>
      <c r="Q7" s="89">
        <f t="shared" si="6"/>
        <v>0.13768168150181956</v>
      </c>
      <c r="R7" s="260">
        <v>11102.61</v>
      </c>
      <c r="S7" s="89">
        <f t="shared" si="7"/>
        <v>5.6933276194649829E-2</v>
      </c>
      <c r="T7" s="130">
        <v>9276.4</v>
      </c>
      <c r="U7" s="26"/>
    </row>
    <row r="8" spans="1:24" ht="15.6" customHeight="1" x14ac:dyDescent="0.3">
      <c r="A8" s="409" t="s">
        <v>17</v>
      </c>
      <c r="B8" s="200">
        <f>'20 - 26 Sept 2021'!E8</f>
        <v>116334.7</v>
      </c>
      <c r="C8" s="73">
        <v>107107.59</v>
      </c>
      <c r="D8" s="145">
        <v>97836.06</v>
      </c>
      <c r="E8" s="269">
        <v>130942.05</v>
      </c>
      <c r="F8" s="145">
        <v>76908.09</v>
      </c>
      <c r="G8" s="163">
        <f t="shared" si="0"/>
        <v>0.22252820738474283</v>
      </c>
      <c r="H8" s="155">
        <f t="shared" si="3"/>
        <v>0.3383822897201707</v>
      </c>
      <c r="I8" s="263">
        <f t="shared" si="4"/>
        <v>0.12556313808347816</v>
      </c>
      <c r="J8" s="150">
        <v>529</v>
      </c>
      <c r="K8" s="63">
        <f t="shared" si="5"/>
        <v>247.52750472589793</v>
      </c>
      <c r="L8" s="61">
        <v>22</v>
      </c>
      <c r="M8" s="28">
        <f t="shared" si="1"/>
        <v>4.1587901701323253E-2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</f>
        <v>505</v>
      </c>
      <c r="O8" s="172">
        <f t="shared" si="2"/>
        <v>0.95463137996219283</v>
      </c>
      <c r="P8" s="260">
        <v>51463.85</v>
      </c>
      <c r="Q8" s="89">
        <f t="shared" si="6"/>
        <v>0.39302767903816993</v>
      </c>
      <c r="R8" s="260">
        <v>17023.78</v>
      </c>
      <c r="S8" s="89">
        <f t="shared" si="7"/>
        <v>0.13001003115500329</v>
      </c>
      <c r="T8" s="130">
        <v>2358</v>
      </c>
      <c r="U8" s="26"/>
    </row>
    <row r="9" spans="1:24" ht="15.6" customHeight="1" x14ac:dyDescent="0.3">
      <c r="A9" s="409" t="s">
        <v>18</v>
      </c>
      <c r="B9" s="200">
        <f>'20 - 26 Sept 2021'!E9</f>
        <v>250317.29</v>
      </c>
      <c r="C9" s="73">
        <v>310781.21999999997</v>
      </c>
      <c r="D9" s="145">
        <v>207464.72</v>
      </c>
      <c r="E9" s="269">
        <v>238057.19</v>
      </c>
      <c r="F9" s="145">
        <v>142539.34</v>
      </c>
      <c r="G9" s="163">
        <f t="shared" si="0"/>
        <v>-0.23400394013512135</v>
      </c>
      <c r="H9" s="155">
        <f t="shared" si="3"/>
        <v>0.14745866188718737</v>
      </c>
      <c r="I9" s="263">
        <f t="shared" si="4"/>
        <v>-4.8978238778471933E-2</v>
      </c>
      <c r="J9" s="150">
        <v>846</v>
      </c>
      <c r="K9" s="63">
        <f t="shared" si="5"/>
        <v>281.39147754137116</v>
      </c>
      <c r="L9" s="61">
        <v>16</v>
      </c>
      <c r="M9" s="28">
        <f t="shared" si="1"/>
        <v>1.8912529550827423E-2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</f>
        <v>839</v>
      </c>
      <c r="O9" s="172">
        <f t="shared" si="2"/>
        <v>0.99172576832151305</v>
      </c>
      <c r="P9" s="260">
        <v>28873.11</v>
      </c>
      <c r="Q9" s="89">
        <f t="shared" si="6"/>
        <v>0.12128644381629473</v>
      </c>
      <c r="R9" s="260">
        <v>8253</v>
      </c>
      <c r="S9" s="89">
        <f t="shared" si="7"/>
        <v>3.4668140038114373E-2</v>
      </c>
      <c r="T9" s="130">
        <v>4600.3</v>
      </c>
      <c r="U9" s="26"/>
    </row>
    <row r="10" spans="1:24" ht="15.6" customHeight="1" x14ac:dyDescent="0.3">
      <c r="A10" s="409" t="s">
        <v>20</v>
      </c>
      <c r="B10" s="200">
        <f>'20 - 26 Sept 2021'!E10</f>
        <v>119605.31</v>
      </c>
      <c r="C10" s="73">
        <v>147789.66</v>
      </c>
      <c r="D10" s="145">
        <v>122448.05</v>
      </c>
      <c r="E10" s="269">
        <v>135563.96</v>
      </c>
      <c r="F10" s="145">
        <v>73238.570000000007</v>
      </c>
      <c r="G10" s="163">
        <f t="shared" si="0"/>
        <v>-8.2723649272892372E-2</v>
      </c>
      <c r="H10" s="155">
        <f t="shared" si="3"/>
        <v>0.10711407817437671</v>
      </c>
      <c r="I10" s="263">
        <f t="shared" si="4"/>
        <v>0.13342760451020105</v>
      </c>
      <c r="J10" s="150">
        <v>527</v>
      </c>
      <c r="K10" s="63">
        <f t="shared" si="5"/>
        <v>257.23711574952563</v>
      </c>
      <c r="L10" s="61">
        <v>47</v>
      </c>
      <c r="M10" s="28">
        <f t="shared" si="1"/>
        <v>8.9184060721062622E-2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</f>
        <v>791</v>
      </c>
      <c r="O10" s="172">
        <f t="shared" si="2"/>
        <v>1.5009487666034156</v>
      </c>
      <c r="P10" s="260">
        <v>28746.720000000001</v>
      </c>
      <c r="Q10" s="89">
        <f t="shared" si="6"/>
        <v>0.2120528199382786</v>
      </c>
      <c r="R10" s="260">
        <v>28717.34</v>
      </c>
      <c r="S10" s="89">
        <f t="shared" si="7"/>
        <v>0.21183609567026518</v>
      </c>
      <c r="T10" s="130">
        <v>4428.3</v>
      </c>
      <c r="U10" s="26"/>
    </row>
    <row r="11" spans="1:24" ht="15.6" customHeight="1" x14ac:dyDescent="0.3">
      <c r="A11" s="409" t="s">
        <v>21</v>
      </c>
      <c r="B11" s="200">
        <f>'20 - 26 Sept 2021'!E11</f>
        <v>225388.91</v>
      </c>
      <c r="C11" s="73">
        <v>310363.95</v>
      </c>
      <c r="D11" s="145">
        <v>246009.16</v>
      </c>
      <c r="E11" s="269">
        <v>241827.03</v>
      </c>
      <c r="F11" s="145">
        <v>129818.55</v>
      </c>
      <c r="G11" s="163">
        <f t="shared" si="0"/>
        <v>-0.22082758000727859</v>
      </c>
      <c r="H11" s="155">
        <f t="shared" si="3"/>
        <v>-1.699989545104745E-2</v>
      </c>
      <c r="I11" s="263">
        <f t="shared" si="4"/>
        <v>7.2932248529885502E-2</v>
      </c>
      <c r="J11" s="150">
        <v>894</v>
      </c>
      <c r="K11" s="63">
        <f t="shared" si="5"/>
        <v>270.500033557047</v>
      </c>
      <c r="L11" s="61">
        <v>85</v>
      </c>
      <c r="M11" s="28">
        <f t="shared" si="1"/>
        <v>9.507829977628636E-2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</f>
        <v>1944</v>
      </c>
      <c r="O11" s="172">
        <f t="shared" si="2"/>
        <v>2.174496644295302</v>
      </c>
      <c r="P11" s="260">
        <v>46167.23</v>
      </c>
      <c r="Q11" s="89">
        <f t="shared" si="6"/>
        <v>0.19091013109659413</v>
      </c>
      <c r="R11" s="260">
        <v>21814.959999999999</v>
      </c>
      <c r="S11" s="89">
        <f t="shared" si="7"/>
        <v>9.0208939836047275E-2</v>
      </c>
      <c r="T11" s="130">
        <v>9921.4</v>
      </c>
      <c r="U11" s="26"/>
    </row>
    <row r="12" spans="1:24" ht="15.6" customHeight="1" x14ac:dyDescent="0.3">
      <c r="A12" s="198" t="s">
        <v>22</v>
      </c>
      <c r="B12" s="200">
        <f>'20 - 26 Sept 2021'!E12</f>
        <v>100609.06</v>
      </c>
      <c r="C12" s="73">
        <v>145869.65</v>
      </c>
      <c r="D12" s="145">
        <v>89526.53</v>
      </c>
      <c r="E12" s="269">
        <v>132018.34</v>
      </c>
      <c r="F12" s="145">
        <v>63710.11</v>
      </c>
      <c r="G12" s="163">
        <f t="shared" si="0"/>
        <v>-9.495676448116519E-2</v>
      </c>
      <c r="H12" s="155">
        <f t="shared" si="3"/>
        <v>0.47462813536948206</v>
      </c>
      <c r="I12" s="263">
        <f t="shared" si="4"/>
        <v>0.31219136725857494</v>
      </c>
      <c r="J12" s="150">
        <v>492</v>
      </c>
      <c r="K12" s="63">
        <f t="shared" si="5"/>
        <v>268.32995934959348</v>
      </c>
      <c r="L12" s="61">
        <v>75</v>
      </c>
      <c r="M12" s="28">
        <f t="shared" si="1"/>
        <v>0.1524390243902439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</f>
        <v>1019</v>
      </c>
      <c r="O12" s="172">
        <f t="shared" si="2"/>
        <v>2.071138211382114</v>
      </c>
      <c r="P12" s="260">
        <v>20519.04</v>
      </c>
      <c r="Q12" s="89">
        <f t="shared" si="6"/>
        <v>0.15542567797777188</v>
      </c>
      <c r="R12" s="260">
        <v>6204.52</v>
      </c>
      <c r="S12" s="89">
        <f t="shared" si="7"/>
        <v>4.6997409602332528E-2</v>
      </c>
      <c r="T12" s="130">
        <v>8279</v>
      </c>
      <c r="U12" s="26"/>
    </row>
    <row r="13" spans="1:24" ht="15.6" customHeight="1" x14ac:dyDescent="0.3">
      <c r="A13" s="198" t="s">
        <v>23</v>
      </c>
      <c r="B13" s="200">
        <f>'20 - 26 Sept 2021'!E13</f>
        <v>171278.52</v>
      </c>
      <c r="C13" s="73">
        <v>203625.52</v>
      </c>
      <c r="D13" s="145">
        <v>174284.54</v>
      </c>
      <c r="E13" s="269">
        <v>196532.85</v>
      </c>
      <c r="F13" s="145">
        <v>105023.65</v>
      </c>
      <c r="G13" s="163">
        <f t="shared" si="0"/>
        <v>-3.4831930693166473E-2</v>
      </c>
      <c r="H13" s="155">
        <f t="shared" si="3"/>
        <v>0.12765509780729833</v>
      </c>
      <c r="I13" s="263">
        <f t="shared" si="4"/>
        <v>0.14744598447020688</v>
      </c>
      <c r="J13" s="150">
        <v>757</v>
      </c>
      <c r="K13" s="63">
        <f t="shared" si="5"/>
        <v>259.62067371202113</v>
      </c>
      <c r="L13" s="61">
        <v>98</v>
      </c>
      <c r="M13" s="28">
        <f t="shared" si="1"/>
        <v>0.12945838837516513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</f>
        <v>1724</v>
      </c>
      <c r="O13" s="172">
        <f t="shared" si="2"/>
        <v>2.2774108322324969</v>
      </c>
      <c r="P13" s="260">
        <v>33058.089999999997</v>
      </c>
      <c r="Q13" s="89">
        <f t="shared" si="6"/>
        <v>0.16820643470035668</v>
      </c>
      <c r="R13" s="260">
        <v>32995.230000000003</v>
      </c>
      <c r="S13" s="89">
        <f t="shared" si="7"/>
        <v>0.16788658995175618</v>
      </c>
      <c r="T13" s="130">
        <v>4746</v>
      </c>
      <c r="U13" s="26"/>
    </row>
    <row r="14" spans="1:24" ht="15.6" hidden="1" customHeight="1" x14ac:dyDescent="0.3">
      <c r="A14" s="198" t="s">
        <v>24</v>
      </c>
      <c r="B14" s="200">
        <f>'20 - 26 Sept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'20 - 26 Sept 2021'!E15</f>
        <v>232193.16</v>
      </c>
      <c r="C15" s="73">
        <v>146491.63</v>
      </c>
      <c r="D15" s="145">
        <v>154450.5</v>
      </c>
      <c r="E15" s="269">
        <v>217130.21</v>
      </c>
      <c r="F15" s="145">
        <v>124502.99</v>
      </c>
      <c r="G15" s="163">
        <f t="shared" si="0"/>
        <v>0.4822021572153985</v>
      </c>
      <c r="H15" s="155">
        <f t="shared" si="3"/>
        <v>0.40582393711901221</v>
      </c>
      <c r="I15" s="263">
        <f t="shared" si="4"/>
        <v>-6.4872496674751368E-2</v>
      </c>
      <c r="J15" s="150">
        <v>636</v>
      </c>
      <c r="K15" s="63">
        <f t="shared" si="5"/>
        <v>341.39970125786164</v>
      </c>
      <c r="L15" s="61">
        <v>28</v>
      </c>
      <c r="M15" s="28">
        <f t="shared" si="1"/>
        <v>4.40251572327044E-2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</f>
        <v>1078</v>
      </c>
      <c r="O15" s="172">
        <f t="shared" si="2"/>
        <v>1.6949685534591195</v>
      </c>
      <c r="P15" s="260">
        <v>0</v>
      </c>
      <c r="Q15" s="89">
        <f t="shared" si="6"/>
        <v>0</v>
      </c>
      <c r="R15" s="260">
        <v>23724.35</v>
      </c>
      <c r="S15" s="89">
        <f t="shared" si="7"/>
        <v>0.10926323886482678</v>
      </c>
      <c r="T15" s="130">
        <v>4604.3999999999996</v>
      </c>
      <c r="U15" s="9"/>
    </row>
    <row r="16" spans="1:24" ht="15.6" customHeight="1" x14ac:dyDescent="0.3">
      <c r="A16" s="198" t="s">
        <v>27</v>
      </c>
      <c r="B16" s="200">
        <f>'20 - 26 Sept 2021'!E16</f>
        <v>145486.31</v>
      </c>
      <c r="C16" s="73">
        <v>124737.19</v>
      </c>
      <c r="D16" s="145">
        <v>122050.9</v>
      </c>
      <c r="E16" s="269">
        <v>142521.04</v>
      </c>
      <c r="F16" s="145">
        <v>77723.87</v>
      </c>
      <c r="G16" s="163">
        <f t="shared" si="0"/>
        <v>0.14257055173360891</v>
      </c>
      <c r="H16" s="155">
        <f t="shared" si="3"/>
        <v>0.16771805861325081</v>
      </c>
      <c r="I16" s="263">
        <f t="shared" si="4"/>
        <v>-2.0381780251351414E-2</v>
      </c>
      <c r="J16" s="150">
        <v>557</v>
      </c>
      <c r="K16" s="63">
        <f t="shared" si="5"/>
        <v>255.87260323159785</v>
      </c>
      <c r="L16" s="61">
        <v>32</v>
      </c>
      <c r="M16" s="28">
        <f t="shared" si="1"/>
        <v>5.7450628366247758E-2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</f>
        <v>657</v>
      </c>
      <c r="O16" s="172">
        <f t="shared" si="2"/>
        <v>1.1795332136445242</v>
      </c>
      <c r="P16" s="260">
        <v>37837.01</v>
      </c>
      <c r="Q16" s="89">
        <f t="shared" si="6"/>
        <v>0.26548367876069384</v>
      </c>
      <c r="R16" s="260">
        <v>29345.09</v>
      </c>
      <c r="S16" s="89">
        <f t="shared" si="7"/>
        <v>0.20590005517781795</v>
      </c>
      <c r="T16" s="130">
        <v>4888</v>
      </c>
      <c r="U16" s="9"/>
      <c r="X16" s="238"/>
    </row>
    <row r="17" spans="1:21" ht="15.6" customHeight="1" x14ac:dyDescent="0.3">
      <c r="A17" s="198" t="s">
        <v>28</v>
      </c>
      <c r="B17" s="200">
        <f>'20 - 26 Sept 2021'!E17</f>
        <v>181897.73</v>
      </c>
      <c r="C17" s="73">
        <v>187465.36</v>
      </c>
      <c r="D17" s="145">
        <v>170350.19</v>
      </c>
      <c r="E17" s="269">
        <v>177000.68</v>
      </c>
      <c r="F17" s="145">
        <v>98302.26</v>
      </c>
      <c r="G17" s="163">
        <f t="shared" si="0"/>
        <v>-5.5821939583931633E-2</v>
      </c>
      <c r="H17" s="155">
        <f t="shared" si="3"/>
        <v>3.9040109083529582E-2</v>
      </c>
      <c r="I17" s="263">
        <f t="shared" si="4"/>
        <v>-2.6921996222822667E-2</v>
      </c>
      <c r="J17" s="150">
        <v>756</v>
      </c>
      <c r="K17" s="63">
        <f t="shared" si="5"/>
        <v>234.1278835978836</v>
      </c>
      <c r="L17" s="61">
        <v>39</v>
      </c>
      <c r="M17" s="28">
        <f t="shared" si="1"/>
        <v>5.1587301587301584E-2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</f>
        <v>1393</v>
      </c>
      <c r="O17" s="172">
        <f t="shared" si="2"/>
        <v>1.8425925925925926</v>
      </c>
      <c r="P17" s="260">
        <v>33750.21</v>
      </c>
      <c r="Q17" s="89">
        <f t="shared" si="6"/>
        <v>0.19067841999251076</v>
      </c>
      <c r="R17" s="260">
        <v>33049.39</v>
      </c>
      <c r="S17" s="89">
        <f t="shared" si="7"/>
        <v>0.18671900017559254</v>
      </c>
      <c r="T17" s="130">
        <v>5856.1</v>
      </c>
      <c r="U17" s="9"/>
    </row>
    <row r="18" spans="1:21" ht="15.6" customHeight="1" x14ac:dyDescent="0.3">
      <c r="A18" s="198" t="s">
        <v>33</v>
      </c>
      <c r="B18" s="200">
        <f>'20 - 26 Sept 2021'!E18</f>
        <v>148055.01999999999</v>
      </c>
      <c r="C18" s="73">
        <v>161171.99</v>
      </c>
      <c r="D18" s="73">
        <v>134288.32000000001</v>
      </c>
      <c r="E18" s="269">
        <v>174402.94</v>
      </c>
      <c r="F18" s="145">
        <v>85434.01</v>
      </c>
      <c r="G18" s="163">
        <f t="shared" si="0"/>
        <v>8.2092117867378897E-2</v>
      </c>
      <c r="H18" s="155">
        <f t="shared" si="3"/>
        <v>0.29872009717598669</v>
      </c>
      <c r="I18" s="263">
        <f t="shared" si="4"/>
        <v>0.1779603285319202</v>
      </c>
      <c r="J18" s="150">
        <v>635</v>
      </c>
      <c r="K18" s="63">
        <f t="shared" si="5"/>
        <v>274.65029921259844</v>
      </c>
      <c r="L18" s="61">
        <v>50</v>
      </c>
      <c r="M18" s="28">
        <f t="shared" si="1"/>
        <v>7.874015748031496E-2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</f>
        <v>1882</v>
      </c>
      <c r="O18" s="172">
        <f t="shared" si="2"/>
        <v>2.9637795275590553</v>
      </c>
      <c r="P18" s="260">
        <v>24863.42</v>
      </c>
      <c r="Q18" s="89">
        <f t="shared" si="6"/>
        <v>0.14256307835177548</v>
      </c>
      <c r="R18" s="260">
        <v>19125.53</v>
      </c>
      <c r="S18" s="89">
        <f t="shared" si="7"/>
        <v>0.10966288756370735</v>
      </c>
      <c r="T18" s="130">
        <v>4682.5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85" priority="1" operator="equal">
      <formula>0</formula>
    </cfRule>
  </conditionalFormatting>
  <conditionalFormatting sqref="D7:F19">
    <cfRule type="cellIs" dxfId="28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9.6240402035916925E-3</v>
      </c>
      <c r="H2" s="413"/>
      <c r="I2" s="400">
        <f>(((E4-E19-B19)-B4)/E4)</f>
        <v>3.0331623323541029E-2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2067733.2000000002</v>
      </c>
      <c r="C4" s="135">
        <f>SUM(C6:C19)-C14-C19-C10</f>
        <v>2112085.9399999995</v>
      </c>
      <c r="D4" s="142">
        <f>SUM(D6:D19)-D19-D10</f>
        <v>1718539.9900000002</v>
      </c>
      <c r="E4" s="270">
        <f>SUM(E6:E19)-E19-E10</f>
        <v>2132412.7400000002</v>
      </c>
      <c r="F4" s="142">
        <f>SUM(F6:F19)-F19-F10</f>
        <v>3304350.24</v>
      </c>
      <c r="G4" s="217">
        <f t="shared" ref="G4:G19" si="0">IFERROR((SUM(E4-C4)/C4),0)</f>
        <v>9.6240402035916925E-3</v>
      </c>
      <c r="H4" s="217">
        <f>IFERROR((SUM(E4-D4)/D4),0)</f>
        <v>0.24082811712749258</v>
      </c>
      <c r="I4" s="217">
        <f>IFERROR((SUM(E4-B4)/E4),0)</f>
        <v>3.0331623323541029E-2</v>
      </c>
      <c r="J4" s="262">
        <f>SUM(J6:J18)</f>
        <v>8252</v>
      </c>
      <c r="K4" s="218">
        <f>AVERAGE(K5:K19)</f>
        <v>233.91197034642968</v>
      </c>
      <c r="L4" s="219">
        <f>SUM(L6:L19)</f>
        <v>586</v>
      </c>
      <c r="M4" s="220">
        <f t="shared" ref="M4:M19" si="1">IFERROR(L4/J4,0)</f>
        <v>7.1013087736306352E-2</v>
      </c>
      <c r="N4" s="221">
        <f>SUM(N6:N19)</f>
        <v>14645</v>
      </c>
      <c r="O4" s="222">
        <f t="shared" ref="O4:O19" si="2">IFERROR(N4/SUM(J4),0)</f>
        <v>1.7747212796897722</v>
      </c>
      <c r="P4" s="249">
        <f>SUM(P6:P19)</f>
        <v>342382.5199999999</v>
      </c>
      <c r="Q4" s="222">
        <f>SUM(P4/E4)</f>
        <v>0.16056109287735726</v>
      </c>
      <c r="R4" s="244">
        <f>SUM(R6:R19)</f>
        <v>219506.94999999998</v>
      </c>
      <c r="S4" s="222">
        <f>SUM(R4/E4)</f>
        <v>0.10293830358563698</v>
      </c>
      <c r="T4" s="257">
        <f>SUM(T6:T19)</f>
        <v>75816.23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'27 Sept - 3 Oct 2021'!E6</f>
        <v>222289.96</v>
      </c>
      <c r="C6" s="255">
        <v>234693.29</v>
      </c>
      <c r="D6" s="197">
        <v>177764.38</v>
      </c>
      <c r="E6" s="268">
        <v>239454.65</v>
      </c>
      <c r="F6" s="197">
        <v>380591.83</v>
      </c>
      <c r="G6" s="162">
        <f t="shared" si="0"/>
        <v>2.0287584702570687E-2</v>
      </c>
      <c r="H6" s="154">
        <f t="shared" ref="H6:H18" si="3">IFERROR((SUM(E6-D6)/D6),0)</f>
        <v>0.34703392209395373</v>
      </c>
      <c r="I6" s="266">
        <f t="shared" ref="I6:I19" si="4">IFERROR((SUM(E6-B6)/B6),0)</f>
        <v>7.721756754106214E-2</v>
      </c>
      <c r="J6" s="149">
        <v>806</v>
      </c>
      <c r="K6" s="63">
        <f t="shared" ref="K6:K19" si="5">IFERROR(E6/J6,0)</f>
        <v>297.09013647642678</v>
      </c>
      <c r="L6" s="125">
        <v>84</v>
      </c>
      <c r="M6" s="126">
        <f t="shared" si="1"/>
        <v>0.10421836228287841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</f>
        <v>1024</v>
      </c>
      <c r="O6" s="171">
        <f t="shared" si="2"/>
        <v>1.2704714640198511</v>
      </c>
      <c r="P6" s="259">
        <v>40557.74</v>
      </c>
      <c r="Q6" s="128">
        <f t="shared" ref="Q6:Q19" si="6">SUM(P6/E6)</f>
        <v>0.16937545376546248</v>
      </c>
      <c r="R6" s="260">
        <v>10333.299999999999</v>
      </c>
      <c r="S6" s="128">
        <f t="shared" ref="S6:S19" si="7">SUM(R6/E6)</f>
        <v>4.3153473945901653E-2</v>
      </c>
      <c r="T6" s="129">
        <v>7236.6</v>
      </c>
      <c r="U6" s="26"/>
    </row>
    <row r="7" spans="1:24" ht="15.6" customHeight="1" x14ac:dyDescent="0.3">
      <c r="A7" s="409" t="s">
        <v>16</v>
      </c>
      <c r="B7" s="200">
        <f>'27 Sept - 3 Oct 2021'!E7</f>
        <v>195010.91</v>
      </c>
      <c r="C7" s="73">
        <v>178156.7</v>
      </c>
      <c r="D7" s="145">
        <v>151403.25</v>
      </c>
      <c r="E7" s="269">
        <v>186940.81</v>
      </c>
      <c r="F7" s="145">
        <v>313778.23</v>
      </c>
      <c r="G7" s="163">
        <f t="shared" si="0"/>
        <v>4.9305527100580476E-2</v>
      </c>
      <c r="H7" s="155">
        <f t="shared" si="3"/>
        <v>0.23472124937872865</v>
      </c>
      <c r="I7" s="263">
        <f t="shared" si="4"/>
        <v>-4.1382812889801938E-2</v>
      </c>
      <c r="J7" s="150">
        <v>720</v>
      </c>
      <c r="K7" s="63">
        <f t="shared" si="5"/>
        <v>259.64001388888886</v>
      </c>
      <c r="L7" s="61">
        <v>47</v>
      </c>
      <c r="M7" s="28">
        <f t="shared" si="1"/>
        <v>6.5277777777777782E-2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</f>
        <v>1334</v>
      </c>
      <c r="O7" s="172">
        <f t="shared" si="2"/>
        <v>1.8527777777777779</v>
      </c>
      <c r="P7" s="260">
        <v>23036.97</v>
      </c>
      <c r="Q7" s="89">
        <f t="shared" si="6"/>
        <v>0.12323135863164389</v>
      </c>
      <c r="R7" s="260">
        <v>9703.48</v>
      </c>
      <c r="S7" s="89">
        <f t="shared" si="7"/>
        <v>5.1906697098402427E-2</v>
      </c>
      <c r="T7" s="130">
        <v>6517.6</v>
      </c>
      <c r="U7" s="26"/>
    </row>
    <row r="8" spans="1:24" ht="15.6" customHeight="1" x14ac:dyDescent="0.3">
      <c r="A8" s="409" t="s">
        <v>17</v>
      </c>
      <c r="B8" s="200">
        <f>'27 Sept - 3 Oct 2021'!E8</f>
        <v>130942.05</v>
      </c>
      <c r="C8" s="73">
        <v>104958.15</v>
      </c>
      <c r="D8" s="145">
        <v>87382.74</v>
      </c>
      <c r="E8" s="269">
        <v>119671.55</v>
      </c>
      <c r="F8" s="145">
        <v>196579.64</v>
      </c>
      <c r="G8" s="163">
        <f t="shared" si="0"/>
        <v>0.1401834921823604</v>
      </c>
      <c r="H8" s="155">
        <f t="shared" si="3"/>
        <v>0.36951015726904418</v>
      </c>
      <c r="I8" s="263">
        <f t="shared" si="4"/>
        <v>-8.6072426695626036E-2</v>
      </c>
      <c r="J8" s="150">
        <v>522</v>
      </c>
      <c r="K8" s="63">
        <f t="shared" si="5"/>
        <v>229.25584291187741</v>
      </c>
      <c r="L8" s="61">
        <v>25</v>
      </c>
      <c r="M8" s="28">
        <f t="shared" si="1"/>
        <v>4.7892720306513412E-2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</f>
        <v>530</v>
      </c>
      <c r="O8" s="172">
        <f t="shared" si="2"/>
        <v>1.0153256704980842</v>
      </c>
      <c r="P8" s="260">
        <v>51295.34</v>
      </c>
      <c r="Q8" s="89">
        <f t="shared" si="6"/>
        <v>0.42863437466966875</v>
      </c>
      <c r="R8" s="260">
        <v>12785.74</v>
      </c>
      <c r="S8" s="89">
        <f t="shared" si="7"/>
        <v>0.1068402640393644</v>
      </c>
      <c r="T8" s="130">
        <v>3806.1</v>
      </c>
      <c r="U8" s="26"/>
    </row>
    <row r="9" spans="1:24" ht="15.6" customHeight="1" x14ac:dyDescent="0.3">
      <c r="A9" s="409" t="s">
        <v>18</v>
      </c>
      <c r="B9" s="200">
        <f>'27 Sept - 3 Oct 2021'!E9</f>
        <v>238057.19</v>
      </c>
      <c r="C9" s="73">
        <v>307459.09000000003</v>
      </c>
      <c r="D9" s="145">
        <v>215845.33</v>
      </c>
      <c r="E9" s="269">
        <v>236575.6</v>
      </c>
      <c r="F9" s="145">
        <v>379114.94</v>
      </c>
      <c r="G9" s="163">
        <f t="shared" si="0"/>
        <v>-0.23054608663546106</v>
      </c>
      <c r="H9" s="155">
        <f t="shared" si="3"/>
        <v>9.6042244694383799E-2</v>
      </c>
      <c r="I9" s="263">
        <f t="shared" si="4"/>
        <v>-6.223672555321671E-3</v>
      </c>
      <c r="J9" s="150">
        <v>879</v>
      </c>
      <c r="K9" s="63">
        <f t="shared" si="5"/>
        <v>269.14175199089874</v>
      </c>
      <c r="L9" s="61">
        <v>43</v>
      </c>
      <c r="M9" s="28">
        <f t="shared" si="1"/>
        <v>4.8919226393629126E-2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</f>
        <v>882</v>
      </c>
      <c r="O9" s="172">
        <f t="shared" si="2"/>
        <v>1.0034129692832765</v>
      </c>
      <c r="P9" s="260">
        <v>29685.91</v>
      </c>
      <c r="Q9" s="89">
        <f t="shared" si="6"/>
        <v>0.12548170648198714</v>
      </c>
      <c r="R9" s="260">
        <v>11498.43</v>
      </c>
      <c r="S9" s="89">
        <f t="shared" si="7"/>
        <v>4.8603617617370518E-2</v>
      </c>
      <c r="T9" s="130">
        <v>5351.43</v>
      </c>
      <c r="U9" s="26"/>
    </row>
    <row r="10" spans="1:24" ht="15.6" customHeight="1" x14ac:dyDescent="0.3">
      <c r="A10" s="409" t="s">
        <v>20</v>
      </c>
      <c r="B10" s="200">
        <f>'27 Sept - 3 Oct 2021'!E10</f>
        <v>135563.96</v>
      </c>
      <c r="C10" s="73">
        <v>152374.91</v>
      </c>
      <c r="D10" s="145">
        <v>131049.88</v>
      </c>
      <c r="E10" s="269">
        <v>147008.95999999999</v>
      </c>
      <c r="F10" s="145">
        <v>220247.53</v>
      </c>
      <c r="G10" s="163">
        <f t="shared" si="0"/>
        <v>-3.5215443277374282E-2</v>
      </c>
      <c r="H10" s="155">
        <f t="shared" si="3"/>
        <v>0.12177866931278371</v>
      </c>
      <c r="I10" s="263">
        <f t="shared" si="4"/>
        <v>8.4425093513054661E-2</v>
      </c>
      <c r="J10" s="150">
        <v>510</v>
      </c>
      <c r="K10" s="63">
        <f t="shared" si="5"/>
        <v>288.25286274509801</v>
      </c>
      <c r="L10" s="61">
        <v>34</v>
      </c>
      <c r="M10" s="28">
        <f t="shared" si="1"/>
        <v>6.6666666666666666E-2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</f>
        <v>825</v>
      </c>
      <c r="O10" s="172">
        <f t="shared" si="2"/>
        <v>1.6176470588235294</v>
      </c>
      <c r="P10" s="260">
        <v>32247.84</v>
      </c>
      <c r="Q10" s="89">
        <f t="shared" si="6"/>
        <v>0.2193596907290549</v>
      </c>
      <c r="R10" s="260">
        <v>29356</v>
      </c>
      <c r="S10" s="89">
        <f t="shared" si="7"/>
        <v>0.19968850878204975</v>
      </c>
      <c r="T10" s="130">
        <v>2962.5</v>
      </c>
      <c r="U10" s="26"/>
    </row>
    <row r="11" spans="1:24" ht="15.6" customHeight="1" x14ac:dyDescent="0.3">
      <c r="A11" s="409" t="s">
        <v>21</v>
      </c>
      <c r="B11" s="200">
        <f>'27 Sept - 3 Oct 2021'!E11</f>
        <v>241827.03</v>
      </c>
      <c r="C11" s="73">
        <v>330816.71999999997</v>
      </c>
      <c r="D11" s="145">
        <v>275216.74</v>
      </c>
      <c r="E11" s="269">
        <v>266901.90999999997</v>
      </c>
      <c r="F11" s="145">
        <v>396720.46</v>
      </c>
      <c r="G11" s="163">
        <f t="shared" si="0"/>
        <v>-0.19320308235931968</v>
      </c>
      <c r="H11" s="155">
        <f t="shared" si="3"/>
        <v>-3.0211934056046216E-2</v>
      </c>
      <c r="I11" s="263">
        <f t="shared" si="4"/>
        <v>0.10368931876639256</v>
      </c>
      <c r="J11" s="150">
        <v>881</v>
      </c>
      <c r="K11" s="63">
        <f t="shared" si="5"/>
        <v>302.95335981838815</v>
      </c>
      <c r="L11" s="61">
        <v>74</v>
      </c>
      <c r="M11" s="28">
        <f t="shared" si="1"/>
        <v>8.3995459704880815E-2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</f>
        <v>2018</v>
      </c>
      <c r="O11" s="172">
        <f t="shared" si="2"/>
        <v>2.2905788876276958</v>
      </c>
      <c r="P11" s="260">
        <v>36553.43</v>
      </c>
      <c r="Q11" s="89">
        <f t="shared" si="6"/>
        <v>0.13695454633501875</v>
      </c>
      <c r="R11" s="260">
        <v>22839.48</v>
      </c>
      <c r="S11" s="89">
        <f t="shared" si="7"/>
        <v>8.5572561095572527E-2</v>
      </c>
      <c r="T11" s="130">
        <v>12453.55</v>
      </c>
      <c r="U11" s="26"/>
    </row>
    <row r="12" spans="1:24" ht="15.6" customHeight="1" x14ac:dyDescent="0.3">
      <c r="A12" s="198" t="s">
        <v>22</v>
      </c>
      <c r="B12" s="200">
        <f>'27 Sept - 3 Oct 2021'!E12</f>
        <v>132018.34</v>
      </c>
      <c r="C12" s="73">
        <v>132859.35999999999</v>
      </c>
      <c r="D12" s="145">
        <v>87023.79</v>
      </c>
      <c r="E12" s="269">
        <v>115856.57</v>
      </c>
      <c r="F12" s="145">
        <v>179566.68</v>
      </c>
      <c r="G12" s="163">
        <f t="shared" si="0"/>
        <v>-0.12797585356425006</v>
      </c>
      <c r="H12" s="155">
        <f t="shared" si="3"/>
        <v>0.33132066530313165</v>
      </c>
      <c r="I12" s="263">
        <f t="shared" si="4"/>
        <v>-0.12242064246528164</v>
      </c>
      <c r="J12" s="150">
        <v>459</v>
      </c>
      <c r="K12" s="63">
        <f t="shared" si="5"/>
        <v>252.41082788671025</v>
      </c>
      <c r="L12" s="61">
        <v>50</v>
      </c>
      <c r="M12" s="28">
        <f t="shared" si="1"/>
        <v>0.10893246187363835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</f>
        <v>1069</v>
      </c>
      <c r="O12" s="172">
        <f t="shared" si="2"/>
        <v>2.3289760348583877</v>
      </c>
      <c r="P12" s="260">
        <v>17008.169999999998</v>
      </c>
      <c r="Q12" s="89">
        <f t="shared" si="6"/>
        <v>0.14680367285169929</v>
      </c>
      <c r="R12" s="260">
        <v>7391.17</v>
      </c>
      <c r="S12" s="89">
        <f t="shared" si="7"/>
        <v>6.3795864144778322E-2</v>
      </c>
      <c r="T12" s="130">
        <v>7564</v>
      </c>
      <c r="U12" s="26"/>
    </row>
    <row r="13" spans="1:24" ht="15.6" customHeight="1" x14ac:dyDescent="0.3">
      <c r="A13" s="198" t="s">
        <v>23</v>
      </c>
      <c r="B13" s="200">
        <f>'27 Sept - 3 Oct 2021'!E13</f>
        <v>196532.85</v>
      </c>
      <c r="C13" s="73">
        <v>196053.8</v>
      </c>
      <c r="D13" s="145">
        <v>172397.2</v>
      </c>
      <c r="E13" s="269">
        <v>185099.2</v>
      </c>
      <c r="F13" s="145">
        <v>290122.84999999998</v>
      </c>
      <c r="G13" s="163">
        <f t="shared" si="0"/>
        <v>-5.5875479077681624E-2</v>
      </c>
      <c r="H13" s="155">
        <f t="shared" si="3"/>
        <v>7.3678690837206171E-2</v>
      </c>
      <c r="I13" s="263">
        <f t="shared" si="4"/>
        <v>-5.8176788257026719E-2</v>
      </c>
      <c r="J13" s="150">
        <v>722</v>
      </c>
      <c r="K13" s="63">
        <f t="shared" si="5"/>
        <v>256.37008310249308</v>
      </c>
      <c r="L13" s="61">
        <v>79</v>
      </c>
      <c r="M13" s="28">
        <f t="shared" si="1"/>
        <v>0.10941828254847645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</f>
        <v>1803</v>
      </c>
      <c r="O13" s="172">
        <f t="shared" si="2"/>
        <v>2.4972299168975067</v>
      </c>
      <c r="P13" s="260">
        <v>26754.52</v>
      </c>
      <c r="Q13" s="89">
        <f t="shared" si="6"/>
        <v>0.14454152151927183</v>
      </c>
      <c r="R13" s="260">
        <v>22819.52</v>
      </c>
      <c r="S13" s="89">
        <f t="shared" si="7"/>
        <v>0.12328265060032674</v>
      </c>
      <c r="T13" s="130">
        <v>5674</v>
      </c>
      <c r="U13" s="26"/>
    </row>
    <row r="14" spans="1:24" ht="15.6" hidden="1" customHeight="1" x14ac:dyDescent="0.3">
      <c r="A14" s="198" t="s">
        <v>24</v>
      </c>
      <c r="B14" s="200">
        <f>'27 Sept - 3 Oct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'27 Sept - 3 Oct 2021'!E15</f>
        <v>217130.21</v>
      </c>
      <c r="C15" s="73">
        <v>163134.85999999999</v>
      </c>
      <c r="D15" s="145">
        <v>163420.6</v>
      </c>
      <c r="E15" s="269">
        <v>294560.02</v>
      </c>
      <c r="F15" s="145">
        <v>419063.01</v>
      </c>
      <c r="G15" s="163">
        <f t="shared" si="0"/>
        <v>0.80562278350562255</v>
      </c>
      <c r="H15" s="155">
        <f t="shared" si="3"/>
        <v>0.80246566222373439</v>
      </c>
      <c r="I15" s="263">
        <f t="shared" si="4"/>
        <v>0.35660542123548827</v>
      </c>
      <c r="J15" s="150">
        <v>843</v>
      </c>
      <c r="K15" s="63">
        <f t="shared" si="5"/>
        <v>349.41876631079481</v>
      </c>
      <c r="L15" s="61">
        <v>9</v>
      </c>
      <c r="M15" s="28">
        <f t="shared" si="1"/>
        <v>1.0676156583629894E-2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</f>
        <v>1087</v>
      </c>
      <c r="O15" s="172">
        <f t="shared" si="2"/>
        <v>1.2894424673784104</v>
      </c>
      <c r="P15" s="260">
        <v>0</v>
      </c>
      <c r="Q15" s="89">
        <f t="shared" si="6"/>
        <v>0</v>
      </c>
      <c r="R15" s="260">
        <v>30600.43</v>
      </c>
      <c r="S15" s="89">
        <f t="shared" si="7"/>
        <v>0.10388521157759291</v>
      </c>
      <c r="T15" s="130">
        <v>5472.95</v>
      </c>
      <c r="U15" s="9"/>
    </row>
    <row r="16" spans="1:24" ht="15.6" customHeight="1" x14ac:dyDescent="0.3">
      <c r="A16" s="198" t="s">
        <v>27</v>
      </c>
      <c r="B16" s="200">
        <f>'27 Sept - 3 Oct 2021'!E16</f>
        <v>142521.04</v>
      </c>
      <c r="C16" s="73">
        <v>113246.57</v>
      </c>
      <c r="D16" s="145">
        <v>95734.88</v>
      </c>
      <c r="E16" s="269">
        <v>154455.85</v>
      </c>
      <c r="F16" s="145">
        <v>232179.72</v>
      </c>
      <c r="G16" s="163">
        <f t="shared" si="0"/>
        <v>0.36388987322088429</v>
      </c>
      <c r="H16" s="155">
        <f t="shared" si="3"/>
        <v>0.61337069623944795</v>
      </c>
      <c r="I16" s="263">
        <f t="shared" si="4"/>
        <v>8.3740688392394527E-2</v>
      </c>
      <c r="J16" s="150">
        <v>562</v>
      </c>
      <c r="K16" s="63">
        <f t="shared" si="5"/>
        <v>274.83247330960853</v>
      </c>
      <c r="L16" s="61">
        <v>25</v>
      </c>
      <c r="M16" s="28">
        <f t="shared" si="1"/>
        <v>4.4483985765124558E-2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</f>
        <v>682</v>
      </c>
      <c r="O16" s="172">
        <f t="shared" si="2"/>
        <v>1.2135231316725978</v>
      </c>
      <c r="P16" s="260">
        <v>31127.39</v>
      </c>
      <c r="Q16" s="89">
        <f t="shared" si="6"/>
        <v>0.2015293690721329</v>
      </c>
      <c r="R16" s="260">
        <v>21291.87</v>
      </c>
      <c r="S16" s="89">
        <f t="shared" si="7"/>
        <v>0.13785084864056621</v>
      </c>
      <c r="T16" s="130">
        <v>5892.5</v>
      </c>
      <c r="U16" s="9"/>
      <c r="X16" s="238"/>
    </row>
    <row r="17" spans="1:21" ht="15.6" customHeight="1" x14ac:dyDescent="0.3">
      <c r="A17" s="198" t="s">
        <v>28</v>
      </c>
      <c r="B17" s="200">
        <f>'27 Sept - 3 Oct 2021'!E17</f>
        <v>177000.68</v>
      </c>
      <c r="C17" s="73">
        <v>201796.54</v>
      </c>
      <c r="D17" s="145">
        <v>164050.76</v>
      </c>
      <c r="E17" s="269">
        <v>181127.08</v>
      </c>
      <c r="F17" s="145">
        <v>279429.34000000003</v>
      </c>
      <c r="G17" s="163">
        <f t="shared" si="0"/>
        <v>-0.10242722694848989</v>
      </c>
      <c r="H17" s="155">
        <f t="shared" si="3"/>
        <v>0.10409168479316998</v>
      </c>
      <c r="I17" s="263">
        <f t="shared" si="4"/>
        <v>2.3312904786580449E-2</v>
      </c>
      <c r="J17" s="150">
        <v>751</v>
      </c>
      <c r="K17" s="63">
        <f t="shared" si="5"/>
        <v>241.18119840213046</v>
      </c>
      <c r="L17" s="61">
        <v>54</v>
      </c>
      <c r="M17" s="28">
        <f t="shared" si="1"/>
        <v>7.1904127829560585E-2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</f>
        <v>1447</v>
      </c>
      <c r="O17" s="172">
        <f t="shared" si="2"/>
        <v>1.9267643142476698</v>
      </c>
      <c r="P17" s="260">
        <v>31335.1</v>
      </c>
      <c r="Q17" s="89">
        <f t="shared" si="6"/>
        <v>0.17300063579670141</v>
      </c>
      <c r="R17" s="260">
        <v>29709.35</v>
      </c>
      <c r="S17" s="89">
        <f t="shared" si="7"/>
        <v>0.16402489346154092</v>
      </c>
      <c r="T17" s="130">
        <v>7889.5</v>
      </c>
      <c r="U17" s="9"/>
    </row>
    <row r="18" spans="1:21" ht="15.6" customHeight="1" x14ac:dyDescent="0.3">
      <c r="A18" s="198" t="s">
        <v>33</v>
      </c>
      <c r="B18" s="200">
        <f>'27 Sept - 3 Oct 2021'!E18</f>
        <v>174402.94</v>
      </c>
      <c r="C18" s="73">
        <v>148910.85999999999</v>
      </c>
      <c r="D18" s="73">
        <v>128300.32</v>
      </c>
      <c r="E18" s="269">
        <v>151769.5</v>
      </c>
      <c r="F18" s="145">
        <v>237203.54</v>
      </c>
      <c r="G18" s="163">
        <f t="shared" si="0"/>
        <v>1.9196988050435102E-2</v>
      </c>
      <c r="H18" s="155">
        <f t="shared" si="3"/>
        <v>0.18292378382220709</v>
      </c>
      <c r="I18" s="263">
        <f t="shared" si="4"/>
        <v>-0.12977671133296262</v>
      </c>
      <c r="J18" s="150">
        <v>597</v>
      </c>
      <c r="K18" s="63">
        <f t="shared" si="5"/>
        <v>254.22026800670017</v>
      </c>
      <c r="L18" s="61">
        <v>62</v>
      </c>
      <c r="M18" s="28">
        <f t="shared" si="1"/>
        <v>0.10385259631490787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</f>
        <v>1944</v>
      </c>
      <c r="O18" s="172">
        <f t="shared" si="2"/>
        <v>3.2562814070351758</v>
      </c>
      <c r="P18" s="260">
        <v>22780.11</v>
      </c>
      <c r="Q18" s="89">
        <f t="shared" si="6"/>
        <v>0.15009675857138621</v>
      </c>
      <c r="R18" s="260">
        <v>11178.18</v>
      </c>
      <c r="S18" s="89">
        <f t="shared" si="7"/>
        <v>7.3652347803741858E-2</v>
      </c>
      <c r="T18" s="130">
        <v>4995.5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83" priority="1" operator="equal">
      <formula>0</formula>
    </cfRule>
  </conditionalFormatting>
  <conditionalFormatting sqref="D7:F19">
    <cfRule type="cellIs" dxfId="28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X41"/>
  <sheetViews>
    <sheetView zoomScale="70" zoomScaleNormal="70" workbookViewId="0">
      <pane xSplit="1" topLeftCell="B1" activePane="topRight" state="frozen"/>
      <selection pane="topRight" activeCell="G4" sqref="G4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-0.14499907427161338</v>
      </c>
      <c r="H2" s="413"/>
      <c r="I2" s="400">
        <f>(((E4-E19-B19)-B4)/E4)</f>
        <v>-0.12988664576915204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2132412.7400000002</v>
      </c>
      <c r="C4" s="135">
        <f>SUM(C6:C19)-C14-C19-C10</f>
        <v>2207342.92</v>
      </c>
      <c r="D4" s="142">
        <f>SUM(D6:D19)-D19-D10</f>
        <v>1755173.78</v>
      </c>
      <c r="E4" s="270">
        <f>SUM(E6:E19)-E19-E10</f>
        <v>1887280.24</v>
      </c>
      <c r="F4" s="142">
        <f>SUM(F6:F19)-F19-F10</f>
        <v>5191630.4800000004</v>
      </c>
      <c r="G4" s="217">
        <f t="shared" ref="G4:G19" si="0">IFERROR((SUM(E4-C4)/C4),0)</f>
        <v>-0.14499907427161338</v>
      </c>
      <c r="H4" s="217">
        <f>IFERROR((SUM(E4-D4)/D4),0)</f>
        <v>7.5266883259844486E-2</v>
      </c>
      <c r="I4" s="217">
        <f>IFERROR((SUM(E4-B4)/E4),0)</f>
        <v>-0.12988664576915204</v>
      </c>
      <c r="J4" s="262">
        <f>SUM(J6:J18)</f>
        <v>8252</v>
      </c>
      <c r="K4" s="218">
        <f>AVERAGE(K5:K19)</f>
        <v>211.57000051926693</v>
      </c>
      <c r="L4" s="219">
        <f>SUM(L6:L19)</f>
        <v>633</v>
      </c>
      <c r="M4" s="220">
        <f t="shared" ref="M4:M19" si="1">IFERROR(L4/J4,0)</f>
        <v>7.6708676684440133E-2</v>
      </c>
      <c r="N4" s="221">
        <f>SUM(N6:N19)</f>
        <v>15278</v>
      </c>
      <c r="O4" s="222">
        <f t="shared" ref="O4:O19" si="2">IFERROR(N4/SUM(J4),0)</f>
        <v>1.8514299563742123</v>
      </c>
      <c r="P4" s="249">
        <f>SUM(P6:P19)</f>
        <v>380337.43000000005</v>
      </c>
      <c r="Q4" s="222">
        <f>SUM(P4/E4)</f>
        <v>0.20152673775676264</v>
      </c>
      <c r="R4" s="244">
        <f>SUM(R6:R19)</f>
        <v>207661.19999999995</v>
      </c>
      <c r="S4" s="222">
        <f>SUM(R4/E4)</f>
        <v>0.11003198973778264</v>
      </c>
      <c r="T4" s="257">
        <f>SUM(T6:T19)</f>
        <v>81654.5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'4 - 10 Oct 2021'!E6</f>
        <v>239454.65</v>
      </c>
      <c r="C6" s="255">
        <v>220957.5</v>
      </c>
      <c r="D6" s="197">
        <v>202092.61</v>
      </c>
      <c r="E6" s="268">
        <v>210772.29</v>
      </c>
      <c r="F6" s="197">
        <v>591364.12</v>
      </c>
      <c r="G6" s="162">
        <f t="shared" si="0"/>
        <v>-4.6095787651471397E-2</v>
      </c>
      <c r="H6" s="154">
        <f t="shared" ref="H6:H18" si="3">IFERROR((SUM(E6-D6)/D6),0)</f>
        <v>4.2949022232925897E-2</v>
      </c>
      <c r="I6" s="266">
        <f t="shared" ref="I6:I19" si="4">IFERROR((SUM(E6-B6)/B6),0)</f>
        <v>-0.11978201300329723</v>
      </c>
      <c r="J6" s="149">
        <v>806</v>
      </c>
      <c r="K6" s="63">
        <f t="shared" ref="K6:K19" si="5">IFERROR(E6/J6,0)</f>
        <v>261.50408188585607</v>
      </c>
      <c r="L6" s="125">
        <v>32</v>
      </c>
      <c r="M6" s="126">
        <f t="shared" si="1"/>
        <v>3.9702233250620347E-2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</f>
        <v>1056</v>
      </c>
      <c r="O6" s="171">
        <f t="shared" si="2"/>
        <v>1.3101736972704714</v>
      </c>
      <c r="P6" s="259">
        <v>48662.26</v>
      </c>
      <c r="Q6" s="128">
        <f t="shared" ref="Q6:Q19" si="6">SUM(P6/E6)</f>
        <v>0.23087598469419296</v>
      </c>
      <c r="R6" s="260">
        <v>5745.3</v>
      </c>
      <c r="S6" s="128">
        <f t="shared" ref="S6:S19" si="7">SUM(R6/E6)</f>
        <v>2.7258326984064177E-2</v>
      </c>
      <c r="T6" s="129">
        <v>6580.6</v>
      </c>
      <c r="U6" s="26"/>
    </row>
    <row r="7" spans="1:24" ht="15.6" customHeight="1" x14ac:dyDescent="0.3">
      <c r="A7" s="409" t="s">
        <v>16</v>
      </c>
      <c r="B7" s="200">
        <f>'4 - 10 Oct 2021'!E7</f>
        <v>186940.81</v>
      </c>
      <c r="C7" s="73">
        <v>212391.65</v>
      </c>
      <c r="D7" s="145">
        <v>144428.65</v>
      </c>
      <c r="E7" s="269">
        <v>168351.72</v>
      </c>
      <c r="F7" s="145">
        <v>482129.95</v>
      </c>
      <c r="G7" s="163">
        <f t="shared" si="0"/>
        <v>-0.20735245476929057</v>
      </c>
      <c r="H7" s="155">
        <f t="shared" si="3"/>
        <v>0.1656393658737377</v>
      </c>
      <c r="I7" s="263">
        <f t="shared" si="4"/>
        <v>-9.943837303368909E-2</v>
      </c>
      <c r="J7" s="150">
        <v>720</v>
      </c>
      <c r="K7" s="63">
        <f t="shared" si="5"/>
        <v>233.82183333333333</v>
      </c>
      <c r="L7" s="61">
        <v>47</v>
      </c>
      <c r="M7" s="28">
        <f t="shared" si="1"/>
        <v>6.5277777777777782E-2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</f>
        <v>1381</v>
      </c>
      <c r="O7" s="172">
        <f t="shared" si="2"/>
        <v>1.9180555555555556</v>
      </c>
      <c r="P7" s="260">
        <v>24114.3</v>
      </c>
      <c r="Q7" s="89">
        <f t="shared" si="6"/>
        <v>0.14323762180748731</v>
      </c>
      <c r="R7" s="260">
        <v>16900.78</v>
      </c>
      <c r="S7" s="89">
        <f t="shared" si="7"/>
        <v>0.10038970792813996</v>
      </c>
      <c r="T7" s="130">
        <v>7337.9</v>
      </c>
      <c r="U7" s="26"/>
    </row>
    <row r="8" spans="1:24" ht="15.6" customHeight="1" x14ac:dyDescent="0.3">
      <c r="A8" s="409" t="s">
        <v>17</v>
      </c>
      <c r="B8" s="200">
        <f>'4 - 10 Oct 2021'!E8</f>
        <v>119671.55</v>
      </c>
      <c r="C8" s="73">
        <v>108340.48</v>
      </c>
      <c r="D8" s="145">
        <v>96801.22</v>
      </c>
      <c r="E8" s="269">
        <v>123446.2</v>
      </c>
      <c r="F8" s="145">
        <v>320025.84000000003</v>
      </c>
      <c r="G8" s="163">
        <f t="shared" si="0"/>
        <v>0.13942821741236519</v>
      </c>
      <c r="H8" s="155">
        <f t="shared" si="3"/>
        <v>0.27525458873348907</v>
      </c>
      <c r="I8" s="263">
        <f t="shared" si="4"/>
        <v>3.1541749062329302E-2</v>
      </c>
      <c r="J8" s="150">
        <v>522</v>
      </c>
      <c r="K8" s="63">
        <f t="shared" si="5"/>
        <v>236.48697318007663</v>
      </c>
      <c r="L8" s="61">
        <v>14</v>
      </c>
      <c r="M8" s="28">
        <f t="shared" si="1"/>
        <v>2.681992337164751E-2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</f>
        <v>544</v>
      </c>
      <c r="O8" s="172">
        <f t="shared" si="2"/>
        <v>1.0421455938697317</v>
      </c>
      <c r="P8" s="260">
        <v>48557.26</v>
      </c>
      <c r="Q8" s="89">
        <f t="shared" si="6"/>
        <v>0.39334754735261196</v>
      </c>
      <c r="R8" s="260">
        <v>17156.91</v>
      </c>
      <c r="S8" s="89">
        <f t="shared" si="7"/>
        <v>0.13898289295255747</v>
      </c>
      <c r="T8" s="130">
        <v>5207.3</v>
      </c>
      <c r="U8" s="26"/>
    </row>
    <row r="9" spans="1:24" ht="15.6" customHeight="1" x14ac:dyDescent="0.3">
      <c r="A9" s="409" t="s">
        <v>18</v>
      </c>
      <c r="B9" s="200">
        <f>'4 - 10 Oct 2021'!E9</f>
        <v>236575.6</v>
      </c>
      <c r="C9" s="73">
        <v>321762.17</v>
      </c>
      <c r="D9" s="145">
        <v>220338.06</v>
      </c>
      <c r="E9" s="269">
        <v>197865.60000000001</v>
      </c>
      <c r="F9" s="145">
        <v>576980.54</v>
      </c>
      <c r="G9" s="163">
        <f t="shared" si="0"/>
        <v>-0.3850563601059751</v>
      </c>
      <c r="H9" s="155">
        <f t="shared" si="3"/>
        <v>-0.10199082264770776</v>
      </c>
      <c r="I9" s="263">
        <f t="shared" si="4"/>
        <v>-0.16362634185435859</v>
      </c>
      <c r="J9" s="150">
        <v>879</v>
      </c>
      <c r="K9" s="63">
        <f t="shared" si="5"/>
        <v>225.10307167235496</v>
      </c>
      <c r="L9" s="61">
        <v>23</v>
      </c>
      <c r="M9" s="28">
        <f t="shared" si="1"/>
        <v>2.6166097838452786E-2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</f>
        <v>905</v>
      </c>
      <c r="O9" s="172">
        <f t="shared" si="2"/>
        <v>1.0295790671217293</v>
      </c>
      <c r="P9" s="260">
        <v>37833.39</v>
      </c>
      <c r="Q9" s="89">
        <f t="shared" si="6"/>
        <v>0.19120751661734026</v>
      </c>
      <c r="R9" s="260">
        <v>9950.98</v>
      </c>
      <c r="S9" s="89">
        <f t="shared" si="7"/>
        <v>5.0291612084162177E-2</v>
      </c>
      <c r="T9" s="130">
        <v>3933</v>
      </c>
      <c r="U9" s="26"/>
    </row>
    <row r="10" spans="1:24" ht="15.6" customHeight="1" x14ac:dyDescent="0.3">
      <c r="A10" s="409" t="s">
        <v>20</v>
      </c>
      <c r="B10" s="200">
        <f>'4 - 10 Oct 2021'!E10</f>
        <v>147008.95999999999</v>
      </c>
      <c r="C10" s="73">
        <v>138165.29</v>
      </c>
      <c r="D10" s="145">
        <v>113795.78</v>
      </c>
      <c r="E10" s="269">
        <v>139222.35</v>
      </c>
      <c r="F10" s="145">
        <v>359469.87</v>
      </c>
      <c r="G10" s="163">
        <f t="shared" si="0"/>
        <v>7.6506914290846682E-3</v>
      </c>
      <c r="H10" s="155">
        <f t="shared" si="3"/>
        <v>0.22344035956342148</v>
      </c>
      <c r="I10" s="263">
        <f t="shared" si="4"/>
        <v>-5.2966907595292059E-2</v>
      </c>
      <c r="J10" s="150">
        <v>510</v>
      </c>
      <c r="K10" s="63">
        <f t="shared" si="5"/>
        <v>272.98500000000001</v>
      </c>
      <c r="L10" s="61">
        <v>47</v>
      </c>
      <c r="M10" s="28">
        <f t="shared" si="1"/>
        <v>9.2156862745098045E-2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</f>
        <v>872</v>
      </c>
      <c r="O10" s="172">
        <f t="shared" si="2"/>
        <v>1.7098039215686274</v>
      </c>
      <c r="P10" s="260">
        <v>32667.39</v>
      </c>
      <c r="Q10" s="89">
        <f t="shared" si="6"/>
        <v>0.23464185168545135</v>
      </c>
      <c r="R10" s="260">
        <v>26269.52</v>
      </c>
      <c r="S10" s="89">
        <f t="shared" si="7"/>
        <v>0.18868752035862058</v>
      </c>
      <c r="T10" s="130">
        <v>3770.5</v>
      </c>
      <c r="U10" s="26"/>
    </row>
    <row r="11" spans="1:24" ht="15.6" customHeight="1" x14ac:dyDescent="0.3">
      <c r="A11" s="409" t="s">
        <v>21</v>
      </c>
      <c r="B11" s="200">
        <f>'4 - 10 Oct 2021'!E11</f>
        <v>266901.90999999997</v>
      </c>
      <c r="C11" s="73">
        <v>325751.75</v>
      </c>
      <c r="D11" s="145">
        <v>229531.73</v>
      </c>
      <c r="E11" s="269">
        <v>235839.13</v>
      </c>
      <c r="F11" s="145">
        <v>632559.59</v>
      </c>
      <c r="G11" s="163">
        <f t="shared" si="0"/>
        <v>-0.27601576967736935</v>
      </c>
      <c r="H11" s="155">
        <f t="shared" si="3"/>
        <v>2.7479425175769789E-2</v>
      </c>
      <c r="I11" s="263">
        <f t="shared" si="4"/>
        <v>-0.116382756496572</v>
      </c>
      <c r="J11" s="150">
        <v>881</v>
      </c>
      <c r="K11" s="63">
        <f t="shared" si="5"/>
        <v>267.69481271282632</v>
      </c>
      <c r="L11" s="61">
        <v>92</v>
      </c>
      <c r="M11" s="28">
        <f t="shared" si="1"/>
        <v>0.10442678774120318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</f>
        <v>2110</v>
      </c>
      <c r="O11" s="172">
        <f t="shared" si="2"/>
        <v>2.3950056753688989</v>
      </c>
      <c r="P11" s="260">
        <v>38849.699999999997</v>
      </c>
      <c r="Q11" s="89">
        <f t="shared" si="6"/>
        <v>0.1647296612737674</v>
      </c>
      <c r="R11" s="260">
        <v>19919.48</v>
      </c>
      <c r="S11" s="89">
        <f t="shared" si="7"/>
        <v>8.4462150110543574E-2</v>
      </c>
      <c r="T11" s="130">
        <v>19586</v>
      </c>
      <c r="U11" s="26"/>
    </row>
    <row r="12" spans="1:24" ht="15.6" customHeight="1" x14ac:dyDescent="0.3">
      <c r="A12" s="198" t="s">
        <v>22</v>
      </c>
      <c r="B12" s="200">
        <f>'4 - 10 Oct 2021'!E12</f>
        <v>115856.57</v>
      </c>
      <c r="C12" s="73">
        <v>144094.25</v>
      </c>
      <c r="D12" s="145">
        <v>93061.9</v>
      </c>
      <c r="E12" s="269">
        <v>109318.99</v>
      </c>
      <c r="F12" s="145">
        <v>288885.67</v>
      </c>
      <c r="G12" s="163">
        <f t="shared" si="0"/>
        <v>-0.24133690275635561</v>
      </c>
      <c r="H12" s="155">
        <f t="shared" si="3"/>
        <v>0.17469114643049424</v>
      </c>
      <c r="I12" s="263">
        <f t="shared" si="4"/>
        <v>-5.6428219823873617E-2</v>
      </c>
      <c r="J12" s="150">
        <v>459</v>
      </c>
      <c r="K12" s="63">
        <f t="shared" si="5"/>
        <v>238.16773420479305</v>
      </c>
      <c r="L12" s="61">
        <v>52</v>
      </c>
      <c r="M12" s="28">
        <f t="shared" si="1"/>
        <v>0.11328976034858387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</f>
        <v>1121</v>
      </c>
      <c r="O12" s="172">
        <f t="shared" si="2"/>
        <v>2.4422657952069717</v>
      </c>
      <c r="P12" s="260">
        <v>16654.52</v>
      </c>
      <c r="Q12" s="89">
        <f t="shared" si="6"/>
        <v>0.15234791320336932</v>
      </c>
      <c r="R12" s="260">
        <v>9950.98</v>
      </c>
      <c r="S12" s="89">
        <f t="shared" si="7"/>
        <v>9.1027002719289665E-2</v>
      </c>
      <c r="T12" s="130">
        <v>8706.5</v>
      </c>
      <c r="U12" s="26"/>
    </row>
    <row r="13" spans="1:24" ht="15.6" customHeight="1" x14ac:dyDescent="0.3">
      <c r="A13" s="198" t="s">
        <v>23</v>
      </c>
      <c r="B13" s="200">
        <f>'4 - 10 Oct 2021'!E13</f>
        <v>185099.2</v>
      </c>
      <c r="C13" s="73">
        <v>204599.91</v>
      </c>
      <c r="D13" s="145">
        <v>160602.72</v>
      </c>
      <c r="E13" s="269">
        <v>184530.42</v>
      </c>
      <c r="F13" s="145">
        <v>474653.27</v>
      </c>
      <c r="G13" s="163">
        <f t="shared" si="0"/>
        <v>-9.8091392122313201E-2</v>
      </c>
      <c r="H13" s="155">
        <f t="shared" si="3"/>
        <v>0.14898689138017096</v>
      </c>
      <c r="I13" s="263">
        <f t="shared" si="4"/>
        <v>-3.0728387805025563E-3</v>
      </c>
      <c r="J13" s="150">
        <v>722</v>
      </c>
      <c r="K13" s="63">
        <f t="shared" si="5"/>
        <v>255.58229916897508</v>
      </c>
      <c r="L13" s="61">
        <v>95</v>
      </c>
      <c r="M13" s="28">
        <f t="shared" si="1"/>
        <v>0.13157894736842105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</f>
        <v>1898</v>
      </c>
      <c r="O13" s="172">
        <f t="shared" si="2"/>
        <v>2.628808864265928</v>
      </c>
      <c r="P13" s="260">
        <v>29080.83</v>
      </c>
      <c r="Q13" s="89">
        <f t="shared" si="6"/>
        <v>0.15759369105646645</v>
      </c>
      <c r="R13" s="260">
        <v>22990.04</v>
      </c>
      <c r="S13" s="89">
        <f t="shared" si="7"/>
        <v>0.12458672125712389</v>
      </c>
      <c r="T13" s="130">
        <v>4937.5</v>
      </c>
      <c r="U13" s="26"/>
    </row>
    <row r="14" spans="1:24" ht="15.6" hidden="1" customHeight="1" x14ac:dyDescent="0.3">
      <c r="A14" s="198" t="s">
        <v>24</v>
      </c>
      <c r="B14" s="200">
        <f>'4 - 10 Oct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'4 - 10 Oct 2021'!E15</f>
        <v>294560.02</v>
      </c>
      <c r="C15" s="73">
        <v>180048.8</v>
      </c>
      <c r="D15" s="145">
        <v>178044.1</v>
      </c>
      <c r="E15" s="269">
        <v>172063.63</v>
      </c>
      <c r="F15" s="145">
        <v>591126.64</v>
      </c>
      <c r="G15" s="163">
        <f t="shared" si="0"/>
        <v>-4.4350031769164716E-2</v>
      </c>
      <c r="H15" s="155">
        <f t="shared" si="3"/>
        <v>-3.3589824094142975E-2</v>
      </c>
      <c r="I15" s="263">
        <f t="shared" si="4"/>
        <v>-0.41586224091103746</v>
      </c>
      <c r="J15" s="150">
        <v>843</v>
      </c>
      <c r="K15" s="63">
        <f t="shared" si="5"/>
        <v>204.10869513641757</v>
      </c>
      <c r="L15" s="61">
        <v>60</v>
      </c>
      <c r="M15" s="28">
        <f t="shared" si="1"/>
        <v>7.1174377224199295E-2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</f>
        <v>1147</v>
      </c>
      <c r="O15" s="172">
        <f t="shared" si="2"/>
        <v>1.3606168446026097</v>
      </c>
      <c r="P15" s="260">
        <v>0</v>
      </c>
      <c r="Q15" s="89">
        <f t="shared" si="6"/>
        <v>0</v>
      </c>
      <c r="R15" s="260">
        <v>17790.87</v>
      </c>
      <c r="S15" s="89">
        <f t="shared" si="7"/>
        <v>0.10339703980440258</v>
      </c>
      <c r="T15" s="130">
        <v>4273.3</v>
      </c>
      <c r="U15" s="9"/>
    </row>
    <row r="16" spans="1:24" ht="15.6" customHeight="1" x14ac:dyDescent="0.3">
      <c r="A16" s="198" t="s">
        <v>27</v>
      </c>
      <c r="B16" s="200">
        <f>'4 - 10 Oct 2021'!E16</f>
        <v>154455.85</v>
      </c>
      <c r="C16" s="73">
        <v>117244.55</v>
      </c>
      <c r="D16" s="145">
        <v>108945.64</v>
      </c>
      <c r="E16" s="269">
        <v>153694.29</v>
      </c>
      <c r="F16" s="145">
        <v>385874.01</v>
      </c>
      <c r="G16" s="163">
        <f t="shared" si="0"/>
        <v>0.31088643352718742</v>
      </c>
      <c r="H16" s="155">
        <f t="shared" si="3"/>
        <v>0.41074291729343193</v>
      </c>
      <c r="I16" s="263">
        <f t="shared" si="4"/>
        <v>-4.930599909294453E-3</v>
      </c>
      <c r="J16" s="150">
        <v>562</v>
      </c>
      <c r="K16" s="63">
        <f t="shared" si="5"/>
        <v>273.47738434163705</v>
      </c>
      <c r="L16" s="61">
        <v>18</v>
      </c>
      <c r="M16" s="28">
        <f t="shared" si="1"/>
        <v>3.2028469750889681E-2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</f>
        <v>700</v>
      </c>
      <c r="O16" s="172">
        <f t="shared" si="2"/>
        <v>1.2455516014234875</v>
      </c>
      <c r="P16" s="260">
        <v>37183.57</v>
      </c>
      <c r="Q16" s="89">
        <f t="shared" si="6"/>
        <v>0.24193201972565148</v>
      </c>
      <c r="R16" s="260">
        <v>27682.74</v>
      </c>
      <c r="S16" s="89">
        <f t="shared" si="7"/>
        <v>0.18011560481524722</v>
      </c>
      <c r="T16" s="130">
        <v>6004</v>
      </c>
      <c r="U16" s="9"/>
      <c r="X16" s="238"/>
    </row>
    <row r="17" spans="1:21" ht="15.6" customHeight="1" x14ac:dyDescent="0.3">
      <c r="A17" s="198" t="s">
        <v>28</v>
      </c>
      <c r="B17" s="200">
        <f>'4 - 10 Oct 2021'!E17</f>
        <v>181127.08</v>
      </c>
      <c r="C17" s="73">
        <v>219205.08</v>
      </c>
      <c r="D17" s="145">
        <v>186599.06</v>
      </c>
      <c r="E17" s="269">
        <v>180670.32</v>
      </c>
      <c r="F17" s="145">
        <v>460099.66</v>
      </c>
      <c r="G17" s="163">
        <f t="shared" si="0"/>
        <v>-0.17579318873449457</v>
      </c>
      <c r="H17" s="155">
        <f t="shared" si="3"/>
        <v>-3.1772614502988336E-2</v>
      </c>
      <c r="I17" s="263">
        <f t="shared" si="4"/>
        <v>-2.5217653815209754E-3</v>
      </c>
      <c r="J17" s="150">
        <v>751</v>
      </c>
      <c r="K17" s="63">
        <f t="shared" si="5"/>
        <v>240.57299600532625</v>
      </c>
      <c r="L17" s="61">
        <v>66</v>
      </c>
      <c r="M17" s="28">
        <f t="shared" si="1"/>
        <v>8.7882822902796268E-2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</f>
        <v>1513</v>
      </c>
      <c r="O17" s="172">
        <f t="shared" si="2"/>
        <v>2.0146471371504662</v>
      </c>
      <c r="P17" s="260">
        <v>40321.56</v>
      </c>
      <c r="Q17" s="89">
        <f t="shared" si="6"/>
        <v>0.22317755345759058</v>
      </c>
      <c r="R17" s="260">
        <v>22966.799999999999</v>
      </c>
      <c r="S17" s="89">
        <f t="shared" si="7"/>
        <v>0.12711993868168273</v>
      </c>
      <c r="T17" s="130">
        <v>7115.4</v>
      </c>
      <c r="U17" s="9"/>
    </row>
    <row r="18" spans="1:21" ht="15.6" customHeight="1" x14ac:dyDescent="0.3">
      <c r="A18" s="198" t="s">
        <v>33</v>
      </c>
      <c r="B18" s="200">
        <f>'4 - 10 Oct 2021'!E18</f>
        <v>151769.5</v>
      </c>
      <c r="C18" s="73">
        <v>152946.78</v>
      </c>
      <c r="D18" s="73">
        <v>134728.09</v>
      </c>
      <c r="E18" s="269">
        <v>150727.65</v>
      </c>
      <c r="F18" s="145">
        <v>387931.19</v>
      </c>
      <c r="G18" s="163">
        <f t="shared" si="0"/>
        <v>-1.4509164560378483E-2</v>
      </c>
      <c r="H18" s="155">
        <f t="shared" si="3"/>
        <v>0.11875444831141002</v>
      </c>
      <c r="I18" s="263">
        <f t="shared" si="4"/>
        <v>-6.8646862511901651E-3</v>
      </c>
      <c r="J18" s="150">
        <v>597</v>
      </c>
      <c r="K18" s="63">
        <f t="shared" si="5"/>
        <v>252.47512562814069</v>
      </c>
      <c r="L18" s="61">
        <v>87</v>
      </c>
      <c r="M18" s="28">
        <f t="shared" si="1"/>
        <v>0.14572864321608039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</f>
        <v>2031</v>
      </c>
      <c r="O18" s="172">
        <f t="shared" si="2"/>
        <v>3.4020100502512562</v>
      </c>
      <c r="P18" s="260">
        <v>26412.65</v>
      </c>
      <c r="Q18" s="89">
        <f t="shared" si="6"/>
        <v>0.17523427188044133</v>
      </c>
      <c r="R18" s="260">
        <v>10336.799999999999</v>
      </c>
      <c r="S18" s="89">
        <f t="shared" si="7"/>
        <v>6.8579321710382932E-2</v>
      </c>
      <c r="T18" s="130">
        <v>4202.5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81" priority="1" operator="equal">
      <formula>0</formula>
    </cfRule>
  </conditionalFormatting>
  <conditionalFormatting sqref="D7:F19">
    <cfRule type="cellIs" dxfId="280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X41"/>
  <sheetViews>
    <sheetView zoomScale="70" zoomScaleNormal="70" workbookViewId="0">
      <pane xSplit="1" topLeftCell="B1" activePane="topRight" state="frozen"/>
      <selection pane="topRight" activeCell="L8" sqref="L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-0.12140256345821218</v>
      </c>
      <c r="H2" s="413"/>
      <c r="I2" s="400">
        <f>(((E4-E19-B19)-B4)/E4)</f>
        <v>1.6952007498724584E-2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1887280.24</v>
      </c>
      <c r="C4" s="135">
        <f>SUM(C6:C19)-C14-C19-C10</f>
        <v>2185102.1299999994</v>
      </c>
      <c r="D4" s="142">
        <f>SUM(D6:D19)-D19-D10</f>
        <v>1821549.1200000003</v>
      </c>
      <c r="E4" s="270">
        <f>SUM(E6:E19)-E19-E10</f>
        <v>1919825.13</v>
      </c>
      <c r="F4" s="142">
        <f>SUM(F6:F19)-F19-F10</f>
        <v>7111455.6099999994</v>
      </c>
      <c r="G4" s="217">
        <f t="shared" ref="G4:G19" si="0">IFERROR((SUM(E4-C4)/C4),0)</f>
        <v>-0.12140256345821218</v>
      </c>
      <c r="H4" s="217">
        <f>IFERROR((SUM(E4-D4)/D4),0)</f>
        <v>5.3951885744370993E-2</v>
      </c>
      <c r="I4" s="217">
        <f>IFERROR((SUM(E4-B4)/E4),0)</f>
        <v>1.6952007498724584E-2</v>
      </c>
      <c r="J4" s="262">
        <f>SUM(J6:J18)</f>
        <v>7314</v>
      </c>
      <c r="K4" s="218">
        <f>AVERAGE(K5:K19)</f>
        <v>239.40295650494781</v>
      </c>
      <c r="L4" s="219">
        <f>SUM(L6:L19)</f>
        <v>525</v>
      </c>
      <c r="M4" s="220">
        <f t="shared" ref="M4:M19" si="1">IFERROR(L4/J4,0)</f>
        <v>7.1780147662018054E-2</v>
      </c>
      <c r="N4" s="221">
        <f>SUM(N6:N19)</f>
        <v>15803</v>
      </c>
      <c r="O4" s="222">
        <f t="shared" ref="O4:O19" si="2">IFERROR(N4/SUM(J4),0)</f>
        <v>2.1606508066721357</v>
      </c>
      <c r="P4" s="249">
        <f>SUM(P6:P19)</f>
        <v>344203.31</v>
      </c>
      <c r="Q4" s="222">
        <f>SUM(P4/E4)</f>
        <v>0.17928888658729039</v>
      </c>
      <c r="R4" s="244">
        <f>SUM(R6:R19)</f>
        <v>201979.12000000002</v>
      </c>
      <c r="S4" s="222">
        <f>SUM(R4/E4)</f>
        <v>0.10520704039330918</v>
      </c>
      <c r="T4" s="257">
        <f>SUM(T6:T19)</f>
        <v>73138.930000000008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'11 - 17 Oct 2021'!E6</f>
        <v>210772.29</v>
      </c>
      <c r="C6" s="255">
        <v>235865.33</v>
      </c>
      <c r="D6" s="197">
        <v>214564.31</v>
      </c>
      <c r="E6" s="268">
        <v>202623.52</v>
      </c>
      <c r="F6" s="197">
        <v>793987.64</v>
      </c>
      <c r="G6" s="162">
        <f t="shared" si="0"/>
        <v>-0.1409355499598012</v>
      </c>
      <c r="H6" s="154">
        <f t="shared" ref="H6:H18" si="3">IFERROR((SUM(E6-D6)/D6),0)</f>
        <v>-5.5651333625802019E-2</v>
      </c>
      <c r="I6" s="266">
        <f t="shared" ref="I6:I19" si="4">IFERROR((SUM(E6-B6)/B6),0)</f>
        <v>-3.8661486289303104E-2</v>
      </c>
      <c r="J6" s="149">
        <v>647</v>
      </c>
      <c r="K6" s="63">
        <f t="shared" ref="K6:K19" si="5">IFERROR(E6/J6,0)</f>
        <v>313.17391035548684</v>
      </c>
      <c r="L6" s="125">
        <v>43</v>
      </c>
      <c r="M6" s="126">
        <f t="shared" si="1"/>
        <v>6.6460587326120563E-2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</f>
        <v>1099</v>
      </c>
      <c r="O6" s="171">
        <f t="shared" si="2"/>
        <v>1.6986089644513138</v>
      </c>
      <c r="P6" s="259">
        <v>39667.379999999997</v>
      </c>
      <c r="Q6" s="128">
        <f t="shared" ref="Q6:Q19" si="6">SUM(P6/E6)</f>
        <v>0.19576888211200752</v>
      </c>
      <c r="R6" s="260">
        <v>6685.16</v>
      </c>
      <c r="S6" s="128">
        <f t="shared" ref="S6:S19" si="7">SUM(R6/E6)</f>
        <v>3.2993010880474294E-2</v>
      </c>
      <c r="T6" s="129">
        <v>5398.77</v>
      </c>
      <c r="U6" s="26"/>
    </row>
    <row r="7" spans="1:24" ht="15.6" customHeight="1" x14ac:dyDescent="0.3">
      <c r="A7" s="409" t="s">
        <v>16</v>
      </c>
      <c r="B7" s="200">
        <f>'11 - 17 Oct 2021'!E7</f>
        <v>168351.72</v>
      </c>
      <c r="C7" s="73">
        <v>214438.21</v>
      </c>
      <c r="D7" s="145">
        <v>126698.91</v>
      </c>
      <c r="E7" s="269">
        <v>214773.59</v>
      </c>
      <c r="F7" s="145">
        <v>696903.54</v>
      </c>
      <c r="G7" s="163">
        <f t="shared" si="0"/>
        <v>1.5639936557948543E-3</v>
      </c>
      <c r="H7" s="155">
        <f t="shared" si="3"/>
        <v>0.69514946892597573</v>
      </c>
      <c r="I7" s="263">
        <f t="shared" si="4"/>
        <v>0.27574336632854118</v>
      </c>
      <c r="J7" s="150">
        <v>701</v>
      </c>
      <c r="K7" s="63">
        <f t="shared" si="5"/>
        <v>306.38172610556347</v>
      </c>
      <c r="L7" s="61">
        <v>57</v>
      </c>
      <c r="M7" s="28">
        <f t="shared" si="1"/>
        <v>8.1312410841654775E-2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</f>
        <v>1438</v>
      </c>
      <c r="O7" s="172">
        <f t="shared" si="2"/>
        <v>2.0513552068473611</v>
      </c>
      <c r="P7" s="260">
        <v>27781.1</v>
      </c>
      <c r="Q7" s="89">
        <f t="shared" si="6"/>
        <v>0.1293506338465544</v>
      </c>
      <c r="R7" s="260">
        <v>26841.39</v>
      </c>
      <c r="S7" s="89">
        <f t="shared" si="7"/>
        <v>0.12497528210987208</v>
      </c>
      <c r="T7" s="130">
        <v>6256.21</v>
      </c>
      <c r="U7" s="26"/>
    </row>
    <row r="8" spans="1:24" ht="15.6" customHeight="1" x14ac:dyDescent="0.3">
      <c r="A8" s="409" t="s">
        <v>17</v>
      </c>
      <c r="B8" s="200">
        <f>'11 - 17 Oct 2021'!E8</f>
        <v>123446.2</v>
      </c>
      <c r="C8" s="73">
        <v>120214.26</v>
      </c>
      <c r="D8" s="145">
        <v>106467.28</v>
      </c>
      <c r="E8" s="269">
        <v>127214.41</v>
      </c>
      <c r="F8" s="145">
        <v>447240.25</v>
      </c>
      <c r="G8" s="163">
        <f t="shared" si="0"/>
        <v>5.8230612574581495E-2</v>
      </c>
      <c r="H8" s="155">
        <f t="shared" si="3"/>
        <v>0.19486860188407185</v>
      </c>
      <c r="I8" s="263">
        <f t="shared" si="4"/>
        <v>3.0525119444746025E-2</v>
      </c>
      <c r="J8" s="150">
        <v>487</v>
      </c>
      <c r="K8" s="63">
        <f t="shared" si="5"/>
        <v>261.22055441478437</v>
      </c>
      <c r="L8" s="61">
        <v>30</v>
      </c>
      <c r="M8" s="28">
        <f t="shared" si="1"/>
        <v>6.1601642710472276E-2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</f>
        <v>574</v>
      </c>
      <c r="O8" s="172">
        <f t="shared" si="2"/>
        <v>1.1786447638603696</v>
      </c>
      <c r="P8" s="260">
        <v>47267.09</v>
      </c>
      <c r="Q8" s="89">
        <f t="shared" si="6"/>
        <v>0.37155452750989448</v>
      </c>
      <c r="R8" s="260">
        <v>15606.52</v>
      </c>
      <c r="S8" s="89">
        <f t="shared" si="7"/>
        <v>0.12267886947712921</v>
      </c>
      <c r="T8" s="130">
        <v>2265</v>
      </c>
      <c r="U8" s="26"/>
    </row>
    <row r="9" spans="1:24" ht="15.6" customHeight="1" x14ac:dyDescent="0.3">
      <c r="A9" s="409" t="s">
        <v>18</v>
      </c>
      <c r="B9" s="200">
        <f>'11 - 17 Oct 2021'!E9</f>
        <v>197865.60000000001</v>
      </c>
      <c r="C9" s="73">
        <v>310997.36</v>
      </c>
      <c r="D9" s="145">
        <v>208535.73</v>
      </c>
      <c r="E9" s="269">
        <v>169425.82</v>
      </c>
      <c r="F9" s="145">
        <v>746406.36</v>
      </c>
      <c r="G9" s="163">
        <f t="shared" si="0"/>
        <v>-0.45521781921235599</v>
      </c>
      <c r="H9" s="155">
        <f t="shared" si="3"/>
        <v>-0.18754536692585008</v>
      </c>
      <c r="I9" s="263">
        <f t="shared" si="4"/>
        <v>-0.14373281661895751</v>
      </c>
      <c r="J9" s="150">
        <v>650</v>
      </c>
      <c r="K9" s="63">
        <f t="shared" si="5"/>
        <v>260.65510769230769</v>
      </c>
      <c r="L9" s="61">
        <v>32</v>
      </c>
      <c r="M9" s="28">
        <f t="shared" si="1"/>
        <v>4.9230769230769231E-2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</f>
        <v>937</v>
      </c>
      <c r="O9" s="172">
        <f t="shared" si="2"/>
        <v>1.4415384615384614</v>
      </c>
      <c r="P9" s="260">
        <v>17829.43</v>
      </c>
      <c r="Q9" s="89">
        <f t="shared" si="6"/>
        <v>0.10523443239052938</v>
      </c>
      <c r="R9" s="260">
        <v>6470.39</v>
      </c>
      <c r="S9" s="89">
        <f t="shared" si="7"/>
        <v>3.8190105852815112E-2</v>
      </c>
      <c r="T9" s="130">
        <v>4998.5</v>
      </c>
      <c r="U9" s="26"/>
    </row>
    <row r="10" spans="1:24" ht="15.6" customHeight="1" x14ac:dyDescent="0.3">
      <c r="A10" s="409" t="s">
        <v>20</v>
      </c>
      <c r="B10" s="200">
        <f>'11 - 17 Oct 2021'!E10</f>
        <v>139222.35</v>
      </c>
      <c r="C10" s="73">
        <v>136515.1</v>
      </c>
      <c r="D10" s="145">
        <v>137760.54999999999</v>
      </c>
      <c r="E10" s="269">
        <v>133813.39000000001</v>
      </c>
      <c r="F10" s="145">
        <v>493283.26</v>
      </c>
      <c r="G10" s="163">
        <f t="shared" si="0"/>
        <v>-1.9790557967580082E-2</v>
      </c>
      <c r="H10" s="155">
        <f t="shared" si="3"/>
        <v>-2.8652324631398284E-2</v>
      </c>
      <c r="I10" s="263">
        <f t="shared" si="4"/>
        <v>-3.8851233296952621E-2</v>
      </c>
      <c r="J10" s="150">
        <v>515</v>
      </c>
      <c r="K10" s="63">
        <f t="shared" si="5"/>
        <v>259.83182524271848</v>
      </c>
      <c r="L10" s="61">
        <v>29</v>
      </c>
      <c r="M10" s="28">
        <f t="shared" si="1"/>
        <v>5.6310679611650483E-2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</f>
        <v>901</v>
      </c>
      <c r="O10" s="172">
        <f t="shared" si="2"/>
        <v>1.7495145631067961</v>
      </c>
      <c r="P10" s="260">
        <v>37237.129999999997</v>
      </c>
      <c r="Q10" s="89">
        <f t="shared" si="6"/>
        <v>0.27827656111245663</v>
      </c>
      <c r="R10" s="260">
        <v>16447.13</v>
      </c>
      <c r="S10" s="89">
        <f t="shared" si="7"/>
        <v>0.12291094336672884</v>
      </c>
      <c r="T10" s="130">
        <v>5509.5</v>
      </c>
      <c r="U10" s="26"/>
    </row>
    <row r="11" spans="1:24" ht="15.6" customHeight="1" x14ac:dyDescent="0.3">
      <c r="A11" s="409" t="s">
        <v>21</v>
      </c>
      <c r="B11" s="200">
        <f>'11 - 17 Oct 2021'!E11</f>
        <v>235839.13</v>
      </c>
      <c r="C11" s="73">
        <v>315240.34999999998</v>
      </c>
      <c r="D11" s="145">
        <v>250462.33</v>
      </c>
      <c r="E11" s="269">
        <v>233857.32</v>
      </c>
      <c r="F11" s="145">
        <v>866416.91</v>
      </c>
      <c r="G11" s="163">
        <f t="shared" si="0"/>
        <v>-0.2581618438121896</v>
      </c>
      <c r="H11" s="155">
        <f t="shared" si="3"/>
        <v>-6.6297434827824131E-2</v>
      </c>
      <c r="I11" s="263">
        <f t="shared" si="4"/>
        <v>-8.4032280817860783E-3</v>
      </c>
      <c r="J11" s="150">
        <v>827</v>
      </c>
      <c r="K11" s="63">
        <f t="shared" si="5"/>
        <v>282.77789600967355</v>
      </c>
      <c r="L11" s="61">
        <v>66</v>
      </c>
      <c r="M11" s="28">
        <f t="shared" si="1"/>
        <v>7.9806529625151154E-2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</f>
        <v>2176</v>
      </c>
      <c r="O11" s="172">
        <f t="shared" si="2"/>
        <v>2.6311970979443773</v>
      </c>
      <c r="P11" s="260">
        <v>42495.09</v>
      </c>
      <c r="Q11" s="89">
        <f t="shared" si="6"/>
        <v>0.18171374751066161</v>
      </c>
      <c r="R11" s="260">
        <v>20547.740000000002</v>
      </c>
      <c r="S11" s="89">
        <f t="shared" si="7"/>
        <v>8.7864429473492642E-2</v>
      </c>
      <c r="T11" s="130">
        <v>11625.1</v>
      </c>
      <c r="U11" s="26"/>
    </row>
    <row r="12" spans="1:24" ht="15.6" customHeight="1" x14ac:dyDescent="0.3">
      <c r="A12" s="198" t="s">
        <v>22</v>
      </c>
      <c r="B12" s="200">
        <f>'11 - 17 Oct 2021'!E12</f>
        <v>109318.99</v>
      </c>
      <c r="C12" s="73">
        <v>141945</v>
      </c>
      <c r="D12" s="145">
        <v>95623.24</v>
      </c>
      <c r="E12" s="269">
        <v>100278.77</v>
      </c>
      <c r="F12" s="145">
        <v>389164.44</v>
      </c>
      <c r="G12" s="163">
        <f t="shared" si="0"/>
        <v>-0.29353784916693082</v>
      </c>
      <c r="H12" s="155">
        <f t="shared" si="3"/>
        <v>4.8686177125978981E-2</v>
      </c>
      <c r="I12" s="263">
        <f t="shared" si="4"/>
        <v>-8.2695787804113449E-2</v>
      </c>
      <c r="J12" s="150">
        <v>381</v>
      </c>
      <c r="K12" s="63">
        <f t="shared" si="5"/>
        <v>263.19887139107612</v>
      </c>
      <c r="L12" s="61">
        <v>18</v>
      </c>
      <c r="M12" s="28">
        <f t="shared" si="1"/>
        <v>4.7244094488188976E-2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</f>
        <v>1139</v>
      </c>
      <c r="O12" s="172">
        <f t="shared" si="2"/>
        <v>2.9895013123359582</v>
      </c>
      <c r="P12" s="260">
        <v>18579.349999999999</v>
      </c>
      <c r="Q12" s="89">
        <f t="shared" si="6"/>
        <v>0.18527700329790642</v>
      </c>
      <c r="R12" s="260">
        <v>4287.74</v>
      </c>
      <c r="S12" s="89">
        <f t="shared" si="7"/>
        <v>4.2758202957615052E-2</v>
      </c>
      <c r="T12" s="130">
        <v>11195.9</v>
      </c>
      <c r="U12" s="26"/>
    </row>
    <row r="13" spans="1:24" ht="15.6" customHeight="1" x14ac:dyDescent="0.3">
      <c r="A13" s="198" t="s">
        <v>23</v>
      </c>
      <c r="B13" s="200">
        <f>'11 - 17 Oct 2021'!E13</f>
        <v>184530.42</v>
      </c>
      <c r="C13" s="73">
        <v>194970.43</v>
      </c>
      <c r="D13" s="145">
        <v>175444.48000000001</v>
      </c>
      <c r="E13" s="269">
        <v>206050.19</v>
      </c>
      <c r="F13" s="145">
        <v>680703.46</v>
      </c>
      <c r="G13" s="163">
        <f t="shared" si="0"/>
        <v>5.6827899492246127E-2</v>
      </c>
      <c r="H13" s="155">
        <f t="shared" si="3"/>
        <v>0.17444669675557756</v>
      </c>
      <c r="I13" s="263">
        <f t="shared" si="4"/>
        <v>0.11661909185488219</v>
      </c>
      <c r="J13" s="150">
        <v>727</v>
      </c>
      <c r="K13" s="63">
        <f t="shared" si="5"/>
        <v>283.42529573590099</v>
      </c>
      <c r="L13" s="61">
        <v>48</v>
      </c>
      <c r="M13" s="28">
        <f t="shared" si="1"/>
        <v>6.6024759284731768E-2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</f>
        <v>1946</v>
      </c>
      <c r="O13" s="172">
        <f t="shared" si="2"/>
        <v>2.6767537826685008</v>
      </c>
      <c r="P13" s="260">
        <v>27849.48</v>
      </c>
      <c r="Q13" s="89">
        <f t="shared" si="6"/>
        <v>0.13515872030984294</v>
      </c>
      <c r="R13" s="260">
        <v>27569.48</v>
      </c>
      <c r="S13" s="89">
        <f t="shared" si="7"/>
        <v>0.13379982809042787</v>
      </c>
      <c r="T13" s="130">
        <v>5597</v>
      </c>
      <c r="U13" s="26"/>
    </row>
    <row r="14" spans="1:24" ht="15.6" hidden="1" customHeight="1" x14ac:dyDescent="0.3">
      <c r="A14" s="198" t="s">
        <v>24</v>
      </c>
      <c r="B14" s="200">
        <f>'11 - 17 Oct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'11 - 17 Oct 2021'!E15</f>
        <v>172063.63</v>
      </c>
      <c r="C15" s="73">
        <v>142533.66</v>
      </c>
      <c r="D15" s="145">
        <v>200931.58</v>
      </c>
      <c r="E15" s="269">
        <v>163321.62</v>
      </c>
      <c r="F15" s="145">
        <v>754448.26</v>
      </c>
      <c r="G15" s="163">
        <f t="shared" si="0"/>
        <v>0.14584597069913163</v>
      </c>
      <c r="H15" s="155">
        <f t="shared" si="3"/>
        <v>-0.1871779438553163</v>
      </c>
      <c r="I15" s="263">
        <f t="shared" si="4"/>
        <v>-5.0806843956506142E-2</v>
      </c>
      <c r="J15" s="150">
        <v>538</v>
      </c>
      <c r="K15" s="63">
        <f t="shared" si="5"/>
        <v>303.57178438661708</v>
      </c>
      <c r="L15" s="61">
        <v>29</v>
      </c>
      <c r="M15" s="28">
        <f t="shared" si="1"/>
        <v>5.3903345724907063E-2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</f>
        <v>1176</v>
      </c>
      <c r="O15" s="172">
        <f t="shared" si="2"/>
        <v>2.1858736059479553</v>
      </c>
      <c r="P15" s="260">
        <v>0</v>
      </c>
      <c r="Q15" s="89">
        <f t="shared" si="6"/>
        <v>0</v>
      </c>
      <c r="R15" s="260">
        <v>13146.96</v>
      </c>
      <c r="S15" s="89">
        <f t="shared" si="7"/>
        <v>8.0497364647742292E-2</v>
      </c>
      <c r="T15" s="130">
        <v>5520.65</v>
      </c>
      <c r="U15" s="9"/>
    </row>
    <row r="16" spans="1:24" ht="15.6" customHeight="1" x14ac:dyDescent="0.3">
      <c r="A16" s="198" t="s">
        <v>27</v>
      </c>
      <c r="B16" s="200">
        <f>'11 - 17 Oct 2021'!E16</f>
        <v>153694.29</v>
      </c>
      <c r="C16" s="73">
        <v>120179.35</v>
      </c>
      <c r="D16" s="145">
        <v>107591.84</v>
      </c>
      <c r="E16" s="269">
        <v>142695.09</v>
      </c>
      <c r="F16" s="145">
        <v>528569.1</v>
      </c>
      <c r="G16" s="163">
        <f t="shared" si="0"/>
        <v>0.18735115475329156</v>
      </c>
      <c r="H16" s="155">
        <f t="shared" si="3"/>
        <v>0.32626312553070941</v>
      </c>
      <c r="I16" s="263">
        <f t="shared" si="4"/>
        <v>-7.1565443322585451E-2</v>
      </c>
      <c r="J16" s="150">
        <v>531</v>
      </c>
      <c r="K16" s="63">
        <f t="shared" si="5"/>
        <v>268.72898305084743</v>
      </c>
      <c r="L16" s="61">
        <v>14</v>
      </c>
      <c r="M16" s="28">
        <f t="shared" si="1"/>
        <v>2.6365348399246705E-2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</f>
        <v>714</v>
      </c>
      <c r="O16" s="172">
        <f t="shared" si="2"/>
        <v>1.344632768361582</v>
      </c>
      <c r="P16" s="260">
        <v>35545.040000000001</v>
      </c>
      <c r="Q16" s="89">
        <f t="shared" si="6"/>
        <v>0.24909784912711433</v>
      </c>
      <c r="R16" s="260">
        <v>23838.57</v>
      </c>
      <c r="S16" s="89">
        <f t="shared" si="7"/>
        <v>0.1670594972819317</v>
      </c>
      <c r="T16" s="130">
        <v>4814.3999999999996</v>
      </c>
      <c r="U16" s="9"/>
      <c r="X16" s="238"/>
    </row>
    <row r="17" spans="1:21" ht="15.6" customHeight="1" x14ac:dyDescent="0.3">
      <c r="A17" s="198" t="s">
        <v>28</v>
      </c>
      <c r="B17" s="200">
        <f>'11 - 17 Oct 2021'!E17</f>
        <v>180670.32</v>
      </c>
      <c r="C17" s="73">
        <v>227123.11</v>
      </c>
      <c r="D17" s="145">
        <v>179614.8</v>
      </c>
      <c r="E17" s="269">
        <v>194587.65</v>
      </c>
      <c r="F17" s="145">
        <v>654687.31000000006</v>
      </c>
      <c r="G17" s="163">
        <f t="shared" si="0"/>
        <v>-0.14325032798291637</v>
      </c>
      <c r="H17" s="155">
        <f t="shared" si="3"/>
        <v>8.3360892309542453E-2</v>
      </c>
      <c r="I17" s="263">
        <f t="shared" si="4"/>
        <v>7.7031634194260498E-2</v>
      </c>
      <c r="J17" s="150">
        <v>704</v>
      </c>
      <c r="K17" s="63">
        <f t="shared" si="5"/>
        <v>276.40291193181815</v>
      </c>
      <c r="L17" s="61">
        <v>55</v>
      </c>
      <c r="M17" s="28">
        <f t="shared" si="1"/>
        <v>7.8125E-2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</f>
        <v>1568</v>
      </c>
      <c r="O17" s="172">
        <f t="shared" si="2"/>
        <v>2.2272727272727271</v>
      </c>
      <c r="P17" s="260">
        <v>29193.87</v>
      </c>
      <c r="Q17" s="89">
        <f t="shared" si="6"/>
        <v>0.15002940834117684</v>
      </c>
      <c r="R17" s="260">
        <v>25185.39</v>
      </c>
      <c r="S17" s="89">
        <f t="shared" si="7"/>
        <v>0.12942953985003675</v>
      </c>
      <c r="T17" s="130">
        <v>6149.4</v>
      </c>
      <c r="U17" s="9"/>
    </row>
    <row r="18" spans="1:21" ht="15.6" customHeight="1" x14ac:dyDescent="0.3">
      <c r="A18" s="198" t="s">
        <v>33</v>
      </c>
      <c r="B18" s="200">
        <f>'11 - 17 Oct 2021'!E18</f>
        <v>150727.65</v>
      </c>
      <c r="C18" s="73">
        <v>161595.07</v>
      </c>
      <c r="D18" s="73">
        <v>155614.62</v>
      </c>
      <c r="E18" s="269">
        <v>164997.15</v>
      </c>
      <c r="F18" s="145">
        <v>552928.34</v>
      </c>
      <c r="G18" s="163">
        <f t="shared" si="0"/>
        <v>2.1053117523944183E-2</v>
      </c>
      <c r="H18" s="155">
        <f t="shared" si="3"/>
        <v>6.0293370892786288E-2</v>
      </c>
      <c r="I18" s="263">
        <f t="shared" si="4"/>
        <v>9.4670752181169146E-2</v>
      </c>
      <c r="J18" s="150">
        <v>606</v>
      </c>
      <c r="K18" s="63">
        <f t="shared" si="5"/>
        <v>272.27252475247525</v>
      </c>
      <c r="L18" s="61">
        <v>104</v>
      </c>
      <c r="M18" s="28">
        <f t="shared" si="1"/>
        <v>0.17161716171617161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</f>
        <v>2135</v>
      </c>
      <c r="O18" s="172">
        <f t="shared" si="2"/>
        <v>3.5231023102310233</v>
      </c>
      <c r="P18" s="260">
        <v>20758.349999999999</v>
      </c>
      <c r="Q18" s="89">
        <f t="shared" si="6"/>
        <v>0.12581035490613018</v>
      </c>
      <c r="R18" s="260">
        <v>15352.65</v>
      </c>
      <c r="S18" s="89">
        <f t="shared" si="7"/>
        <v>9.304797082858704E-2</v>
      </c>
      <c r="T18" s="130">
        <v>3808.5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79" priority="1" operator="equal">
      <formula>0</formula>
    </cfRule>
  </conditionalFormatting>
  <conditionalFormatting sqref="D7:F19">
    <cfRule type="cellIs" dxfId="27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X41"/>
  <sheetViews>
    <sheetView zoomScale="70" zoomScaleNormal="70" workbookViewId="0">
      <pane xSplit="1" topLeftCell="B1" activePane="topRight" state="frozen"/>
      <selection pane="topRight" activeCell="F9" sqref="F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-8.255752218139141E-2</v>
      </c>
      <c r="H2" s="413"/>
      <c r="I2" s="400">
        <f>(((E4-E19-B19)-B4)/E4)</f>
        <v>8.1975120120390793E-2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</f>
        <v>1919825.13</v>
      </c>
      <c r="C4" s="135">
        <f>SUM(C6:C19)-C14-C19-C10</f>
        <v>2279441.1100000003</v>
      </c>
      <c r="D4" s="142">
        <f>SUM(D6:D19)-D19-D10</f>
        <v>2078304.1500000001</v>
      </c>
      <c r="E4" s="270">
        <f>SUM(E6:E19)-E19-E10</f>
        <v>2091256.0999999999</v>
      </c>
      <c r="F4" s="142">
        <f>SUM(F6:F19)-F19-F10</f>
        <v>9202681.7100000009</v>
      </c>
      <c r="G4" s="217">
        <f t="shared" ref="G4:G19" si="0">IFERROR((SUM(E4-C4)/C4),0)</f>
        <v>-8.255752218139141E-2</v>
      </c>
      <c r="H4" s="217">
        <f>IFERROR((SUM(E4-D4)/D4),0)</f>
        <v>6.231980049695671E-3</v>
      </c>
      <c r="I4" s="217">
        <f>IFERROR((SUM(E4-B4)/E4),0)</f>
        <v>8.1975120120390793E-2</v>
      </c>
      <c r="J4" s="262">
        <f>SUM(J6:J18)</f>
        <v>8163</v>
      </c>
      <c r="K4" s="218">
        <f>AVERAGE(K5:K19)</f>
        <v>238.54611074319769</v>
      </c>
      <c r="L4" s="219">
        <f>SUM(L6:L19)</f>
        <v>540</v>
      </c>
      <c r="M4" s="220">
        <f t="shared" ref="M4:M19" si="1">IFERROR(L4/J4,0)</f>
        <v>6.6152149944873215E-2</v>
      </c>
      <c r="N4" s="221">
        <f>SUM(N6:N19)</f>
        <v>16343</v>
      </c>
      <c r="O4" s="222">
        <f t="shared" ref="O4:O19" si="2">IFERROR(N4/SUM(J4),0)</f>
        <v>2.0020825676834497</v>
      </c>
      <c r="P4" s="249">
        <f>SUM(P6:P19)</f>
        <v>393586.27</v>
      </c>
      <c r="Q4" s="222">
        <f>SUM(P4/E4)</f>
        <v>0.18820567696132484</v>
      </c>
      <c r="R4" s="244">
        <f>SUM(R6:R19)</f>
        <v>249328.91</v>
      </c>
      <c r="S4" s="222">
        <f>SUM(R4/E4)</f>
        <v>0.11922447470685203</v>
      </c>
      <c r="T4" s="257">
        <f>SUM(T6:T19)</f>
        <v>102880.00000000001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'18 - 24 Oct 2021'!E6</f>
        <v>202623.52</v>
      </c>
      <c r="C6" s="255">
        <v>230483.57</v>
      </c>
      <c r="D6" s="197">
        <v>214590.59</v>
      </c>
      <c r="E6" s="268">
        <v>239634.11</v>
      </c>
      <c r="F6" s="197">
        <v>1033621.75</v>
      </c>
      <c r="G6" s="162">
        <f t="shared" si="0"/>
        <v>3.9701485012575859E-2</v>
      </c>
      <c r="H6" s="154">
        <f t="shared" ref="H6:H18" si="3">IFERROR((SUM(E6-D6)/D6),0)</f>
        <v>0.11670371939421943</v>
      </c>
      <c r="I6" s="266">
        <f t="shared" ref="I6:I19" si="4">IFERROR((SUM(E6-B6)/B6),0)</f>
        <v>0.18265692946208811</v>
      </c>
      <c r="J6" s="149">
        <v>773</v>
      </c>
      <c r="K6" s="63">
        <f t="shared" ref="K6:K19" si="5">IFERROR(E6/J6,0)</f>
        <v>310.00531694695985</v>
      </c>
      <c r="L6" s="125">
        <v>28</v>
      </c>
      <c r="M6" s="126">
        <f t="shared" si="1"/>
        <v>3.6222509702457953E-2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</f>
        <v>1127</v>
      </c>
      <c r="O6" s="171">
        <f t="shared" si="2"/>
        <v>1.4579560155239328</v>
      </c>
      <c r="P6" s="259">
        <v>49706.87</v>
      </c>
      <c r="Q6" s="128">
        <f t="shared" ref="Q6:Q19" si="6">SUM(P6/E6)</f>
        <v>0.20742819125374098</v>
      </c>
      <c r="R6" s="260">
        <v>7191.61</v>
      </c>
      <c r="S6" s="128">
        <f t="shared" ref="S6:S19" si="7">SUM(R6/E6)</f>
        <v>3.0010794373138281E-2</v>
      </c>
      <c r="T6" s="129">
        <v>8218</v>
      </c>
      <c r="U6" s="26"/>
    </row>
    <row r="7" spans="1:24" ht="15.6" customHeight="1" x14ac:dyDescent="0.3">
      <c r="A7" s="409" t="s">
        <v>16</v>
      </c>
      <c r="B7" s="200">
        <f>'18 - 24 Oct 2021'!E7</f>
        <v>214773.59</v>
      </c>
      <c r="C7" s="73">
        <v>291263.90000000002</v>
      </c>
      <c r="D7" s="145">
        <v>179179</v>
      </c>
      <c r="E7" s="269">
        <v>202838.8</v>
      </c>
      <c r="F7" s="145">
        <v>899742.34</v>
      </c>
      <c r="G7" s="163">
        <f t="shared" si="0"/>
        <v>-0.30359100458381566</v>
      </c>
      <c r="H7" s="155">
        <f t="shared" si="3"/>
        <v>0.1320456080232616</v>
      </c>
      <c r="I7" s="263">
        <f t="shared" si="4"/>
        <v>-5.556916937506147E-2</v>
      </c>
      <c r="J7" s="150">
        <v>693</v>
      </c>
      <c r="K7" s="63">
        <f t="shared" si="5"/>
        <v>292.69668109668106</v>
      </c>
      <c r="L7" s="61">
        <v>73</v>
      </c>
      <c r="M7" s="28">
        <f t="shared" si="1"/>
        <v>0.10533910533910534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</f>
        <v>1511</v>
      </c>
      <c r="O7" s="172">
        <f t="shared" si="2"/>
        <v>2.1803751803751803</v>
      </c>
      <c r="P7" s="260">
        <v>28463.37</v>
      </c>
      <c r="Q7" s="89">
        <f t="shared" si="6"/>
        <v>0.14032507587305781</v>
      </c>
      <c r="R7" s="260">
        <v>24126.19</v>
      </c>
      <c r="S7" s="89">
        <f t="shared" si="7"/>
        <v>0.11894267763366773</v>
      </c>
      <c r="T7" s="130">
        <v>6919.5</v>
      </c>
      <c r="U7" s="26"/>
    </row>
    <row r="8" spans="1:24" ht="15.6" customHeight="1" x14ac:dyDescent="0.3">
      <c r="A8" s="409" t="s">
        <v>17</v>
      </c>
      <c r="B8" s="200">
        <f>'18 - 24 Oct 2021'!E8</f>
        <v>127214.41</v>
      </c>
      <c r="C8" s="73">
        <v>105575.36</v>
      </c>
      <c r="D8" s="145">
        <v>124514.14</v>
      </c>
      <c r="E8" s="269">
        <v>150231.94</v>
      </c>
      <c r="F8" s="145">
        <v>597472.18999999994</v>
      </c>
      <c r="G8" s="163">
        <f t="shared" si="0"/>
        <v>0.42298297633084087</v>
      </c>
      <c r="H8" s="155">
        <f t="shared" si="3"/>
        <v>0.2065452164709968</v>
      </c>
      <c r="I8" s="263">
        <f t="shared" si="4"/>
        <v>0.18093492710456305</v>
      </c>
      <c r="J8" s="150">
        <v>566</v>
      </c>
      <c r="K8" s="63">
        <f t="shared" si="5"/>
        <v>265.42745583038868</v>
      </c>
      <c r="L8" s="61">
        <v>19</v>
      </c>
      <c r="M8" s="28">
        <f t="shared" si="1"/>
        <v>3.3568904593639579E-2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</f>
        <v>593</v>
      </c>
      <c r="O8" s="172">
        <f t="shared" si="2"/>
        <v>1.047703180212014</v>
      </c>
      <c r="P8" s="260">
        <v>60057.13</v>
      </c>
      <c r="Q8" s="89">
        <f t="shared" si="6"/>
        <v>0.39976272688750475</v>
      </c>
      <c r="R8" s="260">
        <v>16944.349999999999</v>
      </c>
      <c r="S8" s="89">
        <f t="shared" si="7"/>
        <v>0.11278793311196007</v>
      </c>
      <c r="T8" s="130">
        <v>4043.5</v>
      </c>
      <c r="U8" s="26"/>
    </row>
    <row r="9" spans="1:24" ht="15.6" customHeight="1" x14ac:dyDescent="0.3">
      <c r="A9" s="409" t="s">
        <v>18</v>
      </c>
      <c r="B9" s="200">
        <f>'18 - 24 Oct 2021'!E9</f>
        <v>169425.82</v>
      </c>
      <c r="C9" s="73">
        <v>333384.38</v>
      </c>
      <c r="D9" s="145">
        <v>262313.21000000002</v>
      </c>
      <c r="E9" s="269">
        <v>223260.66</v>
      </c>
      <c r="F9" s="145">
        <v>969667.02</v>
      </c>
      <c r="G9" s="163">
        <f t="shared" si="0"/>
        <v>-0.33032057470718934</v>
      </c>
      <c r="H9" s="155">
        <f t="shared" si="3"/>
        <v>-0.14887755748176013</v>
      </c>
      <c r="I9" s="263">
        <f t="shared" si="4"/>
        <v>0.31774873511015023</v>
      </c>
      <c r="J9" s="150">
        <v>813</v>
      </c>
      <c r="K9" s="63">
        <f t="shared" si="5"/>
        <v>274.61335793357932</v>
      </c>
      <c r="L9" s="61">
        <v>30</v>
      </c>
      <c r="M9" s="28">
        <f t="shared" si="1"/>
        <v>3.6900369003690037E-2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</f>
        <v>967</v>
      </c>
      <c r="O9" s="172">
        <f t="shared" si="2"/>
        <v>1.1894218942189423</v>
      </c>
      <c r="P9" s="260">
        <v>23124.13</v>
      </c>
      <c r="Q9" s="89">
        <f t="shared" si="6"/>
        <v>0.10357458407585107</v>
      </c>
      <c r="R9" s="260">
        <v>9478.61</v>
      </c>
      <c r="S9" s="89">
        <f t="shared" si="7"/>
        <v>4.2455352411840043E-2</v>
      </c>
      <c r="T9" s="130">
        <v>5066.6000000000004</v>
      </c>
      <c r="U9" s="26"/>
    </row>
    <row r="10" spans="1:24" ht="15.6" customHeight="1" x14ac:dyDescent="0.3">
      <c r="A10" s="409" t="s">
        <v>20</v>
      </c>
      <c r="B10" s="200">
        <f>'18 - 24 Oct 2021'!E10</f>
        <v>133813.39000000001</v>
      </c>
      <c r="C10" s="73">
        <v>143482.10999999999</v>
      </c>
      <c r="D10" s="145">
        <v>126652.18</v>
      </c>
      <c r="E10" s="269">
        <v>173613.53</v>
      </c>
      <c r="F10" s="145">
        <v>666896.79</v>
      </c>
      <c r="G10" s="163">
        <f t="shared" si="0"/>
        <v>0.21000123290631853</v>
      </c>
      <c r="H10" s="155">
        <f t="shared" si="3"/>
        <v>0.37078990665616657</v>
      </c>
      <c r="I10" s="263">
        <f t="shared" si="4"/>
        <v>0.29743017496231117</v>
      </c>
      <c r="J10" s="150">
        <v>609</v>
      </c>
      <c r="K10" s="63">
        <f t="shared" si="5"/>
        <v>285.07968801313626</v>
      </c>
      <c r="L10" s="61">
        <v>48</v>
      </c>
      <c r="M10" s="28">
        <f t="shared" si="1"/>
        <v>7.8817733990147784E-2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</f>
        <v>949</v>
      </c>
      <c r="O10" s="172">
        <f t="shared" si="2"/>
        <v>1.5582922824302134</v>
      </c>
      <c r="P10" s="260">
        <v>41107.39</v>
      </c>
      <c r="Q10" s="89">
        <f t="shared" si="6"/>
        <v>0.23677526745755356</v>
      </c>
      <c r="R10" s="260">
        <v>31029.35</v>
      </c>
      <c r="S10" s="89">
        <f t="shared" si="7"/>
        <v>0.17872656583850347</v>
      </c>
      <c r="T10" s="130">
        <v>8442.7000000000007</v>
      </c>
      <c r="U10" s="26"/>
    </row>
    <row r="11" spans="1:24" ht="15.6" customHeight="1" x14ac:dyDescent="0.3">
      <c r="A11" s="409" t="s">
        <v>21</v>
      </c>
      <c r="B11" s="200">
        <f>'18 - 24 Oct 2021'!E11</f>
        <v>233857.32</v>
      </c>
      <c r="C11" s="73">
        <v>341926.5</v>
      </c>
      <c r="D11" s="145">
        <v>261185.64</v>
      </c>
      <c r="E11" s="269">
        <v>237797.15</v>
      </c>
      <c r="F11" s="145">
        <v>1104214.06</v>
      </c>
      <c r="G11" s="163">
        <f t="shared" si="0"/>
        <v>-0.30453723241690833</v>
      </c>
      <c r="H11" s="155">
        <f t="shared" si="3"/>
        <v>-8.9547380935644155E-2</v>
      </c>
      <c r="I11" s="263">
        <f t="shared" si="4"/>
        <v>1.6847152785296551E-2</v>
      </c>
      <c r="J11" s="150">
        <v>912</v>
      </c>
      <c r="K11" s="63">
        <f t="shared" si="5"/>
        <v>260.74248903508771</v>
      </c>
      <c r="L11" s="61">
        <v>61</v>
      </c>
      <c r="M11" s="28">
        <f t="shared" si="1"/>
        <v>6.6885964912280702E-2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</f>
        <v>2237</v>
      </c>
      <c r="O11" s="172">
        <f t="shared" si="2"/>
        <v>2.4528508771929824</v>
      </c>
      <c r="P11" s="260">
        <v>40065.089999999997</v>
      </c>
      <c r="Q11" s="89">
        <f t="shared" si="6"/>
        <v>0.16848431530823643</v>
      </c>
      <c r="R11" s="260">
        <v>28592.7</v>
      </c>
      <c r="S11" s="89">
        <f t="shared" si="7"/>
        <v>0.12023987671845521</v>
      </c>
      <c r="T11" s="130">
        <v>36936.300000000003</v>
      </c>
      <c r="U11" s="26"/>
    </row>
    <row r="12" spans="1:24" ht="15.6" customHeight="1" x14ac:dyDescent="0.3">
      <c r="A12" s="198" t="s">
        <v>22</v>
      </c>
      <c r="B12" s="200">
        <f>'18 - 24 Oct 2021'!E12</f>
        <v>100278.77</v>
      </c>
      <c r="C12" s="73">
        <v>142162.88</v>
      </c>
      <c r="D12" s="145">
        <v>102439.49</v>
      </c>
      <c r="E12" s="269">
        <v>136276.04999999999</v>
      </c>
      <c r="F12" s="145">
        <v>525440.49</v>
      </c>
      <c r="G12" s="163">
        <f t="shared" si="0"/>
        <v>-4.1409051364181819E-2</v>
      </c>
      <c r="H12" s="155">
        <f t="shared" si="3"/>
        <v>0.33030777486299456</v>
      </c>
      <c r="I12" s="263">
        <f t="shared" si="4"/>
        <v>0.3589720934949639</v>
      </c>
      <c r="J12" s="150">
        <v>498</v>
      </c>
      <c r="K12" s="63">
        <f t="shared" si="5"/>
        <v>273.64668674698794</v>
      </c>
      <c r="L12" s="61">
        <v>37</v>
      </c>
      <c r="M12" s="28">
        <f t="shared" si="1"/>
        <v>7.4297188755020074E-2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</f>
        <v>1176</v>
      </c>
      <c r="O12" s="172">
        <f t="shared" si="2"/>
        <v>2.3614457831325302</v>
      </c>
      <c r="P12" s="260">
        <v>19082.169999999998</v>
      </c>
      <c r="Q12" s="89">
        <f t="shared" si="6"/>
        <v>0.14002585193803313</v>
      </c>
      <c r="R12" s="260">
        <v>7116.35</v>
      </c>
      <c r="S12" s="89">
        <f t="shared" si="7"/>
        <v>5.2220107641805007E-2</v>
      </c>
      <c r="T12" s="130">
        <v>8001.7</v>
      </c>
      <c r="U12" s="26"/>
    </row>
    <row r="13" spans="1:24" ht="15.6" customHeight="1" x14ac:dyDescent="0.3">
      <c r="A13" s="198" t="s">
        <v>23</v>
      </c>
      <c r="B13" s="200">
        <f>'18 - 24 Oct 2021'!E13</f>
        <v>206050.19</v>
      </c>
      <c r="C13" s="73">
        <v>153888.89000000001</v>
      </c>
      <c r="D13" s="145">
        <v>195768.86</v>
      </c>
      <c r="E13" s="269">
        <v>193734.78</v>
      </c>
      <c r="F13" s="145">
        <v>874438.24</v>
      </c>
      <c r="G13" s="163">
        <f t="shared" si="0"/>
        <v>0.25892635914132578</v>
      </c>
      <c r="H13" s="155">
        <f t="shared" si="3"/>
        <v>-1.0390212212504009E-2</v>
      </c>
      <c r="I13" s="263">
        <f t="shared" si="4"/>
        <v>-5.9768981528238355E-2</v>
      </c>
      <c r="J13" s="150">
        <v>736</v>
      </c>
      <c r="K13" s="63">
        <f t="shared" si="5"/>
        <v>263.22660326086958</v>
      </c>
      <c r="L13" s="61">
        <v>64</v>
      </c>
      <c r="M13" s="28">
        <f t="shared" si="1"/>
        <v>8.6956521739130432E-2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</f>
        <v>2010</v>
      </c>
      <c r="O13" s="172">
        <f t="shared" si="2"/>
        <v>2.7309782608695654</v>
      </c>
      <c r="P13" s="260">
        <v>28695.87</v>
      </c>
      <c r="Q13" s="89">
        <f t="shared" si="6"/>
        <v>0.14811935162080861</v>
      </c>
      <c r="R13" s="260">
        <v>27902.959999999999</v>
      </c>
      <c r="S13" s="89">
        <f t="shared" si="7"/>
        <v>0.14402659140501256</v>
      </c>
      <c r="T13" s="130">
        <v>5411.5</v>
      </c>
      <c r="U13" s="26"/>
    </row>
    <row r="14" spans="1:24" ht="15.6" hidden="1" customHeight="1" x14ac:dyDescent="0.3">
      <c r="A14" s="198" t="s">
        <v>24</v>
      </c>
      <c r="B14" s="200">
        <f>'18 - 24 Oct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'18 - 24 Oct 2021'!E15</f>
        <v>163321.62</v>
      </c>
      <c r="C15" s="73">
        <v>161616.66</v>
      </c>
      <c r="D15" s="145">
        <v>256522.34</v>
      </c>
      <c r="E15" s="269">
        <v>176192.07</v>
      </c>
      <c r="F15" s="145">
        <v>930610.33</v>
      </c>
      <c r="G15" s="163">
        <f t="shared" si="0"/>
        <v>9.0185071266786501E-2</v>
      </c>
      <c r="H15" s="155">
        <f t="shared" si="3"/>
        <v>-0.31315116648319985</v>
      </c>
      <c r="I15" s="263">
        <f t="shared" si="4"/>
        <v>7.8804324865256736E-2</v>
      </c>
      <c r="J15" s="150">
        <v>535</v>
      </c>
      <c r="K15" s="63">
        <f t="shared" si="5"/>
        <v>329.33097196261684</v>
      </c>
      <c r="L15" s="61">
        <v>37</v>
      </c>
      <c r="M15" s="28">
        <f t="shared" si="1"/>
        <v>6.9158878504672894E-2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</f>
        <v>1213</v>
      </c>
      <c r="O15" s="172">
        <f t="shared" si="2"/>
        <v>2.2672897196261683</v>
      </c>
      <c r="P15" s="260">
        <v>0</v>
      </c>
      <c r="Q15" s="89">
        <f t="shared" si="6"/>
        <v>0</v>
      </c>
      <c r="R15" s="260">
        <v>18207.830000000002</v>
      </c>
      <c r="S15" s="89">
        <f t="shared" si="7"/>
        <v>0.10334080302251969</v>
      </c>
      <c r="T15" s="130">
        <v>5021.1000000000004</v>
      </c>
      <c r="U15" s="9"/>
    </row>
    <row r="16" spans="1:24" ht="15.6" customHeight="1" x14ac:dyDescent="0.3">
      <c r="A16" s="198" t="s">
        <v>27</v>
      </c>
      <c r="B16" s="200">
        <f>'18 - 24 Oct 2021'!E16</f>
        <v>142695.09</v>
      </c>
      <c r="C16" s="73">
        <v>119031.85</v>
      </c>
      <c r="D16" s="145">
        <v>123882.99</v>
      </c>
      <c r="E16" s="269">
        <v>155405.21</v>
      </c>
      <c r="F16" s="145">
        <v>683974.31</v>
      </c>
      <c r="G16" s="163">
        <f t="shared" si="0"/>
        <v>0.30557670068977322</v>
      </c>
      <c r="H16" s="155">
        <f t="shared" si="3"/>
        <v>0.25445155949174286</v>
      </c>
      <c r="I16" s="263">
        <f t="shared" si="4"/>
        <v>8.907188046904764E-2</v>
      </c>
      <c r="J16" s="150">
        <v>626</v>
      </c>
      <c r="K16" s="63">
        <f t="shared" si="5"/>
        <v>248.2511341853035</v>
      </c>
      <c r="L16" s="61">
        <v>16</v>
      </c>
      <c r="M16" s="28">
        <f t="shared" si="1"/>
        <v>2.5559105431309903E-2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</f>
        <v>730</v>
      </c>
      <c r="O16" s="172">
        <f t="shared" si="2"/>
        <v>1.1661341853035143</v>
      </c>
      <c r="P16" s="260">
        <v>40719.5</v>
      </c>
      <c r="Q16" s="89">
        <f t="shared" si="6"/>
        <v>0.26202145989828785</v>
      </c>
      <c r="R16" s="260">
        <v>31827</v>
      </c>
      <c r="S16" s="89">
        <f t="shared" si="7"/>
        <v>0.20480008360080079</v>
      </c>
      <c r="T16" s="130">
        <v>6415.1</v>
      </c>
      <c r="U16" s="9"/>
      <c r="X16" s="238"/>
    </row>
    <row r="17" spans="1:21" ht="15.6" customHeight="1" x14ac:dyDescent="0.3">
      <c r="A17" s="198" t="s">
        <v>28</v>
      </c>
      <c r="B17" s="200">
        <f>'18 - 24 Oct 2021'!E17</f>
        <v>194587.65</v>
      </c>
      <c r="C17" s="73">
        <v>214868.45</v>
      </c>
      <c r="D17" s="145">
        <v>194764.01</v>
      </c>
      <c r="E17" s="269">
        <v>193364.19</v>
      </c>
      <c r="F17" s="145">
        <v>848051.5</v>
      </c>
      <c r="G17" s="163">
        <f t="shared" si="0"/>
        <v>-0.10008104959104051</v>
      </c>
      <c r="H17" s="155">
        <f t="shared" si="3"/>
        <v>-7.187262164092878E-3</v>
      </c>
      <c r="I17" s="263">
        <f t="shared" si="4"/>
        <v>-6.2874493833498264E-3</v>
      </c>
      <c r="J17" s="150">
        <v>733</v>
      </c>
      <c r="K17" s="63">
        <f t="shared" si="5"/>
        <v>263.79834924965894</v>
      </c>
      <c r="L17" s="61">
        <v>43</v>
      </c>
      <c r="M17" s="28">
        <f t="shared" si="1"/>
        <v>5.8663028649386086E-2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</f>
        <v>1611</v>
      </c>
      <c r="O17" s="172">
        <f t="shared" si="2"/>
        <v>2.197817189631651</v>
      </c>
      <c r="P17" s="260">
        <v>34247.68</v>
      </c>
      <c r="Q17" s="89">
        <f t="shared" si="6"/>
        <v>0.17711490426433146</v>
      </c>
      <c r="R17" s="260">
        <v>28068.720000000001</v>
      </c>
      <c r="S17" s="89">
        <f t="shared" si="7"/>
        <v>0.14515986646751913</v>
      </c>
      <c r="T17" s="130">
        <v>4176</v>
      </c>
      <c r="U17" s="9"/>
    </row>
    <row r="18" spans="1:21" ht="15.6" customHeight="1" x14ac:dyDescent="0.3">
      <c r="A18" s="198" t="s">
        <v>33</v>
      </c>
      <c r="B18" s="200">
        <f>'18 - 24 Oct 2021'!E18</f>
        <v>164997.15</v>
      </c>
      <c r="C18" s="73">
        <v>185238.67</v>
      </c>
      <c r="D18" s="73">
        <v>163143.88</v>
      </c>
      <c r="E18" s="269">
        <v>182521.14</v>
      </c>
      <c r="F18" s="145">
        <v>735449.48</v>
      </c>
      <c r="G18" s="163">
        <f t="shared" si="0"/>
        <v>-1.4670424917216252E-2</v>
      </c>
      <c r="H18" s="155">
        <f t="shared" si="3"/>
        <v>0.11877405392099298</v>
      </c>
      <c r="I18" s="263">
        <f t="shared" si="4"/>
        <v>0.10620783449895965</v>
      </c>
      <c r="J18" s="150">
        <v>669</v>
      </c>
      <c r="K18" s="63">
        <f t="shared" si="5"/>
        <v>272.82681614349775</v>
      </c>
      <c r="L18" s="61">
        <v>84</v>
      </c>
      <c r="M18" s="28">
        <f t="shared" si="1"/>
        <v>0.12556053811659193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</f>
        <v>2219</v>
      </c>
      <c r="O18" s="172">
        <f t="shared" si="2"/>
        <v>3.3168908819133036</v>
      </c>
      <c r="P18" s="260">
        <v>28317.07</v>
      </c>
      <c r="Q18" s="89">
        <f t="shared" si="6"/>
        <v>0.15514405618987476</v>
      </c>
      <c r="R18" s="260">
        <v>18843.240000000002</v>
      </c>
      <c r="S18" s="89">
        <f t="shared" si="7"/>
        <v>0.10323867142184187</v>
      </c>
      <c r="T18" s="130">
        <v>4228</v>
      </c>
      <c r="U18" s="9"/>
    </row>
    <row r="19" spans="1:21" ht="16.2" hidden="1" customHeight="1" thickBot="1" x14ac:dyDescent="0.35">
      <c r="A19" s="203" t="s">
        <v>37</v>
      </c>
      <c r="B19" s="200">
        <f>'16 - 22 August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77" priority="1" operator="equal">
      <formula>0</formula>
    </cfRule>
  </conditionalFormatting>
  <conditionalFormatting sqref="D7:F19">
    <cfRule type="cellIs" dxfId="276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X41"/>
  <sheetViews>
    <sheetView zoomScale="70" zoomScaleNormal="70" workbookViewId="0">
      <pane xSplit="1" topLeftCell="B1" activePane="topRight" state="frozen"/>
      <selection pane="topRight" activeCell="F8" sqref="F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-3.2589827501542205E-2</v>
      </c>
      <c r="H2" s="413"/>
      <c r="I2" s="400">
        <f>(((E4-E19-B19)-B4)/E4)</f>
        <v>-3.4484314208409118E-2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1867995.44</v>
      </c>
      <c r="C4" s="135">
        <f>SUM(C6:C19)-C14-C19-C10-C9</f>
        <v>1866556.9799999997</v>
      </c>
      <c r="D4" s="142">
        <f>SUM(D6:D19)-D19-D10-D9</f>
        <v>1599460.0099999998</v>
      </c>
      <c r="E4" s="270">
        <f>SUM(E6:E19)-E19-E10-E9</f>
        <v>1805726.2100000002</v>
      </c>
      <c r="F4" s="142">
        <f>SUM(F6:F19)-F19-F10-F9</f>
        <v>1805726.2100000002</v>
      </c>
      <c r="G4" s="217">
        <f t="shared" ref="G4:G19" si="0">IFERROR((SUM(E4-C4)/C4),0)</f>
        <v>-3.2589827501542205E-2</v>
      </c>
      <c r="H4" s="217">
        <f>IFERROR((SUM(E4-D4)/D4),0)</f>
        <v>0.1289598981596298</v>
      </c>
      <c r="I4" s="217">
        <f>IFERROR((SUM(E4-B4)/E4),0)</f>
        <v>-3.4484314208409118E-2</v>
      </c>
      <c r="J4" s="262">
        <f>SUM(J6:J18)</f>
        <v>6965</v>
      </c>
      <c r="K4" s="218">
        <f>AVERAGE(K5:K19)</f>
        <v>220.16725485385908</v>
      </c>
      <c r="L4" s="219">
        <f>SUM(L6:L19)</f>
        <v>465</v>
      </c>
      <c r="M4" s="220">
        <f t="shared" ref="M4:M19" si="1">IFERROR(L4/J4,0)</f>
        <v>6.6762383345297924E-2</v>
      </c>
      <c r="N4" s="221">
        <f>SUM(N6:N19)</f>
        <v>16808</v>
      </c>
      <c r="O4" s="222">
        <f t="shared" ref="O4:O19" si="2">IFERROR(N4/SUM(J4),0)</f>
        <v>2.4132089016511129</v>
      </c>
      <c r="P4" s="249">
        <f>SUM(P6:P19)</f>
        <v>376718.63</v>
      </c>
      <c r="Q4" s="222">
        <f>SUM(P4/E4)</f>
        <v>0.20862444589537191</v>
      </c>
      <c r="R4" s="244">
        <f>SUM(R6:R19)</f>
        <v>196189.90999999997</v>
      </c>
      <c r="S4" s="222">
        <f>SUM(R4/E4)</f>
        <v>0.10864875799748178</v>
      </c>
      <c r="T4" s="257">
        <f>SUM(T6:T19)</f>
        <v>64570.400000000001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'25 - 31 Oct 2021'!E6</f>
        <v>239634.11</v>
      </c>
      <c r="C6" s="255">
        <v>228976.77</v>
      </c>
      <c r="D6" s="197">
        <v>189591.76</v>
      </c>
      <c r="E6" s="268">
        <v>220251.26</v>
      </c>
      <c r="F6" s="123">
        <v>220251.26</v>
      </c>
      <c r="G6" s="162">
        <f t="shared" si="0"/>
        <v>-3.8106529321729803E-2</v>
      </c>
      <c r="H6" s="154">
        <f t="shared" ref="H6:H18" si="3">IFERROR((SUM(E6-D6)/D6),0)</f>
        <v>0.16171325167296299</v>
      </c>
      <c r="I6" s="266">
        <f t="shared" ref="I6:I19" si="4">IFERROR((SUM(E6-B6)/B6),0)</f>
        <v>-8.0885187839076736E-2</v>
      </c>
      <c r="J6" s="149">
        <v>704</v>
      </c>
      <c r="K6" s="63">
        <f t="shared" ref="K6:K19" si="5">IFERROR(E6/J6,0)</f>
        <v>312.85690340909093</v>
      </c>
      <c r="L6" s="125">
        <v>28</v>
      </c>
      <c r="M6" s="126">
        <f t="shared" si="1"/>
        <v>3.9772727272727272E-2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</f>
        <v>1155</v>
      </c>
      <c r="O6" s="171">
        <f t="shared" si="2"/>
        <v>1.640625</v>
      </c>
      <c r="P6" s="259">
        <v>38284</v>
      </c>
      <c r="Q6" s="128">
        <f t="shared" ref="Q6:Q19" si="6">SUM(P6/E6)</f>
        <v>0.17381966396015169</v>
      </c>
      <c r="R6" s="260">
        <v>14950.96</v>
      </c>
      <c r="S6" s="128">
        <f t="shared" ref="S6:S19" si="7">SUM(R6/E6)</f>
        <v>6.7881382381194996E-2</v>
      </c>
      <c r="T6" s="129">
        <v>10327</v>
      </c>
      <c r="U6" s="26"/>
    </row>
    <row r="7" spans="1:24" ht="15.6" customHeight="1" x14ac:dyDescent="0.3">
      <c r="A7" s="409" t="s">
        <v>16</v>
      </c>
      <c r="B7" s="200">
        <f>'25 - 31 Oct 2021'!E7</f>
        <v>202838.8</v>
      </c>
      <c r="C7" s="73">
        <v>203728.44</v>
      </c>
      <c r="D7" s="145">
        <v>153723.91</v>
      </c>
      <c r="E7" s="269">
        <v>208284.54</v>
      </c>
      <c r="F7" s="145">
        <v>208284.54</v>
      </c>
      <c r="G7" s="163">
        <f t="shared" si="0"/>
        <v>2.236359341876866E-2</v>
      </c>
      <c r="H7" s="155">
        <f t="shared" si="3"/>
        <v>0.35492611396626589</v>
      </c>
      <c r="I7" s="263">
        <f t="shared" si="4"/>
        <v>2.684762481339872E-2</v>
      </c>
      <c r="J7" s="150">
        <v>736</v>
      </c>
      <c r="K7" s="63">
        <f t="shared" si="5"/>
        <v>282.99529891304348</v>
      </c>
      <c r="L7" s="61">
        <v>52</v>
      </c>
      <c r="M7" s="28">
        <f t="shared" si="1"/>
        <v>7.0652173913043473E-2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</f>
        <v>1563</v>
      </c>
      <c r="O7" s="172">
        <f t="shared" si="2"/>
        <v>2.1236413043478262</v>
      </c>
      <c r="P7" s="260">
        <v>42261.7</v>
      </c>
      <c r="Q7" s="89">
        <f t="shared" si="6"/>
        <v>0.20290368166547548</v>
      </c>
      <c r="R7" s="260">
        <v>19561.13</v>
      </c>
      <c r="S7" s="89">
        <f t="shared" si="7"/>
        <v>9.3915419742627085E-2</v>
      </c>
      <c r="T7" s="130">
        <v>6073.05</v>
      </c>
      <c r="U7" s="26"/>
    </row>
    <row r="8" spans="1:24" ht="15.6" customHeight="1" x14ac:dyDescent="0.3">
      <c r="A8" s="409" t="s">
        <v>17</v>
      </c>
      <c r="B8" s="200">
        <f>'25 - 31 Oct 2021'!E8</f>
        <v>150231.94</v>
      </c>
      <c r="C8" s="73">
        <v>108699.37</v>
      </c>
      <c r="D8" s="145">
        <v>101357.56</v>
      </c>
      <c r="E8" s="269">
        <v>132640.10999999999</v>
      </c>
      <c r="F8" s="145">
        <v>132640.10999999999</v>
      </c>
      <c r="G8" s="163">
        <f t="shared" si="0"/>
        <v>0.22024727466221738</v>
      </c>
      <c r="H8" s="155">
        <f t="shared" si="3"/>
        <v>0.30863558672880431</v>
      </c>
      <c r="I8" s="263">
        <f t="shared" si="4"/>
        <v>-0.11709780223832572</v>
      </c>
      <c r="J8" s="150">
        <v>535</v>
      </c>
      <c r="K8" s="63">
        <f t="shared" si="5"/>
        <v>247.92543925233642</v>
      </c>
      <c r="L8" s="61">
        <v>17</v>
      </c>
      <c r="M8" s="28">
        <f t="shared" si="1"/>
        <v>3.1775700934579439E-2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</f>
        <v>610</v>
      </c>
      <c r="O8" s="172">
        <f t="shared" si="2"/>
        <v>1.1401869158878504</v>
      </c>
      <c r="P8" s="260">
        <v>56266.87</v>
      </c>
      <c r="Q8" s="89">
        <f t="shared" si="6"/>
        <v>0.42420705169801209</v>
      </c>
      <c r="R8" s="260">
        <v>15432.52</v>
      </c>
      <c r="S8" s="89">
        <f t="shared" si="7"/>
        <v>0.11634881786512392</v>
      </c>
      <c r="T8" s="130">
        <v>4748.5</v>
      </c>
      <c r="U8" s="26"/>
    </row>
    <row r="9" spans="1:24" ht="15.6" customHeight="1" x14ac:dyDescent="0.3">
      <c r="A9" s="409" t="s">
        <v>18</v>
      </c>
      <c r="B9" s="200">
        <f>'25 - 31 Oct 2021'!E9</f>
        <v>223260.66</v>
      </c>
      <c r="C9" s="73">
        <v>318828.79999999999</v>
      </c>
      <c r="D9" s="145">
        <v>224364.68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-1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</f>
        <v>967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'25 - 31 Oct 2021'!E10</f>
        <v>173613.53</v>
      </c>
      <c r="C10" s="73">
        <v>132983.03</v>
      </c>
      <c r="D10" s="145">
        <v>122526.09</v>
      </c>
      <c r="E10" s="269">
        <v>147310.94</v>
      </c>
      <c r="F10" s="145">
        <v>147310.94</v>
      </c>
      <c r="G10" s="163">
        <f t="shared" si="0"/>
        <v>0.10774239389792821</v>
      </c>
      <c r="H10" s="155">
        <f t="shared" si="3"/>
        <v>0.20228222413691652</v>
      </c>
      <c r="I10" s="263">
        <f t="shared" si="4"/>
        <v>-0.15150080756954828</v>
      </c>
      <c r="J10" s="150">
        <v>506</v>
      </c>
      <c r="K10" s="63">
        <f t="shared" si="5"/>
        <v>291.12833992094863</v>
      </c>
      <c r="L10" s="61">
        <v>37</v>
      </c>
      <c r="M10" s="28">
        <f t="shared" si="1"/>
        <v>7.3122529644268769E-2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</f>
        <v>986</v>
      </c>
      <c r="O10" s="172">
        <f t="shared" si="2"/>
        <v>1.9486166007905139</v>
      </c>
      <c r="P10" s="260">
        <v>50538.81</v>
      </c>
      <c r="Q10" s="89">
        <f t="shared" si="6"/>
        <v>0.34307574169304733</v>
      </c>
      <c r="R10" s="260">
        <v>11784.19</v>
      </c>
      <c r="S10" s="89">
        <f t="shared" si="7"/>
        <v>7.9995348614298439E-2</v>
      </c>
      <c r="T10" s="130">
        <v>1211</v>
      </c>
      <c r="U10" s="26"/>
    </row>
    <row r="11" spans="1:24" ht="15.6" customHeight="1" x14ac:dyDescent="0.3">
      <c r="A11" s="409" t="s">
        <v>21</v>
      </c>
      <c r="B11" s="200">
        <f>'25 - 31 Oct 2021'!E11</f>
        <v>237797.15</v>
      </c>
      <c r="C11" s="73">
        <v>308365.96000000002</v>
      </c>
      <c r="D11" s="145">
        <v>268731.33</v>
      </c>
      <c r="E11" s="269">
        <v>243978.34</v>
      </c>
      <c r="F11" s="145">
        <v>243978.34</v>
      </c>
      <c r="G11" s="163">
        <f t="shared" si="0"/>
        <v>-0.20880261881045503</v>
      </c>
      <c r="H11" s="155">
        <f t="shared" si="3"/>
        <v>-9.2110547735539505E-2</v>
      </c>
      <c r="I11" s="263">
        <f t="shared" si="4"/>
        <v>2.5993541133693159E-2</v>
      </c>
      <c r="J11" s="150">
        <v>877</v>
      </c>
      <c r="K11" s="63">
        <f t="shared" si="5"/>
        <v>278.19651083238313</v>
      </c>
      <c r="L11" s="61">
        <v>49</v>
      </c>
      <c r="M11" s="28">
        <f t="shared" si="1"/>
        <v>5.5872291904218926E-2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</f>
        <v>2286</v>
      </c>
      <c r="O11" s="172">
        <f t="shared" si="2"/>
        <v>2.6066134549600912</v>
      </c>
      <c r="P11" s="260">
        <v>42046.54</v>
      </c>
      <c r="Q11" s="89">
        <f t="shared" si="6"/>
        <v>0.1723371837024549</v>
      </c>
      <c r="R11" s="260">
        <v>24920.57</v>
      </c>
      <c r="S11" s="89">
        <f t="shared" si="7"/>
        <v>0.10214255085103047</v>
      </c>
      <c r="T11" s="130">
        <v>10986.9</v>
      </c>
      <c r="U11" s="26"/>
    </row>
    <row r="12" spans="1:24" ht="15.6" customHeight="1" x14ac:dyDescent="0.3">
      <c r="A12" s="198" t="s">
        <v>22</v>
      </c>
      <c r="B12" s="200">
        <f>'25 - 31 Oct 2021'!E12</f>
        <v>136276.04999999999</v>
      </c>
      <c r="C12" s="73">
        <v>146753.75</v>
      </c>
      <c r="D12" s="145">
        <v>106610.16</v>
      </c>
      <c r="E12" s="269">
        <v>118764.14</v>
      </c>
      <c r="F12" s="145">
        <v>118764.14</v>
      </c>
      <c r="G12" s="163">
        <f t="shared" si="0"/>
        <v>-0.19072500702707768</v>
      </c>
      <c r="H12" s="155">
        <f t="shared" si="3"/>
        <v>0.11400395609574168</v>
      </c>
      <c r="I12" s="263">
        <f t="shared" si="4"/>
        <v>-0.1285032109457237</v>
      </c>
      <c r="J12" s="150">
        <v>434</v>
      </c>
      <c r="K12" s="63">
        <f t="shared" si="5"/>
        <v>273.65009216589863</v>
      </c>
      <c r="L12" s="61">
        <v>28</v>
      </c>
      <c r="M12" s="28">
        <f t="shared" si="1"/>
        <v>6.4516129032258063E-2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</f>
        <v>1204</v>
      </c>
      <c r="O12" s="172">
        <f t="shared" si="2"/>
        <v>2.774193548387097</v>
      </c>
      <c r="P12" s="260">
        <v>21387.22</v>
      </c>
      <c r="Q12" s="89">
        <f t="shared" si="6"/>
        <v>0.18008146229998384</v>
      </c>
      <c r="R12" s="260">
        <v>8459.15</v>
      </c>
      <c r="S12" s="89">
        <f t="shared" si="7"/>
        <v>7.1226466170680805E-2</v>
      </c>
      <c r="T12" s="130">
        <v>8133.75</v>
      </c>
      <c r="U12" s="26"/>
    </row>
    <row r="13" spans="1:24" ht="15.6" customHeight="1" x14ac:dyDescent="0.3">
      <c r="A13" s="198" t="s">
        <v>23</v>
      </c>
      <c r="B13" s="200">
        <f>'25 - 31 Oct 2021'!E13</f>
        <v>193734.78</v>
      </c>
      <c r="C13" s="73">
        <v>215493.07</v>
      </c>
      <c r="D13" s="145">
        <v>181854.77</v>
      </c>
      <c r="E13" s="269">
        <v>192441.7</v>
      </c>
      <c r="F13" s="145">
        <v>192441.7</v>
      </c>
      <c r="G13" s="163">
        <f t="shared" si="0"/>
        <v>-0.10697035408145605</v>
      </c>
      <c r="H13" s="155">
        <f t="shared" si="3"/>
        <v>5.8216399822781789E-2</v>
      </c>
      <c r="I13" s="263">
        <f t="shared" si="4"/>
        <v>-6.6744856034625646E-3</v>
      </c>
      <c r="J13" s="150">
        <v>695</v>
      </c>
      <c r="K13" s="63">
        <f t="shared" si="5"/>
        <v>276.89453237410072</v>
      </c>
      <c r="L13" s="61">
        <v>50</v>
      </c>
      <c r="M13" s="28">
        <f t="shared" si="1"/>
        <v>7.1942446043165464E-2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</f>
        <v>2060</v>
      </c>
      <c r="O13" s="172">
        <f t="shared" si="2"/>
        <v>2.964028776978417</v>
      </c>
      <c r="P13" s="260">
        <v>33195.089999999997</v>
      </c>
      <c r="Q13" s="89">
        <f t="shared" si="6"/>
        <v>0.17249426709491755</v>
      </c>
      <c r="R13" s="260">
        <v>24612.13</v>
      </c>
      <c r="S13" s="89">
        <f t="shared" si="7"/>
        <v>0.12789395437683204</v>
      </c>
      <c r="T13" s="130">
        <v>5740.5</v>
      </c>
      <c r="U13" s="26"/>
    </row>
    <row r="14" spans="1:24" ht="15.6" hidden="1" customHeight="1" x14ac:dyDescent="0.3">
      <c r="A14" s="198" t="s">
        <v>24</v>
      </c>
      <c r="B14" s="200">
        <f>'25 - 31 Oct 2021'!E14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'25 - 31 Oct 2021'!E15</f>
        <v>176192.07</v>
      </c>
      <c r="C15" s="73">
        <v>165767.19</v>
      </c>
      <c r="D15" s="145">
        <v>165659.22</v>
      </c>
      <c r="E15" s="269">
        <v>170291.99</v>
      </c>
      <c r="F15" s="145">
        <v>170291.99</v>
      </c>
      <c r="G15" s="163">
        <f t="shared" si="0"/>
        <v>2.7296113302035151E-2</v>
      </c>
      <c r="H15" s="155">
        <f t="shared" si="3"/>
        <v>2.7965663486765116E-2</v>
      </c>
      <c r="I15" s="263">
        <f t="shared" si="4"/>
        <v>-3.3486637622226791E-2</v>
      </c>
      <c r="J15" s="150">
        <v>542</v>
      </c>
      <c r="K15" s="63">
        <f t="shared" si="5"/>
        <v>314.19186346863466</v>
      </c>
      <c r="L15" s="61">
        <v>29</v>
      </c>
      <c r="M15" s="28">
        <f t="shared" si="1"/>
        <v>5.350553505535055E-2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</f>
        <v>1242</v>
      </c>
      <c r="O15" s="172">
        <f t="shared" si="2"/>
        <v>2.2915129151291511</v>
      </c>
      <c r="P15" s="260">
        <v>0</v>
      </c>
      <c r="Q15" s="89">
        <f t="shared" si="6"/>
        <v>0</v>
      </c>
      <c r="R15" s="260">
        <v>14979.48</v>
      </c>
      <c r="S15" s="89">
        <f t="shared" si="7"/>
        <v>8.7963503157136164E-2</v>
      </c>
      <c r="T15" s="130">
        <v>4206.3</v>
      </c>
      <c r="U15" s="9"/>
    </row>
    <row r="16" spans="1:24" ht="15.6" customHeight="1" x14ac:dyDescent="0.3">
      <c r="A16" s="198" t="s">
        <v>27</v>
      </c>
      <c r="B16" s="200">
        <f>'25 - 31 Oct 2021'!E16</f>
        <v>155405.21</v>
      </c>
      <c r="C16" s="73">
        <v>122700.03</v>
      </c>
      <c r="D16" s="145">
        <v>117037.13</v>
      </c>
      <c r="E16" s="269">
        <v>138958.96</v>
      </c>
      <c r="F16" s="145">
        <v>138958.96</v>
      </c>
      <c r="G16" s="163">
        <f t="shared" si="0"/>
        <v>0.13250958455348374</v>
      </c>
      <c r="H16" s="155">
        <f t="shared" si="3"/>
        <v>0.18730662653809083</v>
      </c>
      <c r="I16" s="263">
        <f t="shared" si="4"/>
        <v>-0.10582817654568982</v>
      </c>
      <c r="J16" s="150">
        <v>524</v>
      </c>
      <c r="K16" s="63">
        <f t="shared" si="5"/>
        <v>265.18885496183202</v>
      </c>
      <c r="L16" s="61">
        <v>15</v>
      </c>
      <c r="M16" s="28">
        <f t="shared" si="1"/>
        <v>2.8625954198473282E-2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</f>
        <v>745</v>
      </c>
      <c r="O16" s="172">
        <f t="shared" si="2"/>
        <v>1.4217557251908397</v>
      </c>
      <c r="P16" s="260">
        <v>32589.48</v>
      </c>
      <c r="Q16" s="89">
        <f t="shared" si="6"/>
        <v>0.23452593485155618</v>
      </c>
      <c r="R16" s="260">
        <v>23214.17</v>
      </c>
      <c r="S16" s="89">
        <f t="shared" si="7"/>
        <v>0.16705774136478857</v>
      </c>
      <c r="T16" s="130">
        <v>3664.9</v>
      </c>
      <c r="U16" s="9"/>
      <c r="X16" s="238"/>
    </row>
    <row r="17" spans="1:21" ht="15.6" customHeight="1" x14ac:dyDescent="0.3">
      <c r="A17" s="198" t="s">
        <v>28</v>
      </c>
      <c r="B17" s="200">
        <f>'25 - 31 Oct 2021'!E17</f>
        <v>193364.19</v>
      </c>
      <c r="C17" s="73">
        <v>201597.1</v>
      </c>
      <c r="D17" s="145">
        <v>175289.7</v>
      </c>
      <c r="E17" s="269">
        <v>193925.84</v>
      </c>
      <c r="F17" s="145">
        <v>193925.84</v>
      </c>
      <c r="G17" s="163">
        <f t="shared" si="0"/>
        <v>-3.8052432301853595E-2</v>
      </c>
      <c r="H17" s="155">
        <f t="shared" si="3"/>
        <v>0.10631622964726384</v>
      </c>
      <c r="I17" s="263">
        <f t="shared" si="4"/>
        <v>2.9046226191105713E-3</v>
      </c>
      <c r="J17" s="150">
        <v>743</v>
      </c>
      <c r="K17" s="63">
        <f t="shared" si="5"/>
        <v>261.00382234185736</v>
      </c>
      <c r="L17" s="61">
        <v>26</v>
      </c>
      <c r="M17" s="28">
        <f t="shared" si="1"/>
        <v>3.4993270524899055E-2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</f>
        <v>1637</v>
      </c>
      <c r="O17" s="172">
        <f t="shared" si="2"/>
        <v>2.2032301480484522</v>
      </c>
      <c r="P17" s="260">
        <v>26642.959999999999</v>
      </c>
      <c r="Q17" s="89">
        <f t="shared" si="6"/>
        <v>0.13738736415941269</v>
      </c>
      <c r="R17" s="260">
        <v>24448</v>
      </c>
      <c r="S17" s="89">
        <f t="shared" si="7"/>
        <v>0.12606881063400319</v>
      </c>
      <c r="T17" s="130">
        <v>6183</v>
      </c>
      <c r="U17" s="9"/>
    </row>
    <row r="18" spans="1:21" ht="15.6" customHeight="1" x14ac:dyDescent="0.3">
      <c r="A18" s="198" t="s">
        <v>33</v>
      </c>
      <c r="B18" s="200">
        <f>'25 - 31 Oct 2021'!E18</f>
        <v>182521.14</v>
      </c>
      <c r="C18" s="73">
        <v>164475.29999999999</v>
      </c>
      <c r="D18" s="73">
        <v>139604.47</v>
      </c>
      <c r="E18" s="269">
        <v>186189.33</v>
      </c>
      <c r="F18" s="145">
        <v>186189.33</v>
      </c>
      <c r="G18" s="163">
        <f t="shared" si="0"/>
        <v>0.1320200054354666</v>
      </c>
      <c r="H18" s="155">
        <f t="shared" si="3"/>
        <v>0.33369175070110568</v>
      </c>
      <c r="I18" s="263">
        <f t="shared" si="4"/>
        <v>2.0097343244733036E-2</v>
      </c>
      <c r="J18" s="150">
        <v>669</v>
      </c>
      <c r="K18" s="63">
        <f t="shared" si="5"/>
        <v>278.3099103139013</v>
      </c>
      <c r="L18" s="61">
        <v>134</v>
      </c>
      <c r="M18" s="28">
        <f t="shared" si="1"/>
        <v>0.20029895366218237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</f>
        <v>2353</v>
      </c>
      <c r="O18" s="172">
        <f t="shared" si="2"/>
        <v>3.5171898355754858</v>
      </c>
      <c r="P18" s="260">
        <v>33505.96</v>
      </c>
      <c r="Q18" s="89">
        <f t="shared" si="6"/>
        <v>0.17995639170085634</v>
      </c>
      <c r="R18" s="260">
        <v>13827.61</v>
      </c>
      <c r="S18" s="89">
        <f t="shared" si="7"/>
        <v>7.426639324605766E-2</v>
      </c>
      <c r="T18" s="130">
        <v>3295.5</v>
      </c>
      <c r="U18" s="9"/>
    </row>
    <row r="19" spans="1:21" ht="16.2" hidden="1" customHeight="1" thickBot="1" x14ac:dyDescent="0.35">
      <c r="A19" s="203" t="s">
        <v>37</v>
      </c>
      <c r="B19" s="200">
        <f>'25 - 31 Oct 2021'!E19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75" priority="2" operator="equal">
      <formula>0</formula>
    </cfRule>
  </conditionalFormatting>
  <conditionalFormatting sqref="D7:F19">
    <cfRule type="cellIs" dxfId="27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X41"/>
  <sheetViews>
    <sheetView zoomScale="70" zoomScaleNormal="70" workbookViewId="0">
      <pane xSplit="1" topLeftCell="B1" activePane="topRight" state="frozen"/>
      <selection pane="topRight" activeCell="G8" sqref="G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-6.8768073454989864E-2</v>
      </c>
      <c r="H2" s="413"/>
      <c r="I2" s="400">
        <f>(((E4-E19-B19)-B4)/E4)</f>
        <v>-1.6276961410548119E-2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1805726.2100000002</v>
      </c>
      <c r="C4" s="135">
        <f>SUM(C6:C19)-C14-C19-C10-C9</f>
        <v>1908015.7900000003</v>
      </c>
      <c r="D4" s="142">
        <f>SUM(D6:D19)-D19-D10-D9</f>
        <v>1524187.8599999999</v>
      </c>
      <c r="E4" s="270">
        <f>SUM(E6:E19)-E19-E10-E9</f>
        <v>1776805.2199999997</v>
      </c>
      <c r="F4" s="142">
        <f>SUM(F6:F19)-F19-F10-F9</f>
        <v>3582531.4299999997</v>
      </c>
      <c r="G4" s="217">
        <f t="shared" ref="G4:G19" si="0">IFERROR((SUM(E4-C4)/C4),0)</f>
        <v>-6.8768073454989864E-2</v>
      </c>
      <c r="H4" s="217">
        <f>IFERROR((SUM(E4-D4)/D4),0)</f>
        <v>0.16573899230505607</v>
      </c>
      <c r="I4" s="217">
        <f>IFERROR((SUM(E4-B4)/E4),0)</f>
        <v>-1.6276961410548119E-2</v>
      </c>
      <c r="J4" s="262">
        <f>SUM(J6:J18)</f>
        <v>6838</v>
      </c>
      <c r="K4" s="218">
        <f>AVERAGE(K5:K19)</f>
        <v>220.95198110739057</v>
      </c>
      <c r="L4" s="219">
        <f>SUM(L6:L19)</f>
        <v>480</v>
      </c>
      <c r="M4" s="220">
        <f t="shared" ref="M4:M19" si="1">IFERROR(L4/J4,0)</f>
        <v>7.0195963732085406E-2</v>
      </c>
      <c r="N4" s="221">
        <f>SUM(N6:N19)</f>
        <v>17288</v>
      </c>
      <c r="O4" s="222">
        <f t="shared" ref="O4:O19" si="2">IFERROR(N4/SUM(J4),0)</f>
        <v>2.5282246270839428</v>
      </c>
      <c r="P4" s="249">
        <f>SUM(P6:P19)</f>
        <v>370055.2699999999</v>
      </c>
      <c r="Q4" s="222">
        <f>SUM(P4/E4)</f>
        <v>0.20827002635663122</v>
      </c>
      <c r="R4" s="244">
        <f>SUM(R6:R19)</f>
        <v>194145.17</v>
      </c>
      <c r="S4" s="222">
        <f>SUM(R4/E4)</f>
        <v>0.10926643383004021</v>
      </c>
      <c r="T4" s="257">
        <f>SUM(T6:T19)</f>
        <v>65307.049999999996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'1 - 7 Nov'!E6</f>
        <v>220251.26</v>
      </c>
      <c r="C6" s="255">
        <v>259568.58</v>
      </c>
      <c r="D6" s="197">
        <v>172666.76</v>
      </c>
      <c r="E6" s="268">
        <v>193086.26</v>
      </c>
      <c r="F6" s="123">
        <v>413337.52</v>
      </c>
      <c r="G6" s="162">
        <f t="shared" si="0"/>
        <v>-0.25612622298122517</v>
      </c>
      <c r="H6" s="154">
        <f t="shared" ref="H6:H18" si="3">IFERROR((SUM(E6-D6)/D6),0)</f>
        <v>0.11825958858555057</v>
      </c>
      <c r="I6" s="266">
        <f t="shared" ref="I6:I19" si="4">IFERROR((SUM(E6-B6)/B6),0)</f>
        <v>-0.12333641133312925</v>
      </c>
      <c r="J6" s="149">
        <v>636</v>
      </c>
      <c r="K6" s="63">
        <f t="shared" ref="K6:K19" si="5">IFERROR(E6/J6,0)</f>
        <v>303.59474842767298</v>
      </c>
      <c r="L6" s="125">
        <v>59</v>
      </c>
      <c r="M6" s="126">
        <f t="shared" si="1"/>
        <v>9.276729559748427E-2</v>
      </c>
      <c r="N6" s="46">
        <f>L6+'12 - 18 April 2021'!L6+'19 - 25 April 2021'!J6+'26 April - 2 May 2021'!J6+'3 - 9 May 2021'!J6+'10 - 16 May 2021'!J6+'17 - 23 May 2021'!J6+'24 - 30 May 2021'!J6+'31 May - 6 June 2021'!J6+'7 - 13 June 2021'!J6+'14 - 20 June 2021'!J6+'21 - 27 June 2021'!J6+'28 June - 4 July 2021'!J6+'5 - 11 July 2021'!L6+'12 - 18 July 2021'!L6+'19 - 25 July 2021'!L6+'26 July - 1 August 2021'!L6+'2 - 8 August 2021'!L6+'9 - 15 August 2021'!L6+'16 - 22 August 2021'!L6+'23 - 29 August 2021'!L6+'30 August - 5 Sept 2021'!L6+'6 - 12 Sept 2021'!L6+'13 - 19 Sept 2021'!L6+'20 - 26 Sept 2021'!L6+'27 Sept - 3 Oct 2021'!L6+'4 - 10 Oct 2021'!L6+'11 - 17 Oct 2021'!L6+'18 - 24 Oct 2021'!L6+'25 - 31 Oct 2021'!L6+'1 - 7 Nov'!L6</f>
        <v>1214</v>
      </c>
      <c r="O6" s="171">
        <f t="shared" si="2"/>
        <v>1.9088050314465408</v>
      </c>
      <c r="P6" s="259">
        <v>43649.65</v>
      </c>
      <c r="Q6" s="128">
        <f t="shared" ref="Q6:Q19" si="6">SUM(P6/E6)</f>
        <v>0.22606295238200791</v>
      </c>
      <c r="R6" s="260">
        <v>6744.35</v>
      </c>
      <c r="S6" s="128">
        <f t="shared" ref="S6:S19" si="7">SUM(R6/E6)</f>
        <v>3.4929207287975848E-2</v>
      </c>
      <c r="T6" s="129">
        <v>5536.95</v>
      </c>
      <c r="U6" s="26"/>
    </row>
    <row r="7" spans="1:24" ht="15.6" customHeight="1" x14ac:dyDescent="0.3">
      <c r="A7" s="409" t="s">
        <v>16</v>
      </c>
      <c r="B7" s="200">
        <f>'1 - 7 Nov'!E7</f>
        <v>208284.54</v>
      </c>
      <c r="C7" s="73">
        <v>209028.31</v>
      </c>
      <c r="D7" s="145">
        <v>183294.98</v>
      </c>
      <c r="E7" s="269">
        <v>245963.82</v>
      </c>
      <c r="F7" s="145">
        <v>454248.36</v>
      </c>
      <c r="G7" s="163">
        <f t="shared" si="0"/>
        <v>0.17670099327693942</v>
      </c>
      <c r="H7" s="155">
        <f t="shared" si="3"/>
        <v>0.34190156217044237</v>
      </c>
      <c r="I7" s="263">
        <f t="shared" si="4"/>
        <v>0.18090291290942667</v>
      </c>
      <c r="J7" s="150">
        <v>850</v>
      </c>
      <c r="K7" s="63">
        <f t="shared" si="5"/>
        <v>289.36920000000003</v>
      </c>
      <c r="L7" s="61">
        <v>55</v>
      </c>
      <c r="M7" s="28">
        <f t="shared" si="1"/>
        <v>6.4705882352941183E-2</v>
      </c>
      <c r="N7" s="46">
        <f>L7+'12 - 18 April 2021'!L7+'19 - 25 April 2021'!J7+'26 April - 2 May 2021'!J7+'3 - 9 May 2021'!J7+'10 - 16 May 2021'!J7+'17 - 23 May 2021'!J7+'24 - 30 May 2021'!J7+'31 May - 6 June 2021'!J7+'7 - 13 June 2021'!J7+'14 - 20 June 2021'!J7+'21 - 27 June 2021'!J7+'28 June - 4 July 2021'!J7+'5 - 11 July 2021'!L7+'12 - 18 July 2021'!L7+'19 - 25 July 2021'!L7+'26 July - 1 August 2021'!L7+'2 - 8 August 2021'!L7+'9 - 15 August 2021'!L7+'16 - 22 August 2021'!L7+'23 - 29 August 2021'!L7+'30 August - 5 Sept 2021'!L7+'6 - 12 Sept 2021'!L7+'13 - 19 Sept 2021'!L7+'20 - 26 Sept 2021'!L7+'27 Sept - 3 Oct 2021'!L7+'4 - 10 Oct 2021'!L7+'11 - 17 Oct 2021'!L7+'18 - 24 Oct 2021'!L7+'25 - 31 Oct 2021'!L7+'1 - 7 Nov'!L7</f>
        <v>1618</v>
      </c>
      <c r="O7" s="172">
        <f t="shared" si="2"/>
        <v>1.9035294117647059</v>
      </c>
      <c r="P7" s="260">
        <v>43822.87</v>
      </c>
      <c r="Q7" s="89">
        <f t="shared" si="6"/>
        <v>0.17816795169305796</v>
      </c>
      <c r="R7" s="260">
        <v>21137.91</v>
      </c>
      <c r="S7" s="89">
        <f t="shared" si="7"/>
        <v>8.5939102750965571E-2</v>
      </c>
      <c r="T7" s="130">
        <v>9145.35</v>
      </c>
      <c r="U7" s="26"/>
    </row>
    <row r="8" spans="1:24" ht="15.6" customHeight="1" x14ac:dyDescent="0.3">
      <c r="A8" s="409" t="s">
        <v>17</v>
      </c>
      <c r="B8" s="200">
        <f>'1 - 7 Nov'!E8</f>
        <v>132640.10999999999</v>
      </c>
      <c r="C8" s="73">
        <v>101423.55</v>
      </c>
      <c r="D8" s="145">
        <v>87639.38</v>
      </c>
      <c r="E8" s="269">
        <v>118190.42</v>
      </c>
      <c r="F8" s="145">
        <v>250830.53</v>
      </c>
      <c r="G8" s="163">
        <f t="shared" si="0"/>
        <v>0.16531535328826485</v>
      </c>
      <c r="H8" s="155">
        <f t="shared" si="3"/>
        <v>0.3485994538071811</v>
      </c>
      <c r="I8" s="263">
        <f t="shared" si="4"/>
        <v>-0.10893906828032629</v>
      </c>
      <c r="J8" s="150">
        <v>472</v>
      </c>
      <c r="K8" s="63">
        <f t="shared" si="5"/>
        <v>250.40343220338983</v>
      </c>
      <c r="L8" s="61">
        <v>10</v>
      </c>
      <c r="M8" s="28">
        <f t="shared" si="1"/>
        <v>2.1186440677966101E-2</v>
      </c>
      <c r="N8" s="46">
        <f>L8+'12 - 18 April 2021'!L8+'19 - 25 April 2021'!J8+'26 April - 2 May 2021'!J8+'3 - 9 May 2021'!J8+'10 - 16 May 2021'!J8+'17 - 23 May 2021'!J8+'24 - 30 May 2021'!J8+'31 May - 6 June 2021'!J8+'7 - 13 June 2021'!J8+'14 - 20 June 2021'!J8+'21 - 27 June 2021'!J8+'28 June - 4 July 2021'!J8+'5 - 11 July 2021'!L8+'12 - 18 July 2021'!L8+'19 - 25 July 2021'!L8+'26 July - 1 August 2021'!L8+'2 - 8 August 2021'!L8+'9 - 15 August 2021'!L8+'16 - 22 August 2021'!L8+'23 - 29 August 2021'!L8+'30 August - 5 Sept 2021'!L8+'6 - 12 Sept 2021'!L8+'13 - 19 Sept 2021'!L8+'20 - 26 Sept 2021'!L8+'27 Sept - 3 Oct 2021'!L8+'4 - 10 Oct 2021'!L8+'11 - 17 Oct 2021'!L8+'18 - 24 Oct 2021'!L8+'25 - 31 Oct 2021'!L8+'1 - 7 Nov'!L8</f>
        <v>620</v>
      </c>
      <c r="O8" s="172">
        <f t="shared" si="2"/>
        <v>1.3135593220338984</v>
      </c>
      <c r="P8" s="260">
        <v>47759.199999999997</v>
      </c>
      <c r="Q8" s="89">
        <f t="shared" si="6"/>
        <v>0.40408689638297246</v>
      </c>
      <c r="R8" s="260">
        <v>15366.7</v>
      </c>
      <c r="S8" s="89">
        <f t="shared" si="7"/>
        <v>0.13001645987889712</v>
      </c>
      <c r="T8" s="130">
        <v>3645.5</v>
      </c>
      <c r="U8" s="26"/>
    </row>
    <row r="9" spans="1:24" ht="15.6" customHeight="1" x14ac:dyDescent="0.3">
      <c r="A9" s="409" t="s">
        <v>18</v>
      </c>
      <c r="B9" s="200">
        <f>'1 - 7 Nov'!E9</f>
        <v>0</v>
      </c>
      <c r="C9" s="73">
        <v>300109.68</v>
      </c>
      <c r="D9" s="145">
        <v>192269.09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L9+'12 - 18 April 2021'!L9+'19 - 25 April 2021'!J9+'26 April - 2 May 2021'!J9+'3 - 9 May 2021'!J9+'10 - 16 May 2021'!J9+'17 - 23 May 2021'!J9+'24 - 30 May 2021'!J9+'31 May - 6 June 2021'!J9+'7 - 13 June 2021'!J9+'14 - 20 June 2021'!J9+'21 - 27 June 2021'!J9+'28 June - 4 July 2021'!J9+'5 - 11 July 2021'!L9+'12 - 18 July 2021'!L9+'19 - 25 July 2021'!L9+'26 July - 1 August 2021'!L9+'2 - 8 August 2021'!L9+'9 - 15 August 2021'!L9+'16 - 22 August 2021'!L9+'23 - 29 August 2021'!L9+'30 August - 5 Sept 2021'!L9+'6 - 12 Sept 2021'!L9+'13 - 19 Sept 2021'!L9+'20 - 26 Sept 2021'!L9+'27 Sept - 3 Oct 2021'!L9+'4 - 10 Oct 2021'!L9+'11 - 17 Oct 2021'!L9+'18 - 24 Oct 2021'!L9+'25 - 31 Oct 2021'!L9+'1 - 7 Nov'!L9</f>
        <v>967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'1 - 7 Nov'!E10</f>
        <v>147310.94</v>
      </c>
      <c r="C10" s="73">
        <v>137768.23000000001</v>
      </c>
      <c r="D10" s="145">
        <v>127707.36</v>
      </c>
      <c r="E10" s="269">
        <v>149959.23000000001</v>
      </c>
      <c r="F10" s="145">
        <v>297270.17</v>
      </c>
      <c r="G10" s="163">
        <f t="shared" si="0"/>
        <v>8.848919667473408E-2</v>
      </c>
      <c r="H10" s="155">
        <f t="shared" si="3"/>
        <v>0.17424109307404059</v>
      </c>
      <c r="I10" s="263">
        <f t="shared" si="4"/>
        <v>1.7977551429649477E-2</v>
      </c>
      <c r="J10" s="150">
        <v>524</v>
      </c>
      <c r="K10" s="63">
        <f t="shared" si="5"/>
        <v>286.18173664122139</v>
      </c>
      <c r="L10" s="61">
        <v>34</v>
      </c>
      <c r="M10" s="28">
        <f t="shared" si="1"/>
        <v>6.4885496183206104E-2</v>
      </c>
      <c r="N10" s="46">
        <f>L10+'12 - 18 April 2021'!L10+'19 - 25 April 2021'!J10+'26 April - 2 May 2021'!J10+'3 - 9 May 2021'!J10+'10 - 16 May 2021'!J10+'17 - 23 May 2021'!J10+'24 - 30 May 2021'!J10+'31 May - 6 June 2021'!J10+'7 - 13 June 2021'!J10+'14 - 20 June 2021'!J10+'21 - 27 June 2021'!J10+'28 June - 4 July 2021'!J10+'5 - 11 July 2021'!L10+'12 - 18 July 2021'!L10+'19 - 25 July 2021'!L10+'26 July - 1 August 2021'!L10+'2 - 8 August 2021'!L10+'9 - 15 August 2021'!L10+'16 - 22 August 2021'!L10+'23 - 29 August 2021'!L10+'30 August - 5 Sept 2021'!L10+'6 - 12 Sept 2021'!L10+'13 - 19 Sept 2021'!L10+'20 - 26 Sept 2021'!L10+'27 Sept - 3 Oct 2021'!L10+'4 - 10 Oct 2021'!L10+'11 - 17 Oct 2021'!L10+'18 - 24 Oct 2021'!L10+'25 - 31 Oct 2021'!L10+'1 - 7 Nov'!L10</f>
        <v>1020</v>
      </c>
      <c r="O10" s="172">
        <f t="shared" si="2"/>
        <v>1.9465648854961832</v>
      </c>
      <c r="P10" s="260">
        <v>45506.52</v>
      </c>
      <c r="Q10" s="89">
        <f t="shared" si="6"/>
        <v>0.30345928023236712</v>
      </c>
      <c r="R10" s="260">
        <v>10541.09</v>
      </c>
      <c r="S10" s="89">
        <f t="shared" si="7"/>
        <v>7.0293038981328451E-2</v>
      </c>
      <c r="T10" s="130">
        <v>3475.7</v>
      </c>
      <c r="U10" s="26"/>
    </row>
    <row r="11" spans="1:24" ht="15.6" customHeight="1" x14ac:dyDescent="0.3">
      <c r="A11" s="409" t="s">
        <v>21</v>
      </c>
      <c r="B11" s="200">
        <f>'1 - 7 Nov'!E11</f>
        <v>243978.34</v>
      </c>
      <c r="C11" s="73">
        <v>311032.46000000002</v>
      </c>
      <c r="D11" s="145">
        <v>247480.1</v>
      </c>
      <c r="E11" s="269">
        <v>220256.34</v>
      </c>
      <c r="F11" s="145">
        <v>464234.68</v>
      </c>
      <c r="G11" s="163">
        <f t="shared" si="0"/>
        <v>-0.29185416853276347</v>
      </c>
      <c r="H11" s="155">
        <f t="shared" si="3"/>
        <v>-0.11000383465175587</v>
      </c>
      <c r="I11" s="263">
        <f t="shared" si="4"/>
        <v>-9.7229942625234683E-2</v>
      </c>
      <c r="J11" s="150">
        <v>815</v>
      </c>
      <c r="K11" s="63">
        <f t="shared" si="5"/>
        <v>270.25317791411044</v>
      </c>
      <c r="L11" s="61">
        <v>37</v>
      </c>
      <c r="M11" s="28">
        <f t="shared" si="1"/>
        <v>4.5398773006134971E-2</v>
      </c>
      <c r="N11" s="46">
        <f>L11+'12 - 18 April 2021'!L11+'19 - 25 April 2021'!J11+'26 April - 2 May 2021'!J11+'3 - 9 May 2021'!J11+'10 - 16 May 2021'!J11+'17 - 23 May 2021'!J11+'24 - 30 May 2021'!J11+'31 May - 6 June 2021'!J11+'7 - 13 June 2021'!J11+'14 - 20 June 2021'!J11+'21 - 27 June 2021'!J11+'28 June - 4 July 2021'!J11+'5 - 11 July 2021'!L11+'12 - 18 July 2021'!L11+'19 - 25 July 2021'!L11+'26 July - 1 August 2021'!L11+'2 - 8 August 2021'!L11+'9 - 15 August 2021'!L11+'16 - 22 August 2021'!L11+'23 - 29 August 2021'!L11+'30 August - 5 Sept 2021'!L11+'6 - 12 Sept 2021'!L11+'13 - 19 Sept 2021'!L11+'20 - 26 Sept 2021'!L11+'27 Sept - 3 Oct 2021'!L11+'4 - 10 Oct 2021'!L11+'11 - 17 Oct 2021'!L11+'18 - 24 Oct 2021'!L11+'25 - 31 Oct 2021'!L11+'1 - 7 Nov'!L11</f>
        <v>2323</v>
      </c>
      <c r="O11" s="172">
        <f t="shared" si="2"/>
        <v>2.8503067484662576</v>
      </c>
      <c r="P11" s="260">
        <v>48446.74</v>
      </c>
      <c r="Q11" s="89">
        <f t="shared" si="6"/>
        <v>0.21995616562047657</v>
      </c>
      <c r="R11" s="260">
        <v>26203.09</v>
      </c>
      <c r="S11" s="89">
        <f t="shared" si="7"/>
        <v>0.11896633713245212</v>
      </c>
      <c r="T11" s="130">
        <v>9519.6</v>
      </c>
      <c r="U11" s="26"/>
    </row>
    <row r="12" spans="1:24" ht="15.6" customHeight="1" x14ac:dyDescent="0.3">
      <c r="A12" s="198" t="s">
        <v>22</v>
      </c>
      <c r="B12" s="200">
        <f>'1 - 7 Nov'!E12</f>
        <v>118764.14</v>
      </c>
      <c r="C12" s="73">
        <v>143951.47</v>
      </c>
      <c r="D12" s="145">
        <v>104099.76</v>
      </c>
      <c r="E12" s="269">
        <v>117466.88</v>
      </c>
      <c r="F12" s="145">
        <v>236231.02</v>
      </c>
      <c r="G12" s="163">
        <f t="shared" si="0"/>
        <v>-0.18398276863723584</v>
      </c>
      <c r="H12" s="155">
        <f t="shared" si="3"/>
        <v>0.12840682821939273</v>
      </c>
      <c r="I12" s="263">
        <f t="shared" si="4"/>
        <v>-1.0922994095692477E-2</v>
      </c>
      <c r="J12" s="150">
        <v>451</v>
      </c>
      <c r="K12" s="63">
        <f t="shared" si="5"/>
        <v>260.45871396895791</v>
      </c>
      <c r="L12" s="61">
        <v>42</v>
      </c>
      <c r="M12" s="28">
        <f t="shared" si="1"/>
        <v>9.3126385809312637E-2</v>
      </c>
      <c r="N12" s="46">
        <f>L12+'12 - 18 April 2021'!L12+'19 - 25 April 2021'!J12+'26 April - 2 May 2021'!J12+'3 - 9 May 2021'!J12+'10 - 16 May 2021'!J12+'17 - 23 May 2021'!J12+'24 - 30 May 2021'!J12+'31 May - 6 June 2021'!J12+'7 - 13 June 2021'!J12+'14 - 20 June 2021'!J12+'21 - 27 June 2021'!J12+'28 June - 4 July 2021'!J12+'5 - 11 July 2021'!L12+'12 - 18 July 2021'!L12+'19 - 25 July 2021'!L12+'26 July - 1 August 2021'!L12+'2 - 8 August 2021'!L12+'9 - 15 August 2021'!L12+'16 - 22 August 2021'!L12+'23 - 29 August 2021'!L12+'30 August - 5 Sept 2021'!L12+'6 - 12 Sept 2021'!L12+'13 - 19 Sept 2021'!L12+'20 - 26 Sept 2021'!L12+'27 Sept - 3 Oct 2021'!L12+'4 - 10 Oct 2021'!L12+'11 - 17 Oct 2021'!L12+'18 - 24 Oct 2021'!L12+'25 - 31 Oct 2021'!L12+'1 - 7 Nov'!L12</f>
        <v>1246</v>
      </c>
      <c r="O12" s="172">
        <f t="shared" si="2"/>
        <v>2.7627494456762749</v>
      </c>
      <c r="P12" s="260">
        <v>20942.96</v>
      </c>
      <c r="Q12" s="89">
        <f t="shared" si="6"/>
        <v>0.17828821196238462</v>
      </c>
      <c r="R12" s="260">
        <v>7211.09</v>
      </c>
      <c r="S12" s="89">
        <f t="shared" si="7"/>
        <v>6.1388282382234038E-2</v>
      </c>
      <c r="T12" s="130">
        <v>8016.25</v>
      </c>
      <c r="U12" s="26"/>
    </row>
    <row r="13" spans="1:24" ht="15.6" customHeight="1" x14ac:dyDescent="0.3">
      <c r="A13" s="198" t="s">
        <v>23</v>
      </c>
      <c r="B13" s="200">
        <f>'1 - 7 Nov'!E13</f>
        <v>192441.7</v>
      </c>
      <c r="C13" s="73">
        <v>202568.82</v>
      </c>
      <c r="D13" s="145">
        <v>171163.5</v>
      </c>
      <c r="E13" s="269">
        <v>194468.69</v>
      </c>
      <c r="F13" s="145">
        <v>386910.39</v>
      </c>
      <c r="G13" s="163">
        <f t="shared" si="0"/>
        <v>-3.998705230153389E-2</v>
      </c>
      <c r="H13" s="155">
        <f t="shared" si="3"/>
        <v>0.1361574751626369</v>
      </c>
      <c r="I13" s="263">
        <f t="shared" si="4"/>
        <v>1.0533008178580789E-2</v>
      </c>
      <c r="J13" s="150">
        <v>711</v>
      </c>
      <c r="K13" s="63">
        <f t="shared" si="5"/>
        <v>273.51433192686358</v>
      </c>
      <c r="L13" s="61">
        <v>58</v>
      </c>
      <c r="M13" s="28">
        <f t="shared" si="1"/>
        <v>8.1575246132208151E-2</v>
      </c>
      <c r="N13" s="46">
        <f>L13+'12 - 18 April 2021'!L13+'19 - 25 April 2021'!J13+'26 April - 2 May 2021'!J13+'3 - 9 May 2021'!J13+'10 - 16 May 2021'!J13+'17 - 23 May 2021'!J13+'24 - 30 May 2021'!J13+'31 May - 6 June 2021'!J13+'7 - 13 June 2021'!J13+'14 - 20 June 2021'!J13+'21 - 27 June 2021'!J13+'28 June - 4 July 2021'!J13+'5 - 11 July 2021'!L13+'12 - 18 July 2021'!L13+'19 - 25 July 2021'!L13+'26 July - 1 August 2021'!L13+'2 - 8 August 2021'!L13+'9 - 15 August 2021'!L13+'16 - 22 August 2021'!L13+'23 - 29 August 2021'!L13+'30 August - 5 Sept 2021'!L13+'6 - 12 Sept 2021'!L13+'13 - 19 Sept 2021'!L13+'20 - 26 Sept 2021'!L13+'27 Sept - 3 Oct 2021'!L13+'4 - 10 Oct 2021'!L13+'11 - 17 Oct 2021'!L13+'18 - 24 Oct 2021'!L13+'25 - 31 Oct 2021'!L13+'1 - 7 Nov'!L13</f>
        <v>2118</v>
      </c>
      <c r="O13" s="172">
        <f t="shared" si="2"/>
        <v>2.9789029535864979</v>
      </c>
      <c r="P13" s="260">
        <v>31931</v>
      </c>
      <c r="Q13" s="89">
        <f t="shared" si="6"/>
        <v>0.16419609758259801</v>
      </c>
      <c r="R13" s="260">
        <v>26436.04</v>
      </c>
      <c r="S13" s="89">
        <f t="shared" si="7"/>
        <v>0.13593982661167719</v>
      </c>
      <c r="T13" s="130">
        <v>7997.5</v>
      </c>
      <c r="U13" s="26"/>
    </row>
    <row r="14" spans="1:24" ht="15.6" hidden="1" customHeight="1" x14ac:dyDescent="0.3">
      <c r="A14" s="198" t="s">
        <v>24</v>
      </c>
      <c r="B14" s="200">
        <f>'1 - 7 Nov'!E14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L14+'12 - 18 April 2021'!L14+'19 - 25 April 2021'!J14+'26 April - 2 May 2021'!J14+'3 - 9 May 2021'!J14+'10 - 16 May 2021'!J14+'17 - 23 May 2021'!J14+'24 - 30 May 2021'!J14+'31 May - 6 June 2021'!J14+'7 - 13 June 2021'!J14+'14 - 20 June 2021'!J14+'21 - 27 June 2021'!J14+'28 June - 4 July 2021'!J14+'5 - 11 July 2021'!L14+'12 - 18 July 2021'!L14+'19 - 25 July 2021'!L14+'26 July - 1 August 2021'!L14+'2 - 8 August 2021'!L14+'9 - 15 August 2021'!L14+'16 - 22 August 2021'!L14+'23 - 29 August 2021'!L14+'30 August - 5 Sept 2021'!L14+'6 - 12 Sept 2021'!L14+'13 - 19 Sept 2021'!L14+'20 - 26 Sept 2021'!L14+'27 Sept - 3 Oct 2021'!L14+'4 - 10 Oct 2021'!L14+'11 - 17 Oct 2021'!L14+'18 - 24 Oct 2021'!L14+'25 - 31 Oct 2021'!L14+'1 - 7 Nov'!L14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'1 - 7 Nov'!E15</f>
        <v>170291.99</v>
      </c>
      <c r="C15" s="73">
        <v>187730.76</v>
      </c>
      <c r="D15" s="145">
        <v>159466.45000000001</v>
      </c>
      <c r="E15" s="269">
        <v>182462.52</v>
      </c>
      <c r="F15" s="145">
        <v>352754.51</v>
      </c>
      <c r="G15" s="163">
        <f t="shared" si="0"/>
        <v>-2.8062742621401092E-2</v>
      </c>
      <c r="H15" s="155">
        <f t="shared" si="3"/>
        <v>0.14420632051444035</v>
      </c>
      <c r="I15" s="263">
        <f t="shared" si="4"/>
        <v>7.14685993157987E-2</v>
      </c>
      <c r="J15" s="150">
        <v>571</v>
      </c>
      <c r="K15" s="63">
        <f t="shared" si="5"/>
        <v>319.54907180385288</v>
      </c>
      <c r="L15" s="61">
        <v>37</v>
      </c>
      <c r="M15" s="28">
        <f t="shared" si="1"/>
        <v>6.4798598949211902E-2</v>
      </c>
      <c r="N15" s="46">
        <f>L15+'12 - 18 April 2021'!L15+'19 - 25 April 2021'!J15+'26 April - 2 May 2021'!J15+'3 - 9 May 2021'!J15+'10 - 16 May 2021'!J15+'17 - 23 May 2021'!J15+'24 - 30 May 2021'!J15+'31 May - 6 June 2021'!J15+'7 - 13 June 2021'!J15+'14 - 20 June 2021'!J15+'21 - 27 June 2021'!J15+'28 June - 4 July 2021'!J15+'5 - 11 July 2021'!L15+'12 - 18 July 2021'!L15+'19 - 25 July 2021'!L15+'26 July - 1 August 2021'!L15+'2 - 8 August 2021'!L15+'9 - 15 August 2021'!L15+'16 - 22 August 2021'!L15+'23 - 29 August 2021'!L15+'30 August - 5 Sept 2021'!L15+'6 - 12 Sept 2021'!L15+'13 - 19 Sept 2021'!L15+'20 - 26 Sept 2021'!L15+'27 Sept - 3 Oct 2021'!L15+'4 - 10 Oct 2021'!L15+'11 - 17 Oct 2021'!L15+'18 - 24 Oct 2021'!L15+'25 - 31 Oct 2021'!L15+'1 - 7 Nov'!L15</f>
        <v>1279</v>
      </c>
      <c r="O15" s="172">
        <f t="shared" si="2"/>
        <v>2.2399299474605954</v>
      </c>
      <c r="P15" s="260">
        <v>0</v>
      </c>
      <c r="Q15" s="89">
        <f t="shared" si="6"/>
        <v>0</v>
      </c>
      <c r="R15" s="260">
        <v>19122.169999999998</v>
      </c>
      <c r="S15" s="89">
        <f t="shared" si="7"/>
        <v>0.10480053657046938</v>
      </c>
      <c r="T15" s="130">
        <v>2015</v>
      </c>
      <c r="U15" s="9"/>
    </row>
    <row r="16" spans="1:24" ht="15.6" customHeight="1" x14ac:dyDescent="0.3">
      <c r="A16" s="198" t="s">
        <v>27</v>
      </c>
      <c r="B16" s="200">
        <f>'1 - 7 Nov'!E16</f>
        <v>138958.96</v>
      </c>
      <c r="C16" s="73">
        <v>117265.60000000001</v>
      </c>
      <c r="D16" s="145">
        <v>98894.32</v>
      </c>
      <c r="E16" s="269">
        <v>144976.69</v>
      </c>
      <c r="F16" s="145">
        <v>283935.65000000002</v>
      </c>
      <c r="G16" s="163">
        <f t="shared" si="0"/>
        <v>0.23631047809417249</v>
      </c>
      <c r="H16" s="155">
        <f t="shared" si="3"/>
        <v>0.46597590235718284</v>
      </c>
      <c r="I16" s="263">
        <f t="shared" si="4"/>
        <v>4.3305807700345561E-2</v>
      </c>
      <c r="J16" s="150">
        <v>500</v>
      </c>
      <c r="K16" s="63">
        <f t="shared" si="5"/>
        <v>289.95337999999998</v>
      </c>
      <c r="L16" s="61">
        <v>18</v>
      </c>
      <c r="M16" s="28">
        <f t="shared" si="1"/>
        <v>3.5999999999999997E-2</v>
      </c>
      <c r="N16" s="46">
        <f>L16+'12 - 18 April 2021'!L16+'19 - 25 April 2021'!J16+'26 April - 2 May 2021'!J16+'3 - 9 May 2021'!J16+'10 - 16 May 2021'!J16+'17 - 23 May 2021'!J16+'24 - 30 May 2021'!J16+'31 May - 6 June 2021'!J16+'7 - 13 June 2021'!J16+'14 - 20 June 2021'!J16+'21 - 27 June 2021'!J16+'28 June - 4 July 2021'!J16+'5 - 11 July 2021'!L16+'12 - 18 July 2021'!L16+'19 - 25 July 2021'!L16+'26 July - 1 August 2021'!L16+'2 - 8 August 2021'!L16+'9 - 15 August 2021'!L16+'16 - 22 August 2021'!L16+'23 - 29 August 2021'!L16+'30 August - 5 Sept 2021'!L16+'6 - 12 Sept 2021'!L16+'13 - 19 Sept 2021'!L16+'20 - 26 Sept 2021'!L16+'27 Sept - 3 Oct 2021'!L16+'4 - 10 Oct 2021'!L16+'11 - 17 Oct 2021'!L16+'18 - 24 Oct 2021'!L16+'25 - 31 Oct 2021'!L16+'1 - 7 Nov'!L16</f>
        <v>763</v>
      </c>
      <c r="O16" s="172">
        <f t="shared" si="2"/>
        <v>1.526</v>
      </c>
      <c r="P16" s="260">
        <v>29042.48</v>
      </c>
      <c r="Q16" s="89">
        <f t="shared" si="6"/>
        <v>0.20032516951518206</v>
      </c>
      <c r="R16" s="260">
        <v>25073.29</v>
      </c>
      <c r="S16" s="89">
        <f t="shared" si="7"/>
        <v>0.17294704410757344</v>
      </c>
      <c r="T16" s="130">
        <v>6230</v>
      </c>
      <c r="U16" s="9"/>
      <c r="X16" s="238"/>
    </row>
    <row r="17" spans="1:21" ht="15.6" customHeight="1" x14ac:dyDescent="0.3">
      <c r="A17" s="198" t="s">
        <v>28</v>
      </c>
      <c r="B17" s="200">
        <f>'1 - 7 Nov'!E17</f>
        <v>193925.84</v>
      </c>
      <c r="C17" s="73">
        <v>210361.95</v>
      </c>
      <c r="D17" s="145">
        <v>162874.76</v>
      </c>
      <c r="E17" s="269">
        <v>195032.18</v>
      </c>
      <c r="F17" s="145">
        <v>388958.02</v>
      </c>
      <c r="G17" s="163">
        <f t="shared" si="0"/>
        <v>-7.2873302419948174E-2</v>
      </c>
      <c r="H17" s="155">
        <f t="shared" si="3"/>
        <v>0.19743648432697603</v>
      </c>
      <c r="I17" s="263">
        <f t="shared" si="4"/>
        <v>5.7049643306946434E-3</v>
      </c>
      <c r="J17" s="150">
        <v>704</v>
      </c>
      <c r="K17" s="63">
        <f t="shared" si="5"/>
        <v>277.03434659090908</v>
      </c>
      <c r="L17" s="61">
        <v>42</v>
      </c>
      <c r="M17" s="28">
        <f t="shared" si="1"/>
        <v>5.9659090909090912E-2</v>
      </c>
      <c r="N17" s="46">
        <f>L17+'12 - 18 April 2021'!L17+'19 - 25 April 2021'!J17+'26 April - 2 May 2021'!J17+'3 - 9 May 2021'!J17+'10 - 16 May 2021'!J17+'17 - 23 May 2021'!J17+'24 - 30 May 2021'!J17+'31 May - 6 June 2021'!J17+'7 - 13 June 2021'!J17+'14 - 20 June 2021'!J17+'21 - 27 June 2021'!J17+'28 June - 4 July 2021'!J17+'5 - 11 July 2021'!L17+'12 - 18 July 2021'!L17+'19 - 25 July 2021'!L17+'26 July - 1 August 2021'!L17+'2 - 8 August 2021'!L17+'9 - 15 August 2021'!L17+'16 - 22 August 2021'!L17+'23 - 29 August 2021'!L17+'30 August - 5 Sept 2021'!L17+'6 - 12 Sept 2021'!L17+'13 - 19 Sept 2021'!L17+'20 - 26 Sept 2021'!L17+'27 Sept - 3 Oct 2021'!L17+'4 - 10 Oct 2021'!L17+'11 - 17 Oct 2021'!L17+'18 - 24 Oct 2021'!L17+'25 - 31 Oct 2021'!L17+'1 - 7 Nov'!L17</f>
        <v>1679</v>
      </c>
      <c r="O17" s="172">
        <f t="shared" si="2"/>
        <v>2.3849431818181817</v>
      </c>
      <c r="P17" s="260">
        <v>32287.61</v>
      </c>
      <c r="Q17" s="89">
        <f t="shared" si="6"/>
        <v>0.16555016715703019</v>
      </c>
      <c r="R17" s="260">
        <v>21323.72</v>
      </c>
      <c r="S17" s="89">
        <f t="shared" si="7"/>
        <v>0.10933436728236336</v>
      </c>
      <c r="T17" s="130">
        <v>6550.7</v>
      </c>
      <c r="U17" s="9"/>
    </row>
    <row r="18" spans="1:21" ht="15.6" customHeight="1" x14ac:dyDescent="0.3">
      <c r="A18" s="198" t="s">
        <v>33</v>
      </c>
      <c r="B18" s="200">
        <f>'1 - 7 Nov'!E18</f>
        <v>186189.33</v>
      </c>
      <c r="C18" s="73">
        <v>165084.29</v>
      </c>
      <c r="D18" s="73">
        <v>136607.85</v>
      </c>
      <c r="E18" s="269">
        <v>164901.42000000001</v>
      </c>
      <c r="F18" s="145">
        <v>351090.75</v>
      </c>
      <c r="G18" s="163">
        <f t="shared" si="0"/>
        <v>-1.1077371444611437E-3</v>
      </c>
      <c r="H18" s="155">
        <f t="shared" si="3"/>
        <v>0.20711525728572702</v>
      </c>
      <c r="I18" s="263">
        <f t="shared" si="4"/>
        <v>-0.11433474732413493</v>
      </c>
      <c r="J18" s="150">
        <v>604</v>
      </c>
      <c r="K18" s="63">
        <f t="shared" si="5"/>
        <v>273.01559602649007</v>
      </c>
      <c r="L18" s="61">
        <v>88</v>
      </c>
      <c r="M18" s="28">
        <f t="shared" si="1"/>
        <v>0.14569536423841059</v>
      </c>
      <c r="N18" s="46">
        <f>L18+'12 - 18 April 2021'!L18+'19 - 25 April 2021'!J18+'26 April - 2 May 2021'!J18+'3 - 9 May 2021'!J18+'10 - 16 May 2021'!J18+'17 - 23 May 2021'!J18+'24 - 30 May 2021'!J18+'31 May - 6 June 2021'!J18+'7 - 13 June 2021'!J18+'14 - 20 June 2021'!J18+'21 - 27 June 2021'!J18+'28 June - 4 July 2021'!J18+'5 - 11 July 2021'!L18+'12 - 18 July 2021'!L18+'19 - 25 July 2021'!L18+'26 July - 1 August 2021'!L18+'2 - 8 August 2021'!L18+'9 - 15 August 2021'!L18+'16 - 22 August 2021'!L18+'23 - 29 August 2021'!L18+'30 August - 5 Sept 2021'!L18+'6 - 12 Sept 2021'!L18+'13 - 19 Sept 2021'!L18+'20 - 26 Sept 2021'!L18+'27 Sept - 3 Oct 2021'!L18+'4 - 10 Oct 2021'!L18+'11 - 17 Oct 2021'!L18+'18 - 24 Oct 2021'!L18+'25 - 31 Oct 2021'!L18+'1 - 7 Nov'!L18</f>
        <v>2441</v>
      </c>
      <c r="O18" s="172">
        <f t="shared" si="2"/>
        <v>4.0413907284768209</v>
      </c>
      <c r="P18" s="260">
        <v>26666.240000000002</v>
      </c>
      <c r="Q18" s="89">
        <f t="shared" si="6"/>
        <v>0.16171019024578442</v>
      </c>
      <c r="R18" s="260">
        <v>14985.72</v>
      </c>
      <c r="S18" s="89">
        <f t="shared" si="7"/>
        <v>9.0876840235820877E-2</v>
      </c>
      <c r="T18" s="130">
        <v>3174.5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73" priority="16" operator="equal">
      <formula>0</formula>
    </cfRule>
  </conditionalFormatting>
  <conditionalFormatting sqref="D7:F19">
    <cfRule type="cellIs" dxfId="272" priority="1" operator="equal">
      <formula>0</formula>
    </cfRule>
  </conditionalFormatting>
  <conditionalFormatting sqref="G6:T19">
    <cfRule type="cellIs" dxfId="271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X41"/>
  <sheetViews>
    <sheetView zoomScale="70" zoomScaleNormal="70" workbookViewId="0">
      <pane xSplit="1" topLeftCell="B1" activePane="topRight" state="frozen"/>
      <selection pane="topRight" activeCell="D9" sqref="D9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-0.15105317978286101</v>
      </c>
      <c r="H2" s="413"/>
      <c r="I2" s="400">
        <f>(((E4-E19-B19)-B4)/E4)</f>
        <v>4.7285394143509575E-3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1776805.2199999997</v>
      </c>
      <c r="C4" s="135">
        <f>SUM(C6:C19)-C14-C19-C10-C9</f>
        <v>2102895.9500000002</v>
      </c>
      <c r="D4" s="142">
        <f>SUM(D6:D19)-D19-D10-D9</f>
        <v>1468363.71</v>
      </c>
      <c r="E4" s="270">
        <f>SUM(E6:E19)-E19-E10-E9</f>
        <v>1785246.8299999998</v>
      </c>
      <c r="F4" s="142">
        <f>SUM(F6:F19)-F19-F10-F9</f>
        <v>5367778.26</v>
      </c>
      <c r="G4" s="217">
        <f t="shared" ref="G4:G19" si="0">IFERROR((SUM(E4-C4)/C4),0)</f>
        <v>-0.15105317978286101</v>
      </c>
      <c r="H4" s="217">
        <f>IFERROR((SUM(E4-D4)/D4),0)</f>
        <v>0.21580696787991299</v>
      </c>
      <c r="I4" s="217">
        <f>IFERROR((SUM(E4-B4)/E4),0)</f>
        <v>4.7285394143509575E-3</v>
      </c>
      <c r="J4" s="262">
        <f>SUM(J6:J18)</f>
        <v>6813</v>
      </c>
      <c r="K4" s="218">
        <f>AVERAGE(K5:K19)</f>
        <v>222.7350978731495</v>
      </c>
      <c r="L4" s="219">
        <f>SUM(L6:L19)</f>
        <v>748</v>
      </c>
      <c r="M4" s="220">
        <f t="shared" ref="M4:M19" si="1">IFERROR(L4/J4,0)</f>
        <v>0.10979010714809923</v>
      </c>
      <c r="N4" s="221">
        <f>SUM(N6:N19)</f>
        <v>748</v>
      </c>
      <c r="O4" s="222">
        <f t="shared" ref="O4:O19" si="2">IFERROR(N4/SUM(J4),0)</f>
        <v>0.10979010714809923</v>
      </c>
      <c r="P4" s="249">
        <f>SUM(P6:P19)</f>
        <v>378521.96</v>
      </c>
      <c r="Q4" s="222">
        <f>SUM(P4/E4)</f>
        <v>0.21202780122006998</v>
      </c>
      <c r="R4" s="244">
        <f>SUM(R6:R19)</f>
        <v>203259.13</v>
      </c>
      <c r="S4" s="222">
        <f>SUM(R4/E4)</f>
        <v>0.11385491719371939</v>
      </c>
      <c r="T4" s="257">
        <f>SUM(T6:T19)</f>
        <v>57669.55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'8 - 14 Nov'!E6</f>
        <v>193086.26</v>
      </c>
      <c r="C6" s="255">
        <v>249420.07</v>
      </c>
      <c r="D6" s="197">
        <v>161283.62</v>
      </c>
      <c r="E6" s="268">
        <v>212158.9</v>
      </c>
      <c r="F6" s="123">
        <v>625496.42000000004</v>
      </c>
      <c r="G6" s="162">
        <f t="shared" si="0"/>
        <v>-0.14939122581434611</v>
      </c>
      <c r="H6" s="154">
        <f t="shared" ref="H6:H18" si="3">IFERROR((SUM(E6-D6)/D6),0)</f>
        <v>0.31543984441817463</v>
      </c>
      <c r="I6" s="266">
        <f t="shared" ref="I6:I19" si="4">IFERROR((SUM(E6-B6)/B6),0)</f>
        <v>9.8777820855818446E-2</v>
      </c>
      <c r="J6" s="149">
        <v>656</v>
      </c>
      <c r="K6" s="63">
        <f t="shared" ref="K6:K19" si="5">IFERROR(E6/J6,0)</f>
        <v>323.41295731707316</v>
      </c>
      <c r="L6" s="125">
        <v>46</v>
      </c>
      <c r="M6" s="126">
        <f t="shared" si="1"/>
        <v>7.0121951219512202E-2</v>
      </c>
      <c r="N6" s="46">
        <f t="shared" ref="N6:N18" si="6">L6</f>
        <v>46</v>
      </c>
      <c r="O6" s="171">
        <f t="shared" si="2"/>
        <v>7.0121951219512202E-2</v>
      </c>
      <c r="P6" s="259">
        <v>38743.74</v>
      </c>
      <c r="Q6" s="128">
        <f t="shared" ref="Q6:Q19" si="7">SUM(P6/E6)</f>
        <v>0.18261661424526615</v>
      </c>
      <c r="R6" s="260">
        <v>9314</v>
      </c>
      <c r="S6" s="128">
        <f t="shared" ref="S6:S19" si="8">SUM(R6/E6)</f>
        <v>4.3901057179312301E-2</v>
      </c>
      <c r="T6" s="129">
        <v>6537.45</v>
      </c>
      <c r="U6" s="26"/>
    </row>
    <row r="7" spans="1:24" ht="15.6" customHeight="1" x14ac:dyDescent="0.3">
      <c r="A7" s="409" t="s">
        <v>16</v>
      </c>
      <c r="B7" s="200">
        <f>'8 - 14 Nov'!E7</f>
        <v>245963.82</v>
      </c>
      <c r="C7" s="73">
        <v>277083.59000000003</v>
      </c>
      <c r="D7" s="145">
        <v>178938.56</v>
      </c>
      <c r="E7" s="269">
        <v>243787.69</v>
      </c>
      <c r="F7" s="145">
        <v>698036.05</v>
      </c>
      <c r="G7" s="163">
        <f t="shared" si="0"/>
        <v>-0.12016554282409875</v>
      </c>
      <c r="H7" s="155">
        <f t="shared" si="3"/>
        <v>0.36241003615989759</v>
      </c>
      <c r="I7" s="263">
        <f t="shared" si="4"/>
        <v>-8.8473581195803695E-3</v>
      </c>
      <c r="J7" s="150">
        <v>815</v>
      </c>
      <c r="K7" s="63">
        <f t="shared" si="5"/>
        <v>299.12599999999998</v>
      </c>
      <c r="L7" s="61">
        <v>68</v>
      </c>
      <c r="M7" s="28">
        <f t="shared" si="1"/>
        <v>8.3435582822085894E-2</v>
      </c>
      <c r="N7" s="46">
        <f t="shared" si="6"/>
        <v>68</v>
      </c>
      <c r="O7" s="172">
        <f t="shared" si="2"/>
        <v>8.3435582822085894E-2</v>
      </c>
      <c r="P7" s="260">
        <v>44941.52</v>
      </c>
      <c r="Q7" s="89">
        <f t="shared" si="7"/>
        <v>0.1843469618995118</v>
      </c>
      <c r="R7" s="260">
        <v>20818.39</v>
      </c>
      <c r="S7" s="89">
        <f t="shared" si="8"/>
        <v>8.5395575141632457E-2</v>
      </c>
      <c r="T7" s="130">
        <v>8058.2</v>
      </c>
      <c r="U7" s="26"/>
    </row>
    <row r="8" spans="1:24" ht="15.6" customHeight="1" x14ac:dyDescent="0.3">
      <c r="A8" s="409" t="s">
        <v>17</v>
      </c>
      <c r="B8" s="200">
        <f>'8 - 14 Nov'!E8</f>
        <v>118190.42</v>
      </c>
      <c r="C8" s="73">
        <v>126423.17</v>
      </c>
      <c r="D8" s="145">
        <v>102953.87</v>
      </c>
      <c r="E8" s="269">
        <v>125078.1</v>
      </c>
      <c r="F8" s="145">
        <v>375908.63</v>
      </c>
      <c r="G8" s="163">
        <f t="shared" si="0"/>
        <v>-1.0639426301365426E-2</v>
      </c>
      <c r="H8" s="155">
        <f t="shared" si="3"/>
        <v>0.2148945930832907</v>
      </c>
      <c r="I8" s="263">
        <f t="shared" si="4"/>
        <v>5.8276127625233987E-2</v>
      </c>
      <c r="J8" s="150">
        <v>514</v>
      </c>
      <c r="K8" s="63">
        <f t="shared" si="5"/>
        <v>243.34260700389106</v>
      </c>
      <c r="L8" s="61">
        <v>32</v>
      </c>
      <c r="M8" s="28">
        <f t="shared" si="1"/>
        <v>6.2256809338521402E-2</v>
      </c>
      <c r="N8" s="46">
        <f t="shared" si="6"/>
        <v>32</v>
      </c>
      <c r="O8" s="172">
        <f t="shared" si="2"/>
        <v>6.2256809338521402E-2</v>
      </c>
      <c r="P8" s="260">
        <v>51272.52</v>
      </c>
      <c r="Q8" s="89">
        <f t="shared" si="7"/>
        <v>0.40992403946014527</v>
      </c>
      <c r="R8" s="260">
        <v>14654.83</v>
      </c>
      <c r="S8" s="89">
        <f t="shared" si="8"/>
        <v>0.11716543503618938</v>
      </c>
      <c r="T8" s="130">
        <v>3079.7</v>
      </c>
      <c r="U8" s="26"/>
    </row>
    <row r="9" spans="1:24" ht="15.6" customHeight="1" x14ac:dyDescent="0.3">
      <c r="A9" s="409" t="s">
        <v>18</v>
      </c>
      <c r="B9" s="200">
        <f>'8 - 14 Nov'!E9</f>
        <v>0</v>
      </c>
      <c r="C9" s="73">
        <v>334792.28000000003</v>
      </c>
      <c r="D9" s="145">
        <v>211104.3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 t="shared" si="6"/>
        <v>0</v>
      </c>
      <c r="O9" s="172">
        <f t="shared" si="2"/>
        <v>0</v>
      </c>
      <c r="P9" s="260">
        <v>0</v>
      </c>
      <c r="Q9" s="89" t="e">
        <f t="shared" si="7"/>
        <v>#DIV/0!</v>
      </c>
      <c r="R9" s="260">
        <v>0</v>
      </c>
      <c r="S9" s="89" t="e">
        <f t="shared" si="8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'8 - 14 Nov'!E10</f>
        <v>149959.23000000001</v>
      </c>
      <c r="C10" s="73">
        <v>151772.76999999999</v>
      </c>
      <c r="D10" s="145">
        <v>132187.5</v>
      </c>
      <c r="E10" s="269">
        <v>155534.25</v>
      </c>
      <c r="F10" s="145">
        <v>452804.42</v>
      </c>
      <c r="G10" s="163">
        <f t="shared" si="0"/>
        <v>2.4783628841985362E-2</v>
      </c>
      <c r="H10" s="155">
        <f t="shared" si="3"/>
        <v>0.17661843971631205</v>
      </c>
      <c r="I10" s="263">
        <f t="shared" si="4"/>
        <v>3.7176904682692684E-2</v>
      </c>
      <c r="J10" s="150">
        <v>539</v>
      </c>
      <c r="K10" s="63">
        <f t="shared" si="5"/>
        <v>288.56076066790354</v>
      </c>
      <c r="L10" s="61">
        <v>52</v>
      </c>
      <c r="M10" s="28">
        <f t="shared" si="1"/>
        <v>9.6474953617810763E-2</v>
      </c>
      <c r="N10" s="46">
        <f t="shared" si="6"/>
        <v>52</v>
      </c>
      <c r="O10" s="172">
        <f t="shared" si="2"/>
        <v>9.6474953617810763E-2</v>
      </c>
      <c r="P10" s="260">
        <v>50198.48</v>
      </c>
      <c r="Q10" s="89">
        <f t="shared" si="7"/>
        <v>0.322748719333523</v>
      </c>
      <c r="R10" s="260">
        <v>14527</v>
      </c>
      <c r="S10" s="89">
        <f t="shared" si="8"/>
        <v>9.3400649696128019E-2</v>
      </c>
      <c r="T10" s="130">
        <v>2742.2</v>
      </c>
      <c r="U10" s="26"/>
    </row>
    <row r="11" spans="1:24" ht="15.6" customHeight="1" x14ac:dyDescent="0.3">
      <c r="A11" s="409" t="s">
        <v>21</v>
      </c>
      <c r="B11" s="200">
        <f>'8 - 14 Nov'!E11</f>
        <v>220256.34</v>
      </c>
      <c r="C11" s="73">
        <v>372731.86</v>
      </c>
      <c r="D11" s="145">
        <v>240795.46</v>
      </c>
      <c r="E11" s="269">
        <v>235541.57</v>
      </c>
      <c r="F11" s="145">
        <v>699776.25</v>
      </c>
      <c r="G11" s="163">
        <f t="shared" si="0"/>
        <v>-0.36806697983907249</v>
      </c>
      <c r="H11" s="155">
        <f t="shared" si="3"/>
        <v>-2.1818891435909902E-2</v>
      </c>
      <c r="I11" s="263">
        <f t="shared" si="4"/>
        <v>6.93974575260808E-2</v>
      </c>
      <c r="J11" s="150">
        <v>822</v>
      </c>
      <c r="K11" s="63">
        <f t="shared" si="5"/>
        <v>286.54692214111924</v>
      </c>
      <c r="L11" s="61">
        <v>159</v>
      </c>
      <c r="M11" s="28">
        <f t="shared" si="1"/>
        <v>0.19343065693430658</v>
      </c>
      <c r="N11" s="46">
        <f t="shared" si="6"/>
        <v>159</v>
      </c>
      <c r="O11" s="172">
        <f t="shared" si="2"/>
        <v>0.19343065693430658</v>
      </c>
      <c r="P11" s="260">
        <v>46956.61</v>
      </c>
      <c r="Q11" s="89">
        <f t="shared" si="7"/>
        <v>0.19935593534508581</v>
      </c>
      <c r="R11" s="260">
        <v>19413.87</v>
      </c>
      <c r="S11" s="89">
        <f t="shared" si="8"/>
        <v>8.2422266269177022E-2</v>
      </c>
      <c r="T11" s="130">
        <v>10942.7</v>
      </c>
      <c r="U11" s="26"/>
    </row>
    <row r="12" spans="1:24" ht="15.6" customHeight="1" x14ac:dyDescent="0.3">
      <c r="A12" s="198" t="s">
        <v>22</v>
      </c>
      <c r="B12" s="200">
        <f>'8 - 14 Nov'!E12</f>
        <v>117466.88</v>
      </c>
      <c r="C12" s="73">
        <v>143504.95999999999</v>
      </c>
      <c r="D12" s="145">
        <v>91468.43</v>
      </c>
      <c r="E12" s="269">
        <v>113656.36</v>
      </c>
      <c r="F12" s="145">
        <v>349887.38</v>
      </c>
      <c r="G12" s="163">
        <f t="shared" si="0"/>
        <v>-0.20799699188097745</v>
      </c>
      <c r="H12" s="155">
        <f t="shared" si="3"/>
        <v>0.24257473316203207</v>
      </c>
      <c r="I12" s="263">
        <f t="shared" si="4"/>
        <v>-3.2439101132165971E-2</v>
      </c>
      <c r="J12" s="150">
        <v>426</v>
      </c>
      <c r="K12" s="63">
        <f t="shared" si="5"/>
        <v>266.79896713615022</v>
      </c>
      <c r="L12" s="61">
        <v>44</v>
      </c>
      <c r="M12" s="28">
        <f t="shared" si="1"/>
        <v>0.10328638497652583</v>
      </c>
      <c r="N12" s="46">
        <f t="shared" si="6"/>
        <v>44</v>
      </c>
      <c r="O12" s="172">
        <f t="shared" si="2"/>
        <v>0.10328638497652583</v>
      </c>
      <c r="P12" s="260">
        <v>20732.39</v>
      </c>
      <c r="Q12" s="89">
        <f t="shared" si="7"/>
        <v>0.18241293316097754</v>
      </c>
      <c r="R12" s="260">
        <v>11834.19</v>
      </c>
      <c r="S12" s="89">
        <f t="shared" si="8"/>
        <v>0.10412254976316328</v>
      </c>
      <c r="T12" s="130">
        <v>6849.5</v>
      </c>
      <c r="U12" s="26"/>
    </row>
    <row r="13" spans="1:24" ht="15.6" customHeight="1" x14ac:dyDescent="0.3">
      <c r="A13" s="198" t="s">
        <v>23</v>
      </c>
      <c r="B13" s="200">
        <f>'8 - 14 Nov'!E13</f>
        <v>194468.69</v>
      </c>
      <c r="C13" s="73">
        <v>218108.55</v>
      </c>
      <c r="D13" s="145">
        <v>166631.94</v>
      </c>
      <c r="E13" s="269">
        <v>191383.89</v>
      </c>
      <c r="F13" s="145">
        <v>578294.28</v>
      </c>
      <c r="G13" s="163">
        <f t="shared" si="0"/>
        <v>-0.12252917182751422</v>
      </c>
      <c r="H13" s="155">
        <f t="shared" si="3"/>
        <v>0.14854265034662628</v>
      </c>
      <c r="I13" s="263">
        <f t="shared" si="4"/>
        <v>-1.5862707770592729E-2</v>
      </c>
      <c r="J13" s="150">
        <v>725</v>
      </c>
      <c r="K13" s="63">
        <f t="shared" si="5"/>
        <v>263.97777931034483</v>
      </c>
      <c r="L13" s="61">
        <v>80</v>
      </c>
      <c r="M13" s="28">
        <f t="shared" si="1"/>
        <v>0.1103448275862069</v>
      </c>
      <c r="N13" s="46">
        <f t="shared" si="6"/>
        <v>80</v>
      </c>
      <c r="O13" s="172">
        <f t="shared" si="2"/>
        <v>0.1103448275862069</v>
      </c>
      <c r="P13" s="260">
        <v>36494.04</v>
      </c>
      <c r="Q13" s="89">
        <f t="shared" si="7"/>
        <v>0.19068501533749782</v>
      </c>
      <c r="R13" s="260">
        <v>24619.26</v>
      </c>
      <c r="S13" s="89">
        <f t="shared" si="8"/>
        <v>0.12863810010340995</v>
      </c>
      <c r="T13" s="130">
        <v>4943.5</v>
      </c>
      <c r="U13" s="26"/>
    </row>
    <row r="14" spans="1:24" ht="15.6" hidden="1" customHeight="1" x14ac:dyDescent="0.3">
      <c r="A14" s="198" t="s">
        <v>24</v>
      </c>
      <c r="B14" s="200">
        <f>'8 - 14 Nov'!E14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 t="shared" si="6"/>
        <v>0</v>
      </c>
      <c r="O14" s="172">
        <f t="shared" si="2"/>
        <v>0</v>
      </c>
      <c r="P14" s="247"/>
      <c r="Q14" s="89" t="e">
        <f t="shared" si="7"/>
        <v>#DIV/0!</v>
      </c>
      <c r="R14" s="260"/>
      <c r="S14" s="89" t="e">
        <f t="shared" si="8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'8 - 14 Nov'!E15</f>
        <v>182462.52</v>
      </c>
      <c r="C15" s="73">
        <v>203493.11</v>
      </c>
      <c r="D15" s="145">
        <v>157494.72</v>
      </c>
      <c r="E15" s="269">
        <v>183104.61</v>
      </c>
      <c r="F15" s="145">
        <v>535859.12</v>
      </c>
      <c r="G15" s="163">
        <f t="shared" si="0"/>
        <v>-0.1001925814589005</v>
      </c>
      <c r="H15" s="155">
        <f t="shared" si="3"/>
        <v>0.16260792742766225</v>
      </c>
      <c r="I15" s="263">
        <f t="shared" si="4"/>
        <v>3.5190240713544709E-3</v>
      </c>
      <c r="J15" s="150">
        <v>564</v>
      </c>
      <c r="K15" s="63">
        <f t="shared" si="5"/>
        <v>324.65356382978723</v>
      </c>
      <c r="L15" s="61">
        <v>71</v>
      </c>
      <c r="M15" s="28">
        <f t="shared" si="1"/>
        <v>0.12588652482269502</v>
      </c>
      <c r="N15" s="46">
        <f t="shared" si="6"/>
        <v>71</v>
      </c>
      <c r="O15" s="172">
        <f t="shared" si="2"/>
        <v>0.12588652482269502</v>
      </c>
      <c r="P15" s="260">
        <v>0</v>
      </c>
      <c r="Q15" s="89">
        <f t="shared" si="7"/>
        <v>0</v>
      </c>
      <c r="R15" s="260">
        <v>18184.78</v>
      </c>
      <c r="S15" s="89">
        <f t="shared" si="8"/>
        <v>9.9313610946223582E-2</v>
      </c>
      <c r="T15" s="130">
        <v>2394.5</v>
      </c>
      <c r="U15" s="9"/>
    </row>
    <row r="16" spans="1:24" ht="15.6" customHeight="1" x14ac:dyDescent="0.3">
      <c r="A16" s="198" t="s">
        <v>27</v>
      </c>
      <c r="B16" s="200">
        <f>'8 - 14 Nov'!E16</f>
        <v>144976.69</v>
      </c>
      <c r="C16" s="73">
        <v>130233.66</v>
      </c>
      <c r="D16" s="145">
        <v>96347.74</v>
      </c>
      <c r="E16" s="269">
        <v>128705.38</v>
      </c>
      <c r="F16" s="145">
        <v>412641.03</v>
      </c>
      <c r="G16" s="163">
        <f t="shared" si="0"/>
        <v>-1.1734907857154584E-2</v>
      </c>
      <c r="H16" s="155">
        <f t="shared" si="3"/>
        <v>0.33584223148358228</v>
      </c>
      <c r="I16" s="263">
        <f t="shared" si="4"/>
        <v>-0.11223397361327533</v>
      </c>
      <c r="J16" s="150">
        <v>461</v>
      </c>
      <c r="K16" s="63">
        <f t="shared" si="5"/>
        <v>279.18737527114968</v>
      </c>
      <c r="L16" s="61">
        <v>40</v>
      </c>
      <c r="M16" s="28">
        <f t="shared" si="1"/>
        <v>8.6767895878524945E-2</v>
      </c>
      <c r="N16" s="46">
        <f t="shared" si="6"/>
        <v>40</v>
      </c>
      <c r="O16" s="172">
        <f t="shared" si="2"/>
        <v>8.6767895878524945E-2</v>
      </c>
      <c r="P16" s="260">
        <v>29358.959999999999</v>
      </c>
      <c r="Q16" s="89">
        <f t="shared" si="7"/>
        <v>0.22810981172659603</v>
      </c>
      <c r="R16" s="260">
        <v>26636.13</v>
      </c>
      <c r="S16" s="89">
        <f t="shared" si="8"/>
        <v>0.20695428582705711</v>
      </c>
      <c r="T16" s="130">
        <v>4349.3</v>
      </c>
      <c r="U16" s="9"/>
      <c r="X16" s="238"/>
    </row>
    <row r="17" spans="1:21" ht="15.6" customHeight="1" x14ac:dyDescent="0.3">
      <c r="A17" s="198" t="s">
        <v>28</v>
      </c>
      <c r="B17" s="200">
        <f>'8 - 14 Nov'!E17</f>
        <v>195032.18</v>
      </c>
      <c r="C17" s="73">
        <v>214348.71</v>
      </c>
      <c r="D17" s="145">
        <v>144792.57999999999</v>
      </c>
      <c r="E17" s="269">
        <v>199114.42</v>
      </c>
      <c r="F17" s="145">
        <v>588072.43999999994</v>
      </c>
      <c r="G17" s="163">
        <f t="shared" si="0"/>
        <v>-7.1072459451703623E-2</v>
      </c>
      <c r="H17" s="155">
        <f t="shared" si="3"/>
        <v>0.37517005360357575</v>
      </c>
      <c r="I17" s="263">
        <f t="shared" si="4"/>
        <v>2.0931109932730178E-2</v>
      </c>
      <c r="J17" s="150">
        <v>685</v>
      </c>
      <c r="K17" s="63">
        <f t="shared" si="5"/>
        <v>290.67798540145986</v>
      </c>
      <c r="L17" s="61">
        <v>55</v>
      </c>
      <c r="M17" s="28">
        <f t="shared" si="1"/>
        <v>8.0291970802919707E-2</v>
      </c>
      <c r="N17" s="46">
        <f t="shared" si="6"/>
        <v>55</v>
      </c>
      <c r="O17" s="172">
        <f t="shared" si="2"/>
        <v>8.0291970802919707E-2</v>
      </c>
      <c r="P17" s="260">
        <v>30411</v>
      </c>
      <c r="Q17" s="89">
        <f t="shared" si="7"/>
        <v>0.15273127882952928</v>
      </c>
      <c r="R17" s="260">
        <v>27266.9</v>
      </c>
      <c r="S17" s="89">
        <f t="shared" si="8"/>
        <v>0.13694086043592424</v>
      </c>
      <c r="T17" s="130">
        <v>4613</v>
      </c>
      <c r="U17" s="9"/>
    </row>
    <row r="18" spans="1:21" ht="15.6" customHeight="1" x14ac:dyDescent="0.3">
      <c r="A18" s="198" t="s">
        <v>33</v>
      </c>
      <c r="B18" s="200">
        <f>'8 - 14 Nov'!E18</f>
        <v>164901.42000000001</v>
      </c>
      <c r="C18" s="73">
        <v>167548.26999999999</v>
      </c>
      <c r="D18" s="73">
        <v>127656.79</v>
      </c>
      <c r="E18" s="269">
        <v>152715.91</v>
      </c>
      <c r="F18" s="145">
        <v>503806.66</v>
      </c>
      <c r="G18" s="163">
        <f t="shared" si="0"/>
        <v>-8.852589167288917E-2</v>
      </c>
      <c r="H18" s="155">
        <f t="shared" si="3"/>
        <v>0.19630072164590706</v>
      </c>
      <c r="I18" s="263">
        <f t="shared" si="4"/>
        <v>-7.3895725094423131E-2</v>
      </c>
      <c r="J18" s="150">
        <v>606</v>
      </c>
      <c r="K18" s="63">
        <f t="shared" si="5"/>
        <v>252.00645214521452</v>
      </c>
      <c r="L18" s="61">
        <v>101</v>
      </c>
      <c r="M18" s="28">
        <f t="shared" si="1"/>
        <v>0.16666666666666666</v>
      </c>
      <c r="N18" s="46">
        <f t="shared" si="6"/>
        <v>101</v>
      </c>
      <c r="O18" s="172">
        <f t="shared" si="2"/>
        <v>0.16666666666666666</v>
      </c>
      <c r="P18" s="260">
        <v>29412.7</v>
      </c>
      <c r="Q18" s="89">
        <f t="shared" si="7"/>
        <v>0.19259748378541569</v>
      </c>
      <c r="R18" s="260">
        <v>15989.78</v>
      </c>
      <c r="S18" s="89">
        <f t="shared" si="8"/>
        <v>0.10470277785726452</v>
      </c>
      <c r="T18" s="130">
        <v>3159.5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7"/>
        <v>#DIV/0!</v>
      </c>
      <c r="R19" s="261">
        <v>0</v>
      </c>
      <c r="S19" s="116" t="e">
        <f t="shared" si="8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70" priority="14" operator="equal">
      <formula>0</formula>
    </cfRule>
  </conditionalFormatting>
  <conditionalFormatting sqref="D7:F19">
    <cfRule type="cellIs" dxfId="269" priority="1" operator="equal">
      <formula>0</formula>
    </cfRule>
  </conditionalFormatting>
  <conditionalFormatting sqref="G6:T19">
    <cfRule type="cellIs" dxfId="26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X41"/>
  <sheetViews>
    <sheetView zoomScale="70" zoomScaleNormal="70" workbookViewId="0">
      <pane xSplit="1" topLeftCell="G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-0.18516414725063596</v>
      </c>
      <c r="H2" s="413"/>
      <c r="I2" s="400">
        <f>(((E4-E19-B19)-B4)/E4)</f>
        <v>9.6518714049484741E-2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1785246.8299999998</v>
      </c>
      <c r="C4" s="135">
        <f>SUM(C6:C19)-C14-C19-C10-C9</f>
        <v>2424984.5700000003</v>
      </c>
      <c r="D4" s="142">
        <f>SUM(D6:D19)-D19-D10-D9</f>
        <v>1782699.08</v>
      </c>
      <c r="E4" s="270">
        <f>SUM(E6:E19)-E19-E10-E9</f>
        <v>1975964.37</v>
      </c>
      <c r="F4" s="142">
        <f>SUM(F6:F19)-F19-F10-F9</f>
        <v>7299239.9799999995</v>
      </c>
      <c r="G4" s="217">
        <f t="shared" ref="G4:G19" si="0">IFERROR((SUM(E4-C4)/C4),0)</f>
        <v>-0.18516414725063596</v>
      </c>
      <c r="H4" s="217">
        <f>IFERROR((SUM(E4-D4)/D4),0)</f>
        <v>0.10841161706326792</v>
      </c>
      <c r="I4" s="217">
        <f>IFERROR((SUM(E4-B4)/E4),0)</f>
        <v>9.6518714049484741E-2</v>
      </c>
      <c r="J4" s="262">
        <f>SUM(J6:J18)</f>
        <v>7268</v>
      </c>
      <c r="K4" s="218">
        <f>AVERAGE(K5:K19)</f>
        <v>230.11875124377889</v>
      </c>
      <c r="L4" s="219">
        <f>SUM(L6:L19)</f>
        <v>655</v>
      </c>
      <c r="M4" s="220">
        <f t="shared" ref="M4:M19" si="1">IFERROR(L4/J4,0)</f>
        <v>9.0121078701155752E-2</v>
      </c>
      <c r="N4" s="221">
        <f>SUM(N6:N19)</f>
        <v>1403</v>
      </c>
      <c r="O4" s="222">
        <f t="shared" ref="O4:O19" si="2">IFERROR(N4/SUM(J4),0)</f>
        <v>0.19303797468354431</v>
      </c>
      <c r="P4" s="249">
        <f>SUM(P6:P19)</f>
        <v>420725.63</v>
      </c>
      <c r="Q4" s="222">
        <f>SUM(P4/E4)</f>
        <v>0.21292166821813693</v>
      </c>
      <c r="R4" s="244">
        <f>SUM(R6:R19)</f>
        <v>325134.33</v>
      </c>
      <c r="S4" s="222">
        <f>SUM(R4/E4)</f>
        <v>0.16454463194596974</v>
      </c>
      <c r="T4" s="257">
        <f>SUM(T6:T19)</f>
        <v>69366.2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'15 - 21 Nov'!E6</f>
        <v>212158.9</v>
      </c>
      <c r="C6" s="255">
        <v>296557.98</v>
      </c>
      <c r="D6" s="197">
        <v>213583.61</v>
      </c>
      <c r="E6" s="268">
        <v>224536.32000000001</v>
      </c>
      <c r="F6" s="123">
        <v>850032.74</v>
      </c>
      <c r="G6" s="162">
        <f t="shared" si="0"/>
        <v>-0.24285861402212133</v>
      </c>
      <c r="H6" s="154">
        <f t="shared" ref="H6:H18" si="3">IFERROR((SUM(E6-D6)/D6),0)</f>
        <v>5.1280667088640472E-2</v>
      </c>
      <c r="I6" s="266">
        <f t="shared" ref="I6:I19" si="4">IFERROR((SUM(E6-B6)/B6),0)</f>
        <v>5.8340328876139595E-2</v>
      </c>
      <c r="J6" s="149">
        <v>700</v>
      </c>
      <c r="K6" s="63">
        <f t="shared" ref="K6:K19" si="5">IFERROR(E6/J6,0)</f>
        <v>320.76617142857145</v>
      </c>
      <c r="L6" s="125">
        <v>51</v>
      </c>
      <c r="M6" s="126">
        <f t="shared" si="1"/>
        <v>7.2857142857142856E-2</v>
      </c>
      <c r="N6" s="46">
        <f>L6+'15 - 21 Nov'!L6</f>
        <v>97</v>
      </c>
      <c r="O6" s="171">
        <f t="shared" si="2"/>
        <v>0.13857142857142857</v>
      </c>
      <c r="P6" s="259">
        <v>44147.519999999997</v>
      </c>
      <c r="Q6" s="128">
        <f t="shared" ref="Q6:Q19" si="6">SUM(P6/E6)</f>
        <v>0.19661638705043352</v>
      </c>
      <c r="R6" s="260">
        <v>9382.6299999999992</v>
      </c>
      <c r="S6" s="128">
        <f t="shared" ref="S6:S19" si="7">SUM(R6/E6)</f>
        <v>4.1786691792223184E-2</v>
      </c>
      <c r="T6" s="129">
        <v>5493.15</v>
      </c>
      <c r="U6" s="26"/>
    </row>
    <row r="7" spans="1:24" ht="15.6" customHeight="1" x14ac:dyDescent="0.3">
      <c r="A7" s="409" t="s">
        <v>16</v>
      </c>
      <c r="B7" s="200">
        <f>'15 - 21 Nov'!E7</f>
        <v>243787.69</v>
      </c>
      <c r="C7" s="73">
        <v>384641.91</v>
      </c>
      <c r="D7" s="145">
        <v>249670.73</v>
      </c>
      <c r="E7" s="269">
        <v>275338.65000000002</v>
      </c>
      <c r="F7" s="145">
        <v>973374.7</v>
      </c>
      <c r="G7" s="163">
        <f t="shared" si="0"/>
        <v>-0.28416887800915913</v>
      </c>
      <c r="H7" s="155">
        <f t="shared" si="3"/>
        <v>0.10280708515571693</v>
      </c>
      <c r="I7" s="263">
        <f t="shared" si="4"/>
        <v>0.12941982427414617</v>
      </c>
      <c r="J7" s="150">
        <v>839</v>
      </c>
      <c r="K7" s="63">
        <f t="shared" si="5"/>
        <v>328.1747914183552</v>
      </c>
      <c r="L7" s="61">
        <v>73</v>
      </c>
      <c r="M7" s="28">
        <f t="shared" si="1"/>
        <v>8.7008343265792612E-2</v>
      </c>
      <c r="N7" s="46">
        <f>L7+'15 - 21 Nov'!L7</f>
        <v>141</v>
      </c>
      <c r="O7" s="172">
        <f t="shared" si="2"/>
        <v>0.16805721096543505</v>
      </c>
      <c r="P7" s="260">
        <v>36863.379999999997</v>
      </c>
      <c r="Q7" s="89">
        <f t="shared" si="6"/>
        <v>0.13388378275262117</v>
      </c>
      <c r="R7" s="260">
        <v>18940.87</v>
      </c>
      <c r="S7" s="89">
        <f t="shared" si="7"/>
        <v>6.879117770062429E-2</v>
      </c>
      <c r="T7" s="130">
        <v>10418.15</v>
      </c>
      <c r="U7" s="26"/>
    </row>
    <row r="8" spans="1:24" ht="15.6" customHeight="1" x14ac:dyDescent="0.3">
      <c r="A8" s="409" t="s">
        <v>17</v>
      </c>
      <c r="B8" s="200">
        <f>'15 - 21 Nov'!E8</f>
        <v>125078.1</v>
      </c>
      <c r="C8" s="73">
        <v>127269.54</v>
      </c>
      <c r="D8" s="145">
        <v>119566.77</v>
      </c>
      <c r="E8" s="269">
        <v>122785.28</v>
      </c>
      <c r="F8" s="145">
        <v>498693.91</v>
      </c>
      <c r="G8" s="163">
        <f t="shared" si="0"/>
        <v>-3.5234353797460059E-2</v>
      </c>
      <c r="H8" s="155">
        <f t="shared" si="3"/>
        <v>2.6918097728992719E-2</v>
      </c>
      <c r="I8" s="263">
        <f t="shared" si="4"/>
        <v>-1.8331106724518577E-2</v>
      </c>
      <c r="J8" s="150">
        <v>497</v>
      </c>
      <c r="K8" s="63">
        <f t="shared" si="5"/>
        <v>247.05287726358148</v>
      </c>
      <c r="L8" s="61">
        <v>28</v>
      </c>
      <c r="M8" s="28">
        <f t="shared" si="1"/>
        <v>5.6338028169014086E-2</v>
      </c>
      <c r="N8" s="46">
        <f>L8+'15 - 21 Nov'!L8</f>
        <v>60</v>
      </c>
      <c r="O8" s="172">
        <f t="shared" si="2"/>
        <v>0.12072434607645875</v>
      </c>
      <c r="P8" s="260">
        <v>50691.040000000001</v>
      </c>
      <c r="Q8" s="89">
        <f t="shared" si="6"/>
        <v>0.4128429727081292</v>
      </c>
      <c r="R8" s="260">
        <v>15663</v>
      </c>
      <c r="S8" s="89">
        <f t="shared" si="7"/>
        <v>0.12756415101223861</v>
      </c>
      <c r="T8" s="130">
        <v>2135.25</v>
      </c>
      <c r="U8" s="26"/>
    </row>
    <row r="9" spans="1:24" ht="15.6" customHeight="1" x14ac:dyDescent="0.3">
      <c r="A9" s="409" t="s">
        <v>18</v>
      </c>
      <c r="B9" s="200">
        <f>'15 - 21 Nov'!E9</f>
        <v>0</v>
      </c>
      <c r="C9" s="73">
        <v>344599.74</v>
      </c>
      <c r="D9" s="145">
        <v>284837.61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'15 - 21 Nov'!E10</f>
        <v>155534.25</v>
      </c>
      <c r="C10" s="73">
        <v>191019.57</v>
      </c>
      <c r="D10" s="145">
        <v>148998.25</v>
      </c>
      <c r="E10" s="269">
        <v>167295.85999999999</v>
      </c>
      <c r="F10" s="145">
        <v>620100.28</v>
      </c>
      <c r="G10" s="163">
        <f t="shared" si="0"/>
        <v>-0.12419518062992195</v>
      </c>
      <c r="H10" s="155">
        <f t="shared" si="3"/>
        <v>0.12280419400898994</v>
      </c>
      <c r="I10" s="263">
        <f t="shared" si="4"/>
        <v>7.562070733616541E-2</v>
      </c>
      <c r="J10" s="150">
        <v>590</v>
      </c>
      <c r="K10" s="63">
        <f t="shared" si="5"/>
        <v>283.55230508474574</v>
      </c>
      <c r="L10" s="61">
        <v>49</v>
      </c>
      <c r="M10" s="28">
        <f t="shared" si="1"/>
        <v>8.3050847457627114E-2</v>
      </c>
      <c r="N10" s="46">
        <f>L10+'15 - 21 Nov'!L10</f>
        <v>101</v>
      </c>
      <c r="O10" s="172">
        <f t="shared" si="2"/>
        <v>0.1711864406779661</v>
      </c>
      <c r="P10" s="260">
        <v>65687.17</v>
      </c>
      <c r="Q10" s="89">
        <f t="shared" si="6"/>
        <v>0.39264073839005942</v>
      </c>
      <c r="R10" s="260">
        <v>110640.65</v>
      </c>
      <c r="S10" s="89">
        <f t="shared" si="7"/>
        <v>0.66134720847246309</v>
      </c>
      <c r="T10" s="130">
        <v>6456.8</v>
      </c>
      <c r="U10" s="26"/>
    </row>
    <row r="11" spans="1:24" ht="15.6" customHeight="1" x14ac:dyDescent="0.3">
      <c r="A11" s="409" t="s">
        <v>21</v>
      </c>
      <c r="B11" s="200">
        <f>'15 - 21 Nov'!E11</f>
        <v>235541.57</v>
      </c>
      <c r="C11" s="73">
        <v>383307.6</v>
      </c>
      <c r="D11" s="145">
        <v>263055.05</v>
      </c>
      <c r="E11" s="269">
        <v>249927.98</v>
      </c>
      <c r="F11" s="145">
        <v>949704.23</v>
      </c>
      <c r="G11" s="163">
        <f t="shared" si="0"/>
        <v>-0.34797019417303487</v>
      </c>
      <c r="H11" s="155">
        <f t="shared" si="3"/>
        <v>-4.9902368344572658E-2</v>
      </c>
      <c r="I11" s="263">
        <f t="shared" si="4"/>
        <v>6.1078008438170822E-2</v>
      </c>
      <c r="J11" s="150">
        <v>834</v>
      </c>
      <c r="K11" s="63">
        <f t="shared" si="5"/>
        <v>299.67383693045565</v>
      </c>
      <c r="L11" s="61">
        <v>87</v>
      </c>
      <c r="M11" s="28">
        <f t="shared" si="1"/>
        <v>0.10431654676258993</v>
      </c>
      <c r="N11" s="46">
        <f>L11+'15 - 21 Nov'!L11</f>
        <v>246</v>
      </c>
      <c r="O11" s="172">
        <f t="shared" si="2"/>
        <v>0.29496402877697842</v>
      </c>
      <c r="P11" s="260">
        <v>40829.230000000003</v>
      </c>
      <c r="Q11" s="89">
        <f t="shared" si="6"/>
        <v>0.16336398189590459</v>
      </c>
      <c r="R11" s="260">
        <v>28783.74</v>
      </c>
      <c r="S11" s="89">
        <f t="shared" si="7"/>
        <v>0.1151681376370905</v>
      </c>
      <c r="T11" s="130">
        <v>9352</v>
      </c>
      <c r="U11" s="26"/>
    </row>
    <row r="12" spans="1:24" ht="15.6" customHeight="1" x14ac:dyDescent="0.3">
      <c r="A12" s="198" t="s">
        <v>22</v>
      </c>
      <c r="B12" s="200">
        <f>'15 - 21 Nov'!E12</f>
        <v>113656.36</v>
      </c>
      <c r="C12" s="73">
        <v>162809.35999999999</v>
      </c>
      <c r="D12" s="145">
        <v>124554.72</v>
      </c>
      <c r="E12" s="269">
        <v>131103.29999999999</v>
      </c>
      <c r="F12" s="145">
        <v>480990.68</v>
      </c>
      <c r="G12" s="163">
        <f t="shared" si="0"/>
        <v>-0.19474347175125559</v>
      </c>
      <c r="H12" s="155">
        <f t="shared" si="3"/>
        <v>5.2575928074022303E-2</v>
      </c>
      <c r="I12" s="263">
        <f t="shared" si="4"/>
        <v>0.15350605984566096</v>
      </c>
      <c r="J12" s="150">
        <v>453</v>
      </c>
      <c r="K12" s="63">
        <f t="shared" si="5"/>
        <v>289.41125827814568</v>
      </c>
      <c r="L12" s="61">
        <v>52</v>
      </c>
      <c r="M12" s="28">
        <f t="shared" si="1"/>
        <v>0.11479028697571744</v>
      </c>
      <c r="N12" s="46">
        <f>L12+'15 - 21 Nov'!L12</f>
        <v>96</v>
      </c>
      <c r="O12" s="172">
        <f t="shared" si="2"/>
        <v>0.2119205298013245</v>
      </c>
      <c r="P12" s="260">
        <v>24298.09</v>
      </c>
      <c r="Q12" s="89">
        <f t="shared" si="6"/>
        <v>0.18533545684967503</v>
      </c>
      <c r="R12" s="260">
        <v>10235.48</v>
      </c>
      <c r="S12" s="89">
        <f t="shared" si="7"/>
        <v>7.8071871569975734E-2</v>
      </c>
      <c r="T12" s="130">
        <v>8474.5</v>
      </c>
      <c r="U12" s="26"/>
    </row>
    <row r="13" spans="1:24" ht="15.6" customHeight="1" x14ac:dyDescent="0.3">
      <c r="A13" s="198" t="s">
        <v>23</v>
      </c>
      <c r="B13" s="200">
        <f>'15 - 21 Nov'!E13</f>
        <v>191383.89</v>
      </c>
      <c r="C13" s="73">
        <v>242832.81</v>
      </c>
      <c r="D13" s="145">
        <v>209999.11</v>
      </c>
      <c r="E13" s="269">
        <v>230348.64</v>
      </c>
      <c r="F13" s="145">
        <v>808642.92</v>
      </c>
      <c r="G13" s="163">
        <f t="shared" si="0"/>
        <v>-5.141055691774099E-2</v>
      </c>
      <c r="H13" s="155">
        <f t="shared" si="3"/>
        <v>9.6902934493389187E-2</v>
      </c>
      <c r="I13" s="263">
        <f t="shared" si="4"/>
        <v>0.2035947226279077</v>
      </c>
      <c r="J13" s="150">
        <v>793</v>
      </c>
      <c r="K13" s="63">
        <f t="shared" si="5"/>
        <v>290.47747793190416</v>
      </c>
      <c r="L13" s="61">
        <v>69</v>
      </c>
      <c r="M13" s="28">
        <f t="shared" si="1"/>
        <v>8.7011349306431271E-2</v>
      </c>
      <c r="N13" s="46">
        <f>L13+'15 - 21 Nov'!L13</f>
        <v>149</v>
      </c>
      <c r="O13" s="172">
        <f t="shared" si="2"/>
        <v>0.18789407313997478</v>
      </c>
      <c r="P13" s="260">
        <v>36178.480000000003</v>
      </c>
      <c r="Q13" s="89">
        <f t="shared" si="6"/>
        <v>0.15705966399454324</v>
      </c>
      <c r="R13" s="260">
        <v>34528.35</v>
      </c>
      <c r="S13" s="89">
        <f t="shared" si="7"/>
        <v>0.14989604453492755</v>
      </c>
      <c r="T13" s="130">
        <v>5390.5</v>
      </c>
      <c r="U13" s="26"/>
    </row>
    <row r="14" spans="1:24" ht="15.6" hidden="1" customHeight="1" x14ac:dyDescent="0.3">
      <c r="A14" s="198" t="s">
        <v>24</v>
      </c>
      <c r="B14" s="200">
        <f>'15 - 21 Nov'!E14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'15 - 21 Nov'!E15</f>
        <v>183104.61</v>
      </c>
      <c r="C15" s="73">
        <v>234804.6</v>
      </c>
      <c r="D15" s="145">
        <v>151585.43</v>
      </c>
      <c r="E15" s="269">
        <v>174615.21</v>
      </c>
      <c r="F15" s="145">
        <v>710474.33</v>
      </c>
      <c r="G15" s="163">
        <f t="shared" si="0"/>
        <v>-0.2563382063213413</v>
      </c>
      <c r="H15" s="155">
        <f t="shared" si="3"/>
        <v>0.15192607891140988</v>
      </c>
      <c r="I15" s="263">
        <f t="shared" si="4"/>
        <v>-4.6363660641859289E-2</v>
      </c>
      <c r="J15" s="150">
        <v>539</v>
      </c>
      <c r="K15" s="63">
        <f t="shared" si="5"/>
        <v>323.96142857142854</v>
      </c>
      <c r="L15" s="61">
        <v>54</v>
      </c>
      <c r="M15" s="28">
        <f t="shared" si="1"/>
        <v>0.10018552875695733</v>
      </c>
      <c r="N15" s="46">
        <f>L15+'15 - 21 Nov'!L15</f>
        <v>125</v>
      </c>
      <c r="O15" s="172">
        <f t="shared" si="2"/>
        <v>0.23191094619666047</v>
      </c>
      <c r="P15" s="260">
        <v>0</v>
      </c>
      <c r="Q15" s="89">
        <f t="shared" si="6"/>
        <v>0</v>
      </c>
      <c r="R15" s="260">
        <v>20343.04</v>
      </c>
      <c r="S15" s="89">
        <f t="shared" si="7"/>
        <v>0.11650210769153502</v>
      </c>
      <c r="T15" s="130">
        <v>4078.35</v>
      </c>
      <c r="U15" s="9"/>
    </row>
    <row r="16" spans="1:24" ht="15.6" customHeight="1" x14ac:dyDescent="0.3">
      <c r="A16" s="198" t="s">
        <v>27</v>
      </c>
      <c r="B16" s="200">
        <f>'15 - 21 Nov'!E16</f>
        <v>128705.38</v>
      </c>
      <c r="C16" s="73">
        <v>133257.29999999999</v>
      </c>
      <c r="D16" s="145">
        <v>126972.01</v>
      </c>
      <c r="E16" s="269">
        <v>159324.35</v>
      </c>
      <c r="F16" s="145">
        <v>571965.38</v>
      </c>
      <c r="G16" s="163">
        <f t="shared" si="0"/>
        <v>0.19561442412535762</v>
      </c>
      <c r="H16" s="155">
        <f t="shared" si="3"/>
        <v>0.25479899073819506</v>
      </c>
      <c r="I16" s="263">
        <f t="shared" si="4"/>
        <v>0.23789968997410987</v>
      </c>
      <c r="J16" s="150">
        <v>582</v>
      </c>
      <c r="K16" s="63">
        <f t="shared" si="5"/>
        <v>273.75317869415807</v>
      </c>
      <c r="L16" s="61">
        <v>49</v>
      </c>
      <c r="M16" s="28">
        <f t="shared" si="1"/>
        <v>8.4192439862542962E-2</v>
      </c>
      <c r="N16" s="46">
        <f>L16+'15 - 21 Nov'!L16</f>
        <v>89</v>
      </c>
      <c r="O16" s="172">
        <f t="shared" si="2"/>
        <v>0.15292096219931273</v>
      </c>
      <c r="P16" s="260">
        <v>43318.7</v>
      </c>
      <c r="Q16" s="89">
        <f t="shared" si="6"/>
        <v>0.27189001555631637</v>
      </c>
      <c r="R16" s="260">
        <v>22889.26</v>
      </c>
      <c r="S16" s="89">
        <f t="shared" si="7"/>
        <v>0.14366454342980214</v>
      </c>
      <c r="T16" s="130">
        <v>5818</v>
      </c>
      <c r="U16" s="9"/>
      <c r="X16" s="238"/>
    </row>
    <row r="17" spans="1:21" ht="15.6" customHeight="1" x14ac:dyDescent="0.3">
      <c r="A17" s="198" t="s">
        <v>28</v>
      </c>
      <c r="B17" s="200">
        <f>'15 - 21 Nov'!E17</f>
        <v>199114.42</v>
      </c>
      <c r="C17" s="73">
        <v>225430.06</v>
      </c>
      <c r="D17" s="145">
        <v>143830.57999999999</v>
      </c>
      <c r="E17" s="269">
        <v>227511.31</v>
      </c>
      <c r="F17" s="145">
        <v>771081.1</v>
      </c>
      <c r="G17" s="163">
        <f t="shared" si="0"/>
        <v>9.2323534847127305E-3</v>
      </c>
      <c r="H17" s="155">
        <f t="shared" si="3"/>
        <v>0.58180068522285056</v>
      </c>
      <c r="I17" s="263">
        <f t="shared" si="4"/>
        <v>0.14261593911681525</v>
      </c>
      <c r="J17" s="150">
        <v>783</v>
      </c>
      <c r="K17" s="63">
        <f t="shared" si="5"/>
        <v>290.56361430395913</v>
      </c>
      <c r="L17" s="61">
        <v>40</v>
      </c>
      <c r="M17" s="28">
        <f t="shared" si="1"/>
        <v>5.108556832694764E-2</v>
      </c>
      <c r="N17" s="46">
        <f>L17+'15 - 21 Nov'!L17</f>
        <v>95</v>
      </c>
      <c r="O17" s="172">
        <f t="shared" si="2"/>
        <v>0.12132822477650064</v>
      </c>
      <c r="P17" s="260">
        <v>43685.3</v>
      </c>
      <c r="Q17" s="89">
        <f t="shared" si="6"/>
        <v>0.19201375087682457</v>
      </c>
      <c r="R17" s="260">
        <v>34940.480000000003</v>
      </c>
      <c r="S17" s="89">
        <f t="shared" si="7"/>
        <v>0.15357689250701428</v>
      </c>
      <c r="T17" s="130">
        <v>7451</v>
      </c>
      <c r="U17" s="9"/>
    </row>
    <row r="18" spans="1:21" ht="15.6" customHeight="1" x14ac:dyDescent="0.3">
      <c r="A18" s="198" t="s">
        <v>33</v>
      </c>
      <c r="B18" s="200">
        <f>'15 - 21 Nov'!E18</f>
        <v>152715.91</v>
      </c>
      <c r="C18" s="73">
        <v>234073.41</v>
      </c>
      <c r="D18" s="73">
        <v>179881.07</v>
      </c>
      <c r="E18" s="269">
        <v>180473.33</v>
      </c>
      <c r="F18" s="145">
        <v>684279.99</v>
      </c>
      <c r="G18" s="163">
        <f t="shared" si="0"/>
        <v>-0.22898833319000231</v>
      </c>
      <c r="H18" s="155">
        <f t="shared" si="3"/>
        <v>3.2925087670424699E-3</v>
      </c>
      <c r="I18" s="263">
        <f t="shared" si="4"/>
        <v>0.18175853452335111</v>
      </c>
      <c r="J18" s="150">
        <v>658</v>
      </c>
      <c r="K18" s="63">
        <f t="shared" si="5"/>
        <v>274.27557750759877</v>
      </c>
      <c r="L18" s="61">
        <v>103</v>
      </c>
      <c r="M18" s="28">
        <f t="shared" si="1"/>
        <v>0.15653495440729484</v>
      </c>
      <c r="N18" s="46">
        <f>L18+'15 - 21 Nov'!L18</f>
        <v>204</v>
      </c>
      <c r="O18" s="172">
        <f t="shared" si="2"/>
        <v>0.3100303951367781</v>
      </c>
      <c r="P18" s="260">
        <v>35026.720000000001</v>
      </c>
      <c r="Q18" s="89">
        <f t="shared" si="6"/>
        <v>0.19408252731857945</v>
      </c>
      <c r="R18" s="260">
        <v>18786.830000000002</v>
      </c>
      <c r="S18" s="89">
        <f t="shared" si="7"/>
        <v>0.10409754172541728</v>
      </c>
      <c r="T18" s="130">
        <v>4298.5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L19+'12 - 18 April 2021'!L19+'19 - 25 April 2021'!J19+'26 April - 2 May 2021'!J19+'3 - 9 May 2021'!J19+'10 - 16 May 2021'!J19+'17 - 23 May 2021'!J19+'24 - 30 May 2021'!J19+'31 May - 6 June 2021'!J19+'7 - 13 June 2021'!J19+'14 - 20 June 2021'!J19+'21 - 27 June 2021'!J19+'28 June - 4 July 2021'!J19+'5 - 11 July 2021'!L19+'12 - 18 July 2021'!L19+'19 - 25 July 2021'!L19+'26 July - 1 August 2021'!L19+'2 - 8 August 2021'!L19+'9 - 15 August 2021'!L19+'16 - 22 August 2021'!L19+'23 - 29 August 2021'!L19+'30 August - 5 Sept 2021'!L19+'6 - 12 Sept 2021'!L19+'13 - 19 Sept 2021'!L19+'20 - 26 Sept 2021'!L19+'27 Sept - 3 Oct 2021'!L19+'4 - 10 Oct 2021'!L19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67" priority="14" operator="equal">
      <formula>0</formula>
    </cfRule>
  </conditionalFormatting>
  <conditionalFormatting sqref="D7:F19">
    <cfRule type="cellIs" dxfId="266" priority="1" operator="equal">
      <formula>0</formula>
    </cfRule>
  </conditionalFormatting>
  <conditionalFormatting sqref="G6:T19">
    <cfRule type="cellIs" dxfId="265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X41"/>
  <sheetViews>
    <sheetView zoomScale="70" zoomScaleNormal="70" workbookViewId="0">
      <pane xSplit="1" topLeftCell="B1" activePane="topRight" state="frozen"/>
      <selection pane="topRight" activeCell="E12" sqref="E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-0.18716754399142532</v>
      </c>
      <c r="H2" s="413"/>
      <c r="I2" s="400">
        <f>(((E4-E19-B19)-B4)/E4)</f>
        <v>3.6742200845768076E-2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1975964.37</v>
      </c>
      <c r="C4" s="135">
        <f>SUM(C6:C19)-C14-C19-C10-C9</f>
        <v>2523687.2800000003</v>
      </c>
      <c r="D4" s="142">
        <f>SUM(D6:D19)-D19-D10-D9</f>
        <v>1970884.88</v>
      </c>
      <c r="E4" s="270">
        <f>SUM(E6:E19)-E19-E10-E9</f>
        <v>2051334.9299999997</v>
      </c>
      <c r="F4" s="142">
        <f>SUM(F6:F19)-F19-F10-F9</f>
        <v>1680561.1799999997</v>
      </c>
      <c r="G4" s="217">
        <f t="shared" ref="G4:G19" si="0">IFERROR((SUM(E4-C4)/C4),0)</f>
        <v>-0.18716754399142532</v>
      </c>
      <c r="H4" s="217">
        <f>IFERROR((SUM(E4-D4)/D4),0)</f>
        <v>4.0819253735408338E-2</v>
      </c>
      <c r="I4" s="217">
        <f>IFERROR((SUM(E4-B4)/E4),0)</f>
        <v>3.6742200845768076E-2</v>
      </c>
      <c r="J4" s="262">
        <f>SUM(J6:J18)</f>
        <v>7677</v>
      </c>
      <c r="K4" s="218">
        <f>AVERAGE(K5:K19)</f>
        <v>223.15128636028771</v>
      </c>
      <c r="L4" s="219">
        <f>SUM(L6:L19)</f>
        <v>679</v>
      </c>
      <c r="M4" s="220">
        <f t="shared" ref="M4:M19" si="1">IFERROR(L4/J4,0)</f>
        <v>8.8446007555034525E-2</v>
      </c>
      <c r="N4" s="221">
        <f>SUM(N6:N19)</f>
        <v>2082</v>
      </c>
      <c r="O4" s="222">
        <f t="shared" ref="O4:O19" si="2">IFERROR(N4/SUM(J4),0)</f>
        <v>0.27119968737788197</v>
      </c>
      <c r="P4" s="249">
        <f>SUM(P6:P19)</f>
        <v>461522.33999999997</v>
      </c>
      <c r="Q4" s="222">
        <f>SUM(P4/E4)</f>
        <v>0.22498634096773268</v>
      </c>
      <c r="R4" s="244">
        <f>SUM(R6:R19)</f>
        <v>215488.50999999998</v>
      </c>
      <c r="S4" s="222">
        <f>SUM(R4/E4)</f>
        <v>0.1050479406597927</v>
      </c>
      <c r="T4" s="257">
        <f>SUM(T6:T19)</f>
        <v>77044.27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'22 - 28 Nov'!E6</f>
        <v>224536.32000000001</v>
      </c>
      <c r="C6" s="255">
        <v>312733.53000000003</v>
      </c>
      <c r="D6" s="197">
        <v>237187.54</v>
      </c>
      <c r="E6" s="268">
        <v>249569.36</v>
      </c>
      <c r="F6" s="123">
        <v>205097.73</v>
      </c>
      <c r="G6" s="162">
        <f t="shared" si="0"/>
        <v>-0.20197440933180411</v>
      </c>
      <c r="H6" s="154">
        <f t="shared" ref="H6:H18" si="3">IFERROR((SUM(E6-D6)/D6),0)</f>
        <v>5.2202657863056286E-2</v>
      </c>
      <c r="I6" s="266">
        <f t="shared" ref="I6:I19" si="4">IFERROR((SUM(E6-B6)/B6),0)</f>
        <v>0.11148770942714291</v>
      </c>
      <c r="J6" s="149">
        <v>842</v>
      </c>
      <c r="K6" s="63">
        <f t="shared" ref="K6:K19" si="5">IFERROR(E6/J6,0)</f>
        <v>296.40066508313538</v>
      </c>
      <c r="L6" s="125">
        <v>40</v>
      </c>
      <c r="M6" s="126">
        <f t="shared" si="1"/>
        <v>4.7505938242280284E-2</v>
      </c>
      <c r="N6" s="46">
        <f>L6+'15 - 21 Nov'!L6+'22 - 28 Nov'!L6</f>
        <v>137</v>
      </c>
      <c r="O6" s="171">
        <f t="shared" si="2"/>
        <v>0.16270783847980996</v>
      </c>
      <c r="P6" s="259">
        <v>43710.74</v>
      </c>
      <c r="Q6" s="128">
        <f t="shared" ref="Q6:Q19" si="6">SUM(P6/E6)</f>
        <v>0.17514465718067315</v>
      </c>
      <c r="R6" s="260">
        <v>11512.87</v>
      </c>
      <c r="S6" s="128">
        <f t="shared" ref="S6:S19" si="7">SUM(R6/E6)</f>
        <v>4.6130943317721378E-2</v>
      </c>
      <c r="T6" s="129">
        <v>12457.5</v>
      </c>
      <c r="U6" s="26"/>
    </row>
    <row r="7" spans="1:24" ht="15.6" customHeight="1" x14ac:dyDescent="0.3">
      <c r="A7" s="409" t="s">
        <v>16</v>
      </c>
      <c r="B7" s="200">
        <f>'22 - 28 Nov'!E7</f>
        <v>275338.65000000002</v>
      </c>
      <c r="C7" s="73">
        <v>341167.2</v>
      </c>
      <c r="D7" s="145">
        <v>354852.1</v>
      </c>
      <c r="E7" s="269">
        <v>311887.53999999998</v>
      </c>
      <c r="F7" s="145">
        <v>267284.02</v>
      </c>
      <c r="G7" s="163">
        <f t="shared" si="0"/>
        <v>-8.5822025095026816E-2</v>
      </c>
      <c r="H7" s="155">
        <f t="shared" si="3"/>
        <v>-0.12107737279841377</v>
      </c>
      <c r="I7" s="263">
        <f t="shared" si="4"/>
        <v>0.13274158931192534</v>
      </c>
      <c r="J7" s="150">
        <v>987</v>
      </c>
      <c r="K7" s="63">
        <f t="shared" si="5"/>
        <v>315.99548125633231</v>
      </c>
      <c r="L7" s="61">
        <v>102</v>
      </c>
      <c r="M7" s="28">
        <f t="shared" si="1"/>
        <v>0.10334346504559271</v>
      </c>
      <c r="N7" s="46">
        <f>L7+'15 - 21 Nov'!L7+'22 - 28 Nov'!L7</f>
        <v>243</v>
      </c>
      <c r="O7" s="172">
        <f t="shared" si="2"/>
        <v>0.24620060790273557</v>
      </c>
      <c r="P7" s="260">
        <v>40699.39</v>
      </c>
      <c r="Q7" s="89">
        <f t="shared" si="6"/>
        <v>0.13049379914311421</v>
      </c>
      <c r="R7" s="260">
        <v>17391.740000000002</v>
      </c>
      <c r="S7" s="89">
        <f t="shared" si="7"/>
        <v>5.5762856060232492E-2</v>
      </c>
      <c r="T7" s="130">
        <v>13806.08</v>
      </c>
      <c r="U7" s="26"/>
    </row>
    <row r="8" spans="1:24" ht="15.6" customHeight="1" x14ac:dyDescent="0.3">
      <c r="A8" s="409" t="s">
        <v>17</v>
      </c>
      <c r="B8" s="200">
        <f>'22 - 28 Nov'!E8</f>
        <v>122785.28</v>
      </c>
      <c r="C8" s="73">
        <v>134327.28</v>
      </c>
      <c r="D8" s="145">
        <v>103296.92</v>
      </c>
      <c r="E8" s="269">
        <v>142037.23000000001</v>
      </c>
      <c r="F8" s="145">
        <v>113748.18</v>
      </c>
      <c r="G8" s="163">
        <f t="shared" si="0"/>
        <v>5.7396755149065865E-2</v>
      </c>
      <c r="H8" s="155">
        <f t="shared" si="3"/>
        <v>0.37503838449394244</v>
      </c>
      <c r="I8" s="263">
        <f t="shared" si="4"/>
        <v>0.1567936319402457</v>
      </c>
      <c r="J8" s="150">
        <v>601</v>
      </c>
      <c r="K8" s="63">
        <f t="shared" si="5"/>
        <v>236.33482529118137</v>
      </c>
      <c r="L8" s="61">
        <v>26</v>
      </c>
      <c r="M8" s="28">
        <f t="shared" si="1"/>
        <v>4.3261231281198007E-2</v>
      </c>
      <c r="N8" s="46">
        <f>L8+'15 - 21 Nov'!L8+'22 - 28 Nov'!L8</f>
        <v>86</v>
      </c>
      <c r="O8" s="172">
        <f t="shared" si="2"/>
        <v>0.14309484193011648</v>
      </c>
      <c r="P8" s="260">
        <v>74421.350000000006</v>
      </c>
      <c r="Q8" s="89">
        <f t="shared" si="6"/>
        <v>0.52395664150870869</v>
      </c>
      <c r="R8" s="260">
        <v>14595.83</v>
      </c>
      <c r="S8" s="89">
        <f t="shared" si="7"/>
        <v>0.10276059312055015</v>
      </c>
      <c r="T8" s="130">
        <v>3183</v>
      </c>
      <c r="U8" s="26"/>
    </row>
    <row r="9" spans="1:24" ht="15.6" customHeight="1" x14ac:dyDescent="0.3">
      <c r="A9" s="409" t="s">
        <v>18</v>
      </c>
      <c r="B9" s="200">
        <f>'22 - 28 Nov'!E9</f>
        <v>0</v>
      </c>
      <c r="C9" s="73">
        <v>403789.74</v>
      </c>
      <c r="D9" s="145">
        <v>269423.21000000002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'22 - 28 Nov'!E10</f>
        <v>167295.85999999999</v>
      </c>
      <c r="C10" s="73">
        <v>198366.18</v>
      </c>
      <c r="D10" s="145">
        <v>158423.91</v>
      </c>
      <c r="E10" s="269">
        <v>150479.32999999999</v>
      </c>
      <c r="F10" s="145">
        <v>123420.73</v>
      </c>
      <c r="G10" s="163">
        <f t="shared" si="0"/>
        <v>-0.24140632238822166</v>
      </c>
      <c r="H10" s="155">
        <f t="shared" si="3"/>
        <v>-5.0147607138341779E-2</v>
      </c>
      <c r="I10" s="263">
        <f t="shared" si="4"/>
        <v>-0.10051970204164049</v>
      </c>
      <c r="J10" s="150">
        <v>544</v>
      </c>
      <c r="K10" s="63">
        <f t="shared" si="5"/>
        <v>276.61641544117646</v>
      </c>
      <c r="L10" s="61">
        <v>44</v>
      </c>
      <c r="M10" s="28">
        <f t="shared" si="1"/>
        <v>8.0882352941176475E-2</v>
      </c>
      <c r="N10" s="46">
        <f>L10+'15 - 21 Nov'!L10+'22 - 28 Nov'!L10</f>
        <v>145</v>
      </c>
      <c r="O10" s="172">
        <f t="shared" si="2"/>
        <v>0.26654411764705882</v>
      </c>
      <c r="P10" s="260">
        <v>65177.13</v>
      </c>
      <c r="Q10" s="89">
        <f t="shared" si="6"/>
        <v>0.43313011826939957</v>
      </c>
      <c r="R10" s="260">
        <v>12139.04</v>
      </c>
      <c r="S10" s="89">
        <f t="shared" si="7"/>
        <v>8.066915236796976E-2</v>
      </c>
      <c r="T10" s="130">
        <v>2318.3000000000002</v>
      </c>
      <c r="U10" s="26"/>
    </row>
    <row r="11" spans="1:24" ht="15.6" customHeight="1" x14ac:dyDescent="0.3">
      <c r="A11" s="409" t="s">
        <v>21</v>
      </c>
      <c r="B11" s="200">
        <f>'22 - 28 Nov'!E11</f>
        <v>249927.98</v>
      </c>
      <c r="C11" s="73">
        <v>390457.33</v>
      </c>
      <c r="D11" s="145">
        <v>277988.47999999998</v>
      </c>
      <c r="E11" s="269">
        <v>276171.59000000003</v>
      </c>
      <c r="F11" s="145">
        <v>226242.74</v>
      </c>
      <c r="G11" s="163">
        <f t="shared" si="0"/>
        <v>-0.29269713031126854</v>
      </c>
      <c r="H11" s="155">
        <f t="shared" si="3"/>
        <v>-6.5358463775187945E-3</v>
      </c>
      <c r="I11" s="263">
        <f t="shared" si="4"/>
        <v>0.10500468975102353</v>
      </c>
      <c r="J11" s="150">
        <v>855</v>
      </c>
      <c r="K11" s="63">
        <f t="shared" si="5"/>
        <v>323.00770760233922</v>
      </c>
      <c r="L11" s="61">
        <v>57</v>
      </c>
      <c r="M11" s="28">
        <f t="shared" si="1"/>
        <v>6.6666666666666666E-2</v>
      </c>
      <c r="N11" s="46">
        <f>L11+'15 - 21 Nov'!L11+'22 - 28 Nov'!L11</f>
        <v>303</v>
      </c>
      <c r="O11" s="172">
        <f t="shared" si="2"/>
        <v>0.35438596491228069</v>
      </c>
      <c r="P11" s="260">
        <v>54485.48</v>
      </c>
      <c r="Q11" s="89">
        <f t="shared" si="6"/>
        <v>0.19728850458513852</v>
      </c>
      <c r="R11" s="260">
        <v>25400.17</v>
      </c>
      <c r="S11" s="89">
        <f t="shared" si="7"/>
        <v>9.1972421927976E-2</v>
      </c>
      <c r="T11" s="130">
        <v>10421.700000000001</v>
      </c>
      <c r="U11" s="26"/>
    </row>
    <row r="12" spans="1:24" ht="15.6" customHeight="1" x14ac:dyDescent="0.3">
      <c r="A12" s="198" t="s">
        <v>22</v>
      </c>
      <c r="B12" s="200">
        <f>'22 - 28 Nov'!E12</f>
        <v>131103.29999999999</v>
      </c>
      <c r="C12" s="73">
        <v>171682.03</v>
      </c>
      <c r="D12" s="145">
        <v>107695.94</v>
      </c>
      <c r="E12" s="269">
        <v>143967.6</v>
      </c>
      <c r="F12" s="145">
        <v>112483.89</v>
      </c>
      <c r="G12" s="163">
        <f t="shared" si="0"/>
        <v>-0.16142883445634928</v>
      </c>
      <c r="H12" s="155">
        <f t="shared" si="3"/>
        <v>0.33679691174987658</v>
      </c>
      <c r="I12" s="263">
        <f t="shared" si="4"/>
        <v>9.8123388198466541E-2</v>
      </c>
      <c r="J12" s="150">
        <v>476</v>
      </c>
      <c r="K12" s="63">
        <f t="shared" si="5"/>
        <v>302.45294117647057</v>
      </c>
      <c r="L12" s="61">
        <v>67</v>
      </c>
      <c r="M12" s="28">
        <f t="shared" si="1"/>
        <v>0.1407563025210084</v>
      </c>
      <c r="N12" s="46">
        <f>L12+'15 - 21 Nov'!L12+'22 - 28 Nov'!L12</f>
        <v>163</v>
      </c>
      <c r="O12" s="172">
        <f t="shared" si="2"/>
        <v>0.34243697478991597</v>
      </c>
      <c r="P12" s="260">
        <v>26050.91</v>
      </c>
      <c r="Q12" s="89">
        <f t="shared" si="6"/>
        <v>0.1809498109296814</v>
      </c>
      <c r="R12" s="260">
        <v>12088.35</v>
      </c>
      <c r="S12" s="89">
        <f t="shared" si="7"/>
        <v>8.3965767297641963E-2</v>
      </c>
      <c r="T12" s="130">
        <v>5779</v>
      </c>
      <c r="U12" s="26"/>
    </row>
    <row r="13" spans="1:24" ht="15.6" customHeight="1" x14ac:dyDescent="0.3">
      <c r="A13" s="198" t="s">
        <v>23</v>
      </c>
      <c r="B13" s="200">
        <f>'22 - 28 Nov'!E13</f>
        <v>230348.64</v>
      </c>
      <c r="C13" s="73">
        <v>235871.29</v>
      </c>
      <c r="D13" s="145">
        <v>190923.7</v>
      </c>
      <c r="E13" s="269">
        <v>214680.88</v>
      </c>
      <c r="F13" s="145">
        <v>172431.89</v>
      </c>
      <c r="G13" s="163">
        <f t="shared" si="0"/>
        <v>-8.9838869325724227E-2</v>
      </c>
      <c r="H13" s="155">
        <f t="shared" si="3"/>
        <v>0.12443284935290899</v>
      </c>
      <c r="I13" s="263">
        <f t="shared" si="4"/>
        <v>-6.8017592810619629E-2</v>
      </c>
      <c r="J13" s="150">
        <v>771</v>
      </c>
      <c r="K13" s="63">
        <f t="shared" si="5"/>
        <v>278.44472114137483</v>
      </c>
      <c r="L13" s="61">
        <v>94</v>
      </c>
      <c r="M13" s="28">
        <f t="shared" si="1"/>
        <v>0.12191958495460441</v>
      </c>
      <c r="N13" s="46">
        <f>L13+'15 - 21 Nov'!L13+'22 - 28 Nov'!L13</f>
        <v>243</v>
      </c>
      <c r="O13" s="172">
        <f t="shared" si="2"/>
        <v>0.31517509727626458</v>
      </c>
      <c r="P13" s="260">
        <v>36048.959999999999</v>
      </c>
      <c r="Q13" s="89">
        <f t="shared" si="6"/>
        <v>0.16791881978497572</v>
      </c>
      <c r="R13" s="260">
        <v>31575.65</v>
      </c>
      <c r="S13" s="89">
        <f t="shared" si="7"/>
        <v>0.14708179880760691</v>
      </c>
      <c r="T13" s="130">
        <v>5774</v>
      </c>
      <c r="U13" s="26"/>
    </row>
    <row r="14" spans="1:24" ht="15.6" hidden="1" customHeight="1" x14ac:dyDescent="0.3">
      <c r="A14" s="198" t="s">
        <v>24</v>
      </c>
      <c r="B14" s="200">
        <f>'22 - 28 Nov'!E14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'22 - 28 Nov'!E15</f>
        <v>174615.21</v>
      </c>
      <c r="C15" s="73">
        <v>316293.24</v>
      </c>
      <c r="D15" s="145">
        <v>175056.05</v>
      </c>
      <c r="E15" s="269">
        <v>215508.03</v>
      </c>
      <c r="F15" s="145">
        <v>170794.9</v>
      </c>
      <c r="G15" s="163">
        <f t="shared" si="0"/>
        <v>-0.31864484362675599</v>
      </c>
      <c r="H15" s="155">
        <f t="shared" si="3"/>
        <v>0.23108015975454727</v>
      </c>
      <c r="I15" s="263">
        <f t="shared" si="4"/>
        <v>0.23418819013532674</v>
      </c>
      <c r="J15" s="150">
        <v>671</v>
      </c>
      <c r="K15" s="63">
        <f t="shared" si="5"/>
        <v>321.17441132637856</v>
      </c>
      <c r="L15" s="61">
        <v>64</v>
      </c>
      <c r="M15" s="28">
        <f t="shared" si="1"/>
        <v>9.5380029806259314E-2</v>
      </c>
      <c r="N15" s="46">
        <f>L15+'15 - 21 Nov'!L15+'22 - 28 Nov'!L15</f>
        <v>189</v>
      </c>
      <c r="O15" s="172">
        <f t="shared" si="2"/>
        <v>0.28166915052160951</v>
      </c>
      <c r="P15" s="260">
        <v>0</v>
      </c>
      <c r="Q15" s="89">
        <f t="shared" si="6"/>
        <v>0</v>
      </c>
      <c r="R15" s="260">
        <v>17440.87</v>
      </c>
      <c r="S15" s="89">
        <f t="shared" si="7"/>
        <v>8.0929095774296661E-2</v>
      </c>
      <c r="T15" s="130">
        <v>4115.3999999999996</v>
      </c>
      <c r="U15" s="9"/>
    </row>
    <row r="16" spans="1:24" ht="15.6" customHeight="1" x14ac:dyDescent="0.3">
      <c r="A16" s="198" t="s">
        <v>27</v>
      </c>
      <c r="B16" s="200">
        <f>'22 - 28 Nov'!E16</f>
        <v>159324.35</v>
      </c>
      <c r="C16" s="73">
        <v>190910.89</v>
      </c>
      <c r="D16" s="145">
        <v>148198.57999999999</v>
      </c>
      <c r="E16" s="269">
        <v>155549.5</v>
      </c>
      <c r="F16" s="145">
        <v>129814.06</v>
      </c>
      <c r="G16" s="163">
        <f t="shared" si="0"/>
        <v>-0.18522458305023884</v>
      </c>
      <c r="H16" s="155">
        <f t="shared" si="3"/>
        <v>4.9601824794812566E-2</v>
      </c>
      <c r="I16" s="263">
        <f t="shared" si="4"/>
        <v>-2.3692863018113713E-2</v>
      </c>
      <c r="J16" s="150">
        <v>598</v>
      </c>
      <c r="K16" s="63">
        <f t="shared" si="5"/>
        <v>260.11622073578593</v>
      </c>
      <c r="L16" s="61">
        <v>50</v>
      </c>
      <c r="M16" s="28">
        <f t="shared" si="1"/>
        <v>8.3612040133779264E-2</v>
      </c>
      <c r="N16" s="46">
        <f>L16+'15 - 21 Nov'!L16+'22 - 28 Nov'!L16</f>
        <v>139</v>
      </c>
      <c r="O16" s="172">
        <f t="shared" si="2"/>
        <v>0.23244147157190637</v>
      </c>
      <c r="P16" s="260">
        <v>39611.35</v>
      </c>
      <c r="Q16" s="89">
        <f t="shared" si="6"/>
        <v>0.25465430618549079</v>
      </c>
      <c r="R16" s="260">
        <v>30858.91</v>
      </c>
      <c r="S16" s="89">
        <f t="shared" si="7"/>
        <v>0.19838643004316953</v>
      </c>
      <c r="T16" s="130">
        <v>7951.55</v>
      </c>
      <c r="U16" s="9"/>
      <c r="X16" s="238"/>
    </row>
    <row r="17" spans="1:21" ht="15.6" customHeight="1" x14ac:dyDescent="0.3">
      <c r="A17" s="198" t="s">
        <v>28</v>
      </c>
      <c r="B17" s="200">
        <f>'22 - 28 Nov'!E17</f>
        <v>227511.31</v>
      </c>
      <c r="C17" s="73">
        <v>221661.96</v>
      </c>
      <c r="D17" s="145">
        <v>192358.53</v>
      </c>
      <c r="E17" s="269">
        <v>170425.3</v>
      </c>
      <c r="F17" s="145">
        <v>147323.4</v>
      </c>
      <c r="G17" s="163">
        <f t="shared" si="0"/>
        <v>-0.23114773504664493</v>
      </c>
      <c r="H17" s="155">
        <f t="shared" si="3"/>
        <v>-0.11402265342743059</v>
      </c>
      <c r="I17" s="263">
        <f t="shared" si="4"/>
        <v>-0.25091504242140755</v>
      </c>
      <c r="J17" s="150">
        <v>675</v>
      </c>
      <c r="K17" s="63">
        <f t="shared" si="5"/>
        <v>252.48192592592591</v>
      </c>
      <c r="L17" s="61">
        <v>50</v>
      </c>
      <c r="M17" s="28">
        <f t="shared" si="1"/>
        <v>7.407407407407407E-2</v>
      </c>
      <c r="N17" s="46">
        <f>L17+'15 - 21 Nov'!L17+'22 - 28 Nov'!L17</f>
        <v>145</v>
      </c>
      <c r="O17" s="172">
        <f t="shared" si="2"/>
        <v>0.21481481481481482</v>
      </c>
      <c r="P17" s="260">
        <v>39831.79</v>
      </c>
      <c r="Q17" s="89">
        <f t="shared" si="6"/>
        <v>0.23371993477494246</v>
      </c>
      <c r="R17" s="260">
        <v>27847.3</v>
      </c>
      <c r="S17" s="89">
        <f t="shared" si="7"/>
        <v>0.16339886155400637</v>
      </c>
      <c r="T17" s="130">
        <v>7566.74</v>
      </c>
      <c r="U17" s="9"/>
    </row>
    <row r="18" spans="1:21" ht="15.6" customHeight="1" x14ac:dyDescent="0.3">
      <c r="A18" s="198" t="s">
        <v>33</v>
      </c>
      <c r="B18" s="200">
        <f>'22 - 28 Nov'!E18</f>
        <v>180473.33</v>
      </c>
      <c r="C18" s="73">
        <v>208582.53</v>
      </c>
      <c r="D18" s="73">
        <v>183327.04</v>
      </c>
      <c r="E18" s="269">
        <v>171537.9</v>
      </c>
      <c r="F18" s="145">
        <v>135340.37</v>
      </c>
      <c r="G18" s="163">
        <f t="shared" si="0"/>
        <v>-0.17760178668846333</v>
      </c>
      <c r="H18" s="155">
        <f t="shared" si="3"/>
        <v>-6.4306607470452873E-2</v>
      </c>
      <c r="I18" s="263">
        <f t="shared" si="4"/>
        <v>-4.951108288410256E-2</v>
      </c>
      <c r="J18" s="150">
        <v>657</v>
      </c>
      <c r="K18" s="63">
        <f t="shared" si="5"/>
        <v>261.09269406392696</v>
      </c>
      <c r="L18" s="61">
        <v>85</v>
      </c>
      <c r="M18" s="28">
        <f t="shared" si="1"/>
        <v>0.12937595129375951</v>
      </c>
      <c r="N18" s="46">
        <f>L18+'15 - 21 Nov'!L18+'22 - 28 Nov'!L18</f>
        <v>289</v>
      </c>
      <c r="O18" s="172">
        <f t="shared" si="2"/>
        <v>0.43987823439878232</v>
      </c>
      <c r="P18" s="260">
        <v>41485.24</v>
      </c>
      <c r="Q18" s="89">
        <f t="shared" si="6"/>
        <v>0.24184299796138345</v>
      </c>
      <c r="R18" s="260">
        <v>14637.78</v>
      </c>
      <c r="S18" s="89">
        <f t="shared" si="7"/>
        <v>8.5332629115781419E-2</v>
      </c>
      <c r="T18" s="130">
        <v>3671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64" priority="14" operator="equal">
      <formula>0</formula>
    </cfRule>
  </conditionalFormatting>
  <conditionalFormatting sqref="D7:F19">
    <cfRule type="cellIs" dxfId="263" priority="1" operator="equal">
      <formula>0</formula>
    </cfRule>
  </conditionalFormatting>
  <conditionalFormatting sqref="G6:T19">
    <cfRule type="cellIs" dxfId="26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X41"/>
  <sheetViews>
    <sheetView zoomScale="70" zoomScaleNormal="70" workbookViewId="0">
      <pane xSplit="1" topLeftCell="F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-0.26403807121877548</v>
      </c>
      <c r="H2" s="413"/>
      <c r="I2" s="400">
        <f>(((E4-E19-B19)-B4)/E4)</f>
        <v>1.2722965391463826E-2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2051334.9299999997</v>
      </c>
      <c r="C4" s="135">
        <f>SUM(C6:C19)-C14-C19-C10-C9</f>
        <v>2823203.55</v>
      </c>
      <c r="D4" s="142">
        <f>SUM(D6:D19)-D19-D10-D9</f>
        <v>2049610.31</v>
      </c>
      <c r="E4" s="270">
        <f>SUM(E6:E19)-E19-E10-E9</f>
        <v>2077770.33</v>
      </c>
      <c r="F4" s="142">
        <f>SUM(F6:F19)-F19-F10-F9</f>
        <v>3758327.51</v>
      </c>
      <c r="G4" s="217">
        <f t="shared" ref="G4:G19" si="0">IFERROR((SUM(E4-C4)/C4),0)</f>
        <v>-0.26403807121877548</v>
      </c>
      <c r="H4" s="217">
        <f>IFERROR((SUM(E4-D4)/D4),0)</f>
        <v>1.3739206844641612E-2</v>
      </c>
      <c r="I4" s="217">
        <f>IFERROR((SUM(E4-B4)/E4),0)</f>
        <v>1.2722965391463826E-2</v>
      </c>
      <c r="J4" s="262">
        <f>SUM(J6:J18)</f>
        <v>7649</v>
      </c>
      <c r="K4" s="218">
        <f>AVERAGE(K5:K19)</f>
        <v>227.0511603795068</v>
      </c>
      <c r="L4" s="219">
        <f>SUM(L6:L19)</f>
        <v>588</v>
      </c>
      <c r="M4" s="220">
        <f t="shared" ref="M4:M19" si="1">IFERROR(L4/J4,0)</f>
        <v>7.6872793829258726E-2</v>
      </c>
      <c r="N4" s="221">
        <f>SUM(N6:N19)</f>
        <v>2670</v>
      </c>
      <c r="O4" s="222">
        <f t="shared" ref="O4:O19" si="2">IFERROR(N4/SUM(J4),0)</f>
        <v>0.34906523728591971</v>
      </c>
      <c r="P4" s="249">
        <f>SUM(P6:P19)</f>
        <v>432755.58</v>
      </c>
      <c r="Q4" s="222">
        <f>SUM(P4/E4)</f>
        <v>0.20827883320482299</v>
      </c>
      <c r="R4" s="244">
        <f>SUM(R6:R19)</f>
        <v>211480.99</v>
      </c>
      <c r="S4" s="222">
        <f>SUM(R4/E4)</f>
        <v>0.10178265949153292</v>
      </c>
      <c r="T4" s="257">
        <f>SUM(T6:T19)</f>
        <v>66841.850000000006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'29 Nov - 5 Dec'!E6</f>
        <v>249569.36</v>
      </c>
      <c r="C6" s="255">
        <v>316187.89</v>
      </c>
      <c r="D6" s="197">
        <v>211933.97</v>
      </c>
      <c r="E6" s="268">
        <v>221100.21</v>
      </c>
      <c r="F6" s="123">
        <v>426197.94</v>
      </c>
      <c r="G6" s="162">
        <f t="shared" si="0"/>
        <v>-0.30073156818245006</v>
      </c>
      <c r="H6" s="154">
        <f t="shared" ref="H6:H18" si="3">IFERROR((SUM(E6-D6)/D6),0)</f>
        <v>4.3250452015785819E-2</v>
      </c>
      <c r="I6" s="266">
        <f t="shared" ref="I6:I19" si="4">IFERROR((SUM(E6-B6)/B6),0)</f>
        <v>-0.1140730977552693</v>
      </c>
      <c r="J6" s="149">
        <v>720</v>
      </c>
      <c r="K6" s="63">
        <f t="shared" ref="K6:K19" si="5">IFERROR(E6/J6,0)</f>
        <v>307.08362499999998</v>
      </c>
      <c r="L6" s="125">
        <v>59</v>
      </c>
      <c r="M6" s="126">
        <f t="shared" si="1"/>
        <v>8.1944444444444445E-2</v>
      </c>
      <c r="N6" s="46">
        <f>L6+'15 - 21 Nov'!L6+'22 - 28 Nov'!L6+'29 Nov - 5 Dec'!L6</f>
        <v>196</v>
      </c>
      <c r="O6" s="171">
        <f t="shared" si="2"/>
        <v>0.2722222222222222</v>
      </c>
      <c r="P6" s="259">
        <v>46034.78</v>
      </c>
      <c r="Q6" s="128">
        <f t="shared" ref="Q6:Q19" si="6">SUM(P6/E6)</f>
        <v>0.20820776244400674</v>
      </c>
      <c r="R6" s="260">
        <v>12949.09</v>
      </c>
      <c r="S6" s="128">
        <f t="shared" ref="S6:S19" si="7">SUM(R6/E6)</f>
        <v>5.8566611040306117E-2</v>
      </c>
      <c r="T6" s="129">
        <v>6053</v>
      </c>
      <c r="U6" s="26"/>
    </row>
    <row r="7" spans="1:24" ht="15.6" customHeight="1" x14ac:dyDescent="0.3">
      <c r="A7" s="409" t="s">
        <v>16</v>
      </c>
      <c r="B7" s="200">
        <f>'29 Nov - 5 Dec'!E7</f>
        <v>311887.53999999998</v>
      </c>
      <c r="C7" s="73">
        <v>537525.52</v>
      </c>
      <c r="D7" s="145">
        <v>399085.56</v>
      </c>
      <c r="E7" s="269">
        <v>341822.34</v>
      </c>
      <c r="F7" s="145">
        <v>609106.36</v>
      </c>
      <c r="G7" s="163">
        <f t="shared" si="0"/>
        <v>-0.36408165327666675</v>
      </c>
      <c r="H7" s="155">
        <f t="shared" si="3"/>
        <v>-0.14348607351265721</v>
      </c>
      <c r="I7" s="263">
        <f t="shared" si="4"/>
        <v>9.597946747087123E-2</v>
      </c>
      <c r="J7" s="150">
        <v>1046</v>
      </c>
      <c r="K7" s="63">
        <f t="shared" si="5"/>
        <v>326.79000000000002</v>
      </c>
      <c r="L7" s="61">
        <v>56</v>
      </c>
      <c r="M7" s="28">
        <f t="shared" si="1"/>
        <v>5.3537284894837479E-2</v>
      </c>
      <c r="N7" s="46">
        <f>L7+'15 - 21 Nov'!L7+'22 - 28 Nov'!L7+'29 Nov - 5 Dec'!L7</f>
        <v>299</v>
      </c>
      <c r="O7" s="172">
        <f t="shared" si="2"/>
        <v>0.28585086042065011</v>
      </c>
      <c r="P7" s="260">
        <v>44197.91</v>
      </c>
      <c r="Q7" s="89">
        <f t="shared" si="6"/>
        <v>0.12930082334583515</v>
      </c>
      <c r="R7" s="260">
        <v>15580.13</v>
      </c>
      <c r="S7" s="89">
        <f t="shared" si="7"/>
        <v>4.5579613082047235E-2</v>
      </c>
      <c r="T7" s="130">
        <v>13183.05</v>
      </c>
      <c r="U7" s="26"/>
    </row>
    <row r="8" spans="1:24" ht="15.6" customHeight="1" x14ac:dyDescent="0.3">
      <c r="A8" s="409" t="s">
        <v>17</v>
      </c>
      <c r="B8" s="200">
        <f>'29 Nov - 5 Dec'!E8</f>
        <v>142037.23000000001</v>
      </c>
      <c r="C8" s="73">
        <v>129151.53</v>
      </c>
      <c r="D8" s="145">
        <v>105332.63</v>
      </c>
      <c r="E8" s="269">
        <v>128162.21</v>
      </c>
      <c r="F8" s="145">
        <v>241910.39</v>
      </c>
      <c r="G8" s="163">
        <f t="shared" si="0"/>
        <v>-7.6601492835585644E-3</v>
      </c>
      <c r="H8" s="155">
        <f t="shared" si="3"/>
        <v>0.21673796619338187</v>
      </c>
      <c r="I8" s="263">
        <f t="shared" si="4"/>
        <v>-9.7685796885788351E-2</v>
      </c>
      <c r="J8" s="150">
        <v>482</v>
      </c>
      <c r="K8" s="63">
        <f t="shared" si="5"/>
        <v>265.8967012448133</v>
      </c>
      <c r="L8" s="61">
        <v>15</v>
      </c>
      <c r="M8" s="28">
        <f t="shared" si="1"/>
        <v>3.1120331950207469E-2</v>
      </c>
      <c r="N8" s="46">
        <f>L8+'15 - 21 Nov'!L8+'22 - 28 Nov'!L8+'29 Nov - 5 Dec'!L8</f>
        <v>101</v>
      </c>
      <c r="O8" s="172">
        <f t="shared" si="2"/>
        <v>0.2095435684647303</v>
      </c>
      <c r="P8" s="260">
        <v>57852.57</v>
      </c>
      <c r="Q8" s="89">
        <f t="shared" si="6"/>
        <v>0.45140115795443914</v>
      </c>
      <c r="R8" s="260">
        <v>16599.740000000002</v>
      </c>
      <c r="S8" s="89">
        <f t="shared" si="7"/>
        <v>0.1295213308197479</v>
      </c>
      <c r="T8" s="130">
        <v>3182</v>
      </c>
      <c r="U8" s="26"/>
    </row>
    <row r="9" spans="1:24" ht="15.6" customHeight="1" x14ac:dyDescent="0.3">
      <c r="A9" s="409" t="s">
        <v>18</v>
      </c>
      <c r="B9" s="200">
        <f>'29 Nov - 5 Dec'!E9</f>
        <v>0</v>
      </c>
      <c r="C9" s="73">
        <v>461868.74</v>
      </c>
      <c r="D9" s="145">
        <v>348302.25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'29 Nov - 5 Dec'!E10</f>
        <v>150479.32999999999</v>
      </c>
      <c r="C10" s="73">
        <v>140709.13</v>
      </c>
      <c r="D10" s="145">
        <v>155504.39000000001</v>
      </c>
      <c r="E10" s="269">
        <v>174496.27</v>
      </c>
      <c r="F10" s="145">
        <v>297917</v>
      </c>
      <c r="G10" s="163">
        <f t="shared" si="0"/>
        <v>0.24012045273821239</v>
      </c>
      <c r="H10" s="155">
        <f t="shared" si="3"/>
        <v>0.12213082858946923</v>
      </c>
      <c r="I10" s="263">
        <f t="shared" si="4"/>
        <v>0.15960291689230677</v>
      </c>
      <c r="J10" s="150">
        <v>589</v>
      </c>
      <c r="K10" s="63">
        <f t="shared" si="5"/>
        <v>296.25852292020375</v>
      </c>
      <c r="L10" s="61">
        <v>56</v>
      </c>
      <c r="M10" s="28">
        <f t="shared" si="1"/>
        <v>9.5076400679117143E-2</v>
      </c>
      <c r="N10" s="46">
        <f>L10+'15 - 21 Nov'!L10+'22 - 28 Nov'!L10+'29 Nov - 5 Dec'!L10</f>
        <v>201</v>
      </c>
      <c r="O10" s="172">
        <f t="shared" si="2"/>
        <v>0.34125636672325976</v>
      </c>
      <c r="P10" s="260">
        <v>72412.09</v>
      </c>
      <c r="Q10" s="89">
        <f t="shared" si="6"/>
        <v>0.41497786743521797</v>
      </c>
      <c r="R10" s="260">
        <v>11292.22</v>
      </c>
      <c r="S10" s="89">
        <f t="shared" si="7"/>
        <v>6.4713245732989019E-2</v>
      </c>
      <c r="T10" s="130">
        <v>4036</v>
      </c>
      <c r="U10" s="26"/>
    </row>
    <row r="11" spans="1:24" ht="15.6" customHeight="1" x14ac:dyDescent="0.3">
      <c r="A11" s="409" t="s">
        <v>21</v>
      </c>
      <c r="B11" s="200">
        <f>'29 Nov - 5 Dec'!E11</f>
        <v>276171.59000000003</v>
      </c>
      <c r="C11" s="73">
        <v>423448.09</v>
      </c>
      <c r="D11" s="145">
        <v>272045.12</v>
      </c>
      <c r="E11" s="269">
        <v>253424.14</v>
      </c>
      <c r="F11" s="145">
        <v>479662.88</v>
      </c>
      <c r="G11" s="163">
        <f t="shared" si="0"/>
        <v>-0.4015225337301675</v>
      </c>
      <c r="H11" s="155">
        <f t="shared" si="3"/>
        <v>-6.8448130957099992E-2</v>
      </c>
      <c r="I11" s="263">
        <f t="shared" si="4"/>
        <v>-8.2367089243321548E-2</v>
      </c>
      <c r="J11" s="150">
        <v>831</v>
      </c>
      <c r="K11" s="63">
        <f t="shared" si="5"/>
        <v>304.96286401925391</v>
      </c>
      <c r="L11" s="61">
        <v>63</v>
      </c>
      <c r="M11" s="28">
        <f t="shared" si="1"/>
        <v>7.5812274368231042E-2</v>
      </c>
      <c r="N11" s="46">
        <f>L11+'15 - 21 Nov'!L11+'22 - 28 Nov'!L11+'29 Nov - 5 Dec'!L11</f>
        <v>366</v>
      </c>
      <c r="O11" s="172">
        <f t="shared" si="2"/>
        <v>0.44043321299638988</v>
      </c>
      <c r="P11" s="260">
        <v>52932.97</v>
      </c>
      <c r="Q11" s="89">
        <f t="shared" si="6"/>
        <v>0.20887106492696395</v>
      </c>
      <c r="R11" s="260">
        <v>19619.57</v>
      </c>
      <c r="S11" s="89">
        <f t="shared" si="7"/>
        <v>7.7417920802651238E-2</v>
      </c>
      <c r="T11" s="130">
        <v>9936.5</v>
      </c>
      <c r="U11" s="26"/>
    </row>
    <row r="12" spans="1:24" ht="15.6" customHeight="1" x14ac:dyDescent="0.3">
      <c r="A12" s="198" t="s">
        <v>22</v>
      </c>
      <c r="B12" s="200">
        <f>'29 Nov - 5 Dec'!E12</f>
        <v>143967.6</v>
      </c>
      <c r="C12" s="73">
        <v>163386.12</v>
      </c>
      <c r="D12" s="145">
        <v>110968.88</v>
      </c>
      <c r="E12" s="269">
        <v>122087.36</v>
      </c>
      <c r="F12" s="145">
        <v>234571.25</v>
      </c>
      <c r="G12" s="163">
        <f t="shared" si="0"/>
        <v>-0.25276786057469264</v>
      </c>
      <c r="H12" s="155">
        <f t="shared" si="3"/>
        <v>0.10019457707422112</v>
      </c>
      <c r="I12" s="263">
        <f t="shared" si="4"/>
        <v>-0.15198030668011417</v>
      </c>
      <c r="J12" s="150">
        <v>444</v>
      </c>
      <c r="K12" s="63">
        <f t="shared" si="5"/>
        <v>274.97153153153153</v>
      </c>
      <c r="L12" s="61">
        <v>56</v>
      </c>
      <c r="M12" s="28">
        <f t="shared" si="1"/>
        <v>0.12612612612612611</v>
      </c>
      <c r="N12" s="46">
        <f>L12+'15 - 21 Nov'!L12+'22 - 28 Nov'!L12+'29 Nov - 5 Dec'!L12</f>
        <v>219</v>
      </c>
      <c r="O12" s="172">
        <f t="shared" si="2"/>
        <v>0.49324324324324326</v>
      </c>
      <c r="P12" s="260">
        <v>18157.39</v>
      </c>
      <c r="Q12" s="89">
        <f t="shared" si="6"/>
        <v>0.14872456902991432</v>
      </c>
      <c r="R12" s="260">
        <v>10051.57</v>
      </c>
      <c r="S12" s="89">
        <f t="shared" si="7"/>
        <v>8.233096366405171E-2</v>
      </c>
      <c r="T12" s="130">
        <v>6463.5</v>
      </c>
      <c r="U12" s="26"/>
    </row>
    <row r="13" spans="1:24" ht="15.6" customHeight="1" x14ac:dyDescent="0.3">
      <c r="A13" s="198" t="s">
        <v>23</v>
      </c>
      <c r="B13" s="200">
        <f>'29 Nov - 5 Dec'!E13</f>
        <v>214680.88</v>
      </c>
      <c r="C13" s="73">
        <v>219828.87</v>
      </c>
      <c r="D13" s="145">
        <v>221561.43</v>
      </c>
      <c r="E13" s="269">
        <v>207065.35</v>
      </c>
      <c r="F13" s="145">
        <v>379497.24</v>
      </c>
      <c r="G13" s="163">
        <f t="shared" si="0"/>
        <v>-5.806116366790217E-2</v>
      </c>
      <c r="H13" s="155">
        <f t="shared" si="3"/>
        <v>-6.5426911173122451E-2</v>
      </c>
      <c r="I13" s="263">
        <f t="shared" si="4"/>
        <v>-3.5473722671529942E-2</v>
      </c>
      <c r="J13" s="150">
        <v>733</v>
      </c>
      <c r="K13" s="63">
        <f t="shared" si="5"/>
        <v>282.49024556616644</v>
      </c>
      <c r="L13" s="61">
        <v>79</v>
      </c>
      <c r="M13" s="28">
        <f t="shared" si="1"/>
        <v>0.1077762619372442</v>
      </c>
      <c r="N13" s="46">
        <f>L13+'15 - 21 Nov'!L13+'22 - 28 Nov'!L13+'29 Nov - 5 Dec'!L13</f>
        <v>322</v>
      </c>
      <c r="O13" s="172">
        <f t="shared" si="2"/>
        <v>0.43929058663028647</v>
      </c>
      <c r="P13" s="260">
        <v>37987.81</v>
      </c>
      <c r="Q13" s="89">
        <f t="shared" si="6"/>
        <v>0.18345807253603752</v>
      </c>
      <c r="R13" s="260">
        <v>22849.3</v>
      </c>
      <c r="S13" s="89">
        <f t="shared" si="7"/>
        <v>0.11034825479009404</v>
      </c>
      <c r="T13" s="130">
        <v>6400.3</v>
      </c>
      <c r="U13" s="26"/>
    </row>
    <row r="14" spans="1:24" ht="15.6" hidden="1" customHeight="1" x14ac:dyDescent="0.3">
      <c r="A14" s="198" t="s">
        <v>24</v>
      </c>
      <c r="B14" s="200">
        <f>'29 Nov - 5 Dec'!E14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'29 Nov - 5 Dec'!E15</f>
        <v>215508.03</v>
      </c>
      <c r="C15" s="73">
        <v>423907.22</v>
      </c>
      <c r="D15" s="145">
        <v>235811.02</v>
      </c>
      <c r="E15" s="269">
        <v>324926.32</v>
      </c>
      <c r="F15" s="145">
        <v>495721.22</v>
      </c>
      <c r="G15" s="163">
        <f t="shared" si="0"/>
        <v>-0.2334966127729553</v>
      </c>
      <c r="H15" s="155">
        <f t="shared" si="3"/>
        <v>0.37790981948171898</v>
      </c>
      <c r="I15" s="263">
        <f t="shared" si="4"/>
        <v>0.50772256606865185</v>
      </c>
      <c r="J15" s="150">
        <v>958</v>
      </c>
      <c r="K15" s="63">
        <f t="shared" si="5"/>
        <v>339.17152400835073</v>
      </c>
      <c r="L15" s="61">
        <v>21</v>
      </c>
      <c r="M15" s="28">
        <f t="shared" si="1"/>
        <v>2.1920668058455117E-2</v>
      </c>
      <c r="N15" s="46">
        <f>L15+'15 - 21 Nov'!L15+'22 - 28 Nov'!L15+'29 Nov - 5 Dec'!L15</f>
        <v>210</v>
      </c>
      <c r="O15" s="172">
        <f t="shared" si="2"/>
        <v>0.21920668058455114</v>
      </c>
      <c r="P15" s="260">
        <v>0</v>
      </c>
      <c r="Q15" s="89">
        <f t="shared" si="6"/>
        <v>0</v>
      </c>
      <c r="R15" s="260">
        <v>34279.129999999997</v>
      </c>
      <c r="S15" s="89">
        <f t="shared" si="7"/>
        <v>0.10549816339901304</v>
      </c>
      <c r="T15" s="130">
        <v>4039.2</v>
      </c>
      <c r="U15" s="9"/>
    </row>
    <row r="16" spans="1:24" ht="15.6" customHeight="1" x14ac:dyDescent="0.3">
      <c r="A16" s="198" t="s">
        <v>27</v>
      </c>
      <c r="B16" s="200">
        <f>'29 Nov - 5 Dec'!E16</f>
        <v>155549.5</v>
      </c>
      <c r="C16" s="73">
        <v>171875.61</v>
      </c>
      <c r="D16" s="145">
        <v>149536.15</v>
      </c>
      <c r="E16" s="269">
        <v>129659.6</v>
      </c>
      <c r="F16" s="145">
        <v>259473.66</v>
      </c>
      <c r="G16" s="163">
        <f t="shared" si="0"/>
        <v>-0.2456195500920694</v>
      </c>
      <c r="H16" s="155">
        <f t="shared" si="3"/>
        <v>-0.13292137051809874</v>
      </c>
      <c r="I16" s="263">
        <f t="shared" si="4"/>
        <v>-0.16644155076036884</v>
      </c>
      <c r="J16" s="150">
        <v>487</v>
      </c>
      <c r="K16" s="63">
        <f t="shared" si="5"/>
        <v>266.24147843942507</v>
      </c>
      <c r="L16" s="61">
        <v>38</v>
      </c>
      <c r="M16" s="28">
        <f t="shared" si="1"/>
        <v>7.8028747433264892E-2</v>
      </c>
      <c r="N16" s="46">
        <f>L16+'15 - 21 Nov'!L16+'22 - 28 Nov'!L16+'29 Nov - 5 Dec'!L16</f>
        <v>177</v>
      </c>
      <c r="O16" s="172">
        <f t="shared" si="2"/>
        <v>0.36344969199178645</v>
      </c>
      <c r="P16" s="260">
        <v>41918.629999999997</v>
      </c>
      <c r="Q16" s="89">
        <f t="shared" si="6"/>
        <v>0.3232975421796766</v>
      </c>
      <c r="R16" s="260">
        <v>21350.61</v>
      </c>
      <c r="S16" s="89">
        <f t="shared" si="7"/>
        <v>0.16466663478832266</v>
      </c>
      <c r="T16" s="130">
        <v>3555</v>
      </c>
      <c r="U16" s="9"/>
      <c r="X16" s="238"/>
    </row>
    <row r="17" spans="1:21" ht="15.6" customHeight="1" x14ac:dyDescent="0.3">
      <c r="A17" s="198" t="s">
        <v>28</v>
      </c>
      <c r="B17" s="200">
        <f>'29 Nov - 5 Dec'!E17</f>
        <v>170425.3</v>
      </c>
      <c r="C17" s="73">
        <v>248340.4</v>
      </c>
      <c r="D17" s="145">
        <v>185388.01</v>
      </c>
      <c r="E17" s="269">
        <v>167187.51</v>
      </c>
      <c r="F17" s="145">
        <v>314510.90999999997</v>
      </c>
      <c r="G17" s="163">
        <f t="shared" si="0"/>
        <v>-0.32678086207479728</v>
      </c>
      <c r="H17" s="155">
        <f t="shared" si="3"/>
        <v>-9.8175173248798556E-2</v>
      </c>
      <c r="I17" s="263">
        <f t="shared" si="4"/>
        <v>-1.8998294267341641E-2</v>
      </c>
      <c r="J17" s="150">
        <v>690</v>
      </c>
      <c r="K17" s="63">
        <f t="shared" si="5"/>
        <v>242.30073913043481</v>
      </c>
      <c r="L17" s="61">
        <v>53</v>
      </c>
      <c r="M17" s="28">
        <f t="shared" si="1"/>
        <v>7.6811594202898556E-2</v>
      </c>
      <c r="N17" s="46">
        <f>L17+'15 - 21 Nov'!L17+'22 - 28 Nov'!L17+'29 Nov - 5 Dec'!L17</f>
        <v>198</v>
      </c>
      <c r="O17" s="172">
        <f t="shared" si="2"/>
        <v>0.28695652173913044</v>
      </c>
      <c r="P17" s="260">
        <v>27990.43</v>
      </c>
      <c r="Q17" s="89">
        <f t="shared" si="6"/>
        <v>0.16741938437865364</v>
      </c>
      <c r="R17" s="260">
        <v>27290.37</v>
      </c>
      <c r="S17" s="89">
        <f t="shared" si="7"/>
        <v>0.1632321098627523</v>
      </c>
      <c r="T17" s="130">
        <v>5719.3</v>
      </c>
      <c r="U17" s="9"/>
    </row>
    <row r="18" spans="1:21" ht="15.6" customHeight="1" x14ac:dyDescent="0.3">
      <c r="A18" s="198" t="s">
        <v>33</v>
      </c>
      <c r="B18" s="200">
        <f>'29 Nov - 5 Dec'!E18</f>
        <v>171537.9</v>
      </c>
      <c r="C18" s="73">
        <v>189552.3</v>
      </c>
      <c r="D18" s="73">
        <v>157947.54</v>
      </c>
      <c r="E18" s="269">
        <v>182335.29</v>
      </c>
      <c r="F18" s="145">
        <v>317675.65999999997</v>
      </c>
      <c r="G18" s="163">
        <f t="shared" si="0"/>
        <v>-3.8073977472180401E-2</v>
      </c>
      <c r="H18" s="155">
        <f t="shared" si="3"/>
        <v>0.1544041141761372</v>
      </c>
      <c r="I18" s="263">
        <f t="shared" si="4"/>
        <v>6.2944632060903241E-2</v>
      </c>
      <c r="J18" s="150">
        <v>669</v>
      </c>
      <c r="K18" s="63">
        <f t="shared" si="5"/>
        <v>272.54901345291483</v>
      </c>
      <c r="L18" s="61">
        <v>92</v>
      </c>
      <c r="M18" s="28">
        <f t="shared" si="1"/>
        <v>0.13751868460388639</v>
      </c>
      <c r="N18" s="46">
        <f>L18+'15 - 21 Nov'!L18+'22 - 28 Nov'!L18+'29 Nov - 5 Dec'!L18</f>
        <v>381</v>
      </c>
      <c r="O18" s="172">
        <f t="shared" si="2"/>
        <v>0.56950672645739908</v>
      </c>
      <c r="P18" s="260">
        <v>33271</v>
      </c>
      <c r="Q18" s="89">
        <f t="shared" si="6"/>
        <v>0.18247153362357885</v>
      </c>
      <c r="R18" s="260">
        <v>19619.259999999998</v>
      </c>
      <c r="S18" s="89">
        <f t="shared" si="7"/>
        <v>0.10759990564635073</v>
      </c>
      <c r="T18" s="130">
        <v>4274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61" priority="14" operator="equal">
      <formula>0</formula>
    </cfRule>
  </conditionalFormatting>
  <conditionalFormatting sqref="D7:F19">
    <cfRule type="cellIs" dxfId="260" priority="1" operator="equal">
      <formula>0</formula>
    </cfRule>
  </conditionalFormatting>
  <conditionalFormatting sqref="G6:T19">
    <cfRule type="cellIs" dxfId="259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X41"/>
  <sheetViews>
    <sheetView zoomScale="70" zoomScaleNormal="70" workbookViewId="0">
      <pane xSplit="1" topLeftCell="B1" activePane="topRight" state="frozen"/>
      <selection pane="topRight" activeCell="E7" sqref="E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-0.15767522176544474</v>
      </c>
      <c r="H2" s="413"/>
      <c r="I2" s="400">
        <f>(((E4-E19-B19)-B4)/E4)</f>
        <v>0.12349052856781645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2077770.33</v>
      </c>
      <c r="C4" s="135">
        <f>SUM(C6:C19)-C14-C19-C10-C9</f>
        <v>2814241.42</v>
      </c>
      <c r="D4" s="142">
        <f>SUM(D6:D19)-D19-D10-D9</f>
        <v>2188304.7199999997</v>
      </c>
      <c r="E4" s="270">
        <f>SUM(E6:E19)-E19-E10-E9</f>
        <v>2370505.2799999998</v>
      </c>
      <c r="F4" s="142">
        <f>SUM(F6:F19)-F19-F10-F9</f>
        <v>6128832.790000001</v>
      </c>
      <c r="G4" s="217">
        <f t="shared" ref="G4:G19" si="0">IFERROR((SUM(E4-C4)/C4),0)</f>
        <v>-0.15767522176544474</v>
      </c>
      <c r="H4" s="217">
        <f>IFERROR((SUM(E4-D4)/D4),0)</f>
        <v>8.3261055160544592E-2</v>
      </c>
      <c r="I4" s="217">
        <f>IFERROR((SUM(E4-B4)/E4),0)</f>
        <v>0.12349052856781645</v>
      </c>
      <c r="J4" s="262">
        <f>SUM(J6:J18)</f>
        <v>7830</v>
      </c>
      <c r="K4" s="218">
        <f>AVERAGE(K5:K19)</f>
        <v>241.52354221486874</v>
      </c>
      <c r="L4" s="219">
        <f>SUM(L6:L19)</f>
        <v>431</v>
      </c>
      <c r="M4" s="220">
        <f t="shared" ref="M4:M19" si="1">IFERROR(L4/J4,0)</f>
        <v>5.5044699872286079E-2</v>
      </c>
      <c r="N4" s="221">
        <f>SUM(N6:N19)</f>
        <v>3101</v>
      </c>
      <c r="O4" s="222">
        <f t="shared" ref="O4:O19" si="2">IFERROR(N4/SUM(J4),0)</f>
        <v>0.39604086845466158</v>
      </c>
      <c r="P4" s="249">
        <f>SUM(P6:P19)</f>
        <v>410892.46</v>
      </c>
      <c r="Q4" s="222">
        <f>SUM(P4/E4)</f>
        <v>0.17333539117871108</v>
      </c>
      <c r="R4" s="244">
        <f>SUM(R6:R19)</f>
        <v>265039.11</v>
      </c>
      <c r="S4" s="222">
        <f>SUM(R4/E4)</f>
        <v>0.11180701103521694</v>
      </c>
      <c r="T4" s="257">
        <f>SUM(T6:T19)</f>
        <v>85638.239999999991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'6 - 12 Dec'!E6</f>
        <v>221100.21</v>
      </c>
      <c r="C6" s="255">
        <v>332934.52</v>
      </c>
      <c r="D6" s="197">
        <v>237883.58</v>
      </c>
      <c r="E6" s="268">
        <v>247695.9</v>
      </c>
      <c r="F6" s="123">
        <v>673893.84</v>
      </c>
      <c r="G6" s="162">
        <f t="shared" si="0"/>
        <v>-0.25602217517126197</v>
      </c>
      <c r="H6" s="154">
        <f t="shared" ref="H6:H18" si="3">IFERROR((SUM(E6-D6)/D6),0)</f>
        <v>4.1248412353639574E-2</v>
      </c>
      <c r="I6" s="266">
        <f t="shared" ref="I6:I19" si="4">IFERROR((SUM(E6-B6)/B6),0)</f>
        <v>0.12028794545242631</v>
      </c>
      <c r="J6" s="149">
        <v>753</v>
      </c>
      <c r="K6" s="63">
        <f t="shared" ref="K6:K19" si="5">IFERROR(E6/J6,0)</f>
        <v>328.94541832669324</v>
      </c>
      <c r="L6" s="125">
        <v>59</v>
      </c>
      <c r="M6" s="126">
        <f t="shared" si="1"/>
        <v>7.8353253652058433E-2</v>
      </c>
      <c r="N6" s="46">
        <f>L6+'15 - 21 Nov'!L6+'22 - 28 Nov'!L6+'29 Nov - 5 Dec'!L6+'6 - 12 Dec'!L6</f>
        <v>255</v>
      </c>
      <c r="O6" s="171">
        <f t="shared" si="2"/>
        <v>0.3386454183266932</v>
      </c>
      <c r="P6" s="259">
        <v>52326.35</v>
      </c>
      <c r="Q6" s="128">
        <f t="shared" ref="Q6:Q19" si="6">SUM(P6/E6)</f>
        <v>0.21125238649489153</v>
      </c>
      <c r="R6" s="260">
        <v>9878.09</v>
      </c>
      <c r="S6" s="128">
        <f t="shared" ref="S6:S19" si="7">SUM(R6/E6)</f>
        <v>3.9879909195105777E-2</v>
      </c>
      <c r="T6" s="129">
        <v>13445</v>
      </c>
      <c r="U6" s="26"/>
    </row>
    <row r="7" spans="1:24" ht="15.6" customHeight="1" x14ac:dyDescent="0.3">
      <c r="A7" s="409" t="s">
        <v>16</v>
      </c>
      <c r="B7" s="200">
        <f>'6 - 12 Dec'!E7</f>
        <v>341822.34</v>
      </c>
      <c r="C7" s="73">
        <v>503613.1</v>
      </c>
      <c r="D7" s="145">
        <v>387463.59</v>
      </c>
      <c r="E7" s="269">
        <v>416851.52</v>
      </c>
      <c r="F7" s="145">
        <v>1025957.88</v>
      </c>
      <c r="G7" s="163">
        <f t="shared" si="0"/>
        <v>-0.1722782429607172</v>
      </c>
      <c r="H7" s="155">
        <f t="shared" si="3"/>
        <v>7.5846946031754861E-2</v>
      </c>
      <c r="I7" s="263">
        <f t="shared" si="4"/>
        <v>0.21949759047346054</v>
      </c>
      <c r="J7" s="150">
        <v>1102</v>
      </c>
      <c r="K7" s="63">
        <f t="shared" si="5"/>
        <v>378.26816696914705</v>
      </c>
      <c r="L7" s="61">
        <v>42</v>
      </c>
      <c r="M7" s="28">
        <f t="shared" si="1"/>
        <v>3.8112522686025406E-2</v>
      </c>
      <c r="N7" s="46">
        <f>L7+'15 - 21 Nov'!L7+'22 - 28 Nov'!L7+'29 Nov - 5 Dec'!L7+'6 - 12 Dec'!L7</f>
        <v>341</v>
      </c>
      <c r="O7" s="172">
        <f t="shared" si="2"/>
        <v>0.30943738656987296</v>
      </c>
      <c r="P7" s="260">
        <v>39157.46</v>
      </c>
      <c r="Q7" s="89">
        <f t="shared" si="6"/>
        <v>9.393622937970815E-2</v>
      </c>
      <c r="R7" s="260">
        <v>28894.17</v>
      </c>
      <c r="S7" s="89">
        <f t="shared" si="7"/>
        <v>6.9315256425117502E-2</v>
      </c>
      <c r="T7" s="130">
        <v>14865.24</v>
      </c>
      <c r="U7" s="26"/>
    </row>
    <row r="8" spans="1:24" ht="15.6" customHeight="1" x14ac:dyDescent="0.3">
      <c r="A8" s="409" t="s">
        <v>17</v>
      </c>
      <c r="B8" s="200">
        <f>'6 - 12 Dec'!E8</f>
        <v>128162.21</v>
      </c>
      <c r="C8" s="73">
        <v>105968.29</v>
      </c>
      <c r="D8" s="145">
        <v>106325.81</v>
      </c>
      <c r="E8" s="269">
        <v>128373.96</v>
      </c>
      <c r="F8" s="145">
        <v>370284.35</v>
      </c>
      <c r="G8" s="163">
        <f t="shared" si="0"/>
        <v>0.21143749700971878</v>
      </c>
      <c r="H8" s="155">
        <f t="shared" si="3"/>
        <v>0.20736404453443627</v>
      </c>
      <c r="I8" s="263">
        <f t="shared" si="4"/>
        <v>1.6522030948124256E-3</v>
      </c>
      <c r="J8" s="150">
        <v>520</v>
      </c>
      <c r="K8" s="63">
        <f t="shared" si="5"/>
        <v>246.87300000000002</v>
      </c>
      <c r="L8" s="61">
        <v>13</v>
      </c>
      <c r="M8" s="28">
        <f t="shared" si="1"/>
        <v>2.5000000000000001E-2</v>
      </c>
      <c r="N8" s="46">
        <f>L8+'15 - 21 Nov'!L8+'22 - 28 Nov'!L8+'29 Nov - 5 Dec'!L8+'6 - 12 Dec'!L8</f>
        <v>114</v>
      </c>
      <c r="O8" s="172">
        <f t="shared" si="2"/>
        <v>0.21923076923076923</v>
      </c>
      <c r="P8" s="260">
        <v>61133.22</v>
      </c>
      <c r="Q8" s="89">
        <f t="shared" si="6"/>
        <v>0.47621199813420101</v>
      </c>
      <c r="R8" s="260">
        <v>21018.87</v>
      </c>
      <c r="S8" s="89">
        <f t="shared" si="7"/>
        <v>0.16373156986042961</v>
      </c>
      <c r="T8" s="130">
        <v>3071</v>
      </c>
      <c r="U8" s="26"/>
    </row>
    <row r="9" spans="1:24" ht="15.6" customHeight="1" x14ac:dyDescent="0.3">
      <c r="A9" s="409" t="s">
        <v>18</v>
      </c>
      <c r="B9" s="200">
        <f>'6 - 12 Dec'!E9</f>
        <v>0</v>
      </c>
      <c r="C9" s="73">
        <v>376764.91</v>
      </c>
      <c r="D9" s="145">
        <v>269024.33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'6 - 12 Dec'!E10</f>
        <v>174496.27</v>
      </c>
      <c r="C10" s="73">
        <v>115192.67</v>
      </c>
      <c r="D10" s="145">
        <v>136185.12</v>
      </c>
      <c r="E10" s="269">
        <v>150716.72</v>
      </c>
      <c r="F10" s="145">
        <v>448633.72</v>
      </c>
      <c r="G10" s="163">
        <f t="shared" si="0"/>
        <v>0.30838811184774173</v>
      </c>
      <c r="H10" s="155">
        <f t="shared" si="3"/>
        <v>0.10670475599683729</v>
      </c>
      <c r="I10" s="263">
        <f t="shared" si="4"/>
        <v>-0.13627540577228378</v>
      </c>
      <c r="J10" s="150">
        <v>460</v>
      </c>
      <c r="K10" s="63">
        <f t="shared" si="5"/>
        <v>327.64504347826085</v>
      </c>
      <c r="L10" s="61">
        <v>39</v>
      </c>
      <c r="M10" s="28">
        <f t="shared" si="1"/>
        <v>8.478260869565217E-2</v>
      </c>
      <c r="N10" s="46">
        <f>L10+'15 - 21 Nov'!L10+'22 - 28 Nov'!L10+'29 Nov - 5 Dec'!L10+'6 - 12 Dec'!L10</f>
        <v>240</v>
      </c>
      <c r="O10" s="172">
        <f t="shared" si="2"/>
        <v>0.52173913043478259</v>
      </c>
      <c r="P10" s="260">
        <v>48390.61</v>
      </c>
      <c r="Q10" s="89">
        <f t="shared" si="6"/>
        <v>0.32106995162845903</v>
      </c>
      <c r="R10" s="260">
        <v>7801.96</v>
      </c>
      <c r="S10" s="89">
        <f t="shared" si="7"/>
        <v>5.176572313941015E-2</v>
      </c>
      <c r="T10" s="130">
        <v>4830.5</v>
      </c>
      <c r="U10" s="26"/>
    </row>
    <row r="11" spans="1:24" ht="15.6" customHeight="1" x14ac:dyDescent="0.3">
      <c r="A11" s="409" t="s">
        <v>21</v>
      </c>
      <c r="B11" s="200">
        <f>'6 - 12 Dec'!E11</f>
        <v>253424.14</v>
      </c>
      <c r="C11" s="73">
        <v>311404.3</v>
      </c>
      <c r="D11" s="145">
        <v>284781.13</v>
      </c>
      <c r="E11" s="269">
        <v>234819.58</v>
      </c>
      <c r="F11" s="145">
        <v>714482.46</v>
      </c>
      <c r="G11" s="163">
        <f t="shared" si="0"/>
        <v>-0.24593340554385409</v>
      </c>
      <c r="H11" s="155">
        <f t="shared" si="3"/>
        <v>-0.17543841475732616</v>
      </c>
      <c r="I11" s="263">
        <f t="shared" si="4"/>
        <v>-7.3412738028824032E-2</v>
      </c>
      <c r="J11" s="150">
        <v>834</v>
      </c>
      <c r="K11" s="63">
        <f t="shared" si="5"/>
        <v>281.55824940047961</v>
      </c>
      <c r="L11" s="61">
        <v>43</v>
      </c>
      <c r="M11" s="28">
        <f t="shared" si="1"/>
        <v>5.1558752997601917E-2</v>
      </c>
      <c r="N11" s="46">
        <f>L11+'15 - 21 Nov'!L11+'22 - 28 Nov'!L11+'29 Nov - 5 Dec'!L11+'6 - 12 Dec'!L11</f>
        <v>409</v>
      </c>
      <c r="O11" s="172">
        <f t="shared" si="2"/>
        <v>0.49040767386091128</v>
      </c>
      <c r="P11" s="260">
        <v>43393.54</v>
      </c>
      <c r="Q11" s="89">
        <f t="shared" si="6"/>
        <v>0.18479523726258262</v>
      </c>
      <c r="R11" s="260">
        <v>26982.61</v>
      </c>
      <c r="S11" s="89">
        <f t="shared" si="7"/>
        <v>0.1149078369018461</v>
      </c>
      <c r="T11" s="130">
        <v>12690.6</v>
      </c>
      <c r="U11" s="26"/>
    </row>
    <row r="12" spans="1:24" ht="15.6" customHeight="1" x14ac:dyDescent="0.3">
      <c r="A12" s="198" t="s">
        <v>22</v>
      </c>
      <c r="B12" s="200">
        <f>'6 - 12 Dec'!E12</f>
        <v>122087.36</v>
      </c>
      <c r="C12" s="73">
        <v>149883.34</v>
      </c>
      <c r="D12" s="145">
        <v>105426.19</v>
      </c>
      <c r="E12" s="269">
        <v>124306.15</v>
      </c>
      <c r="F12" s="145">
        <v>358877.4</v>
      </c>
      <c r="G12" s="163">
        <f t="shared" si="0"/>
        <v>-0.17064731810753619</v>
      </c>
      <c r="H12" s="155">
        <f t="shared" si="3"/>
        <v>0.17908225650571258</v>
      </c>
      <c r="I12" s="263">
        <f t="shared" si="4"/>
        <v>1.8173789653572602E-2</v>
      </c>
      <c r="J12" s="150">
        <v>415</v>
      </c>
      <c r="K12" s="63">
        <f t="shared" si="5"/>
        <v>299.53289156626505</v>
      </c>
      <c r="L12" s="61">
        <v>30</v>
      </c>
      <c r="M12" s="28">
        <f t="shared" si="1"/>
        <v>7.2289156626506021E-2</v>
      </c>
      <c r="N12" s="46">
        <f>L12+'15 - 21 Nov'!L12+'22 - 28 Nov'!L12+'29 Nov - 5 Dec'!L12+'6 - 12 Dec'!L12</f>
        <v>249</v>
      </c>
      <c r="O12" s="172">
        <f t="shared" si="2"/>
        <v>0.6</v>
      </c>
      <c r="P12" s="260">
        <v>29461.35</v>
      </c>
      <c r="Q12" s="89">
        <f t="shared" si="6"/>
        <v>0.2370063749862738</v>
      </c>
      <c r="R12" s="260">
        <v>9266.52</v>
      </c>
      <c r="S12" s="89">
        <f t="shared" si="7"/>
        <v>7.4545949657358071E-2</v>
      </c>
      <c r="T12" s="130">
        <v>6381.5</v>
      </c>
      <c r="U12" s="26"/>
    </row>
    <row r="13" spans="1:24" ht="15.6" customHeight="1" x14ac:dyDescent="0.3">
      <c r="A13" s="198" t="s">
        <v>23</v>
      </c>
      <c r="B13" s="200">
        <f>'6 - 12 Dec'!E13</f>
        <v>207065.35</v>
      </c>
      <c r="C13" s="73">
        <v>199187.93</v>
      </c>
      <c r="D13" s="145">
        <v>192989.24</v>
      </c>
      <c r="E13" s="269">
        <v>192364.64</v>
      </c>
      <c r="F13" s="145">
        <v>571861.88</v>
      </c>
      <c r="G13" s="163">
        <f t="shared" si="0"/>
        <v>-3.4255539479726406E-2</v>
      </c>
      <c r="H13" s="155">
        <f t="shared" si="3"/>
        <v>-3.2364498663240331E-3</v>
      </c>
      <c r="I13" s="263">
        <f t="shared" si="4"/>
        <v>-7.099550938870261E-2</v>
      </c>
      <c r="J13" s="150">
        <v>669</v>
      </c>
      <c r="K13" s="63">
        <f t="shared" si="5"/>
        <v>287.54056801195816</v>
      </c>
      <c r="L13" s="61">
        <v>58</v>
      </c>
      <c r="M13" s="28">
        <f t="shared" si="1"/>
        <v>8.6696562032884908E-2</v>
      </c>
      <c r="N13" s="46">
        <f>L13+'15 - 21 Nov'!L13+'22 - 28 Nov'!L13+'29 Nov - 5 Dec'!L13+'6 - 12 Dec'!L13</f>
        <v>380</v>
      </c>
      <c r="O13" s="172">
        <f t="shared" si="2"/>
        <v>0.56801195814648731</v>
      </c>
      <c r="P13" s="260">
        <v>36435.35</v>
      </c>
      <c r="Q13" s="89">
        <f t="shared" si="6"/>
        <v>0.18940773106741446</v>
      </c>
      <c r="R13" s="260">
        <v>25760.48</v>
      </c>
      <c r="S13" s="89">
        <f t="shared" si="7"/>
        <v>0.13391484006624085</v>
      </c>
      <c r="T13" s="130">
        <v>6667</v>
      </c>
      <c r="U13" s="26"/>
    </row>
    <row r="14" spans="1:24" ht="15.6" hidden="1" customHeight="1" x14ac:dyDescent="0.3">
      <c r="A14" s="198" t="s">
        <v>24</v>
      </c>
      <c r="B14" s="200">
        <f>'6 - 12 Dec'!E14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'6 - 12 Dec'!E15</f>
        <v>324926.32</v>
      </c>
      <c r="C15" s="73">
        <v>721819.17</v>
      </c>
      <c r="D15" s="145">
        <v>415182.37</v>
      </c>
      <c r="E15" s="269">
        <v>547738.16</v>
      </c>
      <c r="F15" s="145">
        <v>1043459.38</v>
      </c>
      <c r="G15" s="163">
        <f t="shared" si="0"/>
        <v>-0.2411698348216493</v>
      </c>
      <c r="H15" s="155">
        <f t="shared" si="3"/>
        <v>0.31927123976868294</v>
      </c>
      <c r="I15" s="263">
        <f t="shared" si="4"/>
        <v>0.68573035265348781</v>
      </c>
      <c r="J15" s="150">
        <v>1319</v>
      </c>
      <c r="K15" s="63">
        <f t="shared" si="5"/>
        <v>415.26774829416229</v>
      </c>
      <c r="L15" s="61">
        <v>5</v>
      </c>
      <c r="M15" s="28">
        <f t="shared" si="1"/>
        <v>3.7907505686125853E-3</v>
      </c>
      <c r="N15" s="46">
        <f>L15+'15 - 21 Nov'!L15+'22 - 28 Nov'!L15+'29 Nov - 5 Dec'!L15+'6 - 12 Dec'!L15</f>
        <v>215</v>
      </c>
      <c r="O15" s="172">
        <f t="shared" si="2"/>
        <v>0.16300227445034116</v>
      </c>
      <c r="P15" s="260">
        <v>0</v>
      </c>
      <c r="Q15" s="89">
        <f t="shared" si="6"/>
        <v>0</v>
      </c>
      <c r="R15" s="260">
        <v>61769.13</v>
      </c>
      <c r="S15" s="89">
        <f t="shared" si="7"/>
        <v>0.11277127377796718</v>
      </c>
      <c r="T15" s="130">
        <v>6748.3</v>
      </c>
      <c r="U15" s="9"/>
    </row>
    <row r="16" spans="1:24" ht="15.6" customHeight="1" x14ac:dyDescent="0.3">
      <c r="A16" s="198" t="s">
        <v>27</v>
      </c>
      <c r="B16" s="200">
        <f>'6 - 12 Dec'!E16</f>
        <v>129659.6</v>
      </c>
      <c r="C16" s="73">
        <v>121137.18</v>
      </c>
      <c r="D16" s="145">
        <v>140278.5</v>
      </c>
      <c r="E16" s="269">
        <v>138069.95000000001</v>
      </c>
      <c r="F16" s="145">
        <v>397543.61</v>
      </c>
      <c r="G16" s="163">
        <f t="shared" si="0"/>
        <v>0.13978177467892203</v>
      </c>
      <c r="H16" s="155">
        <f t="shared" si="3"/>
        <v>-1.5744037753468908E-2</v>
      </c>
      <c r="I16" s="263">
        <f t="shared" si="4"/>
        <v>6.4864846104723484E-2</v>
      </c>
      <c r="J16" s="150">
        <v>517</v>
      </c>
      <c r="K16" s="63">
        <f t="shared" si="5"/>
        <v>267.05986460348163</v>
      </c>
      <c r="L16" s="61">
        <v>17</v>
      </c>
      <c r="M16" s="28">
        <f t="shared" si="1"/>
        <v>3.2882011605415859E-2</v>
      </c>
      <c r="N16" s="46">
        <f>L16+'15 - 21 Nov'!L16+'22 - 28 Nov'!L16+'29 Nov - 5 Dec'!L16+'6 - 12 Dec'!L16</f>
        <v>194</v>
      </c>
      <c r="O16" s="172">
        <f t="shared" si="2"/>
        <v>0.37524177949709864</v>
      </c>
      <c r="P16" s="260">
        <v>36174.65</v>
      </c>
      <c r="Q16" s="89">
        <f t="shared" si="6"/>
        <v>0.26200234011817919</v>
      </c>
      <c r="R16" s="260">
        <v>30971.63</v>
      </c>
      <c r="S16" s="89">
        <f t="shared" si="7"/>
        <v>0.22431839802940465</v>
      </c>
      <c r="T16" s="130">
        <v>6110.7</v>
      </c>
      <c r="U16" s="9"/>
      <c r="X16" s="238"/>
    </row>
    <row r="17" spans="1:21" ht="15.6" customHeight="1" x14ac:dyDescent="0.3">
      <c r="A17" s="198" t="s">
        <v>28</v>
      </c>
      <c r="B17" s="200">
        <f>'6 - 12 Dec'!E17</f>
        <v>167187.51</v>
      </c>
      <c r="C17" s="73">
        <v>210622.19</v>
      </c>
      <c r="D17" s="145">
        <v>167200.12</v>
      </c>
      <c r="E17" s="269">
        <v>169389.41</v>
      </c>
      <c r="F17" s="145">
        <v>483900.32</v>
      </c>
      <c r="G17" s="163">
        <f t="shared" si="0"/>
        <v>-0.19576655242261035</v>
      </c>
      <c r="H17" s="155">
        <f t="shared" si="3"/>
        <v>1.3093830315432837E-2</v>
      </c>
      <c r="I17" s="263">
        <f t="shared" si="4"/>
        <v>1.3170242202901366E-2</v>
      </c>
      <c r="J17" s="150">
        <v>632</v>
      </c>
      <c r="K17" s="63">
        <f t="shared" si="5"/>
        <v>268.0212183544304</v>
      </c>
      <c r="L17" s="61">
        <v>34</v>
      </c>
      <c r="M17" s="28">
        <f t="shared" si="1"/>
        <v>5.3797468354430382E-2</v>
      </c>
      <c r="N17" s="46">
        <f>L17+'15 - 21 Nov'!L17+'22 - 28 Nov'!L17+'29 Nov - 5 Dec'!L17+'6 - 12 Dec'!L17</f>
        <v>232</v>
      </c>
      <c r="O17" s="172">
        <f t="shared" si="2"/>
        <v>0.36708860759493672</v>
      </c>
      <c r="P17" s="260">
        <v>27374.97</v>
      </c>
      <c r="Q17" s="89">
        <f t="shared" si="6"/>
        <v>0.16160968976750081</v>
      </c>
      <c r="R17" s="260">
        <v>27243.26</v>
      </c>
      <c r="S17" s="89">
        <f t="shared" si="7"/>
        <v>0.16083213230390259</v>
      </c>
      <c r="T17" s="130">
        <v>5145.3999999999996</v>
      </c>
      <c r="U17" s="9"/>
    </row>
    <row r="18" spans="1:21" ht="15.6" customHeight="1" x14ac:dyDescent="0.3">
      <c r="A18" s="198" t="s">
        <v>33</v>
      </c>
      <c r="B18" s="200">
        <f>'6 - 12 Dec'!E18</f>
        <v>182335.29</v>
      </c>
      <c r="C18" s="73">
        <v>157671.4</v>
      </c>
      <c r="D18" s="73">
        <v>150774.19</v>
      </c>
      <c r="E18" s="269">
        <v>170896.01</v>
      </c>
      <c r="F18" s="145">
        <v>488571.67</v>
      </c>
      <c r="G18" s="163">
        <f t="shared" si="0"/>
        <v>8.3874501019208403E-2</v>
      </c>
      <c r="H18" s="155">
        <f t="shared" si="3"/>
        <v>0.13345666124951497</v>
      </c>
      <c r="I18" s="263">
        <f t="shared" si="4"/>
        <v>-6.2737608281973278E-2</v>
      </c>
      <c r="J18" s="150">
        <v>609</v>
      </c>
      <c r="K18" s="63">
        <f t="shared" si="5"/>
        <v>280.6174220032841</v>
      </c>
      <c r="L18" s="61">
        <v>91</v>
      </c>
      <c r="M18" s="28">
        <f t="shared" si="1"/>
        <v>0.14942528735632185</v>
      </c>
      <c r="N18" s="46">
        <f>L18+'15 - 21 Nov'!L18+'22 - 28 Nov'!L18+'29 Nov - 5 Dec'!L18+'6 - 12 Dec'!L18</f>
        <v>472</v>
      </c>
      <c r="O18" s="172">
        <f t="shared" si="2"/>
        <v>0.77504105090311992</v>
      </c>
      <c r="P18" s="260">
        <v>37044.959999999999</v>
      </c>
      <c r="Q18" s="89">
        <f t="shared" si="6"/>
        <v>0.21676901643285879</v>
      </c>
      <c r="R18" s="260">
        <v>15452.39</v>
      </c>
      <c r="S18" s="89">
        <f t="shared" si="7"/>
        <v>9.0419840697275489E-2</v>
      </c>
      <c r="T18" s="130">
        <v>5683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58" priority="14" operator="equal">
      <formula>0</formula>
    </cfRule>
  </conditionalFormatting>
  <conditionalFormatting sqref="D7:F19">
    <cfRule type="cellIs" dxfId="257" priority="1" operator="equal">
      <formula>0</formula>
    </cfRule>
  </conditionalFormatting>
  <conditionalFormatting sqref="G6:T19">
    <cfRule type="cellIs" dxfId="256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X41"/>
  <sheetViews>
    <sheetView zoomScale="70" zoomScaleNormal="70" workbookViewId="0">
      <pane xSplit="1" topLeftCell="B1" activePane="topRight" state="frozen"/>
      <selection pane="topRight" activeCell="H17" activeCellId="1" sqref="L13 H17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-2.9504708795926983E-3</v>
      </c>
      <c r="H2" s="413"/>
      <c r="I2" s="400">
        <f>(((E4-E19-B19)-B4)/E4)</f>
        <v>-5.6728039374655634E-2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47</v>
      </c>
      <c r="E3" s="271" t="s">
        <v>5</v>
      </c>
      <c r="F3" s="253" t="s">
        <v>44</v>
      </c>
      <c r="G3" s="253" t="s">
        <v>46</v>
      </c>
      <c r="H3" s="253" t="s">
        <v>48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2370505.2799999998</v>
      </c>
      <c r="C4" s="135">
        <f>SUM(C6:C19)-C14-C19-C10-C9</f>
        <v>2249888.33</v>
      </c>
      <c r="D4" s="142">
        <f>SUM(D6:D19)-D19-D10-D9</f>
        <v>1708112.18</v>
      </c>
      <c r="E4" s="270">
        <f>SUM(E6:E19)-E19-E10-E9</f>
        <v>2243250.0999999996</v>
      </c>
      <c r="F4" s="142">
        <f>SUM(F6:F19)-F19-F10-F9</f>
        <v>8372082.5899999989</v>
      </c>
      <c r="G4" s="217">
        <f t="shared" ref="G4:G19" si="0">IFERROR((SUM(E4-C4)/C4),0)</f>
        <v>-2.9504708795926983E-3</v>
      </c>
      <c r="H4" s="217">
        <f>IFERROR((SUM(E4-D4)/D4),0)</f>
        <v>0.31329202277569362</v>
      </c>
      <c r="I4" s="217">
        <f>IFERROR((SUM(E4-B4)/E4),0)</f>
        <v>-5.6728039374655634E-2</v>
      </c>
      <c r="J4" s="262">
        <f>SUM(J6:J18)</f>
        <v>7519</v>
      </c>
      <c r="K4" s="218">
        <f>AVERAGE(K5:K19)</f>
        <v>234.70267695236376</v>
      </c>
      <c r="L4" s="219">
        <f>SUM(L6:L19)</f>
        <v>422</v>
      </c>
      <c r="M4" s="220">
        <f t="shared" ref="M4:M19" si="1">IFERROR(L4/J4,0)</f>
        <v>5.612448463891475E-2</v>
      </c>
      <c r="N4" s="221">
        <f>SUM(N6:N19)</f>
        <v>3523</v>
      </c>
      <c r="O4" s="222">
        <f t="shared" ref="O4:O19" si="2">IFERROR(N4/SUM(J4),0)</f>
        <v>0.4685463492485703</v>
      </c>
      <c r="P4" s="249">
        <f>SUM(P6:P19)</f>
        <v>268879.63</v>
      </c>
      <c r="Q4" s="222">
        <f>SUM(P4/E4)</f>
        <v>0.11986163736268196</v>
      </c>
      <c r="R4" s="244">
        <f>SUM(R6:R19)</f>
        <v>218979.99000000002</v>
      </c>
      <c r="S4" s="222">
        <f>SUM(R4/E4)</f>
        <v>9.7617287524025986E-2</v>
      </c>
      <c r="T4" s="257">
        <f>SUM(T6:T19)</f>
        <v>66872.990000000005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'13 - 19 Dec'!E6</f>
        <v>247695.9</v>
      </c>
      <c r="C6" s="255">
        <v>251356.61</v>
      </c>
      <c r="D6" s="197">
        <v>153645.04</v>
      </c>
      <c r="E6" s="268">
        <v>198665.22</v>
      </c>
      <c r="F6" s="123">
        <v>872559.06</v>
      </c>
      <c r="G6" s="162">
        <f t="shared" si="0"/>
        <v>-0.20962802609408199</v>
      </c>
      <c r="H6" s="154">
        <f t="shared" ref="H6:H18" si="3">IFERROR((SUM(E6-D6)/D6),0)</f>
        <v>0.29301420989574406</v>
      </c>
      <c r="I6" s="266">
        <f t="shared" ref="I6:I19" si="4">IFERROR((SUM(E6-B6)/B6),0)</f>
        <v>-0.19794707946316428</v>
      </c>
      <c r="J6" s="149">
        <v>608</v>
      </c>
      <c r="K6" s="63">
        <f t="shared" ref="K6:K19" si="5">IFERROR(E6/J6,0)</f>
        <v>326.75200657894737</v>
      </c>
      <c r="L6" s="125">
        <v>42</v>
      </c>
      <c r="M6" s="126">
        <f t="shared" si="1"/>
        <v>6.9078947368421059E-2</v>
      </c>
      <c r="N6" s="46">
        <f>L6+'15 - 21 Nov'!L6+'22 - 28 Nov'!L6+'29 Nov - 5 Dec'!L6+'6 - 12 Dec'!L6+'13 - 19 Dec'!L6</f>
        <v>297</v>
      </c>
      <c r="O6" s="171">
        <f t="shared" si="2"/>
        <v>0.48848684210526316</v>
      </c>
      <c r="P6" s="259">
        <v>32669.39</v>
      </c>
      <c r="Q6" s="128">
        <f t="shared" ref="Q6:Q19" si="6">SUM(P6/E6)</f>
        <v>0.1644444357195487</v>
      </c>
      <c r="R6" s="260">
        <v>11260.83</v>
      </c>
      <c r="S6" s="128">
        <f t="shared" ref="S6:S19" si="7">SUM(R6/E6)</f>
        <v>5.668244295604434E-2</v>
      </c>
      <c r="T6" s="129">
        <v>5784</v>
      </c>
      <c r="U6" s="26"/>
    </row>
    <row r="7" spans="1:24" ht="15.6" customHeight="1" x14ac:dyDescent="0.3">
      <c r="A7" s="409" t="s">
        <v>16</v>
      </c>
      <c r="B7" s="200">
        <f>'13 - 19 Dec'!E7</f>
        <v>416851.52</v>
      </c>
      <c r="C7" s="73">
        <v>285024.23</v>
      </c>
      <c r="D7" s="145">
        <v>250899.36</v>
      </c>
      <c r="E7" s="269">
        <v>355451.46</v>
      </c>
      <c r="F7" s="145">
        <v>1381409.34</v>
      </c>
      <c r="G7" s="163">
        <f t="shared" si="0"/>
        <v>0.24709208055750223</v>
      </c>
      <c r="H7" s="155">
        <f t="shared" si="3"/>
        <v>0.41670931324814875</v>
      </c>
      <c r="I7" s="263">
        <f t="shared" si="4"/>
        <v>-0.14729479695791919</v>
      </c>
      <c r="J7" s="150">
        <v>944</v>
      </c>
      <c r="K7" s="63">
        <f t="shared" si="5"/>
        <v>376.53756355932205</v>
      </c>
      <c r="L7" s="61">
        <v>39</v>
      </c>
      <c r="M7" s="28">
        <f t="shared" si="1"/>
        <v>4.1313559322033899E-2</v>
      </c>
      <c r="N7" s="46">
        <f>L7+'15 - 21 Nov'!L7+'22 - 28 Nov'!L7+'29 Nov - 5 Dec'!L7+'6 - 12 Dec'!L7+'13 - 19 Dec'!L7</f>
        <v>380</v>
      </c>
      <c r="O7" s="172">
        <f t="shared" si="2"/>
        <v>0.40254237288135591</v>
      </c>
      <c r="P7" s="260">
        <v>25633.83</v>
      </c>
      <c r="Q7" s="89">
        <f t="shared" si="6"/>
        <v>7.2116260262371695E-2</v>
      </c>
      <c r="R7" s="260">
        <v>13194.35</v>
      </c>
      <c r="S7" s="89">
        <f t="shared" si="7"/>
        <v>3.7119976944249997E-2</v>
      </c>
      <c r="T7" s="130">
        <v>15673.59</v>
      </c>
      <c r="U7" s="26"/>
    </row>
    <row r="8" spans="1:24" ht="15.6" customHeight="1" x14ac:dyDescent="0.3">
      <c r="A8" s="409" t="s">
        <v>17</v>
      </c>
      <c r="B8" s="200">
        <f>'13 - 19 Dec'!E8</f>
        <v>128373.96</v>
      </c>
      <c r="C8" s="73">
        <v>47067.040000000001</v>
      </c>
      <c r="D8" s="145">
        <v>54247.96</v>
      </c>
      <c r="E8" s="269">
        <v>101312.03</v>
      </c>
      <c r="F8" s="145">
        <v>471596.38</v>
      </c>
      <c r="G8" s="163">
        <f t="shared" si="0"/>
        <v>1.1525048101601461</v>
      </c>
      <c r="H8" s="155">
        <f t="shared" si="3"/>
        <v>0.86757308477590678</v>
      </c>
      <c r="I8" s="263">
        <f t="shared" si="4"/>
        <v>-0.21080544683672611</v>
      </c>
      <c r="J8" s="150">
        <v>384</v>
      </c>
      <c r="K8" s="63">
        <f t="shared" si="5"/>
        <v>263.83341145833333</v>
      </c>
      <c r="L8" s="61">
        <v>19</v>
      </c>
      <c r="M8" s="28">
        <f t="shared" si="1"/>
        <v>4.9479166666666664E-2</v>
      </c>
      <c r="N8" s="46">
        <f>L8+'15 - 21 Nov'!L8+'22 - 28 Nov'!L8+'29 Nov - 5 Dec'!L8+'6 - 12 Dec'!L8+'13 - 19 Dec'!L8</f>
        <v>133</v>
      </c>
      <c r="O8" s="172">
        <f t="shared" si="2"/>
        <v>0.34635416666666669</v>
      </c>
      <c r="P8" s="260">
        <v>41433.75</v>
      </c>
      <c r="Q8" s="89">
        <f t="shared" si="6"/>
        <v>0.40897166901107401</v>
      </c>
      <c r="R8" s="260">
        <v>13982.13</v>
      </c>
      <c r="S8" s="89">
        <f t="shared" si="7"/>
        <v>0.13801056004898923</v>
      </c>
      <c r="T8" s="130">
        <v>3896.8</v>
      </c>
      <c r="U8" s="26"/>
    </row>
    <row r="9" spans="1:24" ht="15.6" customHeight="1" x14ac:dyDescent="0.3">
      <c r="A9" s="409" t="s">
        <v>18</v>
      </c>
      <c r="B9" s="200">
        <f>'13 - 19 Dec'!E9</f>
        <v>0</v>
      </c>
      <c r="C9" s="73">
        <v>252630.01</v>
      </c>
      <c r="D9" s="145">
        <v>188195.54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'13 - 19 Dec'!E10</f>
        <v>150716.72</v>
      </c>
      <c r="C10" s="73">
        <v>89635.6</v>
      </c>
      <c r="D10" s="145">
        <v>91596.78</v>
      </c>
      <c r="E10" s="269">
        <v>105459.75</v>
      </c>
      <c r="F10" s="145">
        <v>554093.47</v>
      </c>
      <c r="G10" s="163">
        <f t="shared" si="0"/>
        <v>0.17653867436598844</v>
      </c>
      <c r="H10" s="155">
        <f t="shared" si="3"/>
        <v>0.15134778755323058</v>
      </c>
      <c r="I10" s="263">
        <f t="shared" si="4"/>
        <v>-0.30027836327648322</v>
      </c>
      <c r="J10" s="150">
        <v>352</v>
      </c>
      <c r="K10" s="63">
        <f t="shared" si="5"/>
        <v>299.6015625</v>
      </c>
      <c r="L10" s="61">
        <v>20</v>
      </c>
      <c r="M10" s="28">
        <f t="shared" si="1"/>
        <v>5.6818181818181816E-2</v>
      </c>
      <c r="N10" s="46">
        <f>L10+'15 - 21 Nov'!L10+'22 - 28 Nov'!L10+'29 Nov - 5 Dec'!L10+'6 - 12 Dec'!L10+'13 - 19 Dec'!L10</f>
        <v>260</v>
      </c>
      <c r="O10" s="172">
        <f t="shared" si="2"/>
        <v>0.73863636363636365</v>
      </c>
      <c r="P10" s="260">
        <v>30595.040000000001</v>
      </c>
      <c r="Q10" s="89">
        <f t="shared" si="6"/>
        <v>0.29011106132908526</v>
      </c>
      <c r="R10" s="260">
        <v>10066.129999999999</v>
      </c>
      <c r="S10" s="89">
        <f t="shared" si="7"/>
        <v>9.5449970249313121E-2</v>
      </c>
      <c r="T10" s="130">
        <v>3251.5</v>
      </c>
      <c r="U10" s="26"/>
    </row>
    <row r="11" spans="1:24" ht="15.6" customHeight="1" x14ac:dyDescent="0.3">
      <c r="A11" s="409" t="s">
        <v>21</v>
      </c>
      <c r="B11" s="200">
        <f>'13 - 19 Dec'!E11</f>
        <v>234819.58</v>
      </c>
      <c r="C11" s="73">
        <v>234511.26</v>
      </c>
      <c r="D11" s="145">
        <v>201645.67</v>
      </c>
      <c r="E11" s="269">
        <v>181752.95</v>
      </c>
      <c r="F11" s="145">
        <v>896235.41</v>
      </c>
      <c r="G11" s="163">
        <f t="shared" si="0"/>
        <v>-0.22497132973487072</v>
      </c>
      <c r="H11" s="155">
        <f t="shared" si="3"/>
        <v>-9.8651857984354441E-2</v>
      </c>
      <c r="I11" s="263">
        <f t="shared" si="4"/>
        <v>-0.22598894862174601</v>
      </c>
      <c r="J11" s="150">
        <v>621</v>
      </c>
      <c r="K11" s="63">
        <f t="shared" si="5"/>
        <v>292.6778582930757</v>
      </c>
      <c r="L11" s="61">
        <v>71</v>
      </c>
      <c r="M11" s="28">
        <f t="shared" si="1"/>
        <v>0.1143317230273752</v>
      </c>
      <c r="N11" s="46">
        <f>L11+'15 - 21 Nov'!L11+'22 - 28 Nov'!L11+'29 Nov - 5 Dec'!L11+'6 - 12 Dec'!L11+'13 - 19 Dec'!L11</f>
        <v>480</v>
      </c>
      <c r="O11" s="172">
        <f t="shared" si="2"/>
        <v>0.77294685990338163</v>
      </c>
      <c r="P11" s="260">
        <v>30618.17</v>
      </c>
      <c r="Q11" s="89">
        <f t="shared" si="6"/>
        <v>0.16846037437081487</v>
      </c>
      <c r="R11" s="260">
        <v>20955.87</v>
      </c>
      <c r="S11" s="89">
        <f t="shared" si="7"/>
        <v>0.11529865127361068</v>
      </c>
      <c r="T11" s="130">
        <v>8093.25</v>
      </c>
      <c r="U11" s="26"/>
    </row>
    <row r="12" spans="1:24" ht="15.6" customHeight="1" x14ac:dyDescent="0.3">
      <c r="A12" s="198" t="s">
        <v>22</v>
      </c>
      <c r="B12" s="200">
        <f>'13 - 19 Dec'!E12</f>
        <v>124306.15</v>
      </c>
      <c r="C12" s="73">
        <v>128991.96</v>
      </c>
      <c r="D12" s="145">
        <v>79915.53</v>
      </c>
      <c r="E12" s="269">
        <v>92137.78</v>
      </c>
      <c r="F12" s="145">
        <v>451015.18</v>
      </c>
      <c r="G12" s="163">
        <f t="shared" si="0"/>
        <v>-0.28570912481677158</v>
      </c>
      <c r="H12" s="155">
        <f t="shared" si="3"/>
        <v>0.15293961011082577</v>
      </c>
      <c r="I12" s="263">
        <f t="shared" si="4"/>
        <v>-0.25878341497987023</v>
      </c>
      <c r="J12" s="150">
        <v>324</v>
      </c>
      <c r="K12" s="63">
        <f t="shared" si="5"/>
        <v>284.37586419753086</v>
      </c>
      <c r="L12" s="61">
        <v>46</v>
      </c>
      <c r="M12" s="28">
        <f t="shared" si="1"/>
        <v>0.1419753086419753</v>
      </c>
      <c r="N12" s="46">
        <f>L12+'15 - 21 Nov'!L12+'22 - 28 Nov'!L12+'29 Nov - 5 Dec'!L12+'6 - 12 Dec'!L12+'13 - 19 Dec'!L12</f>
        <v>295</v>
      </c>
      <c r="O12" s="172">
        <f t="shared" si="2"/>
        <v>0.91049382716049387</v>
      </c>
      <c r="P12" s="260">
        <v>16225.13</v>
      </c>
      <c r="Q12" s="89">
        <f t="shared" si="6"/>
        <v>0.17609638521787696</v>
      </c>
      <c r="R12" s="260">
        <v>7594.78</v>
      </c>
      <c r="S12" s="89">
        <f t="shared" si="7"/>
        <v>8.2428510867094906E-2</v>
      </c>
      <c r="T12" s="130">
        <v>5442.5</v>
      </c>
      <c r="U12" s="26"/>
    </row>
    <row r="13" spans="1:24" ht="15.6" customHeight="1" x14ac:dyDescent="0.3">
      <c r="A13" s="198" t="s">
        <v>23</v>
      </c>
      <c r="B13" s="200">
        <f>'13 - 19 Dec'!E13</f>
        <v>192364.64</v>
      </c>
      <c r="C13" s="73">
        <v>128106.26</v>
      </c>
      <c r="D13" s="145">
        <v>126657.65</v>
      </c>
      <c r="E13" s="269">
        <v>131166</v>
      </c>
      <c r="F13" s="145">
        <v>703027.88</v>
      </c>
      <c r="G13" s="163">
        <f t="shared" si="0"/>
        <v>2.3884390973555901E-2</v>
      </c>
      <c r="H13" s="155">
        <f t="shared" si="3"/>
        <v>3.5594770627751314E-2</v>
      </c>
      <c r="I13" s="263">
        <f t="shared" si="4"/>
        <v>-0.31813871821765172</v>
      </c>
      <c r="J13" s="150">
        <v>459</v>
      </c>
      <c r="K13" s="63">
        <f t="shared" si="5"/>
        <v>285.76470588235293</v>
      </c>
      <c r="L13" s="61">
        <v>49</v>
      </c>
      <c r="M13" s="28">
        <f t="shared" si="1"/>
        <v>0.10675381263616558</v>
      </c>
      <c r="N13" s="46">
        <f>L13+'15 - 21 Nov'!L13+'22 - 28 Nov'!L13+'29 Nov - 5 Dec'!L13+'6 - 12 Dec'!L13+'13 - 19 Dec'!L13</f>
        <v>429</v>
      </c>
      <c r="O13" s="172">
        <f t="shared" si="2"/>
        <v>0.934640522875817</v>
      </c>
      <c r="P13" s="260">
        <v>21979</v>
      </c>
      <c r="Q13" s="89">
        <f t="shared" si="6"/>
        <v>0.16756629004467621</v>
      </c>
      <c r="R13" s="260">
        <v>14615.78</v>
      </c>
      <c r="S13" s="89">
        <f t="shared" si="7"/>
        <v>0.11142963877834196</v>
      </c>
      <c r="T13" s="130">
        <v>2835.5</v>
      </c>
      <c r="U13" s="26"/>
    </row>
    <row r="14" spans="1:24" ht="15.6" hidden="1" customHeight="1" x14ac:dyDescent="0.3">
      <c r="A14" s="198" t="s">
        <v>24</v>
      </c>
      <c r="B14" s="200">
        <f>'13 - 19 Dec'!E14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'13 - 19 Dec'!E15</f>
        <v>547738.16</v>
      </c>
      <c r="C15" s="73">
        <v>845642.47</v>
      </c>
      <c r="D15" s="145">
        <v>544494.12</v>
      </c>
      <c r="E15" s="269">
        <v>823747.68</v>
      </c>
      <c r="F15" s="145">
        <v>1867207.06</v>
      </c>
      <c r="G15" s="163">
        <f t="shared" si="0"/>
        <v>-2.5891308415481925E-2</v>
      </c>
      <c r="H15" s="155">
        <f t="shared" si="3"/>
        <v>0.51286790755426348</v>
      </c>
      <c r="I15" s="263">
        <f t="shared" si="4"/>
        <v>0.5039077795857787</v>
      </c>
      <c r="J15" s="150">
        <v>2524</v>
      </c>
      <c r="K15" s="63">
        <f t="shared" si="5"/>
        <v>326.36595879556262</v>
      </c>
      <c r="L15" s="61">
        <v>0</v>
      </c>
      <c r="M15" s="28">
        <f t="shared" si="1"/>
        <v>0</v>
      </c>
      <c r="N15" s="46">
        <f>L15+'15 - 21 Nov'!L15+'22 - 28 Nov'!L15+'29 Nov - 5 Dec'!L15+'6 - 12 Dec'!L15+'13 - 19 Dec'!L15</f>
        <v>215</v>
      </c>
      <c r="O15" s="172">
        <f t="shared" si="2"/>
        <v>8.5182250396196507E-2</v>
      </c>
      <c r="P15" s="260">
        <v>0</v>
      </c>
      <c r="Q15" s="89">
        <f t="shared" si="6"/>
        <v>0</v>
      </c>
      <c r="R15" s="260">
        <v>85266.09</v>
      </c>
      <c r="S15" s="89">
        <f t="shared" si="7"/>
        <v>0.10350996072001076</v>
      </c>
      <c r="T15" s="130">
        <v>9770.7999999999993</v>
      </c>
      <c r="U15" s="9"/>
    </row>
    <row r="16" spans="1:24" ht="15.6" customHeight="1" x14ac:dyDescent="0.3">
      <c r="A16" s="198" t="s">
        <v>27</v>
      </c>
      <c r="B16" s="200">
        <f>'13 - 19 Dec'!E16</f>
        <v>138069.95000000001</v>
      </c>
      <c r="C16" s="73">
        <v>72195.61</v>
      </c>
      <c r="D16" s="145">
        <v>90716.7</v>
      </c>
      <c r="E16" s="269">
        <v>113375.82</v>
      </c>
      <c r="F16" s="145">
        <v>510919.43</v>
      </c>
      <c r="G16" s="163">
        <f t="shared" si="0"/>
        <v>0.57039770146688984</v>
      </c>
      <c r="H16" s="155">
        <f t="shared" si="3"/>
        <v>0.24977892714351393</v>
      </c>
      <c r="I16" s="263">
        <f t="shared" si="4"/>
        <v>-0.17885231362798351</v>
      </c>
      <c r="J16" s="150">
        <v>380</v>
      </c>
      <c r="K16" s="63">
        <f t="shared" si="5"/>
        <v>298.35742105263159</v>
      </c>
      <c r="L16" s="61">
        <v>22</v>
      </c>
      <c r="M16" s="28">
        <f t="shared" si="1"/>
        <v>5.7894736842105263E-2</v>
      </c>
      <c r="N16" s="46">
        <f>L16+'15 - 21 Nov'!L16+'22 - 28 Nov'!L16+'29 Nov - 5 Dec'!L16+'6 - 12 Dec'!L16+'13 - 19 Dec'!L16</f>
        <v>216</v>
      </c>
      <c r="O16" s="172">
        <f t="shared" si="2"/>
        <v>0.56842105263157894</v>
      </c>
      <c r="P16" s="260">
        <v>28512.9</v>
      </c>
      <c r="Q16" s="89">
        <f t="shared" si="6"/>
        <v>0.25149013255207325</v>
      </c>
      <c r="R16" s="260">
        <v>19458.48</v>
      </c>
      <c r="S16" s="89">
        <f t="shared" si="7"/>
        <v>0.17162813023094342</v>
      </c>
      <c r="T16" s="130">
        <v>2807.8</v>
      </c>
      <c r="U16" s="9"/>
      <c r="X16" s="238"/>
    </row>
    <row r="17" spans="1:21" ht="15.6" customHeight="1" x14ac:dyDescent="0.3">
      <c r="A17" s="198" t="s">
        <v>28</v>
      </c>
      <c r="B17" s="200">
        <f>'13 - 19 Dec'!E17</f>
        <v>169389.41</v>
      </c>
      <c r="C17" s="73">
        <v>123472.58</v>
      </c>
      <c r="D17" s="145">
        <v>95656.3</v>
      </c>
      <c r="E17" s="269">
        <v>133738.32</v>
      </c>
      <c r="F17" s="145">
        <v>617638.34</v>
      </c>
      <c r="G17" s="163">
        <f t="shared" si="0"/>
        <v>8.3141860322348535E-2</v>
      </c>
      <c r="H17" s="155">
        <f t="shared" si="3"/>
        <v>0.39811303594222236</v>
      </c>
      <c r="I17" s="263">
        <f t="shared" si="4"/>
        <v>-0.21046823411215609</v>
      </c>
      <c r="J17" s="150">
        <v>494</v>
      </c>
      <c r="K17" s="63">
        <f t="shared" si="5"/>
        <v>270.72534412955468</v>
      </c>
      <c r="L17" s="61">
        <v>36</v>
      </c>
      <c r="M17" s="28">
        <f t="shared" si="1"/>
        <v>7.28744939271255E-2</v>
      </c>
      <c r="N17" s="46">
        <f>L17+'15 - 21 Nov'!L17+'22 - 28 Nov'!L17+'29 Nov - 5 Dec'!L17+'6 - 12 Dec'!L17+'13 - 19 Dec'!L17</f>
        <v>268</v>
      </c>
      <c r="O17" s="172">
        <f t="shared" si="2"/>
        <v>0.54251012145748989</v>
      </c>
      <c r="P17" s="260">
        <v>20973.48</v>
      </c>
      <c r="Q17" s="89">
        <f t="shared" si="6"/>
        <v>0.15682476047254068</v>
      </c>
      <c r="R17" s="260">
        <v>15394.16</v>
      </c>
      <c r="S17" s="89">
        <f t="shared" si="7"/>
        <v>0.11510657528821955</v>
      </c>
      <c r="T17" s="130">
        <v>6555.75</v>
      </c>
      <c r="U17" s="9"/>
    </row>
    <row r="18" spans="1:21" ht="15.6" customHeight="1" x14ac:dyDescent="0.3">
      <c r="A18" s="198" t="s">
        <v>33</v>
      </c>
      <c r="B18" s="200">
        <f>'13 - 19 Dec'!E18</f>
        <v>170896.01</v>
      </c>
      <c r="C18" s="73">
        <v>133520.31</v>
      </c>
      <c r="D18" s="73">
        <v>110233.85</v>
      </c>
      <c r="E18" s="269">
        <v>111902.84</v>
      </c>
      <c r="F18" s="145">
        <v>600474.51</v>
      </c>
      <c r="G18" s="163">
        <f t="shared" si="0"/>
        <v>-0.16190398299704367</v>
      </c>
      <c r="H18" s="155">
        <f t="shared" si="3"/>
        <v>1.5140449145158139E-2</v>
      </c>
      <c r="I18" s="263">
        <f t="shared" si="4"/>
        <v>-0.34519922378527157</v>
      </c>
      <c r="J18" s="150">
        <v>429</v>
      </c>
      <c r="K18" s="63">
        <f t="shared" si="5"/>
        <v>260.84578088578087</v>
      </c>
      <c r="L18" s="61">
        <v>78</v>
      </c>
      <c r="M18" s="28">
        <f t="shared" si="1"/>
        <v>0.18181818181818182</v>
      </c>
      <c r="N18" s="46">
        <f>L18+'15 - 21 Nov'!L18+'22 - 28 Nov'!L18+'29 Nov - 5 Dec'!L18+'6 - 12 Dec'!L18+'13 - 19 Dec'!L18</f>
        <v>550</v>
      </c>
      <c r="O18" s="172">
        <f t="shared" si="2"/>
        <v>1.2820512820512822</v>
      </c>
      <c r="P18" s="260">
        <v>20238.939999999999</v>
      </c>
      <c r="Q18" s="89">
        <f t="shared" si="6"/>
        <v>0.18086171896977771</v>
      </c>
      <c r="R18" s="260">
        <v>7191.39</v>
      </c>
      <c r="S18" s="89">
        <f t="shared" si="7"/>
        <v>6.4264588816512619E-2</v>
      </c>
      <c r="T18" s="130">
        <v>2761.5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55" priority="14" operator="equal">
      <formula>0</formula>
    </cfRule>
  </conditionalFormatting>
  <conditionalFormatting sqref="D7:F19">
    <cfRule type="cellIs" dxfId="254" priority="1" operator="equal">
      <formula>0</formula>
    </cfRule>
  </conditionalFormatting>
  <conditionalFormatting sqref="G6:T19">
    <cfRule type="cellIs" dxfId="253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X41"/>
  <sheetViews>
    <sheetView zoomScale="70" zoomScaleNormal="70" workbookViewId="0">
      <pane xSplit="1" topLeftCell="B1" activePane="topRight" state="frozen"/>
      <selection pane="topRight" activeCell="L13" sqref="L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3.3031997674426598E-2</v>
      </c>
      <c r="H2" s="413"/>
      <c r="I2" s="400">
        <f>(((E4-E19-B19)-B4)/E4)</f>
        <v>0.14171192034125862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2243250.0999999996</v>
      </c>
      <c r="C4" s="135">
        <f>SUM(C6:C19)-C14-C19-C10-C9</f>
        <v>2530060.12</v>
      </c>
      <c r="D4" s="142">
        <f>SUM(D6:D19)-D19-D10-D9</f>
        <v>1338589.5700000003</v>
      </c>
      <c r="E4" s="270">
        <f>SUM(E6:E19)-E19-E10-E9</f>
        <v>2613633.0599999996</v>
      </c>
      <c r="F4" s="142">
        <f>SUM(F6:F19)-F19-F10-F9</f>
        <v>743045.53</v>
      </c>
      <c r="G4" s="217">
        <f t="shared" ref="G4:G19" si="0">IFERROR((SUM(E4-C4)/C4),0)</f>
        <v>3.3031997674426598E-2</v>
      </c>
      <c r="H4" s="217">
        <f>IFERROR((SUM(E4-D4)/D4),0)</f>
        <v>0.95252758468751475</v>
      </c>
      <c r="I4" s="217">
        <f>IFERROR((SUM(E4-B4)/E4),0)</f>
        <v>0.14171192034125862</v>
      </c>
      <c r="J4" s="262">
        <f>SUM(J6:J18)</f>
        <v>9111</v>
      </c>
      <c r="K4" s="218">
        <f>AVERAGE(K5:K19)</f>
        <v>234.81915416140055</v>
      </c>
      <c r="L4" s="219">
        <f>SUM(L6:L19)</f>
        <v>325</v>
      </c>
      <c r="M4" s="220">
        <f t="shared" ref="M4:M19" si="1">IFERROR(L4/J4,0)</f>
        <v>3.5671166721545383E-2</v>
      </c>
      <c r="N4" s="221">
        <f>SUM(N6:N19)</f>
        <v>3848</v>
      </c>
      <c r="O4" s="222">
        <f t="shared" ref="O4:O19" si="2">IFERROR(N4/SUM(J4),0)</f>
        <v>0.42234661398309736</v>
      </c>
      <c r="P4" s="249">
        <f>SUM(P6:P19)</f>
        <v>301686.40000000002</v>
      </c>
      <c r="Q4" s="222">
        <f>SUM(P4/E4)</f>
        <v>0.11542798590097421</v>
      </c>
      <c r="R4" s="244">
        <f>SUM(R6:R19)</f>
        <v>288859.21999999997</v>
      </c>
      <c r="S4" s="222">
        <f>SUM(R4/E4)</f>
        <v>0.11052018908882336</v>
      </c>
      <c r="T4" s="257">
        <f>SUM(T6:T19)</f>
        <v>78596.099999999991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'20 - 26 Dec'!E6</f>
        <v>198665.22</v>
      </c>
      <c r="C6" s="255">
        <v>276666.88</v>
      </c>
      <c r="D6" s="197">
        <v>102807.09</v>
      </c>
      <c r="E6" s="268">
        <v>212769.56</v>
      </c>
      <c r="F6" s="123">
        <v>44588.23</v>
      </c>
      <c r="G6" s="162">
        <f t="shared" si="0"/>
        <v>-0.23095399058969401</v>
      </c>
      <c r="H6" s="154">
        <f t="shared" ref="H6:H18" si="3">IFERROR((SUM(E6-D6)/D6),0)</f>
        <v>1.069600063575382</v>
      </c>
      <c r="I6" s="266">
        <f t="shared" ref="I6:I19" si="4">IFERROR((SUM(E6-B6)/B6),0)</f>
        <v>7.0995516980777995E-2</v>
      </c>
      <c r="J6" s="149">
        <v>664</v>
      </c>
      <c r="K6" s="63">
        <f t="shared" ref="K6:K19" si="5">IFERROR(E6/J6,0)</f>
        <v>320.43608433734937</v>
      </c>
      <c r="L6" s="125">
        <v>40</v>
      </c>
      <c r="M6" s="126">
        <f t="shared" si="1"/>
        <v>6.0240963855421686E-2</v>
      </c>
      <c r="N6" s="46">
        <f>L6+'15 - 21 Nov'!L6+'22 - 28 Nov'!L6+'29 Nov - 5 Dec'!L6+'6 - 12 Dec'!L6+'13 - 19 Dec'!L6+'20 - 26 Dec'!L6</f>
        <v>337</v>
      </c>
      <c r="O6" s="171">
        <f t="shared" si="2"/>
        <v>0.50753012048192769</v>
      </c>
      <c r="P6" s="259">
        <v>33729.519999999997</v>
      </c>
      <c r="Q6" s="128">
        <f t="shared" ref="Q6:Q19" si="6">SUM(P6/E6)</f>
        <v>0.15852605983675483</v>
      </c>
      <c r="R6" s="260">
        <v>4208.57</v>
      </c>
      <c r="S6" s="128">
        <f t="shared" ref="S6:S19" si="7">SUM(R6/E6)</f>
        <v>1.9779944085986736E-2</v>
      </c>
      <c r="T6" s="129">
        <v>7622.95</v>
      </c>
      <c r="U6" s="26"/>
    </row>
    <row r="7" spans="1:24" ht="15.6" customHeight="1" x14ac:dyDescent="0.3">
      <c r="A7" s="409" t="s">
        <v>16</v>
      </c>
      <c r="B7" s="200">
        <f>'20 - 26 Dec'!E7</f>
        <v>355451.46</v>
      </c>
      <c r="C7" s="73">
        <v>266740.18</v>
      </c>
      <c r="D7" s="145">
        <v>106626.3</v>
      </c>
      <c r="E7" s="269">
        <v>294055.23</v>
      </c>
      <c r="F7" s="145">
        <v>87051.520000000004</v>
      </c>
      <c r="G7" s="163">
        <f t="shared" si="0"/>
        <v>0.10240320749577356</v>
      </c>
      <c r="H7" s="155">
        <f t="shared" si="3"/>
        <v>1.7578114405170207</v>
      </c>
      <c r="I7" s="263">
        <f t="shared" si="4"/>
        <v>-0.17272746607933481</v>
      </c>
      <c r="J7" s="150">
        <v>875</v>
      </c>
      <c r="K7" s="63">
        <f t="shared" si="5"/>
        <v>336.06311999999997</v>
      </c>
      <c r="L7" s="61">
        <v>24</v>
      </c>
      <c r="M7" s="28">
        <f t="shared" si="1"/>
        <v>2.7428571428571427E-2</v>
      </c>
      <c r="N7" s="46">
        <f>L7+'15 - 21 Nov'!L7+'22 - 28 Nov'!L7+'29 Nov - 5 Dec'!L7+'6 - 12 Dec'!L7+'13 - 19 Dec'!L7+'20 - 26 Dec'!L7</f>
        <v>404</v>
      </c>
      <c r="O7" s="172">
        <f t="shared" si="2"/>
        <v>0.46171428571428569</v>
      </c>
      <c r="P7" s="260">
        <v>32977.33</v>
      </c>
      <c r="Q7" s="89">
        <f t="shared" si="6"/>
        <v>0.11214672155295453</v>
      </c>
      <c r="R7" s="260">
        <v>10703.48</v>
      </c>
      <c r="S7" s="89">
        <f t="shared" si="7"/>
        <v>3.6399556641111261E-2</v>
      </c>
      <c r="T7" s="130">
        <v>14600.55</v>
      </c>
      <c r="U7" s="26"/>
    </row>
    <row r="8" spans="1:24" ht="15.6" customHeight="1" x14ac:dyDescent="0.3">
      <c r="A8" s="409" t="s">
        <v>17</v>
      </c>
      <c r="B8" s="200">
        <f>'20 - 26 Dec'!E8</f>
        <v>101312.03</v>
      </c>
      <c r="C8" s="73">
        <v>67999.53</v>
      </c>
      <c r="D8" s="145">
        <v>49292.77</v>
      </c>
      <c r="E8" s="269">
        <v>92659.32</v>
      </c>
      <c r="F8" s="145">
        <v>17205.310000000001</v>
      </c>
      <c r="G8" s="163">
        <f t="shared" si="0"/>
        <v>0.36264647711535664</v>
      </c>
      <c r="H8" s="155">
        <f t="shared" si="3"/>
        <v>0.87977506640426195</v>
      </c>
      <c r="I8" s="263">
        <f t="shared" si="4"/>
        <v>-8.5406540565814273E-2</v>
      </c>
      <c r="J8" s="150">
        <v>342</v>
      </c>
      <c r="K8" s="63">
        <f t="shared" si="5"/>
        <v>270.93368421052634</v>
      </c>
      <c r="L8" s="61">
        <v>10</v>
      </c>
      <c r="M8" s="28">
        <f t="shared" si="1"/>
        <v>2.9239766081871343E-2</v>
      </c>
      <c r="N8" s="46">
        <f>L8+'15 - 21 Nov'!L8+'22 - 28 Nov'!L8+'29 Nov - 5 Dec'!L8+'6 - 12 Dec'!L8+'13 - 19 Dec'!L8+'20 - 26 Dec'!L8</f>
        <v>143</v>
      </c>
      <c r="O8" s="172">
        <f t="shared" si="2"/>
        <v>0.41812865497076024</v>
      </c>
      <c r="P8" s="260">
        <v>39476.03</v>
      </c>
      <c r="Q8" s="89">
        <f t="shared" si="6"/>
        <v>0.42603409996965225</v>
      </c>
      <c r="R8" s="260">
        <v>10380.290000000001</v>
      </c>
      <c r="S8" s="89">
        <f t="shared" si="7"/>
        <v>0.11202639950303973</v>
      </c>
      <c r="T8" s="130">
        <v>2781.5</v>
      </c>
      <c r="U8" s="26"/>
    </row>
    <row r="9" spans="1:24" ht="15.6" customHeight="1" x14ac:dyDescent="0.3">
      <c r="A9" s="409" t="s">
        <v>18</v>
      </c>
      <c r="B9" s="200">
        <f>'20 - 26 Dec'!E9</f>
        <v>0</v>
      </c>
      <c r="C9" s="73">
        <v>305260.75</v>
      </c>
      <c r="D9" s="145">
        <v>130613.75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'20 - 26 Dec'!E10</f>
        <v>105459.75</v>
      </c>
      <c r="C10" s="73">
        <v>112210.71</v>
      </c>
      <c r="D10" s="145">
        <v>72961.5</v>
      </c>
      <c r="E10" s="269">
        <v>146695.37</v>
      </c>
      <c r="F10" s="145">
        <v>58427.199999999997</v>
      </c>
      <c r="G10" s="163">
        <f t="shared" si="0"/>
        <v>0.30732057572757526</v>
      </c>
      <c r="H10" s="155">
        <f t="shared" si="3"/>
        <v>1.0105859939831281</v>
      </c>
      <c r="I10" s="263">
        <f t="shared" si="4"/>
        <v>0.39100813343479379</v>
      </c>
      <c r="J10" s="150">
        <v>448</v>
      </c>
      <c r="K10" s="63">
        <f t="shared" si="5"/>
        <v>327.44502232142855</v>
      </c>
      <c r="L10" s="61">
        <v>13</v>
      </c>
      <c r="M10" s="28">
        <f t="shared" si="1"/>
        <v>2.9017857142857144E-2</v>
      </c>
      <c r="N10" s="46">
        <f>L10+'15 - 21 Nov'!L10+'22 - 28 Nov'!L10+'29 Nov - 5 Dec'!L10+'6 - 12 Dec'!L10+'13 - 19 Dec'!L10+'20 - 26 Dec'!L10</f>
        <v>273</v>
      </c>
      <c r="O10" s="172">
        <f t="shared" si="2"/>
        <v>0.609375</v>
      </c>
      <c r="P10" s="260">
        <v>48429.87</v>
      </c>
      <c r="Q10" s="89">
        <f t="shared" si="6"/>
        <v>0.33013904937831373</v>
      </c>
      <c r="R10" s="260">
        <v>12680.61</v>
      </c>
      <c r="S10" s="89">
        <f t="shared" si="7"/>
        <v>8.6441787494724615E-2</v>
      </c>
      <c r="T10" s="130">
        <v>2862</v>
      </c>
      <c r="U10" s="26"/>
    </row>
    <row r="11" spans="1:24" ht="15.6" customHeight="1" x14ac:dyDescent="0.3">
      <c r="A11" s="409" t="s">
        <v>21</v>
      </c>
      <c r="B11" s="200">
        <f>'20 - 26 Dec'!E11</f>
        <v>181752.95</v>
      </c>
      <c r="C11" s="73">
        <v>259688.15</v>
      </c>
      <c r="D11" s="145">
        <v>122773.19</v>
      </c>
      <c r="E11" s="269">
        <v>169474.37</v>
      </c>
      <c r="F11" s="145">
        <v>35653.480000000003</v>
      </c>
      <c r="G11" s="163">
        <f t="shared" si="0"/>
        <v>-0.34739274780154583</v>
      </c>
      <c r="H11" s="155">
        <f t="shared" si="3"/>
        <v>0.38038581550255385</v>
      </c>
      <c r="I11" s="263">
        <f t="shared" si="4"/>
        <v>-6.7556427557296961E-2</v>
      </c>
      <c r="J11" s="150">
        <v>583</v>
      </c>
      <c r="K11" s="63">
        <f t="shared" si="5"/>
        <v>290.69360205831902</v>
      </c>
      <c r="L11" s="61">
        <v>30</v>
      </c>
      <c r="M11" s="28">
        <f t="shared" si="1"/>
        <v>5.1457975986277875E-2</v>
      </c>
      <c r="N11" s="46">
        <f>L11+'15 - 21 Nov'!L11+'22 - 28 Nov'!L11+'29 Nov - 5 Dec'!L11+'6 - 12 Dec'!L11+'13 - 19 Dec'!L11+'20 - 26 Dec'!L11</f>
        <v>510</v>
      </c>
      <c r="O11" s="172">
        <f t="shared" si="2"/>
        <v>0.87478559176672388</v>
      </c>
      <c r="P11" s="260">
        <v>28580.17</v>
      </c>
      <c r="Q11" s="89">
        <f t="shared" si="6"/>
        <v>0.16864007224219213</v>
      </c>
      <c r="R11" s="260">
        <v>20105.87</v>
      </c>
      <c r="S11" s="89">
        <f t="shared" si="7"/>
        <v>0.11863664104489664</v>
      </c>
      <c r="T11" s="130">
        <v>8083.7</v>
      </c>
      <c r="U11" s="26"/>
    </row>
    <row r="12" spans="1:24" ht="15.6" customHeight="1" x14ac:dyDescent="0.3">
      <c r="A12" s="198" t="s">
        <v>22</v>
      </c>
      <c r="B12" s="200">
        <f>'20 - 26 Dec'!E12</f>
        <v>92137.78</v>
      </c>
      <c r="C12" s="73">
        <v>172759.05</v>
      </c>
      <c r="D12" s="145">
        <v>76971.94</v>
      </c>
      <c r="E12" s="269">
        <v>118160.63</v>
      </c>
      <c r="F12" s="145">
        <v>37603.54</v>
      </c>
      <c r="G12" s="163">
        <f t="shared" si="0"/>
        <v>-0.31603797311920845</v>
      </c>
      <c r="H12" s="155">
        <f t="shared" si="3"/>
        <v>0.53511305548489485</v>
      </c>
      <c r="I12" s="263">
        <f t="shared" si="4"/>
        <v>0.28243408946905391</v>
      </c>
      <c r="J12" s="150">
        <v>365</v>
      </c>
      <c r="K12" s="63">
        <f t="shared" si="5"/>
        <v>323.72775342465752</v>
      </c>
      <c r="L12" s="61">
        <v>52</v>
      </c>
      <c r="M12" s="28">
        <f t="shared" si="1"/>
        <v>0.14246575342465753</v>
      </c>
      <c r="N12" s="46">
        <f>L12+'15 - 21 Nov'!L12+'22 - 28 Nov'!L12+'29 Nov - 5 Dec'!L12+'6 - 12 Dec'!L12+'13 - 19 Dec'!L12+'20 - 26 Dec'!L12</f>
        <v>347</v>
      </c>
      <c r="O12" s="172">
        <f t="shared" si="2"/>
        <v>0.9506849315068493</v>
      </c>
      <c r="P12" s="260">
        <v>18650.63</v>
      </c>
      <c r="Q12" s="89">
        <f t="shared" si="6"/>
        <v>0.15784132159755751</v>
      </c>
      <c r="R12" s="260">
        <v>13025.65</v>
      </c>
      <c r="S12" s="89">
        <f t="shared" si="7"/>
        <v>0.11023680222422645</v>
      </c>
      <c r="T12" s="130">
        <v>8990.5</v>
      </c>
      <c r="U12" s="26"/>
    </row>
    <row r="13" spans="1:24" ht="15.6" customHeight="1" x14ac:dyDescent="0.3">
      <c r="A13" s="198" t="s">
        <v>23</v>
      </c>
      <c r="B13" s="200">
        <f>'20 - 26 Dec'!E13</f>
        <v>131166</v>
      </c>
      <c r="C13" s="73">
        <v>155712.35</v>
      </c>
      <c r="D13" s="145">
        <v>105150.61</v>
      </c>
      <c r="E13" s="269">
        <v>159471.69</v>
      </c>
      <c r="F13" s="145">
        <v>38748.089999999997</v>
      </c>
      <c r="G13" s="163">
        <f t="shared" si="0"/>
        <v>2.4142850583142549E-2</v>
      </c>
      <c r="H13" s="155">
        <f t="shared" si="3"/>
        <v>0.51660261409800667</v>
      </c>
      <c r="I13" s="263">
        <f t="shared" si="4"/>
        <v>0.21580051232788985</v>
      </c>
      <c r="J13" s="150">
        <v>558</v>
      </c>
      <c r="K13" s="63">
        <f t="shared" si="5"/>
        <v>285.79155913978497</v>
      </c>
      <c r="L13" s="61">
        <v>59</v>
      </c>
      <c r="M13" s="28">
        <f t="shared" si="1"/>
        <v>0.1057347670250896</v>
      </c>
      <c r="N13" s="46">
        <f>L13+'15 - 21 Nov'!L13+'22 - 28 Nov'!L13+'29 Nov - 5 Dec'!L13+'6 - 12 Dec'!L13+'13 - 19 Dec'!L13+'20 - 26 Dec'!L13</f>
        <v>488</v>
      </c>
      <c r="O13" s="172">
        <f t="shared" si="2"/>
        <v>0.87455197132616491</v>
      </c>
      <c r="P13" s="260">
        <v>18329.43</v>
      </c>
      <c r="Q13" s="89">
        <f t="shared" si="6"/>
        <v>0.11493845710169623</v>
      </c>
      <c r="R13" s="260">
        <v>18034.169999999998</v>
      </c>
      <c r="S13" s="89">
        <f t="shared" si="7"/>
        <v>0.11308696860238954</v>
      </c>
      <c r="T13" s="130">
        <v>4709.5</v>
      </c>
      <c r="U13" s="26"/>
    </row>
    <row r="14" spans="1:24" ht="15.6" hidden="1" customHeight="1" x14ac:dyDescent="0.3">
      <c r="A14" s="198" t="s">
        <v>24</v>
      </c>
      <c r="B14" s="200">
        <f>'20 - 26 Dec'!E14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'20 - 26 Dec'!E15</f>
        <v>823747.68</v>
      </c>
      <c r="C15" s="73">
        <v>877892.31</v>
      </c>
      <c r="D15" s="145">
        <v>528430.30000000005</v>
      </c>
      <c r="E15" s="269">
        <v>1157280.81</v>
      </c>
      <c r="F15" s="145">
        <v>343432.1</v>
      </c>
      <c r="G15" s="163">
        <f t="shared" si="0"/>
        <v>0.31824917113125184</v>
      </c>
      <c r="H15" s="155">
        <f t="shared" si="3"/>
        <v>1.1900349204048291</v>
      </c>
      <c r="I15" s="263">
        <f t="shared" si="4"/>
        <v>0.40489720104583476</v>
      </c>
      <c r="J15" s="150">
        <v>3787</v>
      </c>
      <c r="K15" s="63">
        <f t="shared" si="5"/>
        <v>305.5930314232902</v>
      </c>
      <c r="L15" s="61">
        <v>0</v>
      </c>
      <c r="M15" s="28">
        <f t="shared" si="1"/>
        <v>0</v>
      </c>
      <c r="N15" s="46">
        <f>L15+'15 - 21 Nov'!L15+'22 - 28 Nov'!L15+'29 Nov - 5 Dec'!L15+'6 - 12 Dec'!L15+'13 - 19 Dec'!L15+'20 - 26 Dec'!L15</f>
        <v>215</v>
      </c>
      <c r="O15" s="172">
        <f t="shared" si="2"/>
        <v>5.6773171375759178E-2</v>
      </c>
      <c r="P15" s="260">
        <v>0</v>
      </c>
      <c r="Q15" s="89">
        <f t="shared" si="6"/>
        <v>0</v>
      </c>
      <c r="R15" s="260">
        <v>139794.09</v>
      </c>
      <c r="S15" s="89">
        <f t="shared" si="7"/>
        <v>0.12079530636993799</v>
      </c>
      <c r="T15" s="130">
        <v>16864.849999999999</v>
      </c>
      <c r="U15" s="9"/>
    </row>
    <row r="16" spans="1:24" ht="15.6" customHeight="1" x14ac:dyDescent="0.3">
      <c r="A16" s="198" t="s">
        <v>27</v>
      </c>
      <c r="B16" s="200">
        <f>'20 - 26 Dec'!E16</f>
        <v>113375.82</v>
      </c>
      <c r="C16" s="73">
        <v>104178.02</v>
      </c>
      <c r="D16" s="145">
        <v>63938.09</v>
      </c>
      <c r="E16" s="269">
        <v>117099.44</v>
      </c>
      <c r="F16" s="145">
        <v>40728.46</v>
      </c>
      <c r="G16" s="163">
        <f t="shared" si="0"/>
        <v>0.12403211349188627</v>
      </c>
      <c r="H16" s="155">
        <f t="shared" si="3"/>
        <v>0.83145039209022364</v>
      </c>
      <c r="I16" s="263">
        <f t="shared" si="4"/>
        <v>3.2843158267785805E-2</v>
      </c>
      <c r="J16" s="150">
        <v>435</v>
      </c>
      <c r="K16" s="63">
        <f t="shared" si="5"/>
        <v>269.19411494252876</v>
      </c>
      <c r="L16" s="61">
        <v>28</v>
      </c>
      <c r="M16" s="28">
        <f t="shared" si="1"/>
        <v>6.4367816091954022E-2</v>
      </c>
      <c r="N16" s="46">
        <f>L16+'15 - 21 Nov'!L16+'22 - 28 Nov'!L16+'29 Nov - 5 Dec'!L16+'6 - 12 Dec'!L16+'13 - 19 Dec'!L16+'20 - 26 Dec'!L16</f>
        <v>244</v>
      </c>
      <c r="O16" s="172">
        <f t="shared" si="2"/>
        <v>0.56091954022988511</v>
      </c>
      <c r="P16" s="260">
        <v>28085.83</v>
      </c>
      <c r="Q16" s="89">
        <f t="shared" si="6"/>
        <v>0.23984598047608086</v>
      </c>
      <c r="R16" s="260">
        <v>22485.27</v>
      </c>
      <c r="S16" s="89">
        <f t="shared" si="7"/>
        <v>0.19201859547748479</v>
      </c>
      <c r="T16" s="130">
        <v>3193.05</v>
      </c>
      <c r="U16" s="9"/>
      <c r="X16" s="238"/>
    </row>
    <row r="17" spans="1:21" ht="15.6" customHeight="1" x14ac:dyDescent="0.3">
      <c r="A17" s="198" t="s">
        <v>28</v>
      </c>
      <c r="B17" s="200">
        <f>'20 - 26 Dec'!E17</f>
        <v>133738.32</v>
      </c>
      <c r="C17" s="73">
        <v>153893.73000000001</v>
      </c>
      <c r="D17" s="145">
        <v>79557.17</v>
      </c>
      <c r="E17" s="269">
        <v>143974.76</v>
      </c>
      <c r="F17" s="145">
        <v>44089.3</v>
      </c>
      <c r="G17" s="163">
        <f t="shared" si="0"/>
        <v>-6.4453373116630547E-2</v>
      </c>
      <c r="H17" s="155">
        <f t="shared" si="3"/>
        <v>0.80970187853590081</v>
      </c>
      <c r="I17" s="263">
        <f t="shared" si="4"/>
        <v>7.6540814928735476E-2</v>
      </c>
      <c r="J17" s="150">
        <v>489</v>
      </c>
      <c r="K17" s="63">
        <f t="shared" si="5"/>
        <v>294.42691206543969</v>
      </c>
      <c r="L17" s="61">
        <v>20</v>
      </c>
      <c r="M17" s="28">
        <f t="shared" si="1"/>
        <v>4.0899795501022497E-2</v>
      </c>
      <c r="N17" s="46">
        <f>L17+'15 - 21 Nov'!L17+'22 - 28 Nov'!L17+'29 Nov - 5 Dec'!L17+'6 - 12 Dec'!L17+'13 - 19 Dec'!L17+'20 - 26 Dec'!L17</f>
        <v>288</v>
      </c>
      <c r="O17" s="172">
        <f t="shared" si="2"/>
        <v>0.58895705521472397</v>
      </c>
      <c r="P17" s="260">
        <v>22512.13</v>
      </c>
      <c r="Q17" s="89">
        <f t="shared" si="6"/>
        <v>0.15636164283239645</v>
      </c>
      <c r="R17" s="260">
        <v>18948.830000000002</v>
      </c>
      <c r="S17" s="89">
        <f t="shared" si="7"/>
        <v>0.13161216591019148</v>
      </c>
      <c r="T17" s="130">
        <v>4091</v>
      </c>
      <c r="U17" s="9"/>
    </row>
    <row r="18" spans="1:21" ht="15.6" customHeight="1" x14ac:dyDescent="0.3">
      <c r="A18" s="198" t="s">
        <v>33</v>
      </c>
      <c r="B18" s="200">
        <f>'20 - 26 Dec'!E18</f>
        <v>111902.84</v>
      </c>
      <c r="C18" s="73">
        <v>194529.92000000001</v>
      </c>
      <c r="D18" s="73">
        <v>103042.11</v>
      </c>
      <c r="E18" s="269">
        <v>148687.25</v>
      </c>
      <c r="F18" s="145">
        <v>53945.5</v>
      </c>
      <c r="G18" s="163">
        <f t="shared" si="0"/>
        <v>-0.23565870998147745</v>
      </c>
      <c r="H18" s="155">
        <f t="shared" si="3"/>
        <v>0.44297559512319767</v>
      </c>
      <c r="I18" s="263">
        <f t="shared" si="4"/>
        <v>0.32871739448257081</v>
      </c>
      <c r="J18" s="150">
        <v>565</v>
      </c>
      <c r="K18" s="63">
        <f t="shared" si="5"/>
        <v>263.16327433628317</v>
      </c>
      <c r="L18" s="61">
        <v>49</v>
      </c>
      <c r="M18" s="28">
        <f t="shared" si="1"/>
        <v>8.6725663716814158E-2</v>
      </c>
      <c r="N18" s="46">
        <f>L18+'15 - 21 Nov'!L18+'22 - 28 Nov'!L18+'29 Nov - 5 Dec'!L18+'6 - 12 Dec'!L18+'13 - 19 Dec'!L18+'20 - 26 Dec'!L18</f>
        <v>599</v>
      </c>
      <c r="O18" s="172">
        <f t="shared" si="2"/>
        <v>1.0601769911504424</v>
      </c>
      <c r="P18" s="260">
        <v>30915.46</v>
      </c>
      <c r="Q18" s="89">
        <f t="shared" si="6"/>
        <v>0.20792273715466525</v>
      </c>
      <c r="R18" s="260">
        <v>18492.39</v>
      </c>
      <c r="S18" s="89">
        <f t="shared" si="7"/>
        <v>0.12437105400765701</v>
      </c>
      <c r="T18" s="130">
        <v>4796.5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52" priority="14" operator="equal">
      <formula>0</formula>
    </cfRule>
  </conditionalFormatting>
  <conditionalFormatting sqref="D7:F19">
    <cfRule type="cellIs" dxfId="251" priority="1" operator="equal">
      <formula>0</formula>
    </cfRule>
  </conditionalFormatting>
  <conditionalFormatting sqref="G6:T19">
    <cfRule type="cellIs" dxfId="250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X41"/>
  <sheetViews>
    <sheetView zoomScale="70" zoomScaleNormal="70" workbookViewId="0">
      <pane xSplit="1" topLeftCell="B1" activePane="topRight" state="frozen"/>
      <selection pane="topRight" activeCell="K20" sqref="K20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5.0196647057507274E-2</v>
      </c>
      <c r="H2" s="413"/>
      <c r="I2" s="400">
        <f>(((E4-E19-B19)-B4)/E4)</f>
        <v>-0.13032839399998855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2613633.0599999996</v>
      </c>
      <c r="C4" s="135">
        <f>SUM(C6:C19)-C14-C19-C10-C9</f>
        <v>2201756.8200000003</v>
      </c>
      <c r="D4" s="142">
        <f>SUM(D6:D19)-D19-D10-D9</f>
        <v>1143727.67</v>
      </c>
      <c r="E4" s="270">
        <f>SUM(E6:E19)-E19-E10-E9</f>
        <v>2312277.63</v>
      </c>
      <c r="F4" s="142">
        <f>SUM(F6:F19)-F19-F10-F9</f>
        <v>3055323.16</v>
      </c>
      <c r="G4" s="217">
        <f t="shared" ref="G4:G19" si="0">IFERROR((SUM(E4-C4)/C4),0)</f>
        <v>5.0196647057507274E-2</v>
      </c>
      <c r="H4" s="217">
        <f>IFERROR((SUM(E4-D4)/D4),0)</f>
        <v>1.0217029723518012</v>
      </c>
      <c r="I4" s="217">
        <f>IFERROR((SUM(E4-B4)/E4),0)</f>
        <v>-0.13032839399998855</v>
      </c>
      <c r="J4" s="262">
        <f>SUM(J6:J18)</f>
        <v>8167</v>
      </c>
      <c r="K4" s="218">
        <f>AVERAGE(K5:K19)</f>
        <v>224.98622503276096</v>
      </c>
      <c r="L4" s="219">
        <f>SUM(L6:L19)</f>
        <v>579</v>
      </c>
      <c r="M4" s="220">
        <f t="shared" ref="M4:M19" si="1">IFERROR(L4/J4,0)</f>
        <v>7.0895065507530303E-2</v>
      </c>
      <c r="N4" s="221">
        <f>SUM(N6:N19)</f>
        <v>4427</v>
      </c>
      <c r="O4" s="222">
        <f t="shared" ref="O4:O19" si="2">IFERROR(N4/SUM(J4),0)</f>
        <v>0.54205950777519285</v>
      </c>
      <c r="P4" s="249">
        <f>SUM(P6:P19)</f>
        <v>362468.14</v>
      </c>
      <c r="Q4" s="222">
        <f>SUM(P4/E4)</f>
        <v>0.15675805331386614</v>
      </c>
      <c r="R4" s="244">
        <f>SUM(R6:R19)</f>
        <v>259132.59999999998</v>
      </c>
      <c r="S4" s="222">
        <f>SUM(R4/E4)</f>
        <v>0.11206811701067228</v>
      </c>
      <c r="T4" s="257">
        <f>SUM(T6:T19)</f>
        <v>59430.55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'27 Dec - 2 Jan 2022'!E6</f>
        <v>212769.56</v>
      </c>
      <c r="C6" s="255">
        <v>296675.38</v>
      </c>
      <c r="D6" s="197">
        <v>132428.34</v>
      </c>
      <c r="E6" s="268">
        <v>269770.01</v>
      </c>
      <c r="F6" s="123">
        <v>314358.24</v>
      </c>
      <c r="G6" s="162">
        <f t="shared" si="0"/>
        <v>-9.0689594802238038E-2</v>
      </c>
      <c r="H6" s="154">
        <f t="shared" ref="H6:H18" si="3">IFERROR((SUM(E6-D6)/D6),0)</f>
        <v>1.037101801623429</v>
      </c>
      <c r="I6" s="266">
        <f t="shared" ref="I6:I19" si="4">IFERROR((SUM(E6-B6)/B6),0)</f>
        <v>0.26789757895819316</v>
      </c>
      <c r="J6" s="149">
        <v>828</v>
      </c>
      <c r="K6" s="63">
        <f t="shared" ref="K6:K19" si="5">IFERROR(E6/J6,0)</f>
        <v>325.80919082125604</v>
      </c>
      <c r="L6" s="125">
        <v>73</v>
      </c>
      <c r="M6" s="126">
        <f t="shared" si="1"/>
        <v>8.8164251207729472E-2</v>
      </c>
      <c r="N6" s="46">
        <f>L6+'15 - 21 Nov'!L6+'22 - 28 Nov'!L6+'29 Nov - 5 Dec'!L6+'6 - 12 Dec'!L6+'13 - 19 Dec'!L6+'20 - 26 Dec'!L6+'27 Dec - 2 Jan 2022'!L6</f>
        <v>410</v>
      </c>
      <c r="O6" s="171">
        <f t="shared" si="2"/>
        <v>0.49516908212560384</v>
      </c>
      <c r="P6" s="259">
        <v>47094.26</v>
      </c>
      <c r="Q6" s="128">
        <f t="shared" ref="Q6:Q19" si="6">SUM(P6/E6)</f>
        <v>0.17457188810572383</v>
      </c>
      <c r="R6" s="260">
        <v>6306.78</v>
      </c>
      <c r="S6" s="128">
        <f t="shared" ref="S6:S19" si="7">SUM(R6/E6)</f>
        <v>2.3378358476540812E-2</v>
      </c>
      <c r="T6" s="129">
        <v>8086</v>
      </c>
      <c r="U6" s="26"/>
    </row>
    <row r="7" spans="1:24" ht="15.6" customHeight="1" x14ac:dyDescent="0.3">
      <c r="A7" s="409" t="s">
        <v>16</v>
      </c>
      <c r="B7" s="200">
        <f>'27 Dec - 2 Jan 2022'!E7</f>
        <v>294055.23</v>
      </c>
      <c r="C7" s="73">
        <v>198130.76</v>
      </c>
      <c r="D7" s="145">
        <v>83309.19</v>
      </c>
      <c r="E7" s="269">
        <v>219749.59</v>
      </c>
      <c r="F7" s="145">
        <v>306801.11</v>
      </c>
      <c r="G7" s="163">
        <f t="shared" si="0"/>
        <v>0.10911395080703262</v>
      </c>
      <c r="H7" s="155">
        <f t="shared" si="3"/>
        <v>1.6377592916219685</v>
      </c>
      <c r="I7" s="263">
        <f t="shared" si="4"/>
        <v>-0.25269280196104654</v>
      </c>
      <c r="J7" s="150">
        <v>757</v>
      </c>
      <c r="K7" s="63">
        <f t="shared" si="5"/>
        <v>290.2900792602378</v>
      </c>
      <c r="L7" s="61">
        <v>45</v>
      </c>
      <c r="M7" s="28">
        <f t="shared" si="1"/>
        <v>5.9445178335535004E-2</v>
      </c>
      <c r="N7" s="46">
        <f>L7+'15 - 21 Nov'!L7+'22 - 28 Nov'!L7+'29 Nov - 5 Dec'!L7+'6 - 12 Dec'!L7+'13 - 19 Dec'!L7+'20 - 26 Dec'!L7+'27 Dec - 2 Jan 2022'!L7</f>
        <v>449</v>
      </c>
      <c r="O7" s="172">
        <f t="shared" si="2"/>
        <v>0.59313077939233816</v>
      </c>
      <c r="P7" s="260">
        <v>38471.43</v>
      </c>
      <c r="Q7" s="89">
        <f t="shared" si="6"/>
        <v>0.17506940513518138</v>
      </c>
      <c r="R7" s="260">
        <v>8744</v>
      </c>
      <c r="S7" s="89">
        <f t="shared" si="7"/>
        <v>3.9790745457136005E-2</v>
      </c>
      <c r="T7" s="130">
        <v>7197.3</v>
      </c>
      <c r="U7" s="26"/>
    </row>
    <row r="8" spans="1:24" ht="15.6" customHeight="1" x14ac:dyDescent="0.3">
      <c r="A8" s="409" t="s">
        <v>17</v>
      </c>
      <c r="B8" s="200">
        <f>'27 Dec - 2 Jan 2022'!E8</f>
        <v>92659.32</v>
      </c>
      <c r="C8" s="73">
        <v>81968.13</v>
      </c>
      <c r="D8" s="145">
        <v>52090.83</v>
      </c>
      <c r="E8" s="269">
        <v>118823.03</v>
      </c>
      <c r="F8" s="145">
        <v>136028.34</v>
      </c>
      <c r="G8" s="163">
        <f t="shared" si="0"/>
        <v>0.44962475049754086</v>
      </c>
      <c r="H8" s="155">
        <f t="shared" si="3"/>
        <v>1.281073847354707</v>
      </c>
      <c r="I8" s="263">
        <f t="shared" si="4"/>
        <v>0.28236458027104011</v>
      </c>
      <c r="J8" s="150">
        <v>470</v>
      </c>
      <c r="K8" s="63">
        <f t="shared" si="5"/>
        <v>252.81495744680851</v>
      </c>
      <c r="L8" s="61">
        <v>28</v>
      </c>
      <c r="M8" s="28">
        <f t="shared" si="1"/>
        <v>5.9574468085106386E-2</v>
      </c>
      <c r="N8" s="46">
        <f>L8+'15 - 21 Nov'!L8+'22 - 28 Nov'!L8+'29 Nov - 5 Dec'!L8+'6 - 12 Dec'!L8+'13 - 19 Dec'!L8+'20 - 26 Dec'!L8+'27 Dec - 2 Jan 2022'!L8</f>
        <v>171</v>
      </c>
      <c r="O8" s="172">
        <f t="shared" si="2"/>
        <v>0.36382978723404258</v>
      </c>
      <c r="P8" s="260">
        <v>56365.7</v>
      </c>
      <c r="Q8" s="89">
        <f t="shared" si="6"/>
        <v>0.47436679572975032</v>
      </c>
      <c r="R8" s="260">
        <v>15476.35</v>
      </c>
      <c r="S8" s="89">
        <f t="shared" si="7"/>
        <v>0.13024705732550332</v>
      </c>
      <c r="T8" s="130">
        <v>3444.85</v>
      </c>
      <c r="U8" s="26"/>
    </row>
    <row r="9" spans="1:24" ht="15.6" customHeight="1" x14ac:dyDescent="0.3">
      <c r="A9" s="409" t="s">
        <v>18</v>
      </c>
      <c r="B9" s="200">
        <f>'27 Dec - 2 Jan 2022'!E9</f>
        <v>0</v>
      </c>
      <c r="C9" s="73">
        <v>287972.86</v>
      </c>
      <c r="D9" s="145">
        <v>114208.02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'27 Dec - 2 Jan 2022'!E10</f>
        <v>146695.37</v>
      </c>
      <c r="C10" s="73">
        <v>132580.56</v>
      </c>
      <c r="D10" s="145">
        <v>81183.02</v>
      </c>
      <c r="E10" s="269">
        <v>133729.15</v>
      </c>
      <c r="F10" s="145">
        <v>192156.35</v>
      </c>
      <c r="G10" s="163">
        <f t="shared" si="0"/>
        <v>8.6633364650141511E-3</v>
      </c>
      <c r="H10" s="155">
        <f t="shared" si="3"/>
        <v>0.64725517725258297</v>
      </c>
      <c r="I10" s="263">
        <f t="shared" si="4"/>
        <v>-8.8388747374917156E-2</v>
      </c>
      <c r="J10" s="150">
        <v>460</v>
      </c>
      <c r="K10" s="63">
        <f t="shared" si="5"/>
        <v>290.71554347826088</v>
      </c>
      <c r="L10" s="61">
        <v>34</v>
      </c>
      <c r="M10" s="28">
        <f t="shared" si="1"/>
        <v>7.3913043478260873E-2</v>
      </c>
      <c r="N10" s="46">
        <f>L10+'15 - 21 Nov'!L10+'22 - 28 Nov'!L10+'29 Nov - 5 Dec'!L10+'6 - 12 Dec'!L10+'13 - 19 Dec'!L10+'20 - 26 Dec'!L10+'27 Dec - 2 Jan 2022'!L10</f>
        <v>307</v>
      </c>
      <c r="O10" s="172">
        <f t="shared" si="2"/>
        <v>0.66739130434782612</v>
      </c>
      <c r="P10" s="260">
        <v>43552.61</v>
      </c>
      <c r="Q10" s="89">
        <f t="shared" si="6"/>
        <v>0.32567775986013525</v>
      </c>
      <c r="R10" s="260">
        <v>8638.83</v>
      </c>
      <c r="S10" s="89">
        <f t="shared" si="7"/>
        <v>6.4599453447509392E-2</v>
      </c>
      <c r="T10" s="130">
        <v>5364</v>
      </c>
      <c r="U10" s="26"/>
    </row>
    <row r="11" spans="1:24" ht="15.6" customHeight="1" x14ac:dyDescent="0.3">
      <c r="A11" s="409" t="s">
        <v>21</v>
      </c>
      <c r="B11" s="200">
        <f>'27 Dec - 2 Jan 2022'!E11</f>
        <v>169474.37</v>
      </c>
      <c r="C11" s="73">
        <v>330215.89</v>
      </c>
      <c r="D11" s="145">
        <v>157552.23000000001</v>
      </c>
      <c r="E11" s="269">
        <v>233137.87</v>
      </c>
      <c r="F11" s="145">
        <v>268791.34999999998</v>
      </c>
      <c r="G11" s="163">
        <f t="shared" si="0"/>
        <v>-0.29398349061881912</v>
      </c>
      <c r="H11" s="155">
        <f t="shared" si="3"/>
        <v>0.47974973124785336</v>
      </c>
      <c r="I11" s="263">
        <f t="shared" si="4"/>
        <v>0.37565267243654604</v>
      </c>
      <c r="J11" s="150">
        <v>783</v>
      </c>
      <c r="K11" s="63">
        <f t="shared" si="5"/>
        <v>297.74951468710088</v>
      </c>
      <c r="L11" s="61">
        <v>100</v>
      </c>
      <c r="M11" s="28">
        <f t="shared" si="1"/>
        <v>0.1277139208173691</v>
      </c>
      <c r="N11" s="46">
        <f>L11+'15 - 21 Nov'!L11+'22 - 28 Nov'!L11+'29 Nov - 5 Dec'!L11+'6 - 12 Dec'!L11+'13 - 19 Dec'!L11+'20 - 26 Dec'!L11+'27 Dec - 2 Jan 2022'!L11</f>
        <v>610</v>
      </c>
      <c r="O11" s="172">
        <f t="shared" si="2"/>
        <v>0.77905491698595142</v>
      </c>
      <c r="P11" s="260">
        <v>42009.83</v>
      </c>
      <c r="Q11" s="89">
        <f t="shared" si="6"/>
        <v>0.18019307631145468</v>
      </c>
      <c r="R11" s="260">
        <v>26714.35</v>
      </c>
      <c r="S11" s="89">
        <f t="shared" si="7"/>
        <v>0.11458606017117683</v>
      </c>
      <c r="T11" s="130">
        <v>5713.1</v>
      </c>
      <c r="U11" s="26"/>
    </row>
    <row r="12" spans="1:24" ht="15.6" customHeight="1" x14ac:dyDescent="0.3">
      <c r="A12" s="198" t="s">
        <v>22</v>
      </c>
      <c r="B12" s="200">
        <f>'27 Dec - 2 Jan 2022'!E12</f>
        <v>118160.63</v>
      </c>
      <c r="C12" s="73">
        <v>132864.84</v>
      </c>
      <c r="D12" s="145">
        <v>67869.490000000005</v>
      </c>
      <c r="E12" s="269">
        <v>116710.34</v>
      </c>
      <c r="F12" s="145">
        <v>154313.88</v>
      </c>
      <c r="G12" s="163">
        <f t="shared" si="0"/>
        <v>-0.12158596661088066</v>
      </c>
      <c r="H12" s="155">
        <f t="shared" si="3"/>
        <v>0.71962895256764103</v>
      </c>
      <c r="I12" s="263">
        <f t="shared" si="4"/>
        <v>-1.2273885134160237E-2</v>
      </c>
      <c r="J12" s="150">
        <v>415</v>
      </c>
      <c r="K12" s="63">
        <f t="shared" si="5"/>
        <v>281.22973493975906</v>
      </c>
      <c r="L12" s="61">
        <v>68</v>
      </c>
      <c r="M12" s="28">
        <f t="shared" si="1"/>
        <v>0.16385542168674699</v>
      </c>
      <c r="N12" s="46">
        <f>L12+'15 - 21 Nov'!L12+'22 - 28 Nov'!L12+'29 Nov - 5 Dec'!L12+'6 - 12 Dec'!L12+'13 - 19 Dec'!L12+'20 - 26 Dec'!L12+'27 Dec - 2 Jan 2022'!L12</f>
        <v>415</v>
      </c>
      <c r="O12" s="172">
        <f t="shared" si="2"/>
        <v>1</v>
      </c>
      <c r="P12" s="260">
        <v>16846.650000000001</v>
      </c>
      <c r="Q12" s="89">
        <f t="shared" si="6"/>
        <v>0.14434582231531501</v>
      </c>
      <c r="R12" s="260">
        <v>12528.85</v>
      </c>
      <c r="S12" s="89">
        <f t="shared" si="7"/>
        <v>0.10734995716746264</v>
      </c>
      <c r="T12" s="130">
        <v>4908.5</v>
      </c>
      <c r="U12" s="26"/>
    </row>
    <row r="13" spans="1:24" ht="15.6" customHeight="1" x14ac:dyDescent="0.3">
      <c r="A13" s="198" t="s">
        <v>23</v>
      </c>
      <c r="B13" s="200">
        <f>'27 Dec - 2 Jan 2022'!E13</f>
        <v>159471.69</v>
      </c>
      <c r="C13" s="73">
        <v>219689.71</v>
      </c>
      <c r="D13" s="145">
        <v>111534.91</v>
      </c>
      <c r="E13" s="269">
        <v>194743.67999999999</v>
      </c>
      <c r="F13" s="145">
        <v>233491.77</v>
      </c>
      <c r="G13" s="163">
        <f t="shared" si="0"/>
        <v>-0.11355119909803696</v>
      </c>
      <c r="H13" s="155">
        <f t="shared" si="3"/>
        <v>0.746033416801968</v>
      </c>
      <c r="I13" s="263">
        <f t="shared" si="4"/>
        <v>0.22118026089771789</v>
      </c>
      <c r="J13" s="150">
        <v>668</v>
      </c>
      <c r="K13" s="63">
        <f t="shared" si="5"/>
        <v>291.53245508982036</v>
      </c>
      <c r="L13" s="61">
        <v>62</v>
      </c>
      <c r="M13" s="28">
        <f t="shared" si="1"/>
        <v>9.2814371257485026E-2</v>
      </c>
      <c r="N13" s="46">
        <f>L13+'15 - 21 Nov'!L13+'22 - 28 Nov'!L13+'29 Nov - 5 Dec'!L13+'6 - 12 Dec'!L13+'13 - 19 Dec'!L13+'20 - 26 Dec'!L13+'27 Dec - 2 Jan 2022'!L13</f>
        <v>550</v>
      </c>
      <c r="O13" s="172">
        <f t="shared" si="2"/>
        <v>0.82335329341317365</v>
      </c>
      <c r="P13" s="260">
        <v>33217.629999999997</v>
      </c>
      <c r="Q13" s="89">
        <f t="shared" si="6"/>
        <v>0.17057102957076706</v>
      </c>
      <c r="R13" s="260">
        <v>20688.169999999998</v>
      </c>
      <c r="S13" s="89">
        <f t="shared" si="7"/>
        <v>0.10623281844114273</v>
      </c>
      <c r="T13" s="130">
        <v>5875</v>
      </c>
      <c r="U13" s="26"/>
    </row>
    <row r="14" spans="1:24" ht="15.6" hidden="1" customHeight="1" x14ac:dyDescent="0.3">
      <c r="A14" s="198" t="s">
        <v>24</v>
      </c>
      <c r="B14" s="200">
        <f>'27 Dec - 2 Jan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'27 Dec - 2 Jan 2022'!E15</f>
        <v>1157280.81</v>
      </c>
      <c r="C15" s="73">
        <v>440887.85</v>
      </c>
      <c r="D15" s="145">
        <v>285822.7</v>
      </c>
      <c r="E15" s="269">
        <v>721790.35</v>
      </c>
      <c r="F15" s="145">
        <v>1065222.45</v>
      </c>
      <c r="G15" s="163">
        <f t="shared" si="0"/>
        <v>0.63712914746913529</v>
      </c>
      <c r="H15" s="155">
        <f t="shared" si="3"/>
        <v>1.5253079968805834</v>
      </c>
      <c r="I15" s="263">
        <f t="shared" si="4"/>
        <v>-0.37630491773211039</v>
      </c>
      <c r="J15" s="150">
        <v>2090</v>
      </c>
      <c r="K15" s="63">
        <f t="shared" si="5"/>
        <v>345.35423444976078</v>
      </c>
      <c r="L15" s="61">
        <v>0</v>
      </c>
      <c r="M15" s="28">
        <f t="shared" si="1"/>
        <v>0</v>
      </c>
      <c r="N15" s="46">
        <f>L15+'15 - 21 Nov'!L15+'22 - 28 Nov'!L15+'29 Nov - 5 Dec'!L15+'6 - 12 Dec'!L15+'13 - 19 Dec'!L15+'20 - 26 Dec'!L15+'27 Dec - 2 Jan 2022'!L15</f>
        <v>215</v>
      </c>
      <c r="O15" s="172">
        <f t="shared" si="2"/>
        <v>0.10287081339712918</v>
      </c>
      <c r="P15" s="260">
        <v>0</v>
      </c>
      <c r="Q15" s="89">
        <f t="shared" si="6"/>
        <v>0</v>
      </c>
      <c r="R15" s="260">
        <v>91842.61</v>
      </c>
      <c r="S15" s="89">
        <f t="shared" si="7"/>
        <v>0.12724277901470973</v>
      </c>
      <c r="T15" s="130">
        <v>1826</v>
      </c>
      <c r="U15" s="9"/>
    </row>
    <row r="16" spans="1:24" ht="15.6" customHeight="1" x14ac:dyDescent="0.3">
      <c r="A16" s="198" t="s">
        <v>27</v>
      </c>
      <c r="B16" s="200">
        <f>'27 Dec - 2 Jan 2022'!E16</f>
        <v>117099.44</v>
      </c>
      <c r="C16" s="73">
        <v>115805.88</v>
      </c>
      <c r="D16" s="145">
        <v>67752.66</v>
      </c>
      <c r="E16" s="269">
        <v>135626.71</v>
      </c>
      <c r="F16" s="145">
        <v>176355.17</v>
      </c>
      <c r="G16" s="163">
        <f t="shared" si="0"/>
        <v>0.1711556442557147</v>
      </c>
      <c r="H16" s="155">
        <f t="shared" si="3"/>
        <v>1.0017916639730453</v>
      </c>
      <c r="I16" s="263">
        <f t="shared" si="4"/>
        <v>0.15821826304207764</v>
      </c>
      <c r="J16" s="150">
        <v>520</v>
      </c>
      <c r="K16" s="63">
        <f t="shared" si="5"/>
        <v>260.82059615384611</v>
      </c>
      <c r="L16" s="61">
        <v>20</v>
      </c>
      <c r="M16" s="28">
        <f t="shared" si="1"/>
        <v>3.8461538461538464E-2</v>
      </c>
      <c r="N16" s="46">
        <f>L16+'15 - 21 Nov'!L16+'22 - 28 Nov'!L16+'29 Nov - 5 Dec'!L16+'6 - 12 Dec'!L16+'13 - 19 Dec'!L16+'20 - 26 Dec'!L16+'27 Dec - 2 Jan 2022'!L16</f>
        <v>264</v>
      </c>
      <c r="O16" s="172">
        <f t="shared" si="2"/>
        <v>0.50769230769230766</v>
      </c>
      <c r="P16" s="260">
        <v>34314</v>
      </c>
      <c r="Q16" s="89">
        <f t="shared" si="6"/>
        <v>0.25300326167316162</v>
      </c>
      <c r="R16" s="260">
        <v>24966.240000000002</v>
      </c>
      <c r="S16" s="89">
        <f t="shared" si="7"/>
        <v>0.18408055463411302</v>
      </c>
      <c r="T16" s="130">
        <v>5415.8</v>
      </c>
      <c r="U16" s="9"/>
      <c r="X16" s="238"/>
    </row>
    <row r="17" spans="1:21" ht="15.6" customHeight="1" x14ac:dyDescent="0.3">
      <c r="A17" s="198" t="s">
        <v>28</v>
      </c>
      <c r="B17" s="200">
        <f>'27 Dec - 2 Jan 2022'!E17</f>
        <v>143974.76</v>
      </c>
      <c r="C17" s="73">
        <v>208806.41</v>
      </c>
      <c r="D17" s="145">
        <v>89115.75</v>
      </c>
      <c r="E17" s="269">
        <v>150418.67000000001</v>
      </c>
      <c r="F17" s="145">
        <v>194507.97</v>
      </c>
      <c r="G17" s="163">
        <f t="shared" si="0"/>
        <v>-0.27962618580531118</v>
      </c>
      <c r="H17" s="155">
        <f t="shared" si="3"/>
        <v>0.68790219461767432</v>
      </c>
      <c r="I17" s="263">
        <f t="shared" si="4"/>
        <v>4.4757219946051675E-2</v>
      </c>
      <c r="J17" s="150">
        <v>584</v>
      </c>
      <c r="K17" s="63">
        <f t="shared" si="5"/>
        <v>257.56621575342467</v>
      </c>
      <c r="L17" s="61">
        <v>67</v>
      </c>
      <c r="M17" s="28">
        <f t="shared" si="1"/>
        <v>0.11472602739726027</v>
      </c>
      <c r="N17" s="46">
        <f>L17+'15 - 21 Nov'!L17+'22 - 28 Nov'!L17+'29 Nov - 5 Dec'!L17+'6 - 12 Dec'!L17+'13 - 19 Dec'!L17+'20 - 26 Dec'!L17+'27 Dec - 2 Jan 2022'!L17</f>
        <v>355</v>
      </c>
      <c r="O17" s="172">
        <f t="shared" si="2"/>
        <v>0.60787671232876717</v>
      </c>
      <c r="P17" s="260">
        <v>25458.03</v>
      </c>
      <c r="Q17" s="89">
        <f t="shared" si="6"/>
        <v>0.16924780680483345</v>
      </c>
      <c r="R17" s="260">
        <v>23749.96</v>
      </c>
      <c r="S17" s="89">
        <f t="shared" si="7"/>
        <v>0.15789236801522044</v>
      </c>
      <c r="T17" s="130">
        <v>7761.5</v>
      </c>
      <c r="U17" s="9"/>
    </row>
    <row r="18" spans="1:21" ht="15.6" customHeight="1" x14ac:dyDescent="0.3">
      <c r="A18" s="198" t="s">
        <v>33</v>
      </c>
      <c r="B18" s="200">
        <f>'27 Dec - 2 Jan 2022'!E18</f>
        <v>148687.25</v>
      </c>
      <c r="C18" s="73">
        <v>176711.97</v>
      </c>
      <c r="D18" s="73">
        <v>96251.57</v>
      </c>
      <c r="E18" s="269">
        <v>151507.38</v>
      </c>
      <c r="F18" s="145">
        <v>205452.88</v>
      </c>
      <c r="G18" s="163">
        <f t="shared" si="0"/>
        <v>-0.14263091515532308</v>
      </c>
      <c r="H18" s="155">
        <f t="shared" si="3"/>
        <v>0.57407697349767894</v>
      </c>
      <c r="I18" s="263">
        <f t="shared" si="4"/>
        <v>1.8966858288118213E-2</v>
      </c>
      <c r="J18" s="150">
        <v>592</v>
      </c>
      <c r="K18" s="63">
        <f t="shared" si="5"/>
        <v>255.92462837837837</v>
      </c>
      <c r="L18" s="61">
        <v>82</v>
      </c>
      <c r="M18" s="28">
        <f t="shared" si="1"/>
        <v>0.13851351351351351</v>
      </c>
      <c r="N18" s="46">
        <f>L18+'15 - 21 Nov'!L18+'22 - 28 Nov'!L18+'29 Nov - 5 Dec'!L18+'6 - 12 Dec'!L18+'13 - 19 Dec'!L18+'20 - 26 Dec'!L18+'27 Dec - 2 Jan 2022'!L18</f>
        <v>681</v>
      </c>
      <c r="O18" s="172">
        <f t="shared" si="2"/>
        <v>1.1503378378378379</v>
      </c>
      <c r="P18" s="260">
        <v>25138</v>
      </c>
      <c r="Q18" s="89">
        <f t="shared" si="6"/>
        <v>0.1659193103332656</v>
      </c>
      <c r="R18" s="260">
        <v>19476.46</v>
      </c>
      <c r="S18" s="89">
        <f t="shared" si="7"/>
        <v>0.12855122964967119</v>
      </c>
      <c r="T18" s="130">
        <v>3838.5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49" priority="14" operator="equal">
      <formula>0</formula>
    </cfRule>
  </conditionalFormatting>
  <conditionalFormatting sqref="D7:F19">
    <cfRule type="cellIs" dxfId="248" priority="1" operator="equal">
      <formula>0</formula>
    </cfRule>
  </conditionalFormatting>
  <conditionalFormatting sqref="G6:T19">
    <cfRule type="cellIs" dxfId="247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1.8224802965934421E-2</v>
      </c>
      <c r="H2" s="413"/>
      <c r="I2" s="400">
        <f>(((E4-E19-B19)-B4)/E4)</f>
        <v>-0.25929312502137247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2312277.63</v>
      </c>
      <c r="C4" s="135">
        <f>SUM(C6:C19)-C14-C19-C10-C9</f>
        <v>1803306.1900000002</v>
      </c>
      <c r="D4" s="142">
        <f>SUM(D6:D19)-D19-D10-D9</f>
        <v>951909.05999999994</v>
      </c>
      <c r="E4" s="270">
        <f>SUM(E6:E19)-E19-E10-E9</f>
        <v>1836171.09</v>
      </c>
      <c r="F4" s="142">
        <f>SUM(F6:F19)-F19-F10-F9</f>
        <v>4891494.25</v>
      </c>
      <c r="G4" s="217">
        <f t="shared" ref="G4:G19" si="0">IFERROR((SUM(E4-C4)/C4),0)</f>
        <v>1.8224802965934421E-2</v>
      </c>
      <c r="H4" s="217">
        <f>IFERROR((SUM(E4-D4)/D4),0)</f>
        <v>0.92893540691796772</v>
      </c>
      <c r="I4" s="217">
        <f>IFERROR((SUM(E4-B4)/E4),0)</f>
        <v>-0.25929312502137247</v>
      </c>
      <c r="J4" s="262">
        <f>SUM(J6:J18)</f>
        <v>7056</v>
      </c>
      <c r="K4" s="218">
        <f>AVERAGE(K5:K19)</f>
        <v>217.75729747408766</v>
      </c>
      <c r="L4" s="219">
        <f>SUM(L6:L19)</f>
        <v>571</v>
      </c>
      <c r="M4" s="220">
        <f t="shared" ref="M4:M19" si="1">IFERROR(L4/J4,0)</f>
        <v>8.092403628117914E-2</v>
      </c>
      <c r="N4" s="221">
        <f>SUM(N6:N19)</f>
        <v>4998</v>
      </c>
      <c r="O4" s="222">
        <f t="shared" ref="O4:O19" si="2">IFERROR(N4/SUM(J4),0)</f>
        <v>0.70833333333333337</v>
      </c>
      <c r="P4" s="249">
        <f>SUM(P6:P19)</f>
        <v>359892.56</v>
      </c>
      <c r="Q4" s="222">
        <f>SUM(P4/E4)</f>
        <v>0.19600164819063781</v>
      </c>
      <c r="R4" s="244">
        <f>SUM(R6:R19)</f>
        <v>196338.96</v>
      </c>
      <c r="S4" s="222">
        <f>SUM(R4/E4)</f>
        <v>0.10692846710706026</v>
      </c>
      <c r="T4" s="257">
        <f>SUM(T6:T19)</f>
        <v>70359.399999999994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'3 - 9 Jan 2022'!E6</f>
        <v>269770.01</v>
      </c>
      <c r="C6" s="255">
        <v>249678.67</v>
      </c>
      <c r="D6" s="197">
        <v>102020.09</v>
      </c>
      <c r="E6" s="268">
        <v>215802.15</v>
      </c>
      <c r="F6" s="123">
        <v>530160.39</v>
      </c>
      <c r="G6" s="162">
        <f t="shared" si="0"/>
        <v>-0.13568047282533191</v>
      </c>
      <c r="H6" s="154">
        <f t="shared" ref="H6:H18" si="3">IFERROR((SUM(E6-D6)/D6),0)</f>
        <v>1.1152907236212004</v>
      </c>
      <c r="I6" s="266">
        <f t="shared" ref="I6:I19" si="4">IFERROR((SUM(E6-B6)/B6),0)</f>
        <v>-0.2000513696833833</v>
      </c>
      <c r="J6" s="149">
        <v>697</v>
      </c>
      <c r="K6" s="63">
        <f t="shared" ref="K6:K19" si="5">IFERROR(E6/J6,0)</f>
        <v>309.61571018651364</v>
      </c>
      <c r="L6" s="125">
        <v>41</v>
      </c>
      <c r="M6" s="126">
        <f t="shared" si="1"/>
        <v>5.8823529411764705E-2</v>
      </c>
      <c r="N6" s="46">
        <f>L6+'15 - 21 Nov'!L6+'22 - 28 Nov'!L6+'29 Nov - 5 Dec'!L6+'6 - 12 Dec'!L6+'13 - 19 Dec'!L6+'20 - 26 Dec'!L6+'27 Dec - 2 Jan 2022'!L6+'3 - 9 Jan 2022'!L6</f>
        <v>451</v>
      </c>
      <c r="O6" s="171">
        <f t="shared" si="2"/>
        <v>0.6470588235294118</v>
      </c>
      <c r="P6" s="259">
        <v>33017.35</v>
      </c>
      <c r="Q6" s="128">
        <f t="shared" ref="Q6:Q19" si="6">SUM(P6/E6)</f>
        <v>0.15299824399339859</v>
      </c>
      <c r="R6" s="260">
        <v>9189.48</v>
      </c>
      <c r="S6" s="128">
        <f t="shared" ref="S6:S19" si="7">SUM(R6/E6)</f>
        <v>4.2582893636601858E-2</v>
      </c>
      <c r="T6" s="129">
        <v>6350.5</v>
      </c>
      <c r="U6" s="26"/>
    </row>
    <row r="7" spans="1:24" ht="15.6" customHeight="1" x14ac:dyDescent="0.3">
      <c r="A7" s="409" t="s">
        <v>16</v>
      </c>
      <c r="B7" s="200">
        <f>'3 - 9 Jan 2022'!E7</f>
        <v>219749.59</v>
      </c>
      <c r="C7" s="73">
        <v>184174.36</v>
      </c>
      <c r="D7" s="145">
        <v>73159.12</v>
      </c>
      <c r="E7" s="269">
        <v>181705.05</v>
      </c>
      <c r="F7" s="145">
        <v>488506.16</v>
      </c>
      <c r="G7" s="163">
        <f t="shared" si="0"/>
        <v>-1.3407458019672216E-2</v>
      </c>
      <c r="H7" s="155">
        <f t="shared" si="3"/>
        <v>1.4836964960759507</v>
      </c>
      <c r="I7" s="263">
        <f t="shared" si="4"/>
        <v>-0.17312678490094116</v>
      </c>
      <c r="J7" s="150">
        <v>668</v>
      </c>
      <c r="K7" s="63">
        <f t="shared" si="5"/>
        <v>272.01354790419163</v>
      </c>
      <c r="L7" s="61">
        <v>52</v>
      </c>
      <c r="M7" s="28">
        <f t="shared" si="1"/>
        <v>7.7844311377245512E-2</v>
      </c>
      <c r="N7" s="46">
        <f>L7+'15 - 21 Nov'!L7+'22 - 28 Nov'!L7+'29 Nov - 5 Dec'!L7+'6 - 12 Dec'!L7+'13 - 19 Dec'!L7+'20 - 26 Dec'!L7+'27 Dec - 2 Jan 2022'!L7+'3 - 9 Jan 2022'!L7</f>
        <v>501</v>
      </c>
      <c r="O7" s="172">
        <f t="shared" si="2"/>
        <v>0.75</v>
      </c>
      <c r="P7" s="260">
        <v>32806.959999999999</v>
      </c>
      <c r="Q7" s="89">
        <f t="shared" si="6"/>
        <v>0.18055062311146552</v>
      </c>
      <c r="R7" s="260">
        <v>15385.22</v>
      </c>
      <c r="S7" s="89">
        <f t="shared" si="7"/>
        <v>8.4671394658541413E-2</v>
      </c>
      <c r="T7" s="130">
        <v>8798.7999999999993</v>
      </c>
      <c r="U7" s="26"/>
    </row>
    <row r="8" spans="1:24" ht="15.6" customHeight="1" x14ac:dyDescent="0.3">
      <c r="A8" s="409" t="s">
        <v>17</v>
      </c>
      <c r="B8" s="200">
        <f>'3 - 9 Jan 2022'!E8</f>
        <v>118823.03</v>
      </c>
      <c r="C8" s="73">
        <v>92094.41</v>
      </c>
      <c r="D8" s="145">
        <v>56114.02</v>
      </c>
      <c r="E8" s="269">
        <v>121229.64</v>
      </c>
      <c r="F8" s="145">
        <v>257257.98</v>
      </c>
      <c r="G8" s="163">
        <f t="shared" si="0"/>
        <v>0.31636263265055931</v>
      </c>
      <c r="H8" s="155">
        <f t="shared" si="3"/>
        <v>1.1604162382235315</v>
      </c>
      <c r="I8" s="263">
        <f t="shared" si="4"/>
        <v>2.0253733640692387E-2</v>
      </c>
      <c r="J8" s="150">
        <v>457</v>
      </c>
      <c r="K8" s="63">
        <f t="shared" si="5"/>
        <v>265.27273522975929</v>
      </c>
      <c r="L8" s="61">
        <v>25</v>
      </c>
      <c r="M8" s="28">
        <f t="shared" si="1"/>
        <v>5.4704595185995623E-2</v>
      </c>
      <c r="N8" s="46">
        <f>L8+'15 - 21 Nov'!L8+'22 - 28 Nov'!L8+'29 Nov - 5 Dec'!L8+'6 - 12 Dec'!L8+'13 - 19 Dec'!L8+'20 - 26 Dec'!L8+'27 Dec - 2 Jan 2022'!L8+'3 - 9 Jan 2022'!L8</f>
        <v>196</v>
      </c>
      <c r="O8" s="172">
        <f t="shared" si="2"/>
        <v>0.42888402625820571</v>
      </c>
      <c r="P8" s="260">
        <v>61978.87</v>
      </c>
      <c r="Q8" s="89">
        <f t="shared" si="6"/>
        <v>0.5112517862793291</v>
      </c>
      <c r="R8" s="260">
        <v>15767.48</v>
      </c>
      <c r="S8" s="89">
        <f t="shared" si="7"/>
        <v>0.13006291200732759</v>
      </c>
      <c r="T8" s="130">
        <v>3991</v>
      </c>
      <c r="U8" s="26"/>
    </row>
    <row r="9" spans="1:24" ht="15.6" customHeight="1" x14ac:dyDescent="0.3">
      <c r="A9" s="409" t="s">
        <v>18</v>
      </c>
      <c r="B9" s="200">
        <f>'3 - 9 Jan 2022'!E9</f>
        <v>0</v>
      </c>
      <c r="C9" s="73">
        <v>282534.18</v>
      </c>
      <c r="D9" s="145">
        <v>108730.35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'3 - 9 Jan 2022'!E10</f>
        <v>133729.15</v>
      </c>
      <c r="C10" s="73">
        <v>160577.06</v>
      </c>
      <c r="D10" s="145">
        <v>77116.800000000003</v>
      </c>
      <c r="E10" s="269">
        <v>143258.26</v>
      </c>
      <c r="F10" s="145">
        <v>335414.61</v>
      </c>
      <c r="G10" s="163">
        <f t="shared" si="0"/>
        <v>-0.10785351282430995</v>
      </c>
      <c r="H10" s="155">
        <f t="shared" si="3"/>
        <v>0.85767900120336948</v>
      </c>
      <c r="I10" s="263">
        <f t="shared" si="4"/>
        <v>7.125679031086353E-2</v>
      </c>
      <c r="J10" s="150">
        <v>476</v>
      </c>
      <c r="K10" s="63">
        <f t="shared" si="5"/>
        <v>300.96273109243697</v>
      </c>
      <c r="L10" s="61">
        <v>33</v>
      </c>
      <c r="M10" s="28">
        <f t="shared" si="1"/>
        <v>6.9327731092436978E-2</v>
      </c>
      <c r="N10" s="46">
        <f>L10+'15 - 21 Nov'!L10+'22 - 28 Nov'!L10+'29 Nov - 5 Dec'!L10+'6 - 12 Dec'!L10+'13 - 19 Dec'!L10+'20 - 26 Dec'!L10+'27 Dec - 2 Jan 2022'!L10+'3 - 9 Jan 2022'!L10</f>
        <v>340</v>
      </c>
      <c r="O10" s="172">
        <f t="shared" si="2"/>
        <v>0.7142857142857143</v>
      </c>
      <c r="P10" s="260">
        <v>56338</v>
      </c>
      <c r="Q10" s="89">
        <f t="shared" si="6"/>
        <v>0.39326179167609598</v>
      </c>
      <c r="R10" s="260">
        <v>5357.65</v>
      </c>
      <c r="S10" s="89">
        <f t="shared" si="7"/>
        <v>3.7398541626849295E-2</v>
      </c>
      <c r="T10" s="130">
        <v>5171.2</v>
      </c>
      <c r="U10" s="26"/>
    </row>
    <row r="11" spans="1:24" ht="15.6" customHeight="1" x14ac:dyDescent="0.3">
      <c r="A11" s="409" t="s">
        <v>21</v>
      </c>
      <c r="B11" s="200">
        <f>'3 - 9 Jan 2022'!E11</f>
        <v>233137.87</v>
      </c>
      <c r="C11" s="73">
        <v>287900.99</v>
      </c>
      <c r="D11" s="145">
        <v>157715.56</v>
      </c>
      <c r="E11" s="269">
        <v>224244.36</v>
      </c>
      <c r="F11" s="145">
        <v>493035.71</v>
      </c>
      <c r="G11" s="163">
        <f t="shared" si="0"/>
        <v>-0.22110597813505264</v>
      </c>
      <c r="H11" s="155">
        <f t="shared" si="3"/>
        <v>0.42182775117432919</v>
      </c>
      <c r="I11" s="263">
        <f t="shared" si="4"/>
        <v>-3.8146998597868333E-2</v>
      </c>
      <c r="J11" s="150">
        <v>817</v>
      </c>
      <c r="K11" s="63">
        <f t="shared" si="5"/>
        <v>274.4729008567931</v>
      </c>
      <c r="L11" s="61">
        <v>91</v>
      </c>
      <c r="M11" s="28">
        <f t="shared" si="1"/>
        <v>0.11138310893512852</v>
      </c>
      <c r="N11" s="46">
        <f>L11+'15 - 21 Nov'!L11+'22 - 28 Nov'!L11+'29 Nov - 5 Dec'!L11+'6 - 12 Dec'!L11+'13 - 19 Dec'!L11+'20 - 26 Dec'!L11+'27 Dec - 2 Jan 2022'!L11+'3 - 9 Jan 2022'!L11</f>
        <v>701</v>
      </c>
      <c r="O11" s="172">
        <f t="shared" si="2"/>
        <v>0.85801713586291306</v>
      </c>
      <c r="P11" s="260">
        <v>36671.129999999997</v>
      </c>
      <c r="Q11" s="89">
        <f t="shared" si="6"/>
        <v>0.16353200588857619</v>
      </c>
      <c r="R11" s="260">
        <v>23923.74</v>
      </c>
      <c r="S11" s="89">
        <f t="shared" si="7"/>
        <v>0.10668602768872315</v>
      </c>
      <c r="T11" s="130">
        <v>11528.5</v>
      </c>
      <c r="U11" s="26"/>
    </row>
    <row r="12" spans="1:24" ht="15.6" customHeight="1" x14ac:dyDescent="0.3">
      <c r="A12" s="198" t="s">
        <v>22</v>
      </c>
      <c r="B12" s="200">
        <f>'3 - 9 Jan 2022'!E12</f>
        <v>116710.34</v>
      </c>
      <c r="C12" s="73">
        <v>167794.96</v>
      </c>
      <c r="D12" s="145">
        <v>55044.09</v>
      </c>
      <c r="E12" s="269">
        <v>120604.29</v>
      </c>
      <c r="F12" s="145">
        <v>274918.17</v>
      </c>
      <c r="G12" s="163">
        <f t="shared" si="0"/>
        <v>-0.28124009207427925</v>
      </c>
      <c r="H12" s="155">
        <f t="shared" si="3"/>
        <v>1.1910488482959751</v>
      </c>
      <c r="I12" s="263">
        <f t="shared" si="4"/>
        <v>3.3364224626541206E-2</v>
      </c>
      <c r="J12" s="150">
        <v>436</v>
      </c>
      <c r="K12" s="63">
        <f t="shared" si="5"/>
        <v>276.61534403669725</v>
      </c>
      <c r="L12" s="61">
        <v>51</v>
      </c>
      <c r="M12" s="28">
        <f t="shared" si="1"/>
        <v>0.11697247706422019</v>
      </c>
      <c r="N12" s="46">
        <f>L12+'15 - 21 Nov'!L12+'22 - 28 Nov'!L12+'29 Nov - 5 Dec'!L12+'6 - 12 Dec'!L12+'13 - 19 Dec'!L12+'20 - 26 Dec'!L12+'27 Dec - 2 Jan 2022'!L12+'3 - 9 Jan 2022'!L12</f>
        <v>466</v>
      </c>
      <c r="O12" s="172">
        <f t="shared" si="2"/>
        <v>1.0688073394495412</v>
      </c>
      <c r="P12" s="260">
        <v>16260.52</v>
      </c>
      <c r="Q12" s="89">
        <f t="shared" si="6"/>
        <v>0.13482538639380076</v>
      </c>
      <c r="R12" s="260">
        <v>12832.83</v>
      </c>
      <c r="S12" s="89">
        <f t="shared" si="7"/>
        <v>0.10640442392223362</v>
      </c>
      <c r="T12" s="130">
        <v>8292</v>
      </c>
      <c r="U12" s="26"/>
    </row>
    <row r="13" spans="1:24" ht="15.6" customHeight="1" x14ac:dyDescent="0.3">
      <c r="A13" s="198" t="s">
        <v>23</v>
      </c>
      <c r="B13" s="200">
        <f>'3 - 9 Jan 2022'!E13</f>
        <v>194743.67999999999</v>
      </c>
      <c r="C13" s="73">
        <v>173601.74</v>
      </c>
      <c r="D13" s="145">
        <v>118995.01</v>
      </c>
      <c r="E13" s="269">
        <v>200323.25</v>
      </c>
      <c r="F13" s="145">
        <v>433815.02</v>
      </c>
      <c r="G13" s="163">
        <f t="shared" si="0"/>
        <v>0.15392420605922505</v>
      </c>
      <c r="H13" s="155">
        <f t="shared" si="3"/>
        <v>0.68345924757685228</v>
      </c>
      <c r="I13" s="263">
        <f t="shared" si="4"/>
        <v>2.865083991429148E-2</v>
      </c>
      <c r="J13" s="150">
        <v>695</v>
      </c>
      <c r="K13" s="63">
        <f t="shared" si="5"/>
        <v>288.23489208633094</v>
      </c>
      <c r="L13" s="61">
        <v>100</v>
      </c>
      <c r="M13" s="28">
        <f t="shared" si="1"/>
        <v>0.14388489208633093</v>
      </c>
      <c r="N13" s="46">
        <f>L13+'15 - 21 Nov'!L13+'22 - 28 Nov'!L13+'29 Nov - 5 Dec'!L13+'6 - 12 Dec'!L13+'13 - 19 Dec'!L13+'20 - 26 Dec'!L13+'27 Dec - 2 Jan 2022'!L13+'3 - 9 Jan 2022'!L13</f>
        <v>650</v>
      </c>
      <c r="O13" s="172">
        <f t="shared" si="2"/>
        <v>0.93525179856115104</v>
      </c>
      <c r="P13" s="260">
        <v>32517</v>
      </c>
      <c r="Q13" s="89">
        <f t="shared" si="6"/>
        <v>0.16232264602336474</v>
      </c>
      <c r="R13" s="260">
        <v>21823.78</v>
      </c>
      <c r="S13" s="89">
        <f t="shared" si="7"/>
        <v>0.1089428211652916</v>
      </c>
      <c r="T13" s="130">
        <v>6707</v>
      </c>
      <c r="U13" s="26"/>
    </row>
    <row r="14" spans="1:24" ht="15.6" hidden="1" customHeight="1" x14ac:dyDescent="0.3">
      <c r="A14" s="198" t="s">
        <v>24</v>
      </c>
      <c r="B14" s="200">
        <f>'3 - 9 Jan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'3 - 9 Jan 2022'!E15</f>
        <v>721790.35</v>
      </c>
      <c r="C15" s="73">
        <v>187166.99</v>
      </c>
      <c r="D15" s="145">
        <v>138269.18</v>
      </c>
      <c r="E15" s="269">
        <v>341457.44</v>
      </c>
      <c r="F15" s="145">
        <v>1406679.89</v>
      </c>
      <c r="G15" s="163">
        <f t="shared" si="0"/>
        <v>0.82434648331952132</v>
      </c>
      <c r="H15" s="155">
        <f t="shared" si="3"/>
        <v>1.4695122947861556</v>
      </c>
      <c r="I15" s="263">
        <f t="shared" si="4"/>
        <v>-0.52692989037606275</v>
      </c>
      <c r="J15" s="150">
        <v>1077</v>
      </c>
      <c r="K15" s="63">
        <f t="shared" si="5"/>
        <v>317.04497678737232</v>
      </c>
      <c r="L15" s="61">
        <v>4</v>
      </c>
      <c r="M15" s="28">
        <f t="shared" si="1"/>
        <v>3.7140204271123491E-3</v>
      </c>
      <c r="N15" s="46">
        <f>L15+'15 - 21 Nov'!L15+'22 - 28 Nov'!L15+'29 Nov - 5 Dec'!L15+'6 - 12 Dec'!L15+'13 - 19 Dec'!L15+'20 - 26 Dec'!L15+'27 Dec - 2 Jan 2022'!L15+'3 - 9 Jan 2022'!L15</f>
        <v>219</v>
      </c>
      <c r="O15" s="172">
        <f t="shared" si="2"/>
        <v>0.20334261838440112</v>
      </c>
      <c r="P15" s="260">
        <v>0</v>
      </c>
      <c r="Q15" s="89">
        <f t="shared" si="6"/>
        <v>0</v>
      </c>
      <c r="R15" s="260">
        <v>36234.35</v>
      </c>
      <c r="S15" s="89">
        <f t="shared" si="7"/>
        <v>0.1061167388825969</v>
      </c>
      <c r="T15" s="130">
        <v>1881.9</v>
      </c>
      <c r="U15" s="9"/>
    </row>
    <row r="16" spans="1:24" ht="15.6" customHeight="1" x14ac:dyDescent="0.3">
      <c r="A16" s="198" t="s">
        <v>27</v>
      </c>
      <c r="B16" s="200">
        <f>'3 - 9 Jan 2022'!E16</f>
        <v>135626.71</v>
      </c>
      <c r="C16" s="73">
        <v>114412.28</v>
      </c>
      <c r="D16" s="145">
        <v>60443.66</v>
      </c>
      <c r="E16" s="269">
        <v>119757.44</v>
      </c>
      <c r="F16" s="145">
        <v>296112.61</v>
      </c>
      <c r="G16" s="163">
        <f t="shared" si="0"/>
        <v>4.6718411694968438E-2</v>
      </c>
      <c r="H16" s="155">
        <f t="shared" si="3"/>
        <v>0.98130688975485592</v>
      </c>
      <c r="I16" s="263">
        <f t="shared" si="4"/>
        <v>-0.11700696713796264</v>
      </c>
      <c r="J16" s="150">
        <v>495</v>
      </c>
      <c r="K16" s="63">
        <f t="shared" si="5"/>
        <v>241.93422222222222</v>
      </c>
      <c r="L16" s="61">
        <v>29</v>
      </c>
      <c r="M16" s="28">
        <f t="shared" si="1"/>
        <v>5.8585858585858588E-2</v>
      </c>
      <c r="N16" s="46">
        <f>L16+'15 - 21 Nov'!L16+'22 - 28 Nov'!L16+'29 Nov - 5 Dec'!L16+'6 - 12 Dec'!L16+'13 - 19 Dec'!L16+'20 - 26 Dec'!L16+'27 Dec - 2 Jan 2022'!L16+'3 - 9 Jan 2022'!L16</f>
        <v>293</v>
      </c>
      <c r="O16" s="172">
        <f t="shared" si="2"/>
        <v>0.59191919191919196</v>
      </c>
      <c r="P16" s="260">
        <v>30504.37</v>
      </c>
      <c r="Q16" s="89">
        <f t="shared" si="6"/>
        <v>0.25471795322278096</v>
      </c>
      <c r="R16" s="260">
        <v>21225.43</v>
      </c>
      <c r="S16" s="89">
        <f t="shared" si="7"/>
        <v>0.17723683806200266</v>
      </c>
      <c r="T16" s="130">
        <v>5234.5</v>
      </c>
      <c r="U16" s="9"/>
      <c r="X16" s="238"/>
    </row>
    <row r="17" spans="1:21" ht="15.6" customHeight="1" x14ac:dyDescent="0.3">
      <c r="A17" s="198" t="s">
        <v>28</v>
      </c>
      <c r="B17" s="200">
        <f>'3 - 9 Jan 2022'!E17</f>
        <v>150418.67000000001</v>
      </c>
      <c r="C17" s="73">
        <v>173816.25</v>
      </c>
      <c r="D17" s="145">
        <v>83735.3</v>
      </c>
      <c r="E17" s="269">
        <v>151945.85</v>
      </c>
      <c r="F17" s="145">
        <v>346453.82</v>
      </c>
      <c r="G17" s="163">
        <f t="shared" si="0"/>
        <v>-0.12582482938160267</v>
      </c>
      <c r="H17" s="155">
        <f t="shared" si="3"/>
        <v>0.81459730842309042</v>
      </c>
      <c r="I17" s="263">
        <f t="shared" si="4"/>
        <v>1.0152862008419519E-2</v>
      </c>
      <c r="J17" s="150">
        <v>613</v>
      </c>
      <c r="K17" s="63">
        <f t="shared" si="5"/>
        <v>247.87251223491029</v>
      </c>
      <c r="L17" s="61">
        <v>42</v>
      </c>
      <c r="M17" s="28">
        <f t="shared" si="1"/>
        <v>6.8515497553017946E-2</v>
      </c>
      <c r="N17" s="46">
        <f>L17+'15 - 21 Nov'!L17+'22 - 28 Nov'!L17+'29 Nov - 5 Dec'!L17+'6 - 12 Dec'!L17+'13 - 19 Dec'!L17+'20 - 26 Dec'!L17+'27 Dec - 2 Jan 2022'!L17+'3 - 9 Jan 2022'!L17</f>
        <v>397</v>
      </c>
      <c r="O17" s="172">
        <f t="shared" si="2"/>
        <v>0.64763458401305052</v>
      </c>
      <c r="P17" s="260">
        <v>32449.77</v>
      </c>
      <c r="Q17" s="89">
        <f t="shared" si="6"/>
        <v>0.21356141019975208</v>
      </c>
      <c r="R17" s="260">
        <v>18878.740000000002</v>
      </c>
      <c r="S17" s="89">
        <f t="shared" si="7"/>
        <v>0.1242464996576083</v>
      </c>
      <c r="T17" s="130">
        <v>6698.5</v>
      </c>
      <c r="U17" s="9"/>
    </row>
    <row r="18" spans="1:21" ht="15.6" customHeight="1" x14ac:dyDescent="0.3">
      <c r="A18" s="198" t="s">
        <v>33</v>
      </c>
      <c r="B18" s="200">
        <f>'3 - 9 Jan 2022'!E18</f>
        <v>151507.38</v>
      </c>
      <c r="C18" s="73">
        <v>172665.54</v>
      </c>
      <c r="D18" s="73">
        <v>106413.03</v>
      </c>
      <c r="E18" s="269">
        <v>159101.62</v>
      </c>
      <c r="F18" s="145">
        <v>364554.5</v>
      </c>
      <c r="G18" s="163">
        <f t="shared" si="0"/>
        <v>-7.8556033821224613E-2</v>
      </c>
      <c r="H18" s="155">
        <f t="shared" si="3"/>
        <v>0.49513287987382748</v>
      </c>
      <c r="I18" s="263">
        <f t="shared" si="4"/>
        <v>5.0124554988674415E-2</v>
      </c>
      <c r="J18" s="150">
        <v>625</v>
      </c>
      <c r="K18" s="63">
        <f t="shared" si="5"/>
        <v>254.562592</v>
      </c>
      <c r="L18" s="61">
        <v>103</v>
      </c>
      <c r="M18" s="28">
        <f t="shared" si="1"/>
        <v>0.1648</v>
      </c>
      <c r="N18" s="46">
        <f>L18+'15 - 21 Nov'!L18+'22 - 28 Nov'!L18+'29 Nov - 5 Dec'!L18+'6 - 12 Dec'!L18+'13 - 19 Dec'!L18+'20 - 26 Dec'!L18+'27 Dec - 2 Jan 2022'!L18+'3 - 9 Jan 2022'!L18</f>
        <v>784</v>
      </c>
      <c r="O18" s="172">
        <f t="shared" si="2"/>
        <v>1.2544</v>
      </c>
      <c r="P18" s="260">
        <v>27348.59</v>
      </c>
      <c r="Q18" s="89">
        <f t="shared" si="6"/>
        <v>0.17189384998091159</v>
      </c>
      <c r="R18" s="260">
        <v>15720.26</v>
      </c>
      <c r="S18" s="89">
        <f t="shared" si="7"/>
        <v>9.8806410644970186E-2</v>
      </c>
      <c r="T18" s="130">
        <v>5705.5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46" priority="14" operator="equal">
      <formula>0</formula>
    </cfRule>
  </conditionalFormatting>
  <conditionalFormatting sqref="D7:F19">
    <cfRule type="cellIs" dxfId="245" priority="1" operator="equal">
      <formula>0</formula>
    </cfRule>
  </conditionalFormatting>
  <conditionalFormatting sqref="G6:T19">
    <cfRule type="cellIs" dxfId="24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X41"/>
  <sheetViews>
    <sheetView zoomScale="70" zoomScaleNormal="70" workbookViewId="0">
      <pane xSplit="1" topLeftCell="B1" activePane="topRight" state="frozen"/>
      <selection pane="topRight" activeCell="B8" sqref="B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-0.10834618212680097</v>
      </c>
      <c r="H2" s="413"/>
      <c r="I2" s="400">
        <f>(((E4-E19-B19)-B4)/E4)</f>
        <v>-6.881285828306731E-2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1836171.09</v>
      </c>
      <c r="C4" s="135">
        <f>SUM(C6:C19)-C14-C19-C10-C9</f>
        <v>1926704.9000000001</v>
      </c>
      <c r="D4" s="142">
        <f>SUM(D6:D19)-D19-D10-D9</f>
        <v>932735.82000000007</v>
      </c>
      <c r="E4" s="270">
        <f>SUM(E6:E19)-E19-E10-E9</f>
        <v>1717953.7800000003</v>
      </c>
      <c r="F4" s="142">
        <f>SUM(F6:F19)-F19-F10-F9</f>
        <v>6609448.0299999993</v>
      </c>
      <c r="G4" s="217">
        <f t="shared" ref="G4:G19" si="0">IFERROR((SUM(E4-C4)/C4),0)</f>
        <v>-0.10834618212680097</v>
      </c>
      <c r="H4" s="217">
        <f>IFERROR((SUM(E4-D4)/D4),0)</f>
        <v>0.8418438995942068</v>
      </c>
      <c r="I4" s="217">
        <f>IFERROR((SUM(E4-B4)/E4),0)</f>
        <v>-6.881285828306731E-2</v>
      </c>
      <c r="J4" s="262">
        <f>SUM(J6:J18)</f>
        <v>6689</v>
      </c>
      <c r="K4" s="218">
        <f>AVERAGE(K5:K19)</f>
        <v>216.53588396455265</v>
      </c>
      <c r="L4" s="219">
        <f>SUM(L6:L19)</f>
        <v>567</v>
      </c>
      <c r="M4" s="220">
        <f t="shared" ref="M4:M19" si="1">IFERROR(L4/J4,0)</f>
        <v>8.4766033786814174E-2</v>
      </c>
      <c r="N4" s="221">
        <f>SUM(N6:N19)</f>
        <v>5565</v>
      </c>
      <c r="O4" s="222">
        <f t="shared" ref="O4:O19" si="2">IFERROR(N4/SUM(J4),0)</f>
        <v>0.83196292420391693</v>
      </c>
      <c r="P4" s="249">
        <f>SUM(P6:P19)</f>
        <v>363330.24</v>
      </c>
      <c r="Q4" s="222">
        <f>SUM(P4/E4)</f>
        <v>0.21149011354659375</v>
      </c>
      <c r="R4" s="244">
        <f>SUM(R6:R19)</f>
        <v>172774.55000000005</v>
      </c>
      <c r="S4" s="222">
        <f>SUM(R4/E4)</f>
        <v>0.10056996411160725</v>
      </c>
      <c r="T4" s="257">
        <f>SUM(T6:T19)</f>
        <v>77591.149999999994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'10 - 16 Jan 2022'!E6</f>
        <v>215802.15</v>
      </c>
      <c r="C6" s="255">
        <v>244971.94</v>
      </c>
      <c r="D6" s="197">
        <v>112369.07</v>
      </c>
      <c r="E6" s="268">
        <v>214627.76</v>
      </c>
      <c r="F6" s="123">
        <v>744788.15</v>
      </c>
      <c r="G6" s="162">
        <f t="shared" si="0"/>
        <v>-0.12386798259425137</v>
      </c>
      <c r="H6" s="154">
        <f t="shared" ref="H6:H18" si="3">IFERROR((SUM(E6-D6)/D6),0)</f>
        <v>0.91002524093151249</v>
      </c>
      <c r="I6" s="266">
        <f t="shared" ref="I6:I19" si="4">IFERROR((SUM(E6-B6)/B6),0)</f>
        <v>-5.4419754390768807E-3</v>
      </c>
      <c r="J6" s="149">
        <v>700</v>
      </c>
      <c r="K6" s="63">
        <f t="shared" ref="K6:K19" si="5">IFERROR(E6/J6,0)</f>
        <v>306.61108571428571</v>
      </c>
      <c r="L6" s="125">
        <v>42</v>
      </c>
      <c r="M6" s="126">
        <f t="shared" si="1"/>
        <v>0.06</v>
      </c>
      <c r="N6" s="46">
        <f>L6+'15 - 21 Nov'!L6+'22 - 28 Nov'!L6+'29 Nov - 5 Dec'!L6+'6 - 12 Dec'!L6+'13 - 19 Dec'!L6+'20 - 26 Dec'!L6+'27 Dec - 2 Jan 2022'!L6+'3 - 9 Jan 2022'!L6+'10 - 16 Jan 2022'!L6</f>
        <v>493</v>
      </c>
      <c r="O6" s="171">
        <f t="shared" si="2"/>
        <v>0.70428571428571429</v>
      </c>
      <c r="P6" s="259">
        <v>37162.300000000003</v>
      </c>
      <c r="Q6" s="128">
        <f t="shared" ref="Q6:Q19" si="6">SUM(P6/E6)</f>
        <v>0.17314768602160319</v>
      </c>
      <c r="R6" s="260">
        <v>6840.09</v>
      </c>
      <c r="S6" s="128">
        <f t="shared" ref="S6:S19" si="7">SUM(R6/E6)</f>
        <v>3.1869549400319885E-2</v>
      </c>
      <c r="T6" s="129">
        <v>14341.5</v>
      </c>
      <c r="U6" s="26"/>
    </row>
    <row r="7" spans="1:24" ht="15.6" customHeight="1" x14ac:dyDescent="0.3">
      <c r="A7" s="409" t="s">
        <v>16</v>
      </c>
      <c r="B7" s="200">
        <f>'10 - 16 Jan 2022'!E7</f>
        <v>181705.05</v>
      </c>
      <c r="C7" s="73">
        <v>212211.86</v>
      </c>
      <c r="D7" s="145">
        <v>76215.509999999995</v>
      </c>
      <c r="E7" s="269">
        <v>180915.8</v>
      </c>
      <c r="F7" s="145">
        <v>669421.96</v>
      </c>
      <c r="G7" s="163">
        <f t="shared" si="0"/>
        <v>-0.1474755463714422</v>
      </c>
      <c r="H7" s="155">
        <f t="shared" si="3"/>
        <v>1.3737399382356688</v>
      </c>
      <c r="I7" s="263">
        <f t="shared" si="4"/>
        <v>-4.3435776826235709E-3</v>
      </c>
      <c r="J7" s="150">
        <v>667</v>
      </c>
      <c r="K7" s="63">
        <f t="shared" si="5"/>
        <v>271.23808095952023</v>
      </c>
      <c r="L7" s="61">
        <v>45</v>
      </c>
      <c r="M7" s="28">
        <f t="shared" si="1"/>
        <v>6.7466266866566718E-2</v>
      </c>
      <c r="N7" s="46">
        <f>L7+'15 - 21 Nov'!L7+'22 - 28 Nov'!L7+'29 Nov - 5 Dec'!L7+'6 - 12 Dec'!L7+'13 - 19 Dec'!L7+'20 - 26 Dec'!L7+'27 Dec - 2 Jan 2022'!L7+'3 - 9 Jan 2022'!L7+'10 - 16 Jan 2022'!L7</f>
        <v>546</v>
      </c>
      <c r="O7" s="172">
        <f t="shared" si="2"/>
        <v>0.81859070464767614</v>
      </c>
      <c r="P7" s="260">
        <v>35127.19</v>
      </c>
      <c r="Q7" s="89">
        <f t="shared" si="6"/>
        <v>0.1941631963598536</v>
      </c>
      <c r="R7" s="260">
        <v>11206.35</v>
      </c>
      <c r="S7" s="89">
        <f t="shared" si="7"/>
        <v>6.1942351082658345E-2</v>
      </c>
      <c r="T7" s="130">
        <v>8861.65</v>
      </c>
      <c r="U7" s="26"/>
    </row>
    <row r="8" spans="1:24" ht="15.6" customHeight="1" x14ac:dyDescent="0.3">
      <c r="A8" s="409" t="s">
        <v>17</v>
      </c>
      <c r="B8" s="200">
        <f>'10 - 16 Jan 2022'!E8</f>
        <v>121229.64</v>
      </c>
      <c r="C8" s="73">
        <v>104090</v>
      </c>
      <c r="D8" s="145">
        <v>47315.59</v>
      </c>
      <c r="E8" s="269">
        <v>112994.77</v>
      </c>
      <c r="F8" s="145">
        <v>370252.75</v>
      </c>
      <c r="G8" s="163">
        <f t="shared" si="0"/>
        <v>8.5548755884330904E-2</v>
      </c>
      <c r="H8" s="155">
        <f t="shared" si="3"/>
        <v>1.3881086550965551</v>
      </c>
      <c r="I8" s="263">
        <f t="shared" si="4"/>
        <v>-6.7927859886410577E-2</v>
      </c>
      <c r="J8" s="150">
        <v>450</v>
      </c>
      <c r="K8" s="63">
        <f t="shared" si="5"/>
        <v>251.09948888888889</v>
      </c>
      <c r="L8" s="61">
        <v>12</v>
      </c>
      <c r="M8" s="28">
        <f t="shared" si="1"/>
        <v>2.6666666666666668E-2</v>
      </c>
      <c r="N8" s="46">
        <f>L8+'15 - 21 Nov'!L8+'22 - 28 Nov'!L8+'29 Nov - 5 Dec'!L8+'6 - 12 Dec'!L8+'13 - 19 Dec'!L8+'20 - 26 Dec'!L8+'27 Dec - 2 Jan 2022'!L8+'3 - 9 Jan 2022'!L8+'10 - 16 Jan 2022'!L8</f>
        <v>208</v>
      </c>
      <c r="O8" s="172">
        <f t="shared" si="2"/>
        <v>0.4622222222222222</v>
      </c>
      <c r="P8" s="260">
        <v>54444.43</v>
      </c>
      <c r="Q8" s="89">
        <f t="shared" si="6"/>
        <v>0.48183141573720623</v>
      </c>
      <c r="R8" s="260">
        <v>15261.33</v>
      </c>
      <c r="S8" s="89">
        <f t="shared" si="7"/>
        <v>0.13506226881120251</v>
      </c>
      <c r="T8" s="130">
        <v>3030</v>
      </c>
      <c r="U8" s="26"/>
    </row>
    <row r="9" spans="1:24" ht="15.6" customHeight="1" x14ac:dyDescent="0.3">
      <c r="A9" s="409" t="s">
        <v>18</v>
      </c>
      <c r="B9" s="200">
        <f>'10 - 16 Jan 2022'!E9</f>
        <v>0</v>
      </c>
      <c r="C9" s="73">
        <v>326457.8</v>
      </c>
      <c r="D9" s="145">
        <v>100356.98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'10 - 16 Jan 2022'!E10</f>
        <v>143258.26</v>
      </c>
      <c r="C10" s="73">
        <v>168531.62</v>
      </c>
      <c r="D10" s="145">
        <v>86299.71</v>
      </c>
      <c r="E10" s="269">
        <v>136016.39000000001</v>
      </c>
      <c r="F10" s="145">
        <v>471431</v>
      </c>
      <c r="G10" s="163">
        <f t="shared" si="0"/>
        <v>-0.19293251913201798</v>
      </c>
      <c r="H10" s="155">
        <f t="shared" si="3"/>
        <v>0.57609324527278249</v>
      </c>
      <c r="I10" s="263">
        <f t="shared" si="4"/>
        <v>-5.0551151465891009E-2</v>
      </c>
      <c r="J10" s="150">
        <v>455</v>
      </c>
      <c r="K10" s="63">
        <f t="shared" si="5"/>
        <v>298.93712087912093</v>
      </c>
      <c r="L10" s="61">
        <v>44</v>
      </c>
      <c r="M10" s="28">
        <f t="shared" si="1"/>
        <v>9.6703296703296707E-2</v>
      </c>
      <c r="N10" s="46">
        <f>L10+'15 - 21 Nov'!L10+'22 - 28 Nov'!L10+'29 Nov - 5 Dec'!L10+'6 - 12 Dec'!L10+'13 - 19 Dec'!L10+'20 - 26 Dec'!L10+'27 Dec - 2 Jan 2022'!L10+'3 - 9 Jan 2022'!L10+'10 - 16 Jan 2022'!L10</f>
        <v>384</v>
      </c>
      <c r="O10" s="172">
        <f t="shared" si="2"/>
        <v>0.84395604395604396</v>
      </c>
      <c r="P10" s="260">
        <v>65442.61</v>
      </c>
      <c r="Q10" s="89">
        <f t="shared" si="6"/>
        <v>0.48113767759900106</v>
      </c>
      <c r="R10" s="260">
        <v>5867.26</v>
      </c>
      <c r="S10" s="89">
        <f t="shared" si="7"/>
        <v>4.3136419074201272E-2</v>
      </c>
      <c r="T10" s="130">
        <v>7181</v>
      </c>
      <c r="U10" s="26"/>
    </row>
    <row r="11" spans="1:24" ht="15.6" customHeight="1" x14ac:dyDescent="0.3">
      <c r="A11" s="409" t="s">
        <v>21</v>
      </c>
      <c r="B11" s="200">
        <f>'10 - 16 Jan 2022'!E11</f>
        <v>224244.36</v>
      </c>
      <c r="C11" s="73">
        <v>291680.28999999998</v>
      </c>
      <c r="D11" s="145">
        <v>141673.04</v>
      </c>
      <c r="E11" s="269">
        <v>228306.74</v>
      </c>
      <c r="F11" s="145">
        <v>721342.45</v>
      </c>
      <c r="G11" s="163">
        <f t="shared" si="0"/>
        <v>-0.21727059445806227</v>
      </c>
      <c r="H11" s="155">
        <f t="shared" si="3"/>
        <v>0.6115044894921432</v>
      </c>
      <c r="I11" s="263">
        <f t="shared" si="4"/>
        <v>1.8115862534959653E-2</v>
      </c>
      <c r="J11" s="150">
        <v>791</v>
      </c>
      <c r="K11" s="63">
        <f t="shared" si="5"/>
        <v>288.63051833122626</v>
      </c>
      <c r="L11" s="61">
        <v>84</v>
      </c>
      <c r="M11" s="28">
        <f t="shared" si="1"/>
        <v>0.10619469026548672</v>
      </c>
      <c r="N11" s="46">
        <f>L11+'15 - 21 Nov'!L11+'22 - 28 Nov'!L11+'29 Nov - 5 Dec'!L11+'6 - 12 Dec'!L11+'13 - 19 Dec'!L11+'20 - 26 Dec'!L11+'27 Dec - 2 Jan 2022'!L11+'3 - 9 Jan 2022'!L11+'10 - 16 Jan 2022'!L11</f>
        <v>785</v>
      </c>
      <c r="O11" s="172">
        <f t="shared" si="2"/>
        <v>0.9924146649810367</v>
      </c>
      <c r="P11" s="260">
        <v>39681.620000000003</v>
      </c>
      <c r="Q11" s="89">
        <f t="shared" si="6"/>
        <v>0.17380835975319872</v>
      </c>
      <c r="R11" s="260">
        <v>17663.48</v>
      </c>
      <c r="S11" s="89">
        <f t="shared" si="7"/>
        <v>7.7367317320548662E-2</v>
      </c>
      <c r="T11" s="130">
        <v>10475.5</v>
      </c>
      <c r="U11" s="26"/>
    </row>
    <row r="12" spans="1:24" ht="15.6" customHeight="1" x14ac:dyDescent="0.3">
      <c r="A12" s="198" t="s">
        <v>22</v>
      </c>
      <c r="B12" s="200">
        <f>'10 - 16 Jan 2022'!E12</f>
        <v>120604.29</v>
      </c>
      <c r="C12" s="73">
        <v>156281.82</v>
      </c>
      <c r="D12" s="145">
        <v>71651.850000000006</v>
      </c>
      <c r="E12" s="269">
        <v>101802.88</v>
      </c>
      <c r="F12" s="145">
        <v>376721.05</v>
      </c>
      <c r="G12" s="163">
        <f t="shared" si="0"/>
        <v>-0.34859422548316882</v>
      </c>
      <c r="H12" s="155">
        <f t="shared" si="3"/>
        <v>0.42079904426752407</v>
      </c>
      <c r="I12" s="263">
        <f t="shared" si="4"/>
        <v>-0.15589337659547592</v>
      </c>
      <c r="J12" s="150">
        <v>380</v>
      </c>
      <c r="K12" s="63">
        <f t="shared" si="5"/>
        <v>267.90231578947368</v>
      </c>
      <c r="L12" s="61">
        <v>37</v>
      </c>
      <c r="M12" s="28">
        <f t="shared" si="1"/>
        <v>9.7368421052631576E-2</v>
      </c>
      <c r="N12" s="46">
        <f>L12+'15 - 21 Nov'!L12+'22 - 28 Nov'!L12+'29 Nov - 5 Dec'!L12+'6 - 12 Dec'!L12+'13 - 19 Dec'!L12+'20 - 26 Dec'!L12+'27 Dec - 2 Jan 2022'!L12+'3 - 9 Jan 2022'!L12+'10 - 16 Jan 2022'!L12</f>
        <v>503</v>
      </c>
      <c r="O12" s="172">
        <f t="shared" si="2"/>
        <v>1.3236842105263158</v>
      </c>
      <c r="P12" s="260">
        <v>14960.61</v>
      </c>
      <c r="Q12" s="89">
        <f t="shared" si="6"/>
        <v>0.14695664798481142</v>
      </c>
      <c r="R12" s="260">
        <v>12291.3</v>
      </c>
      <c r="S12" s="89">
        <f t="shared" si="7"/>
        <v>0.12073626993656759</v>
      </c>
      <c r="T12" s="130">
        <v>7619.75</v>
      </c>
      <c r="U12" s="26"/>
    </row>
    <row r="13" spans="1:24" ht="15.6" customHeight="1" x14ac:dyDescent="0.3">
      <c r="A13" s="198" t="s">
        <v>23</v>
      </c>
      <c r="B13" s="200">
        <f>'10 - 16 Jan 2022'!E13</f>
        <v>200323.25</v>
      </c>
      <c r="C13" s="73">
        <v>195672.15</v>
      </c>
      <c r="D13" s="145">
        <v>125906.05</v>
      </c>
      <c r="E13" s="269">
        <v>187513.18</v>
      </c>
      <c r="F13" s="145">
        <v>621328.19999999995</v>
      </c>
      <c r="G13" s="163">
        <f t="shared" si="0"/>
        <v>-4.1697144943723473E-2</v>
      </c>
      <c r="H13" s="155">
        <f t="shared" si="3"/>
        <v>0.48931032305437261</v>
      </c>
      <c r="I13" s="263">
        <f t="shared" si="4"/>
        <v>-6.3946995668251225E-2</v>
      </c>
      <c r="J13" s="150">
        <v>666</v>
      </c>
      <c r="K13" s="63">
        <f t="shared" si="5"/>
        <v>281.55132132132132</v>
      </c>
      <c r="L13" s="61">
        <v>78</v>
      </c>
      <c r="M13" s="28">
        <f t="shared" si="1"/>
        <v>0.11711711711711711</v>
      </c>
      <c r="N13" s="46">
        <f>L13+'15 - 21 Nov'!L13+'22 - 28 Nov'!L13+'29 Nov - 5 Dec'!L13+'6 - 12 Dec'!L13+'13 - 19 Dec'!L13+'20 - 26 Dec'!L13+'27 Dec - 2 Jan 2022'!L13+'3 - 9 Jan 2022'!L13+'10 - 16 Jan 2022'!L13</f>
        <v>728</v>
      </c>
      <c r="O13" s="172">
        <f t="shared" si="2"/>
        <v>1.0930930930930931</v>
      </c>
      <c r="P13" s="260">
        <v>31970.68</v>
      </c>
      <c r="Q13" s="89">
        <f t="shared" si="6"/>
        <v>0.17049830843890548</v>
      </c>
      <c r="R13" s="260">
        <v>19815.3</v>
      </c>
      <c r="S13" s="89">
        <f t="shared" si="7"/>
        <v>0.10567417181021622</v>
      </c>
      <c r="T13" s="130">
        <v>7815.5</v>
      </c>
      <c r="U13" s="26"/>
    </row>
    <row r="14" spans="1:24" ht="15.6" hidden="1" customHeight="1" x14ac:dyDescent="0.3">
      <c r="A14" s="198" t="s">
        <v>24</v>
      </c>
      <c r="B14" s="200">
        <f>'10 - 16 Jan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'10 - 16 Jan 2022'!E15</f>
        <v>341457.44</v>
      </c>
      <c r="C15" s="73">
        <v>177959.61</v>
      </c>
      <c r="D15" s="145">
        <v>106853.6</v>
      </c>
      <c r="E15" s="269">
        <v>255303.8</v>
      </c>
      <c r="F15" s="145">
        <v>1661983.69</v>
      </c>
      <c r="G15" s="163">
        <f t="shared" si="0"/>
        <v>0.43461654023629298</v>
      </c>
      <c r="H15" s="155">
        <f t="shared" si="3"/>
        <v>1.3892859014576953</v>
      </c>
      <c r="I15" s="263">
        <f t="shared" si="4"/>
        <v>-0.25231150330184637</v>
      </c>
      <c r="J15" s="150">
        <v>914</v>
      </c>
      <c r="K15" s="63">
        <f t="shared" si="5"/>
        <v>279.32582056892778</v>
      </c>
      <c r="L15" s="61">
        <v>63</v>
      </c>
      <c r="M15" s="28">
        <f t="shared" si="1"/>
        <v>6.8927789934354486E-2</v>
      </c>
      <c r="N15" s="46">
        <f>L15+'15 - 21 Nov'!L15+'22 - 28 Nov'!L15+'29 Nov - 5 Dec'!L15+'6 - 12 Dec'!L15+'13 - 19 Dec'!L15+'20 - 26 Dec'!L15+'27 Dec - 2 Jan 2022'!L15+'3 - 9 Jan 2022'!L15+'10 - 16 Jan 2022'!L15</f>
        <v>282</v>
      </c>
      <c r="O15" s="172">
        <f t="shared" si="2"/>
        <v>0.30853391684901532</v>
      </c>
      <c r="P15" s="260">
        <v>0</v>
      </c>
      <c r="Q15" s="89">
        <f t="shared" si="6"/>
        <v>0</v>
      </c>
      <c r="R15" s="260">
        <v>28370.87</v>
      </c>
      <c r="S15" s="89">
        <f t="shared" si="7"/>
        <v>0.11112592135330536</v>
      </c>
      <c r="T15" s="130">
        <v>1626.75</v>
      </c>
      <c r="U15" s="9"/>
    </row>
    <row r="16" spans="1:24" ht="15.6" customHeight="1" x14ac:dyDescent="0.3">
      <c r="A16" s="198" t="s">
        <v>27</v>
      </c>
      <c r="B16" s="200">
        <f>'10 - 16 Jan 2022'!E16</f>
        <v>119757.44</v>
      </c>
      <c r="C16" s="73">
        <v>127667.08</v>
      </c>
      <c r="D16" s="145">
        <v>62660.29</v>
      </c>
      <c r="E16" s="269">
        <v>128284.99</v>
      </c>
      <c r="F16" s="145">
        <v>424397.6</v>
      </c>
      <c r="G16" s="163">
        <f t="shared" si="0"/>
        <v>4.8400104396529118E-3</v>
      </c>
      <c r="H16" s="155">
        <f t="shared" si="3"/>
        <v>1.0473092288592984</v>
      </c>
      <c r="I16" s="263">
        <f t="shared" si="4"/>
        <v>7.1206849445011544E-2</v>
      </c>
      <c r="J16" s="150">
        <v>486</v>
      </c>
      <c r="K16" s="63">
        <f t="shared" si="5"/>
        <v>263.96088477366254</v>
      </c>
      <c r="L16" s="61">
        <v>16</v>
      </c>
      <c r="M16" s="28">
        <f t="shared" si="1"/>
        <v>3.292181069958848E-2</v>
      </c>
      <c r="N16" s="46">
        <f>L16+'15 - 21 Nov'!L16+'22 - 28 Nov'!L16+'29 Nov - 5 Dec'!L16+'6 - 12 Dec'!L16+'13 - 19 Dec'!L16+'20 - 26 Dec'!L16+'27 Dec - 2 Jan 2022'!L16+'3 - 9 Jan 2022'!L16+'10 - 16 Jan 2022'!L16</f>
        <v>309</v>
      </c>
      <c r="O16" s="172">
        <f t="shared" si="2"/>
        <v>0.63580246913580252</v>
      </c>
      <c r="P16" s="260">
        <v>33256.74</v>
      </c>
      <c r="Q16" s="89">
        <f t="shared" si="6"/>
        <v>0.25924108502483412</v>
      </c>
      <c r="R16" s="260">
        <v>22645.26</v>
      </c>
      <c r="S16" s="89">
        <f t="shared" si="7"/>
        <v>0.17652306789749914</v>
      </c>
      <c r="T16" s="130">
        <v>4980</v>
      </c>
      <c r="U16" s="9"/>
      <c r="X16" s="238"/>
    </row>
    <row r="17" spans="1:21" ht="15.6" customHeight="1" x14ac:dyDescent="0.3">
      <c r="A17" s="198" t="s">
        <v>28</v>
      </c>
      <c r="B17" s="200">
        <f>'10 - 16 Jan 2022'!E17</f>
        <v>151945.85</v>
      </c>
      <c r="C17" s="73">
        <v>217452</v>
      </c>
      <c r="D17" s="145">
        <v>85253.73</v>
      </c>
      <c r="E17" s="269">
        <v>159089.54999999999</v>
      </c>
      <c r="F17" s="145">
        <v>505543.37</v>
      </c>
      <c r="G17" s="163">
        <f t="shared" si="0"/>
        <v>-0.26839233486010711</v>
      </c>
      <c r="H17" s="155">
        <f t="shared" si="3"/>
        <v>0.86607143171331036</v>
      </c>
      <c r="I17" s="263">
        <f t="shared" si="4"/>
        <v>4.7014775329500491E-2</v>
      </c>
      <c r="J17" s="150">
        <v>601</v>
      </c>
      <c r="K17" s="63">
        <f t="shared" si="5"/>
        <v>264.70806988352746</v>
      </c>
      <c r="L17" s="61">
        <v>57</v>
      </c>
      <c r="M17" s="28">
        <f t="shared" si="1"/>
        <v>9.4841930116472545E-2</v>
      </c>
      <c r="N17" s="46">
        <f>L17+'15 - 21 Nov'!L17+'22 - 28 Nov'!L17+'29 Nov - 5 Dec'!L17+'6 - 12 Dec'!L17+'13 - 19 Dec'!L17+'20 - 26 Dec'!L17+'27 Dec - 2 Jan 2022'!L17+'3 - 9 Jan 2022'!L17+'10 - 16 Jan 2022'!L17</f>
        <v>454</v>
      </c>
      <c r="O17" s="172">
        <f t="shared" si="2"/>
        <v>0.75540765391014975</v>
      </c>
      <c r="P17" s="260">
        <v>23104.23</v>
      </c>
      <c r="Q17" s="89">
        <f t="shared" si="6"/>
        <v>0.14522782923202687</v>
      </c>
      <c r="R17" s="260">
        <v>19611.7</v>
      </c>
      <c r="S17" s="89">
        <f t="shared" si="7"/>
        <v>0.12327459597440563</v>
      </c>
      <c r="T17" s="130">
        <v>5952</v>
      </c>
      <c r="U17" s="9"/>
    </row>
    <row r="18" spans="1:21" ht="15.6" customHeight="1" x14ac:dyDescent="0.3">
      <c r="A18" s="198" t="s">
        <v>33</v>
      </c>
      <c r="B18" s="200">
        <f>'10 - 16 Jan 2022'!E18</f>
        <v>159101.62</v>
      </c>
      <c r="C18" s="73">
        <v>198718.15</v>
      </c>
      <c r="D18" s="73">
        <v>102837.09</v>
      </c>
      <c r="E18" s="269">
        <v>149114.31</v>
      </c>
      <c r="F18" s="145">
        <v>513668.81</v>
      </c>
      <c r="G18" s="163">
        <f t="shared" si="0"/>
        <v>-0.24961907103100547</v>
      </c>
      <c r="H18" s="155">
        <f t="shared" si="3"/>
        <v>0.45000514892049165</v>
      </c>
      <c r="I18" s="263">
        <f t="shared" si="4"/>
        <v>-6.2773150895635121E-2</v>
      </c>
      <c r="J18" s="150">
        <v>579</v>
      </c>
      <c r="K18" s="63">
        <f t="shared" si="5"/>
        <v>257.53766839378238</v>
      </c>
      <c r="L18" s="61">
        <v>89</v>
      </c>
      <c r="M18" s="28">
        <f t="shared" si="1"/>
        <v>0.153713298791019</v>
      </c>
      <c r="N18" s="46">
        <f>L18+'15 - 21 Nov'!L18+'22 - 28 Nov'!L18+'29 Nov - 5 Dec'!L18+'6 - 12 Dec'!L18+'13 - 19 Dec'!L18+'20 - 26 Dec'!L18+'27 Dec - 2 Jan 2022'!L18+'3 - 9 Jan 2022'!L18+'10 - 16 Jan 2022'!L18</f>
        <v>873</v>
      </c>
      <c r="O18" s="172">
        <f t="shared" si="2"/>
        <v>1.5077720207253886</v>
      </c>
      <c r="P18" s="260">
        <v>28179.83</v>
      </c>
      <c r="Q18" s="89">
        <f t="shared" si="6"/>
        <v>0.18898139286564786</v>
      </c>
      <c r="R18" s="260">
        <v>13201.61</v>
      </c>
      <c r="S18" s="89">
        <f t="shared" si="7"/>
        <v>8.8533488167567564E-2</v>
      </c>
      <c r="T18" s="130">
        <v>5707.5</v>
      </c>
      <c r="U18" s="9"/>
    </row>
    <row r="19" spans="1:21" ht="16.2" hidden="1" customHeight="1" thickBot="1" x14ac:dyDescent="0.35">
      <c r="A19" s="203" t="s">
        <v>37</v>
      </c>
      <c r="B19" s="200">
        <f>'1 - 7 Nov'!E19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43" priority="14" operator="equal">
      <formula>0</formula>
    </cfRule>
  </conditionalFormatting>
  <conditionalFormatting sqref="D7:F19">
    <cfRule type="cellIs" dxfId="242" priority="1" operator="equal">
      <formula>0</formula>
    </cfRule>
  </conditionalFormatting>
  <conditionalFormatting sqref="G6:T19">
    <cfRule type="cellIs" dxfId="241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X41"/>
  <sheetViews>
    <sheetView zoomScale="70" zoomScaleNormal="70" workbookViewId="0">
      <pane xSplit="1" topLeftCell="B1" activePane="topRight" state="frozen"/>
      <selection pane="topRight" activeCell="C8" sqref="C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-6.2021918341742373E-2</v>
      </c>
      <c r="H2" s="413"/>
      <c r="I2" s="400">
        <f>(((E4-E19-B19)-B4)/E4)</f>
        <v>0.10474783702847627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1717953.7800000003</v>
      </c>
      <c r="C4" s="135">
        <f>SUM(C6:C19)-C14-C19-C10-C9</f>
        <v>2045848.2000000002</v>
      </c>
      <c r="D4" s="142">
        <f>SUM(D6:D19)-D19-D10-D9</f>
        <v>1019387.1799999999</v>
      </c>
      <c r="E4" s="270">
        <f>SUM(E6:E19)-E19-E10-E9</f>
        <v>1918960.7699999996</v>
      </c>
      <c r="F4" s="142">
        <f>SUM(F6:F19)-F19-F10-F9</f>
        <v>8528408.7999999989</v>
      </c>
      <c r="G4" s="217">
        <f t="shared" ref="G4:G19" si="0">IFERROR((SUM(E4-C4)/C4),0)</f>
        <v>-6.2021918341742373E-2</v>
      </c>
      <c r="H4" s="217">
        <f>IFERROR((SUM(E4-D4)/D4),0)</f>
        <v>0.88246508063795703</v>
      </c>
      <c r="I4" s="217">
        <f>IFERROR((SUM(E4-B4)/E4),0)</f>
        <v>0.10474783702847627</v>
      </c>
      <c r="J4" s="262">
        <f>SUM(J6:J18)</f>
        <v>7422</v>
      </c>
      <c r="K4" s="218">
        <f>AVERAGE(K5:K19)</f>
        <v>221.72400788210408</v>
      </c>
      <c r="L4" s="219">
        <f>SUM(L6:L19)</f>
        <v>592</v>
      </c>
      <c r="M4" s="220">
        <f t="shared" ref="M4:M19" si="1">IFERROR(L4/J4,0)</f>
        <v>7.9762867151711131E-2</v>
      </c>
      <c r="N4" s="221">
        <f>SUM(N6:N19)</f>
        <v>6157</v>
      </c>
      <c r="O4" s="222">
        <f t="shared" ref="O4:O19" si="2">IFERROR(N4/SUM(J4),0)</f>
        <v>0.82956076529237399</v>
      </c>
      <c r="P4" s="249">
        <f>SUM(P6:P19)</f>
        <v>389900.01</v>
      </c>
      <c r="Q4" s="222">
        <f>SUM(P4/E4)</f>
        <v>0.20318289779316337</v>
      </c>
      <c r="R4" s="244">
        <f>SUM(R6:R19)</f>
        <v>220093.96</v>
      </c>
      <c r="S4" s="222">
        <f>SUM(R4/E4)</f>
        <v>0.11469435094288043</v>
      </c>
      <c r="T4" s="257">
        <f>SUM(T6:T19)</f>
        <v>82212.409999999989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'17 - 23 Jan 2022'!E6</f>
        <v>214627.76</v>
      </c>
      <c r="C6" s="255">
        <v>253886.48</v>
      </c>
      <c r="D6" s="197">
        <v>126561.93</v>
      </c>
      <c r="E6" s="268">
        <v>219896.15</v>
      </c>
      <c r="F6" s="123">
        <v>964684.3</v>
      </c>
      <c r="G6" s="162">
        <f t="shared" si="0"/>
        <v>-0.1338800317370189</v>
      </c>
      <c r="H6" s="154">
        <f t="shared" ref="H6:H18" si="3">IFERROR((SUM(E6-D6)/D6),0)</f>
        <v>0.73745888672841831</v>
      </c>
      <c r="I6" s="266">
        <f t="shared" ref="I6:I19" si="4">IFERROR((SUM(E6-B6)/B6),0)</f>
        <v>2.4546638328611287E-2</v>
      </c>
      <c r="J6" s="149">
        <v>709</v>
      </c>
      <c r="K6" s="63">
        <f t="shared" ref="K6:K19" si="5">IFERROR(E6/J6,0)</f>
        <v>310.14971791255289</v>
      </c>
      <c r="L6" s="125">
        <v>54</v>
      </c>
      <c r="M6" s="126">
        <f t="shared" si="1"/>
        <v>7.6163610719322997E-2</v>
      </c>
      <c r="N6" s="46">
        <f>L6+'15 - 21 Nov'!L6+'22 - 28 Nov'!L6+'29 Nov - 5 Dec'!L6+'6 - 12 Dec'!L6+'13 - 19 Dec'!L6+'20 - 26 Dec'!L6+'27 Dec - 2 Jan 2022'!L6+'3 - 9 Jan 2022'!L6+'10 - 16 Jan 2022'!L6+'17 - 23 Jan 2022'!L6</f>
        <v>547</v>
      </c>
      <c r="O6" s="171">
        <f t="shared" si="2"/>
        <v>0.77150916784203105</v>
      </c>
      <c r="P6" s="259">
        <v>38126.089999999997</v>
      </c>
      <c r="Q6" s="128">
        <f t="shared" ref="Q6:Q19" si="6">SUM(P6/E6)</f>
        <v>0.17338225339552329</v>
      </c>
      <c r="R6" s="260">
        <v>8846.48</v>
      </c>
      <c r="S6" s="128">
        <f t="shared" ref="S6:S19" si="7">SUM(R6/E6)</f>
        <v>4.0230263240170414E-2</v>
      </c>
      <c r="T6" s="129">
        <v>7884.9</v>
      </c>
      <c r="U6" s="26"/>
    </row>
    <row r="7" spans="1:24" ht="15.6" customHeight="1" x14ac:dyDescent="0.3">
      <c r="A7" s="409" t="s">
        <v>16</v>
      </c>
      <c r="B7" s="200">
        <f>'17 - 23 Jan 2022'!E7</f>
        <v>180915.8</v>
      </c>
      <c r="C7" s="73">
        <v>219670.06</v>
      </c>
      <c r="D7" s="145">
        <v>93776.87</v>
      </c>
      <c r="E7" s="269">
        <v>219465.41</v>
      </c>
      <c r="F7" s="145">
        <v>888887.37</v>
      </c>
      <c r="G7" s="163">
        <f t="shared" si="0"/>
        <v>-9.3162445533084566E-4</v>
      </c>
      <c r="H7" s="155">
        <f t="shared" si="3"/>
        <v>1.340293613979652</v>
      </c>
      <c r="I7" s="263">
        <f t="shared" si="4"/>
        <v>0.21308039430497511</v>
      </c>
      <c r="J7" s="150">
        <v>780</v>
      </c>
      <c r="K7" s="63">
        <f t="shared" si="5"/>
        <v>281.36591025641025</v>
      </c>
      <c r="L7" s="61">
        <v>56</v>
      </c>
      <c r="M7" s="28">
        <f t="shared" si="1"/>
        <v>7.179487179487179E-2</v>
      </c>
      <c r="N7" s="46">
        <f>L7+'15 - 21 Nov'!L7+'22 - 28 Nov'!L7+'29 Nov - 5 Dec'!L7+'6 - 12 Dec'!L7+'13 - 19 Dec'!L7+'20 - 26 Dec'!L7+'27 Dec - 2 Jan 2022'!L7+'3 - 9 Jan 2022'!L7+'10 - 16 Jan 2022'!L7+'17 - 23 Jan 2022'!L7</f>
        <v>602</v>
      </c>
      <c r="O7" s="172">
        <f t="shared" si="2"/>
        <v>0.77179487179487183</v>
      </c>
      <c r="P7" s="260">
        <v>32979.040000000001</v>
      </c>
      <c r="Q7" s="89">
        <f t="shared" si="6"/>
        <v>0.15026987624154531</v>
      </c>
      <c r="R7" s="260">
        <v>21185.22</v>
      </c>
      <c r="S7" s="89">
        <f t="shared" si="7"/>
        <v>9.653102053758722E-2</v>
      </c>
      <c r="T7" s="130">
        <v>16567.48</v>
      </c>
      <c r="U7" s="26"/>
    </row>
    <row r="8" spans="1:24" ht="15.6" customHeight="1" x14ac:dyDescent="0.3">
      <c r="A8" s="409" t="s">
        <v>17</v>
      </c>
      <c r="B8" s="200">
        <f>'17 - 23 Jan 2022'!E8</f>
        <v>112994.77</v>
      </c>
      <c r="C8" s="73">
        <v>108989.56</v>
      </c>
      <c r="D8" s="145">
        <v>57360.480000000003</v>
      </c>
      <c r="E8" s="269">
        <v>115980.35</v>
      </c>
      <c r="F8" s="145">
        <v>486233.1</v>
      </c>
      <c r="G8" s="163">
        <f t="shared" si="0"/>
        <v>6.4141831566252847E-2</v>
      </c>
      <c r="H8" s="155">
        <f t="shared" si="3"/>
        <v>1.0219557088783078</v>
      </c>
      <c r="I8" s="263">
        <f t="shared" si="4"/>
        <v>2.6422284854422922E-2</v>
      </c>
      <c r="J8" s="150">
        <v>474</v>
      </c>
      <c r="K8" s="63">
        <f t="shared" si="5"/>
        <v>244.68428270042196</v>
      </c>
      <c r="L8" s="61">
        <v>22</v>
      </c>
      <c r="M8" s="28">
        <f t="shared" si="1"/>
        <v>4.6413502109704644E-2</v>
      </c>
      <c r="N8" s="46">
        <f>L8+'15 - 21 Nov'!L8+'22 - 28 Nov'!L8+'29 Nov - 5 Dec'!L8+'6 - 12 Dec'!L8+'13 - 19 Dec'!L8+'20 - 26 Dec'!L8+'27 Dec - 2 Jan 2022'!L8+'3 - 9 Jan 2022'!L8+'10 - 16 Jan 2022'!L8+'17 - 23 Jan 2022'!L8</f>
        <v>230</v>
      </c>
      <c r="O8" s="172">
        <f t="shared" si="2"/>
        <v>0.48523206751054854</v>
      </c>
      <c r="P8" s="260">
        <v>51640.1</v>
      </c>
      <c r="Q8" s="89">
        <f t="shared" si="6"/>
        <v>0.44524869945641649</v>
      </c>
      <c r="R8" s="260">
        <v>12277.39</v>
      </c>
      <c r="S8" s="89">
        <f t="shared" si="7"/>
        <v>0.10585750086113724</v>
      </c>
      <c r="T8" s="130">
        <v>3106.4</v>
      </c>
      <c r="U8" s="26"/>
    </row>
    <row r="9" spans="1:24" ht="15.6" customHeight="1" x14ac:dyDescent="0.3">
      <c r="A9" s="409" t="s">
        <v>18</v>
      </c>
      <c r="B9" s="200">
        <f>'17 - 23 Jan 2022'!E9</f>
        <v>0</v>
      </c>
      <c r="C9" s="73">
        <v>304035.96000000002</v>
      </c>
      <c r="D9" s="145">
        <v>126300.8</v>
      </c>
      <c r="E9" s="269">
        <v>0</v>
      </c>
      <c r="F9" s="145">
        <v>0</v>
      </c>
      <c r="G9" s="163">
        <f t="shared" si="0"/>
        <v>-1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'17 - 23 Jan 2022'!E10</f>
        <v>136016.39000000001</v>
      </c>
      <c r="C10" s="73">
        <v>157219.01</v>
      </c>
      <c r="D10" s="145">
        <v>84843.93</v>
      </c>
      <c r="E10" s="269">
        <v>177078.57</v>
      </c>
      <c r="F10" s="145">
        <v>648509.56999999995</v>
      </c>
      <c r="G10" s="163">
        <f t="shared" si="0"/>
        <v>0.12631780342593429</v>
      </c>
      <c r="H10" s="155">
        <f t="shared" si="3"/>
        <v>1.0871094726517267</v>
      </c>
      <c r="I10" s="263">
        <f t="shared" si="4"/>
        <v>0.30189141176294998</v>
      </c>
      <c r="J10" s="150">
        <v>564</v>
      </c>
      <c r="K10" s="63">
        <f t="shared" si="5"/>
        <v>313.96909574468089</v>
      </c>
      <c r="L10" s="61">
        <v>40</v>
      </c>
      <c r="M10" s="28">
        <f t="shared" si="1"/>
        <v>7.0921985815602842E-2</v>
      </c>
      <c r="N10" s="46">
        <f>L10+'15 - 21 Nov'!L10+'22 - 28 Nov'!L10+'29 Nov - 5 Dec'!L10+'6 - 12 Dec'!L10+'13 - 19 Dec'!L10+'20 - 26 Dec'!L10+'27 Dec - 2 Jan 2022'!L10+'3 - 9 Jan 2022'!L10+'10 - 16 Jan 2022'!L10+'17 - 23 Jan 2022'!L10</f>
        <v>424</v>
      </c>
      <c r="O10" s="172">
        <f t="shared" si="2"/>
        <v>0.75177304964539005</v>
      </c>
      <c r="P10" s="260">
        <v>57301.65</v>
      </c>
      <c r="Q10" s="89">
        <f t="shared" si="6"/>
        <v>0.32359449254644423</v>
      </c>
      <c r="R10" s="260">
        <v>9142.57</v>
      </c>
      <c r="S10" s="89">
        <f t="shared" si="7"/>
        <v>5.1630019375015282E-2</v>
      </c>
      <c r="T10" s="130">
        <v>7045.63</v>
      </c>
      <c r="U10" s="26"/>
    </row>
    <row r="11" spans="1:24" ht="15.6" customHeight="1" x14ac:dyDescent="0.3">
      <c r="A11" s="409" t="s">
        <v>21</v>
      </c>
      <c r="B11" s="200">
        <f>'17 - 23 Jan 2022'!E11</f>
        <v>228306.74</v>
      </c>
      <c r="C11" s="73">
        <v>317481.25</v>
      </c>
      <c r="D11" s="145">
        <v>166326.35999999999</v>
      </c>
      <c r="E11" s="269">
        <v>251779.71</v>
      </c>
      <c r="F11" s="145">
        <v>973122.16</v>
      </c>
      <c r="G11" s="163">
        <f t="shared" si="0"/>
        <v>-0.20694620548457587</v>
      </c>
      <c r="H11" s="155">
        <f t="shared" si="3"/>
        <v>0.5137691343693207</v>
      </c>
      <c r="I11" s="263">
        <f t="shared" si="4"/>
        <v>0.10281330283985485</v>
      </c>
      <c r="J11" s="150">
        <v>891</v>
      </c>
      <c r="K11" s="63">
        <f t="shared" si="5"/>
        <v>282.58104377104377</v>
      </c>
      <c r="L11" s="61">
        <v>87</v>
      </c>
      <c r="M11" s="28">
        <f t="shared" si="1"/>
        <v>9.7643097643097643E-2</v>
      </c>
      <c r="N11" s="46">
        <f>L11+'15 - 21 Nov'!L11+'22 - 28 Nov'!L11+'29 Nov - 5 Dec'!L11+'6 - 12 Dec'!L11+'13 - 19 Dec'!L11+'20 - 26 Dec'!L11+'27 Dec - 2 Jan 2022'!L11+'3 - 9 Jan 2022'!L11+'10 - 16 Jan 2022'!L11+'17 - 23 Jan 2022'!L11</f>
        <v>872</v>
      </c>
      <c r="O11" s="172">
        <f t="shared" si="2"/>
        <v>0.978675645342312</v>
      </c>
      <c r="P11" s="260">
        <v>53592.77</v>
      </c>
      <c r="Q11" s="89">
        <f t="shared" si="6"/>
        <v>0.21285579366184829</v>
      </c>
      <c r="R11" s="260">
        <v>23138.06</v>
      </c>
      <c r="S11" s="89">
        <f t="shared" si="7"/>
        <v>9.1898032609537925E-2</v>
      </c>
      <c r="T11" s="130">
        <v>12938.1</v>
      </c>
      <c r="U11" s="26"/>
    </row>
    <row r="12" spans="1:24" ht="15.6" customHeight="1" x14ac:dyDescent="0.3">
      <c r="A12" s="198" t="s">
        <v>22</v>
      </c>
      <c r="B12" s="200">
        <f>'17 - 23 Jan 2022'!E12</f>
        <v>101802.88</v>
      </c>
      <c r="C12" s="73">
        <v>171217.16</v>
      </c>
      <c r="D12" s="145">
        <v>69138.12</v>
      </c>
      <c r="E12" s="269">
        <v>148338.9</v>
      </c>
      <c r="F12" s="145">
        <v>525059.94999999995</v>
      </c>
      <c r="G12" s="163">
        <f t="shared" si="0"/>
        <v>-0.13362130291146057</v>
      </c>
      <c r="H12" s="155">
        <f t="shared" si="3"/>
        <v>1.1455443104325083</v>
      </c>
      <c r="I12" s="263">
        <f t="shared" si="4"/>
        <v>0.45711889486820007</v>
      </c>
      <c r="J12" s="150">
        <v>471</v>
      </c>
      <c r="K12" s="63">
        <f t="shared" si="5"/>
        <v>314.94458598726112</v>
      </c>
      <c r="L12" s="61">
        <v>60</v>
      </c>
      <c r="M12" s="28">
        <f t="shared" si="1"/>
        <v>0.12738853503184713</v>
      </c>
      <c r="N12" s="46">
        <f>L12+'15 - 21 Nov'!L12+'22 - 28 Nov'!L12+'29 Nov - 5 Dec'!L12+'6 - 12 Dec'!L12+'13 - 19 Dec'!L12+'20 - 26 Dec'!L12+'27 Dec - 2 Jan 2022'!L12+'3 - 9 Jan 2022'!L12+'10 - 16 Jan 2022'!L12+'17 - 23 Jan 2022'!L12</f>
        <v>563</v>
      </c>
      <c r="O12" s="172">
        <f t="shared" si="2"/>
        <v>1.1953290870488322</v>
      </c>
      <c r="P12" s="260">
        <v>22469.24</v>
      </c>
      <c r="Q12" s="89">
        <f t="shared" si="6"/>
        <v>0.151472338004394</v>
      </c>
      <c r="R12" s="260">
        <v>16084.25</v>
      </c>
      <c r="S12" s="89">
        <f t="shared" si="7"/>
        <v>0.10842907693127023</v>
      </c>
      <c r="T12" s="130">
        <v>7446</v>
      </c>
      <c r="U12" s="26"/>
    </row>
    <row r="13" spans="1:24" ht="15.6" customHeight="1" x14ac:dyDescent="0.3">
      <c r="A13" s="198" t="s">
        <v>23</v>
      </c>
      <c r="B13" s="200">
        <f>'17 - 23 Jan 2022'!E13</f>
        <v>187513.18</v>
      </c>
      <c r="C13" s="73">
        <v>252185.47</v>
      </c>
      <c r="D13" s="145">
        <v>132147.5</v>
      </c>
      <c r="E13" s="269">
        <v>227518.52</v>
      </c>
      <c r="F13" s="145">
        <v>848846.72</v>
      </c>
      <c r="G13" s="163">
        <f t="shared" si="0"/>
        <v>-9.7812732827153012E-2</v>
      </c>
      <c r="H13" s="155">
        <f t="shared" si="3"/>
        <v>0.72170128076581086</v>
      </c>
      <c r="I13" s="263">
        <f t="shared" si="4"/>
        <v>0.21334681647444728</v>
      </c>
      <c r="J13" s="150">
        <v>825</v>
      </c>
      <c r="K13" s="63">
        <f t="shared" si="5"/>
        <v>275.78002424242425</v>
      </c>
      <c r="L13" s="61">
        <v>69</v>
      </c>
      <c r="M13" s="28">
        <f t="shared" si="1"/>
        <v>8.3636363636363634E-2</v>
      </c>
      <c r="N13" s="46">
        <f>L13+'15 - 21 Nov'!L13+'22 - 28 Nov'!L13+'29 Nov - 5 Dec'!L13+'6 - 12 Dec'!L13+'13 - 19 Dec'!L13+'20 - 26 Dec'!L13+'27 Dec - 2 Jan 2022'!L13+'3 - 9 Jan 2022'!L13+'10 - 16 Jan 2022'!L13+'17 - 23 Jan 2022'!L13</f>
        <v>797</v>
      </c>
      <c r="O13" s="172">
        <f t="shared" si="2"/>
        <v>0.96606060606060606</v>
      </c>
      <c r="P13" s="260">
        <v>42299.83</v>
      </c>
      <c r="Q13" s="89">
        <f t="shared" si="6"/>
        <v>0.18591818371533009</v>
      </c>
      <c r="R13" s="260">
        <v>32679.74</v>
      </c>
      <c r="S13" s="89">
        <f t="shared" si="7"/>
        <v>0.14363551591316612</v>
      </c>
      <c r="T13" s="130">
        <v>9124</v>
      </c>
      <c r="U13" s="26"/>
    </row>
    <row r="14" spans="1:24" ht="15.6" hidden="1" customHeight="1" x14ac:dyDescent="0.3">
      <c r="A14" s="198" t="s">
        <v>24</v>
      </c>
      <c r="B14" s="200">
        <f>'17 - 23 Jan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'17 - 23 Jan 2022'!E15</f>
        <v>255303.8</v>
      </c>
      <c r="C15" s="73">
        <v>177284.39</v>
      </c>
      <c r="D15" s="145">
        <v>102350.02</v>
      </c>
      <c r="E15" s="269">
        <v>240544.36</v>
      </c>
      <c r="F15" s="145">
        <v>1902528.05</v>
      </c>
      <c r="G15" s="163">
        <f t="shared" si="0"/>
        <v>0.35682763722175409</v>
      </c>
      <c r="H15" s="155">
        <f t="shared" si="3"/>
        <v>1.3502131215997804</v>
      </c>
      <c r="I15" s="263">
        <f t="shared" si="4"/>
        <v>-5.7811282088241552E-2</v>
      </c>
      <c r="J15" s="150">
        <v>822</v>
      </c>
      <c r="K15" s="63">
        <f t="shared" si="5"/>
        <v>292.63304136253038</v>
      </c>
      <c r="L15" s="61">
        <v>54</v>
      </c>
      <c r="M15" s="28">
        <f t="shared" si="1"/>
        <v>6.569343065693431E-2</v>
      </c>
      <c r="N15" s="46">
        <f>L15+'15 - 21 Nov'!L15+'22 - 28 Nov'!L15+'29 Nov - 5 Dec'!L15+'6 - 12 Dec'!L15+'13 - 19 Dec'!L15+'20 - 26 Dec'!L15+'27 Dec - 2 Jan 2022'!L15+'3 - 9 Jan 2022'!L15+'10 - 16 Jan 2022'!L15+'17 - 23 Jan 2022'!L15</f>
        <v>336</v>
      </c>
      <c r="O15" s="172">
        <f t="shared" si="2"/>
        <v>0.40875912408759124</v>
      </c>
      <c r="P15" s="260">
        <v>0</v>
      </c>
      <c r="Q15" s="89">
        <f t="shared" si="6"/>
        <v>0</v>
      </c>
      <c r="R15" s="260">
        <v>18903.91</v>
      </c>
      <c r="S15" s="89">
        <f t="shared" si="7"/>
        <v>7.8588040891916983E-2</v>
      </c>
      <c r="T15" s="130">
        <v>1846.4</v>
      </c>
      <c r="U15" s="9"/>
    </row>
    <row r="16" spans="1:24" ht="15.6" customHeight="1" x14ac:dyDescent="0.3">
      <c r="A16" s="198" t="s">
        <v>27</v>
      </c>
      <c r="B16" s="200">
        <f>'17 - 23 Jan 2022'!E16</f>
        <v>128284.99</v>
      </c>
      <c r="C16" s="73">
        <v>129067.81</v>
      </c>
      <c r="D16" s="145">
        <v>69979.259999999995</v>
      </c>
      <c r="E16" s="269">
        <v>144588.24</v>
      </c>
      <c r="F16" s="145">
        <v>568985.84</v>
      </c>
      <c r="G16" s="163">
        <f t="shared" si="0"/>
        <v>0.120250200262947</v>
      </c>
      <c r="H16" s="155">
        <f t="shared" si="3"/>
        <v>1.0661584589491229</v>
      </c>
      <c r="I16" s="263">
        <f t="shared" si="4"/>
        <v>0.12708618521933068</v>
      </c>
      <c r="J16" s="150">
        <v>550</v>
      </c>
      <c r="K16" s="63">
        <f t="shared" si="5"/>
        <v>262.88770909090908</v>
      </c>
      <c r="L16" s="61">
        <v>21</v>
      </c>
      <c r="M16" s="28">
        <f t="shared" si="1"/>
        <v>3.8181818181818185E-2</v>
      </c>
      <c r="N16" s="46">
        <f>L16+'15 - 21 Nov'!L16+'22 - 28 Nov'!L16+'29 Nov - 5 Dec'!L16+'6 - 12 Dec'!L16+'13 - 19 Dec'!L16+'20 - 26 Dec'!L16+'27 Dec - 2 Jan 2022'!L16+'3 - 9 Jan 2022'!L16+'10 - 16 Jan 2022'!L16+'17 - 23 Jan 2022'!L16</f>
        <v>330</v>
      </c>
      <c r="O16" s="172">
        <f t="shared" si="2"/>
        <v>0.6</v>
      </c>
      <c r="P16" s="260">
        <v>33468.33</v>
      </c>
      <c r="Q16" s="89">
        <f t="shared" si="6"/>
        <v>0.23147338953707441</v>
      </c>
      <c r="R16" s="260">
        <v>28251.26</v>
      </c>
      <c r="S16" s="89">
        <f t="shared" si="7"/>
        <v>0.19539113277815678</v>
      </c>
      <c r="T16" s="130">
        <v>5621.5</v>
      </c>
      <c r="U16" s="9"/>
      <c r="X16" s="238"/>
    </row>
    <row r="17" spans="1:21" ht="15.6" customHeight="1" x14ac:dyDescent="0.3">
      <c r="A17" s="198" t="s">
        <v>28</v>
      </c>
      <c r="B17" s="200">
        <f>'17 - 23 Jan 2022'!E17</f>
        <v>159089.54999999999</v>
      </c>
      <c r="C17" s="73">
        <v>226675.96</v>
      </c>
      <c r="D17" s="145">
        <v>98293.32</v>
      </c>
      <c r="E17" s="269">
        <v>184402.37</v>
      </c>
      <c r="F17" s="145">
        <v>689945.74</v>
      </c>
      <c r="G17" s="163">
        <f t="shared" si="0"/>
        <v>-0.18649348612001024</v>
      </c>
      <c r="H17" s="155">
        <f t="shared" si="3"/>
        <v>0.87604172898015842</v>
      </c>
      <c r="I17" s="263">
        <f t="shared" si="4"/>
        <v>0.15911051354410147</v>
      </c>
      <c r="J17" s="150">
        <v>700</v>
      </c>
      <c r="K17" s="63">
        <f t="shared" si="5"/>
        <v>263.43195714285713</v>
      </c>
      <c r="L17" s="61">
        <v>45</v>
      </c>
      <c r="M17" s="28">
        <f t="shared" si="1"/>
        <v>6.4285714285714279E-2</v>
      </c>
      <c r="N17" s="46">
        <f>L17+'15 - 21 Nov'!L17+'22 - 28 Nov'!L17+'29 Nov - 5 Dec'!L17+'6 - 12 Dec'!L17+'13 - 19 Dec'!L17+'20 - 26 Dec'!L17+'27 Dec - 2 Jan 2022'!L17+'3 - 9 Jan 2022'!L17+'10 - 16 Jan 2022'!L17+'17 - 23 Jan 2022'!L17</f>
        <v>499</v>
      </c>
      <c r="O17" s="172">
        <f t="shared" si="2"/>
        <v>0.71285714285714286</v>
      </c>
      <c r="P17" s="260">
        <v>28593</v>
      </c>
      <c r="Q17" s="89">
        <f t="shared" si="6"/>
        <v>0.15505766005068156</v>
      </c>
      <c r="R17" s="260">
        <v>28371.65</v>
      </c>
      <c r="S17" s="89">
        <f t="shared" si="7"/>
        <v>0.15385729586881125</v>
      </c>
      <c r="T17" s="130">
        <v>6328.5</v>
      </c>
      <c r="U17" s="9"/>
    </row>
    <row r="18" spans="1:21" ht="15.6" customHeight="1" x14ac:dyDescent="0.3">
      <c r="A18" s="198" t="s">
        <v>33</v>
      </c>
      <c r="B18" s="200">
        <f>'17 - 23 Jan 2022'!E18</f>
        <v>149114.31</v>
      </c>
      <c r="C18" s="73">
        <v>189390.06</v>
      </c>
      <c r="D18" s="73">
        <v>103453.32</v>
      </c>
      <c r="E18" s="269">
        <v>166446.76</v>
      </c>
      <c r="F18" s="145">
        <v>680115.57</v>
      </c>
      <c r="G18" s="163">
        <f t="shared" si="0"/>
        <v>-0.12114310539845644</v>
      </c>
      <c r="H18" s="155">
        <f t="shared" si="3"/>
        <v>0.60890689636639983</v>
      </c>
      <c r="I18" s="263">
        <f t="shared" si="4"/>
        <v>0.11623599371515726</v>
      </c>
      <c r="J18" s="150">
        <v>636</v>
      </c>
      <c r="K18" s="63">
        <f t="shared" si="5"/>
        <v>261.70874213836481</v>
      </c>
      <c r="L18" s="61">
        <v>84</v>
      </c>
      <c r="M18" s="28">
        <f t="shared" si="1"/>
        <v>0.13207547169811321</v>
      </c>
      <c r="N18" s="46">
        <f>L18+'15 - 21 Nov'!L18+'22 - 28 Nov'!L18+'29 Nov - 5 Dec'!L18+'6 - 12 Dec'!L18+'13 - 19 Dec'!L18+'20 - 26 Dec'!L18+'27 Dec - 2 Jan 2022'!L18+'3 - 9 Jan 2022'!L18+'10 - 16 Jan 2022'!L18+'17 - 23 Jan 2022'!L18</f>
        <v>957</v>
      </c>
      <c r="O18" s="172">
        <f t="shared" si="2"/>
        <v>1.5047169811320755</v>
      </c>
      <c r="P18" s="260">
        <v>29429.96</v>
      </c>
      <c r="Q18" s="89">
        <f t="shared" si="6"/>
        <v>0.17681305421625507</v>
      </c>
      <c r="R18" s="260">
        <v>21213.43</v>
      </c>
      <c r="S18" s="89">
        <f t="shared" si="7"/>
        <v>0.12744874096678122</v>
      </c>
      <c r="T18" s="130">
        <v>4303.5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40" priority="14" operator="equal">
      <formula>0</formula>
    </cfRule>
  </conditionalFormatting>
  <conditionalFormatting sqref="D7:F19">
    <cfRule type="cellIs" dxfId="239" priority="1" operator="equal">
      <formula>0</formula>
    </cfRule>
  </conditionalFormatting>
  <conditionalFormatting sqref="G6:T19">
    <cfRule type="cellIs" dxfId="238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2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-6.9694806291901879E-3</v>
      </c>
      <c r="H2" s="413"/>
      <c r="I2" s="400">
        <f>(((E4-E19-B19)-B4)/E4)</f>
        <v>-1.4446499828726993E-2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12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1918960.7699999996</v>
      </c>
      <c r="C4" s="135">
        <f>SUM(C6:C19)-C14-C19-C10-C9</f>
        <v>1904909.5200000003</v>
      </c>
      <c r="D4" s="142">
        <f>SUM(D6:D19)-D19-D10-D9</f>
        <v>1482153.93</v>
      </c>
      <c r="E4" s="270">
        <f>SUM(E6:E19)-E19-E10-E9</f>
        <v>1891633.2900000003</v>
      </c>
      <c r="F4" s="142">
        <f>SUM(F6:F19)-F19-F10-F9</f>
        <v>1723234.9700000002</v>
      </c>
      <c r="G4" s="217">
        <f t="shared" ref="G4:G19" si="0">IFERROR((SUM(E4-C4)/C4),0)</f>
        <v>-6.9694806291901879E-3</v>
      </c>
      <c r="H4" s="217">
        <f>IFERROR((SUM(E4-D4)/D4),0)</f>
        <v>0.2762731668498159</v>
      </c>
      <c r="I4" s="217">
        <f>IFERROR((SUM(E4-B4)/E4),0)</f>
        <v>-1.4446499828726993E-2</v>
      </c>
      <c r="J4" s="262">
        <f>SUM(J6:J18)</f>
        <v>7372</v>
      </c>
      <c r="K4" s="218">
        <f>AVERAGE(K5:K19)</f>
        <v>218.08027137059275</v>
      </c>
      <c r="L4" s="219">
        <f>SUM(L6:L19)</f>
        <v>602</v>
      </c>
      <c r="M4" s="220">
        <f t="shared" ref="M4:M19" si="1">IFERROR(L4/J4,0)</f>
        <v>8.1660336408030387E-2</v>
      </c>
      <c r="N4" s="221">
        <f>SUM(N6:N19)</f>
        <v>6759</v>
      </c>
      <c r="O4" s="222">
        <f t="shared" ref="O4:O19" si="2">IFERROR(N4/SUM(J4),0)</f>
        <v>0.91684753119913187</v>
      </c>
      <c r="P4" s="249">
        <f>SUM(P6:P19)</f>
        <v>371106.12</v>
      </c>
      <c r="Q4" s="222">
        <f>SUM(P4/E4)</f>
        <v>0.19618290815763764</v>
      </c>
      <c r="R4" s="244">
        <f>SUM(R6:R19)</f>
        <v>213057.30000000005</v>
      </c>
      <c r="S4" s="222">
        <f>SUM(R4/E4)</f>
        <v>0.11263139696595212</v>
      </c>
      <c r="T4" s="257">
        <f>SUM(T6:T19)</f>
        <v>68027.900000000009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'24 - 30 Jan 2022'!E6</f>
        <v>219896.15</v>
      </c>
      <c r="C6" s="255">
        <v>237293.22</v>
      </c>
      <c r="D6" s="197">
        <v>174135.04000000001</v>
      </c>
      <c r="E6" s="268">
        <v>238606.29</v>
      </c>
      <c r="F6" s="123">
        <v>219348.22</v>
      </c>
      <c r="G6" s="162">
        <f t="shared" si="0"/>
        <v>5.5335335750427549E-3</v>
      </c>
      <c r="H6" s="154">
        <f t="shared" ref="H6:H18" si="3">IFERROR((SUM(E6-D6)/D6),0)</f>
        <v>0.37023708726285071</v>
      </c>
      <c r="I6" s="266">
        <f t="shared" ref="I6:I19" si="4">IFERROR((SUM(E6-B6)/B6),0)</f>
        <v>8.5086255489238968E-2</v>
      </c>
      <c r="J6" s="149">
        <v>738</v>
      </c>
      <c r="K6" s="63">
        <f t="shared" ref="K6:K19" si="5">IFERROR(E6/J6,0)</f>
        <v>323.31475609756097</v>
      </c>
      <c r="L6" s="125">
        <v>45</v>
      </c>
      <c r="M6" s="126">
        <f t="shared" si="1"/>
        <v>6.097560975609756E-2</v>
      </c>
      <c r="N6" s="46">
        <f>L6+'15 - 21 Nov'!L6+'22 - 28 Nov'!L6+'29 Nov - 5 Dec'!L6+'6 - 12 Dec'!L6+'13 - 19 Dec'!L6+'20 - 26 Dec'!L6+'27 Dec - 2 Jan 2022'!L6+'3 - 9 Jan 2022'!L6+'10 - 16 Jan 2022'!L6+'17 - 23 Jan 2022'!L6+'24 - 30 Jan 2022'!L6</f>
        <v>592</v>
      </c>
      <c r="O6" s="171">
        <f t="shared" si="2"/>
        <v>0.80216802168021684</v>
      </c>
      <c r="P6" s="259">
        <v>52697.74</v>
      </c>
      <c r="Q6" s="128">
        <f t="shared" ref="Q6:Q19" si="6">SUM(P6/E6)</f>
        <v>0.22085645772372553</v>
      </c>
      <c r="R6" s="260">
        <v>8021.13</v>
      </c>
      <c r="S6" s="128">
        <f t="shared" ref="S6:S19" si="7">SUM(R6/E6)</f>
        <v>3.361659074452731E-2</v>
      </c>
      <c r="T6" s="129">
        <v>7393.2</v>
      </c>
      <c r="U6" s="26"/>
    </row>
    <row r="7" spans="1:24" ht="15.6" customHeight="1" x14ac:dyDescent="0.3">
      <c r="A7" s="409" t="s">
        <v>16</v>
      </c>
      <c r="B7" s="200">
        <f>'24 - 30 Jan 2022'!E7</f>
        <v>219465.41</v>
      </c>
      <c r="C7" s="73">
        <v>220030.82</v>
      </c>
      <c r="D7" s="145">
        <v>142494.72</v>
      </c>
      <c r="E7" s="269">
        <v>219199.77</v>
      </c>
      <c r="F7" s="145">
        <v>204713.84</v>
      </c>
      <c r="G7" s="163">
        <f t="shared" si="0"/>
        <v>-3.7769708807157899E-3</v>
      </c>
      <c r="H7" s="155">
        <f t="shared" si="3"/>
        <v>0.53830099810014009</v>
      </c>
      <c r="I7" s="263">
        <f t="shared" si="4"/>
        <v>-1.2103957521142578E-3</v>
      </c>
      <c r="J7" s="150">
        <v>755</v>
      </c>
      <c r="K7" s="63">
        <f t="shared" si="5"/>
        <v>290.33082119205295</v>
      </c>
      <c r="L7" s="61">
        <v>96</v>
      </c>
      <c r="M7" s="28">
        <f t="shared" si="1"/>
        <v>0.1271523178807947</v>
      </c>
      <c r="N7" s="46">
        <f>L7+'15 - 21 Nov'!L7+'22 - 28 Nov'!L7+'29 Nov - 5 Dec'!L7+'6 - 12 Dec'!L7+'13 - 19 Dec'!L7+'20 - 26 Dec'!L7+'27 Dec - 2 Jan 2022'!L7+'3 - 9 Jan 2022'!L7+'10 - 16 Jan 2022'!L7+'17 - 23 Jan 2022'!L7+'24 - 30 Jan 2022'!L7</f>
        <v>698</v>
      </c>
      <c r="O7" s="172">
        <f t="shared" si="2"/>
        <v>0.92450331125827812</v>
      </c>
      <c r="P7" s="260">
        <v>28364.22</v>
      </c>
      <c r="Q7" s="89">
        <f t="shared" si="6"/>
        <v>0.12939894964305848</v>
      </c>
      <c r="R7" s="260">
        <v>21832.22</v>
      </c>
      <c r="S7" s="89">
        <f t="shared" si="7"/>
        <v>9.9599648302550692E-2</v>
      </c>
      <c r="T7" s="130">
        <v>11931.95</v>
      </c>
      <c r="U7" s="26"/>
    </row>
    <row r="8" spans="1:24" ht="15.6" customHeight="1" x14ac:dyDescent="0.3">
      <c r="A8" s="409" t="s">
        <v>17</v>
      </c>
      <c r="B8" s="200">
        <f>'24 - 30 Jan 2022'!E8</f>
        <v>115980.35</v>
      </c>
      <c r="C8" s="73">
        <v>109046.25</v>
      </c>
      <c r="D8" s="145">
        <v>83932.42</v>
      </c>
      <c r="E8" s="269">
        <v>108709.21</v>
      </c>
      <c r="F8" s="145">
        <v>98655.35</v>
      </c>
      <c r="G8" s="163">
        <f t="shared" si="0"/>
        <v>-3.0907986290220307E-3</v>
      </c>
      <c r="H8" s="155">
        <f t="shared" si="3"/>
        <v>0.29519928056405392</v>
      </c>
      <c r="I8" s="263">
        <f t="shared" si="4"/>
        <v>-6.2692861333838015E-2</v>
      </c>
      <c r="J8" s="150">
        <v>438</v>
      </c>
      <c r="K8" s="63">
        <f t="shared" si="5"/>
        <v>248.19454337899546</v>
      </c>
      <c r="L8" s="61">
        <v>13</v>
      </c>
      <c r="M8" s="28">
        <f t="shared" si="1"/>
        <v>2.9680365296803651E-2</v>
      </c>
      <c r="N8" s="46">
        <f>L8+'15 - 21 Nov'!L8+'22 - 28 Nov'!L8+'29 Nov - 5 Dec'!L8+'6 - 12 Dec'!L8+'13 - 19 Dec'!L8+'20 - 26 Dec'!L8+'27 Dec - 2 Jan 2022'!L8+'3 - 9 Jan 2022'!L8+'10 - 16 Jan 2022'!L8+'17 - 23 Jan 2022'!L8+'24 - 30 Jan 2022'!L8</f>
        <v>243</v>
      </c>
      <c r="O8" s="172">
        <f t="shared" si="2"/>
        <v>0.5547945205479452</v>
      </c>
      <c r="P8" s="260">
        <v>52116.61</v>
      </c>
      <c r="Q8" s="89">
        <f t="shared" si="6"/>
        <v>0.47941301385595569</v>
      </c>
      <c r="R8" s="260">
        <v>15157.57</v>
      </c>
      <c r="S8" s="89">
        <f t="shared" si="7"/>
        <v>0.13943225233630158</v>
      </c>
      <c r="T8" s="130">
        <v>2723</v>
      </c>
      <c r="U8" s="26"/>
    </row>
    <row r="9" spans="1:24" ht="15.6" customHeight="1" x14ac:dyDescent="0.3">
      <c r="A9" s="409" t="s">
        <v>18</v>
      </c>
      <c r="B9" s="200">
        <f>'24 - 30 Jan 2022'!E9</f>
        <v>0</v>
      </c>
      <c r="C9" s="73">
        <v>0</v>
      </c>
      <c r="D9" s="145">
        <v>179928.28</v>
      </c>
      <c r="E9" s="269">
        <v>0</v>
      </c>
      <c r="F9" s="145">
        <v>0</v>
      </c>
      <c r="G9" s="163">
        <f t="shared" si="0"/>
        <v>0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2022'!L9+'24 - 30 Jan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'24 - 30 Jan 2022'!E10</f>
        <v>177078.57</v>
      </c>
      <c r="C10" s="73">
        <v>162465.92000000001</v>
      </c>
      <c r="D10" s="145">
        <v>109234.04</v>
      </c>
      <c r="E10" s="269">
        <v>166802.73000000001</v>
      </c>
      <c r="F10" s="145">
        <v>151561.62</v>
      </c>
      <c r="G10" s="163">
        <f t="shared" si="0"/>
        <v>2.6693659814932248E-2</v>
      </c>
      <c r="H10" s="155">
        <f t="shared" si="3"/>
        <v>0.5270215218625991</v>
      </c>
      <c r="I10" s="263">
        <f t="shared" si="4"/>
        <v>-5.8029833875437302E-2</v>
      </c>
      <c r="J10" s="150">
        <v>563</v>
      </c>
      <c r="K10" s="63">
        <f t="shared" si="5"/>
        <v>296.27483126110127</v>
      </c>
      <c r="L10" s="61">
        <v>63</v>
      </c>
      <c r="M10" s="28">
        <f t="shared" si="1"/>
        <v>0.11190053285968028</v>
      </c>
      <c r="N10" s="46">
        <f>L10+'15 - 21 Nov'!L10+'22 - 28 Nov'!L10+'29 Nov - 5 Dec'!L10+'6 - 12 Dec'!L10+'13 - 19 Dec'!L10+'20 - 26 Dec'!L10+'27 Dec - 2 Jan 2022'!L10+'3 - 9 Jan 2022'!L10+'10 - 16 Jan 2022'!L10+'17 - 23 Jan 2022'!L10+'24 - 30 Jan 2022'!L10</f>
        <v>487</v>
      </c>
      <c r="O10" s="172">
        <f t="shared" si="2"/>
        <v>0.86500888099467144</v>
      </c>
      <c r="P10" s="260">
        <v>55643.22</v>
      </c>
      <c r="Q10" s="89">
        <f t="shared" si="6"/>
        <v>0.33358698625616018</v>
      </c>
      <c r="R10" s="260">
        <v>4964.83</v>
      </c>
      <c r="S10" s="89">
        <f t="shared" si="7"/>
        <v>2.9764680709962001E-2</v>
      </c>
      <c r="T10" s="130">
        <v>4369.5</v>
      </c>
      <c r="U10" s="26"/>
    </row>
    <row r="11" spans="1:24" ht="15.6" customHeight="1" x14ac:dyDescent="0.3">
      <c r="A11" s="409" t="s">
        <v>21</v>
      </c>
      <c r="B11" s="200">
        <f>'24 - 30 Jan 2022'!E11</f>
        <v>251779.71</v>
      </c>
      <c r="C11" s="73">
        <v>296440.63</v>
      </c>
      <c r="D11" s="145">
        <v>253363.15</v>
      </c>
      <c r="E11" s="269">
        <v>216181.06</v>
      </c>
      <c r="F11" s="145">
        <v>197215.5</v>
      </c>
      <c r="G11" s="163">
        <f t="shared" si="0"/>
        <v>-0.27074416216157687</v>
      </c>
      <c r="H11" s="155">
        <f t="shared" si="3"/>
        <v>-0.14675413531920486</v>
      </c>
      <c r="I11" s="263">
        <f t="shared" si="4"/>
        <v>-0.14138808087434843</v>
      </c>
      <c r="J11" s="150">
        <v>756</v>
      </c>
      <c r="K11" s="63">
        <f t="shared" si="5"/>
        <v>285.95378306878308</v>
      </c>
      <c r="L11" s="61">
        <v>59</v>
      </c>
      <c r="M11" s="28">
        <f t="shared" si="1"/>
        <v>7.8042328042328038E-2</v>
      </c>
      <c r="N11" s="46">
        <f>L11+'15 - 21 Nov'!L11+'22 - 28 Nov'!L11+'29 Nov - 5 Dec'!L11+'6 - 12 Dec'!L11+'13 - 19 Dec'!L11+'20 - 26 Dec'!L11+'27 Dec - 2 Jan 2022'!L11+'3 - 9 Jan 2022'!L11+'10 - 16 Jan 2022'!L11+'17 - 23 Jan 2022'!L11+'24 - 30 Jan 2022'!L11</f>
        <v>931</v>
      </c>
      <c r="O11" s="172">
        <f t="shared" si="2"/>
        <v>1.2314814814814814</v>
      </c>
      <c r="P11" s="260">
        <v>32731.17</v>
      </c>
      <c r="Q11" s="89">
        <f t="shared" si="6"/>
        <v>0.1514062795325363</v>
      </c>
      <c r="R11" s="260">
        <v>26140.74</v>
      </c>
      <c r="S11" s="89">
        <f t="shared" si="7"/>
        <v>0.12092058388463819</v>
      </c>
      <c r="T11" s="130">
        <v>7522.1</v>
      </c>
      <c r="U11" s="26"/>
    </row>
    <row r="12" spans="1:24" ht="15.6" customHeight="1" x14ac:dyDescent="0.3">
      <c r="A12" s="198" t="s">
        <v>22</v>
      </c>
      <c r="B12" s="200">
        <f>'24 - 30 Jan 2022'!E12</f>
        <v>148338.9</v>
      </c>
      <c r="C12" s="73">
        <v>153633.79999999999</v>
      </c>
      <c r="D12" s="145">
        <v>94925.62</v>
      </c>
      <c r="E12" s="269">
        <v>141844.60999999999</v>
      </c>
      <c r="F12" s="145">
        <v>128352.74</v>
      </c>
      <c r="G12" s="163">
        <f t="shared" si="0"/>
        <v>-7.6735653222142541E-2</v>
      </c>
      <c r="H12" s="155">
        <f t="shared" si="3"/>
        <v>0.49427109351511206</v>
      </c>
      <c r="I12" s="263">
        <f t="shared" si="4"/>
        <v>-4.37800873540252E-2</v>
      </c>
      <c r="J12" s="150">
        <v>523</v>
      </c>
      <c r="K12" s="63">
        <f t="shared" si="5"/>
        <v>271.2134034416826</v>
      </c>
      <c r="L12" s="61">
        <v>58</v>
      </c>
      <c r="M12" s="28">
        <f t="shared" si="1"/>
        <v>0.11089866156787763</v>
      </c>
      <c r="N12" s="46">
        <f>L12+'15 - 21 Nov'!L12+'22 - 28 Nov'!L12+'29 Nov - 5 Dec'!L12+'6 - 12 Dec'!L12+'13 - 19 Dec'!L12+'20 - 26 Dec'!L12+'27 Dec - 2 Jan 2022'!L12+'3 - 9 Jan 2022'!L12+'10 - 16 Jan 2022'!L12+'17 - 23 Jan 2022'!L12+'24 - 30 Jan 2022'!L12</f>
        <v>621</v>
      </c>
      <c r="O12" s="172">
        <f t="shared" si="2"/>
        <v>1.1873804971319311</v>
      </c>
      <c r="P12" s="260">
        <v>22996.22</v>
      </c>
      <c r="Q12" s="89">
        <f t="shared" si="6"/>
        <v>0.16212262136714256</v>
      </c>
      <c r="R12" s="260">
        <v>16233.52</v>
      </c>
      <c r="S12" s="89">
        <f t="shared" si="7"/>
        <v>0.11444580093667289</v>
      </c>
      <c r="T12" s="130">
        <v>8130.15</v>
      </c>
      <c r="U12" s="26"/>
    </row>
    <row r="13" spans="1:24" ht="15.6" customHeight="1" x14ac:dyDescent="0.3">
      <c r="A13" s="198" t="s">
        <v>23</v>
      </c>
      <c r="B13" s="200">
        <f>'24 - 30 Jan 2022'!E13</f>
        <v>227518.52</v>
      </c>
      <c r="C13" s="73">
        <v>206977.96</v>
      </c>
      <c r="D13" s="145">
        <v>172280.88</v>
      </c>
      <c r="E13" s="269">
        <v>215241.73</v>
      </c>
      <c r="F13" s="145">
        <v>195355.83</v>
      </c>
      <c r="G13" s="163">
        <f t="shared" si="0"/>
        <v>3.9925845244585555E-2</v>
      </c>
      <c r="H13" s="155">
        <f t="shared" si="3"/>
        <v>0.24936516460793562</v>
      </c>
      <c r="I13" s="263">
        <f t="shared" si="4"/>
        <v>-5.395951942725357E-2</v>
      </c>
      <c r="J13" s="150">
        <v>805</v>
      </c>
      <c r="K13" s="63">
        <f t="shared" si="5"/>
        <v>267.38103105590062</v>
      </c>
      <c r="L13" s="61">
        <v>41</v>
      </c>
      <c r="M13" s="28">
        <f t="shared" si="1"/>
        <v>5.0931677018633541E-2</v>
      </c>
      <c r="N13" s="46">
        <f>L13+'15 - 21 Nov'!L13+'22 - 28 Nov'!L13+'29 Nov - 5 Dec'!L13+'6 - 12 Dec'!L13+'13 - 19 Dec'!L13+'20 - 26 Dec'!L13+'27 Dec - 2 Jan 2022'!L13+'3 - 9 Jan 2022'!L13+'10 - 16 Jan 2022'!L13+'17 - 23 Jan 2022'!L13+'24 - 30 Jan 2022'!L13</f>
        <v>838</v>
      </c>
      <c r="O13" s="172">
        <f t="shared" si="2"/>
        <v>1.0409937888198757</v>
      </c>
      <c r="P13" s="260">
        <v>36451.78</v>
      </c>
      <c r="Q13" s="89">
        <f t="shared" si="6"/>
        <v>0.1693527551557962</v>
      </c>
      <c r="R13" s="260">
        <v>27952.61</v>
      </c>
      <c r="S13" s="89">
        <f t="shared" si="7"/>
        <v>0.12986612772532538</v>
      </c>
      <c r="T13" s="130">
        <v>5842.3</v>
      </c>
      <c r="U13" s="26"/>
    </row>
    <row r="14" spans="1:24" ht="15.6" hidden="1" customHeight="1" x14ac:dyDescent="0.3">
      <c r="A14" s="198" t="s">
        <v>24</v>
      </c>
      <c r="B14" s="200">
        <f>'24 - 30 Jan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2022'!L14+'24 - 30 Jan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'24 - 30 Jan 2022'!E15</f>
        <v>240544.36</v>
      </c>
      <c r="C15" s="73">
        <v>184245.92</v>
      </c>
      <c r="D15" s="145">
        <v>160228.96</v>
      </c>
      <c r="E15" s="269">
        <v>243672.85</v>
      </c>
      <c r="F15" s="145">
        <v>217821.47</v>
      </c>
      <c r="G15" s="163">
        <f t="shared" si="0"/>
        <v>0.32254136210994516</v>
      </c>
      <c r="H15" s="155">
        <f t="shared" si="3"/>
        <v>0.52077907763989739</v>
      </c>
      <c r="I15" s="263">
        <f t="shared" si="4"/>
        <v>1.3005875506704959E-2</v>
      </c>
      <c r="J15" s="150">
        <v>849</v>
      </c>
      <c r="K15" s="63">
        <f t="shared" si="5"/>
        <v>287.0116018845701</v>
      </c>
      <c r="L15" s="61">
        <v>46</v>
      </c>
      <c r="M15" s="28">
        <f t="shared" si="1"/>
        <v>5.418138987043581E-2</v>
      </c>
      <c r="N15" s="46">
        <f>L15+'15 - 21 Nov'!L15+'22 - 28 Nov'!L15+'29 Nov - 5 Dec'!L15+'6 - 12 Dec'!L15+'13 - 19 Dec'!L15+'20 - 26 Dec'!L15+'27 Dec - 2 Jan 2022'!L15+'3 - 9 Jan 2022'!L15+'10 - 16 Jan 2022'!L15+'17 - 23 Jan 2022'!L15+'24 - 30 Jan 2022'!L15</f>
        <v>382</v>
      </c>
      <c r="O15" s="172">
        <f t="shared" si="2"/>
        <v>0.44994110718492342</v>
      </c>
      <c r="P15" s="260">
        <v>0</v>
      </c>
      <c r="Q15" s="89">
        <f t="shared" si="6"/>
        <v>0</v>
      </c>
      <c r="R15" s="260">
        <v>23165.65</v>
      </c>
      <c r="S15" s="89">
        <f t="shared" si="7"/>
        <v>9.5068654550558268E-2</v>
      </c>
      <c r="T15" s="130">
        <v>1481.65</v>
      </c>
      <c r="U15" s="9"/>
    </row>
    <row r="16" spans="1:24" ht="15.6" customHeight="1" x14ac:dyDescent="0.3">
      <c r="A16" s="198" t="s">
        <v>27</v>
      </c>
      <c r="B16" s="200">
        <f>'24 - 30 Jan 2022'!E16</f>
        <v>144588.24</v>
      </c>
      <c r="C16" s="73">
        <v>136872.09</v>
      </c>
      <c r="D16" s="145">
        <v>103278.04</v>
      </c>
      <c r="E16" s="269">
        <v>132179.39000000001</v>
      </c>
      <c r="F16" s="145">
        <v>121442.44</v>
      </c>
      <c r="G16" s="163">
        <f t="shared" si="0"/>
        <v>-3.4285295124813119E-2</v>
      </c>
      <c r="H16" s="155">
        <f t="shared" si="3"/>
        <v>0.2798402254729081</v>
      </c>
      <c r="I16" s="263">
        <f t="shared" si="4"/>
        <v>-8.5821986629064553E-2</v>
      </c>
      <c r="J16" s="150">
        <v>508</v>
      </c>
      <c r="K16" s="63">
        <f t="shared" si="5"/>
        <v>260.19564960629924</v>
      </c>
      <c r="L16" s="61">
        <v>43</v>
      </c>
      <c r="M16" s="28">
        <f t="shared" si="1"/>
        <v>8.4645669291338585E-2</v>
      </c>
      <c r="N16" s="46">
        <f>L16+'15 - 21 Nov'!L16+'22 - 28 Nov'!L16+'29 Nov - 5 Dec'!L16+'6 - 12 Dec'!L16+'13 - 19 Dec'!L16+'20 - 26 Dec'!L16+'27 Dec - 2 Jan 2022'!L16+'3 - 9 Jan 2022'!L16+'10 - 16 Jan 2022'!L16+'17 - 23 Jan 2022'!L16+'24 - 30 Jan 2022'!L16</f>
        <v>373</v>
      </c>
      <c r="O16" s="172">
        <f t="shared" si="2"/>
        <v>0.73425196850393704</v>
      </c>
      <c r="P16" s="260">
        <v>25307.81</v>
      </c>
      <c r="Q16" s="89">
        <f t="shared" si="6"/>
        <v>0.19146562864301309</v>
      </c>
      <c r="R16" s="260">
        <v>25100.83</v>
      </c>
      <c r="S16" s="89">
        <f t="shared" si="7"/>
        <v>0.18989972642482311</v>
      </c>
      <c r="T16" s="130">
        <v>6667.25</v>
      </c>
      <c r="U16" s="9"/>
      <c r="X16" s="238"/>
    </row>
    <row r="17" spans="1:21" ht="15.6" customHeight="1" x14ac:dyDescent="0.3">
      <c r="A17" s="198" t="s">
        <v>28</v>
      </c>
      <c r="B17" s="200">
        <f>'24 - 30 Jan 2022'!E17</f>
        <v>184402.37</v>
      </c>
      <c r="C17" s="73">
        <v>183593.77</v>
      </c>
      <c r="D17" s="145">
        <v>153397.76000000001</v>
      </c>
      <c r="E17" s="269">
        <v>192804.32</v>
      </c>
      <c r="F17" s="145">
        <v>173865.58</v>
      </c>
      <c r="G17" s="163">
        <f t="shared" si="0"/>
        <v>5.0168096662539352E-2</v>
      </c>
      <c r="H17" s="155">
        <f t="shared" si="3"/>
        <v>0.25689136529764184</v>
      </c>
      <c r="I17" s="263">
        <f t="shared" si="4"/>
        <v>4.5563134573595836E-2</v>
      </c>
      <c r="J17" s="150">
        <v>733</v>
      </c>
      <c r="K17" s="63">
        <f t="shared" si="5"/>
        <v>263.03454297407916</v>
      </c>
      <c r="L17" s="61">
        <v>33</v>
      </c>
      <c r="M17" s="28">
        <f t="shared" si="1"/>
        <v>4.5020463847203276E-2</v>
      </c>
      <c r="N17" s="46">
        <f>L17+'15 - 21 Nov'!L17+'22 - 28 Nov'!L17+'29 Nov - 5 Dec'!L17+'6 - 12 Dec'!L17+'13 - 19 Dec'!L17+'20 - 26 Dec'!L17+'27 Dec - 2 Jan 2022'!L17+'3 - 9 Jan 2022'!L17+'10 - 16 Jan 2022'!L17+'17 - 23 Jan 2022'!L17+'24 - 30 Jan 2022'!L17</f>
        <v>532</v>
      </c>
      <c r="O17" s="172">
        <f t="shared" si="2"/>
        <v>0.72578444747612547</v>
      </c>
      <c r="P17" s="260">
        <v>33118.480000000003</v>
      </c>
      <c r="Q17" s="89">
        <f t="shared" si="6"/>
        <v>0.17177249970332617</v>
      </c>
      <c r="R17" s="260">
        <v>25768.16</v>
      </c>
      <c r="S17" s="89">
        <f t="shared" si="7"/>
        <v>0.13364928752633759</v>
      </c>
      <c r="T17" s="130">
        <v>7159.8</v>
      </c>
      <c r="U17" s="9"/>
    </row>
    <row r="18" spans="1:21" ht="15.6" customHeight="1" x14ac:dyDescent="0.3">
      <c r="A18" s="198" t="s">
        <v>33</v>
      </c>
      <c r="B18" s="200">
        <f>'24 - 30 Jan 2022'!E18</f>
        <v>166446.76</v>
      </c>
      <c r="C18" s="73">
        <v>176775.06</v>
      </c>
      <c r="D18" s="73">
        <v>144117.34</v>
      </c>
      <c r="E18" s="269">
        <v>183194.06</v>
      </c>
      <c r="F18" s="145">
        <v>166464</v>
      </c>
      <c r="G18" s="163">
        <f t="shared" si="0"/>
        <v>3.6311683333610525E-2</v>
      </c>
      <c r="H18" s="155">
        <f t="shared" si="3"/>
        <v>0.27114516546031175</v>
      </c>
      <c r="I18" s="263">
        <f t="shared" si="4"/>
        <v>0.10061655751064176</v>
      </c>
      <c r="J18" s="150">
        <v>704</v>
      </c>
      <c r="K18" s="63">
        <f t="shared" si="5"/>
        <v>260.21883522727273</v>
      </c>
      <c r="L18" s="61">
        <v>105</v>
      </c>
      <c r="M18" s="28">
        <f t="shared" si="1"/>
        <v>0.14914772727272727</v>
      </c>
      <c r="N18" s="46">
        <f>L18+'15 - 21 Nov'!L18+'22 - 28 Nov'!L18+'29 Nov - 5 Dec'!L18+'6 - 12 Dec'!L18+'13 - 19 Dec'!L18+'20 - 26 Dec'!L18+'27 Dec - 2 Jan 2022'!L18+'3 - 9 Jan 2022'!L18+'10 - 16 Jan 2022'!L18+'17 - 23 Jan 2022'!L18+'24 - 30 Jan 2022'!L18</f>
        <v>1062</v>
      </c>
      <c r="O18" s="172">
        <f t="shared" si="2"/>
        <v>1.5085227272727273</v>
      </c>
      <c r="P18" s="260">
        <v>31678.87</v>
      </c>
      <c r="Q18" s="89">
        <f t="shared" si="6"/>
        <v>0.17292520292415595</v>
      </c>
      <c r="R18" s="260">
        <v>18720.04</v>
      </c>
      <c r="S18" s="89">
        <f t="shared" si="7"/>
        <v>0.10218693772057894</v>
      </c>
      <c r="T18" s="130">
        <v>4807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37" priority="14" operator="equal">
      <formula>0</formula>
    </cfRule>
  </conditionalFormatting>
  <conditionalFormatting sqref="D7:F19">
    <cfRule type="cellIs" dxfId="236" priority="1" operator="equal">
      <formula>0</formula>
    </cfRule>
  </conditionalFormatting>
  <conditionalFormatting sqref="G6:T19">
    <cfRule type="cellIs" dxfId="235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X41"/>
  <sheetViews>
    <sheetView zoomScale="70" zoomScaleNormal="70" workbookViewId="0">
      <pane xSplit="1" topLeftCell="B1" activePane="topRight" state="frozen"/>
      <selection pane="topRight" activeCell="B6" activeCellId="1" sqref="E6 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-0.1389135273214723</v>
      </c>
      <c r="H2" s="413"/>
      <c r="I2" s="400">
        <f>(((E4-E19-B19)-B4)/E4)</f>
        <v>-4.8930086019903007E-2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0" t="s">
        <v>7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1891633.2900000003</v>
      </c>
      <c r="C4" s="135">
        <f>SUM(C6:C19)-C14-C19-C10-C9</f>
        <v>2094322.8899999997</v>
      </c>
      <c r="D4" s="142">
        <f>SUM(D6:D19)-D19-D10-D9</f>
        <v>1654041.3700000003</v>
      </c>
      <c r="E4" s="270">
        <f>SUM(E6:E19)-E19-E10-E9</f>
        <v>1803393.1099999999</v>
      </c>
      <c r="F4" s="142">
        <f>SUM(F6:F19)-F19-F10-F9</f>
        <v>3526628.08</v>
      </c>
      <c r="G4" s="217">
        <f t="shared" ref="G4:G19" si="0">IFERROR((SUM(E4-C4)/C4),0)</f>
        <v>-0.1389135273214723</v>
      </c>
      <c r="H4" s="217">
        <f>IFERROR((SUM(E4-D4)/D4),0)</f>
        <v>9.0295045038685753E-2</v>
      </c>
      <c r="I4" s="217">
        <f>IFERROR((SUM(E4-B4)/E4),0)</f>
        <v>-4.8930086019903007E-2</v>
      </c>
      <c r="J4" s="262">
        <f>SUM(J6:J18)</f>
        <v>7018</v>
      </c>
      <c r="K4" s="218">
        <f>AVERAGE(K5:K19)</f>
        <v>218.52618739560685</v>
      </c>
      <c r="L4" s="219">
        <f>SUM(L6:L19)</f>
        <v>477</v>
      </c>
      <c r="M4" s="220">
        <f t="shared" ref="M4:M19" si="1">IFERROR(L4/J4,0)</f>
        <v>6.7968082074665148E-2</v>
      </c>
      <c r="N4" s="221">
        <f>SUM(N6:N19)</f>
        <v>7236</v>
      </c>
      <c r="O4" s="222">
        <f t="shared" ref="O4:O19" si="2">IFERROR(N4/SUM(J4),0)</f>
        <v>1.031062980906241</v>
      </c>
      <c r="P4" s="249">
        <f>SUM(P6:P19)</f>
        <v>335361.37</v>
      </c>
      <c r="Q4" s="222">
        <f>SUM(P4/E4)</f>
        <v>0.18596132376262656</v>
      </c>
      <c r="R4" s="244">
        <f>SUM(R6:R19)</f>
        <v>182224.08000000002</v>
      </c>
      <c r="S4" s="222">
        <f>SUM(R4/E4)</f>
        <v>0.10104512376671997</v>
      </c>
      <c r="T4" s="257">
        <f>SUM(T6:T19)</f>
        <v>71608.55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f>'31 Jan - 6 Feb 2022'!E6</f>
        <v>238606.29</v>
      </c>
      <c r="C6" s="255">
        <v>280895.78000000003</v>
      </c>
      <c r="D6" s="197">
        <v>202762.61</v>
      </c>
      <c r="E6" s="268">
        <v>208482.78</v>
      </c>
      <c r="F6" s="123">
        <v>427831</v>
      </c>
      <c r="G6" s="162">
        <f t="shared" si="0"/>
        <v>-0.25779312170513924</v>
      </c>
      <c r="H6" s="154">
        <f t="shared" ref="H6:H18" si="3">IFERROR((SUM(E6-D6)/D6),0)</f>
        <v>2.8211167729592816E-2</v>
      </c>
      <c r="I6" s="266">
        <f t="shared" ref="I6:I19" si="4">IFERROR((SUM(E6-B6)/B6),0)</f>
        <v>-0.12624776153218764</v>
      </c>
      <c r="J6" s="149">
        <v>702</v>
      </c>
      <c r="K6" s="63">
        <f t="shared" ref="K6:K19" si="5">IFERROR(E6/J6,0)</f>
        <v>296.98401709401708</v>
      </c>
      <c r="L6" s="125">
        <v>18</v>
      </c>
      <c r="M6" s="126">
        <f t="shared" si="1"/>
        <v>2.564102564102564E-2</v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</f>
        <v>610</v>
      </c>
      <c r="O6" s="171">
        <f t="shared" si="2"/>
        <v>0.86894586894586889</v>
      </c>
      <c r="P6" s="259">
        <v>37093.699999999997</v>
      </c>
      <c r="Q6" s="128">
        <f t="shared" ref="Q6:Q19" si="6">SUM(P6/E6)</f>
        <v>0.17792212862856105</v>
      </c>
      <c r="R6" s="260">
        <v>6480.57</v>
      </c>
      <c r="S6" s="128">
        <f t="shared" ref="S6:S19" si="7">SUM(R6/E6)</f>
        <v>3.1084437765075849E-2</v>
      </c>
      <c r="T6" s="129">
        <v>9451.5</v>
      </c>
      <c r="U6" s="26"/>
    </row>
    <row r="7" spans="1:24" ht="15.6" customHeight="1" x14ac:dyDescent="0.3">
      <c r="A7" s="409" t="s">
        <v>16</v>
      </c>
      <c r="B7" s="200">
        <f>'31 Jan - 6 Feb 2022'!E7</f>
        <v>219199.77</v>
      </c>
      <c r="C7" s="73">
        <v>224075.5</v>
      </c>
      <c r="D7" s="145">
        <v>178474.03</v>
      </c>
      <c r="E7" s="269">
        <v>207551.54</v>
      </c>
      <c r="F7" s="145">
        <v>412265.38</v>
      </c>
      <c r="G7" s="163">
        <f t="shared" si="0"/>
        <v>-7.3742823289471598E-2</v>
      </c>
      <c r="H7" s="155">
        <f t="shared" si="3"/>
        <v>0.16292291937375991</v>
      </c>
      <c r="I7" s="263">
        <f t="shared" si="4"/>
        <v>-5.3139791159452318E-2</v>
      </c>
      <c r="J7" s="150">
        <v>690</v>
      </c>
      <c r="K7" s="63">
        <f t="shared" si="5"/>
        <v>300.79933333333332</v>
      </c>
      <c r="L7" s="61">
        <v>58</v>
      </c>
      <c r="M7" s="28">
        <f t="shared" si="1"/>
        <v>8.4057971014492749E-2</v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</f>
        <v>756</v>
      </c>
      <c r="O7" s="172">
        <f t="shared" si="2"/>
        <v>1.0956521739130434</v>
      </c>
      <c r="P7" s="260">
        <v>26574.13</v>
      </c>
      <c r="Q7" s="89">
        <f t="shared" si="6"/>
        <v>0.12803629402123443</v>
      </c>
      <c r="R7" s="260">
        <v>14144.35</v>
      </c>
      <c r="S7" s="89">
        <f t="shared" si="7"/>
        <v>6.8148615037980448E-2</v>
      </c>
      <c r="T7" s="130">
        <v>11062.1</v>
      </c>
      <c r="U7" s="26"/>
    </row>
    <row r="8" spans="1:24" ht="15.6" customHeight="1" x14ac:dyDescent="0.3">
      <c r="A8" s="409" t="s">
        <v>17</v>
      </c>
      <c r="B8" s="200">
        <f>'31 Jan - 6 Feb 2022'!E8</f>
        <v>108709.21</v>
      </c>
      <c r="C8" s="73">
        <v>133786.9</v>
      </c>
      <c r="D8" s="145">
        <v>110711.03999999999</v>
      </c>
      <c r="E8" s="269">
        <v>124702.84</v>
      </c>
      <c r="F8" s="145">
        <v>223358.19</v>
      </c>
      <c r="G8" s="163">
        <f t="shared" si="0"/>
        <v>-6.7899472967831664E-2</v>
      </c>
      <c r="H8" s="155">
        <f t="shared" si="3"/>
        <v>0.12638125339622863</v>
      </c>
      <c r="I8" s="263">
        <f t="shared" si="4"/>
        <v>0.14712304504834492</v>
      </c>
      <c r="J8" s="150">
        <v>476</v>
      </c>
      <c r="K8" s="63">
        <f t="shared" si="5"/>
        <v>261.980756302521</v>
      </c>
      <c r="L8" s="61">
        <v>17</v>
      </c>
      <c r="M8" s="28">
        <f t="shared" si="1"/>
        <v>3.5714285714285712E-2</v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</f>
        <v>260</v>
      </c>
      <c r="O8" s="172">
        <f t="shared" si="2"/>
        <v>0.54621848739495793</v>
      </c>
      <c r="P8" s="260">
        <v>45522.7</v>
      </c>
      <c r="Q8" s="89">
        <f t="shared" si="6"/>
        <v>0.36504942469634211</v>
      </c>
      <c r="R8" s="260">
        <v>20098.22</v>
      </c>
      <c r="S8" s="89">
        <f t="shared" si="7"/>
        <v>0.16116890361117681</v>
      </c>
      <c r="T8" s="130">
        <v>4309</v>
      </c>
      <c r="U8" s="26"/>
    </row>
    <row r="9" spans="1:24" ht="15.6" customHeight="1" x14ac:dyDescent="0.3">
      <c r="A9" s="409" t="s">
        <v>18</v>
      </c>
      <c r="B9" s="200">
        <f>'31 Jan - 6 Feb 2022'!E9</f>
        <v>0</v>
      </c>
      <c r="C9" s="73">
        <v>0</v>
      </c>
      <c r="D9" s="145">
        <v>198799.16</v>
      </c>
      <c r="E9" s="269">
        <v>0</v>
      </c>
      <c r="F9" s="145">
        <v>0</v>
      </c>
      <c r="G9" s="163">
        <f t="shared" si="0"/>
        <v>0</v>
      </c>
      <c r="H9" s="155">
        <f t="shared" si="3"/>
        <v>-1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f>'31 Jan - 6 Feb 2022'!E10</f>
        <v>166802.73000000001</v>
      </c>
      <c r="C10" s="73">
        <v>182605.54</v>
      </c>
      <c r="D10" s="145">
        <v>135409.76999999999</v>
      </c>
      <c r="E10" s="269">
        <v>150013.85</v>
      </c>
      <c r="F10" s="145">
        <v>301575.46999999997</v>
      </c>
      <c r="G10" s="163">
        <f t="shared" si="0"/>
        <v>-0.178481386709297</v>
      </c>
      <c r="H10" s="155">
        <f t="shared" si="3"/>
        <v>0.10785100661495856</v>
      </c>
      <c r="I10" s="263">
        <f t="shared" si="4"/>
        <v>-0.10065111044645375</v>
      </c>
      <c r="J10" s="150">
        <v>520</v>
      </c>
      <c r="K10" s="63">
        <f t="shared" si="5"/>
        <v>288.48817307692309</v>
      </c>
      <c r="L10" s="61">
        <v>43</v>
      </c>
      <c r="M10" s="28">
        <f t="shared" si="1"/>
        <v>8.269230769230769E-2</v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</f>
        <v>530</v>
      </c>
      <c r="O10" s="172">
        <f t="shared" si="2"/>
        <v>1.0192307692307692</v>
      </c>
      <c r="P10" s="260">
        <v>52719.96</v>
      </c>
      <c r="Q10" s="89">
        <f t="shared" si="6"/>
        <v>0.35143395093186391</v>
      </c>
      <c r="R10" s="260">
        <v>8519.74</v>
      </c>
      <c r="S10" s="89">
        <f t="shared" si="7"/>
        <v>5.6793022777563533E-2</v>
      </c>
      <c r="T10" s="130">
        <v>5210.3</v>
      </c>
      <c r="U10" s="26"/>
    </row>
    <row r="11" spans="1:24" ht="15.6" customHeight="1" x14ac:dyDescent="0.3">
      <c r="A11" s="409" t="s">
        <v>21</v>
      </c>
      <c r="B11" s="200">
        <f>'31 Jan - 6 Feb 2022'!E11</f>
        <v>216181.06</v>
      </c>
      <c r="C11" s="73">
        <v>308009.71999999997</v>
      </c>
      <c r="D11" s="145">
        <v>261595.82</v>
      </c>
      <c r="E11" s="269">
        <v>194781.6</v>
      </c>
      <c r="F11" s="145">
        <v>391997.1</v>
      </c>
      <c r="G11" s="163">
        <f t="shared" si="0"/>
        <v>-0.36761216496674187</v>
      </c>
      <c r="H11" s="155">
        <f t="shared" si="3"/>
        <v>-0.25541012084979031</v>
      </c>
      <c r="I11" s="263">
        <f t="shared" si="4"/>
        <v>-9.8988597798530503E-2</v>
      </c>
      <c r="J11" s="150">
        <v>697</v>
      </c>
      <c r="K11" s="63">
        <f t="shared" si="5"/>
        <v>279.45710186513628</v>
      </c>
      <c r="L11" s="61">
        <v>65</v>
      </c>
      <c r="M11" s="28">
        <f t="shared" si="1"/>
        <v>9.3256814921090392E-2</v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</f>
        <v>996</v>
      </c>
      <c r="O11" s="172">
        <f t="shared" si="2"/>
        <v>1.4289813486370158</v>
      </c>
      <c r="P11" s="260">
        <v>36746.870000000003</v>
      </c>
      <c r="Q11" s="89">
        <f t="shared" si="6"/>
        <v>0.18865678277619652</v>
      </c>
      <c r="R11" s="260">
        <v>16898.48</v>
      </c>
      <c r="S11" s="89">
        <f t="shared" si="7"/>
        <v>8.6756038558056817E-2</v>
      </c>
      <c r="T11" s="130">
        <v>9916.85</v>
      </c>
      <c r="U11" s="26"/>
    </row>
    <row r="12" spans="1:24" ht="15.6" customHeight="1" x14ac:dyDescent="0.3">
      <c r="A12" s="198" t="s">
        <v>22</v>
      </c>
      <c r="B12" s="200">
        <f>'31 Jan - 6 Feb 2022'!E12</f>
        <v>141844.60999999999</v>
      </c>
      <c r="C12" s="73">
        <v>160405.70000000001</v>
      </c>
      <c r="D12" s="145">
        <v>91358.63</v>
      </c>
      <c r="E12" s="269">
        <v>130813.15</v>
      </c>
      <c r="F12" s="145">
        <v>259165.89</v>
      </c>
      <c r="G12" s="163">
        <f t="shared" si="0"/>
        <v>-0.18448565107100318</v>
      </c>
      <c r="H12" s="155">
        <f t="shared" si="3"/>
        <v>0.4318641818512382</v>
      </c>
      <c r="I12" s="263">
        <f t="shared" si="4"/>
        <v>-7.777144298962077E-2</v>
      </c>
      <c r="J12" s="150">
        <v>446</v>
      </c>
      <c r="K12" s="63">
        <f t="shared" si="5"/>
        <v>293.3030269058296</v>
      </c>
      <c r="L12" s="61">
        <v>49</v>
      </c>
      <c r="M12" s="28">
        <f t="shared" si="1"/>
        <v>0.10986547085201794</v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</f>
        <v>670</v>
      </c>
      <c r="O12" s="172">
        <f t="shared" si="2"/>
        <v>1.5022421524663676</v>
      </c>
      <c r="P12" s="260">
        <v>16966.48</v>
      </c>
      <c r="Q12" s="89">
        <f t="shared" si="6"/>
        <v>0.12970011042467824</v>
      </c>
      <c r="R12" s="260">
        <v>14583.25</v>
      </c>
      <c r="S12" s="89">
        <f t="shared" si="7"/>
        <v>0.1114815291887704</v>
      </c>
      <c r="T12" s="130">
        <v>9360</v>
      </c>
      <c r="U12" s="26"/>
    </row>
    <row r="13" spans="1:24" ht="15.6" customHeight="1" x14ac:dyDescent="0.3">
      <c r="A13" s="198" t="s">
        <v>23</v>
      </c>
      <c r="B13" s="200">
        <f>'31 Jan - 6 Feb 2022'!E13</f>
        <v>215241.73</v>
      </c>
      <c r="C13" s="73">
        <v>212599.32</v>
      </c>
      <c r="D13" s="145">
        <v>177641.09</v>
      </c>
      <c r="E13" s="269">
        <v>192037.69</v>
      </c>
      <c r="F13" s="145">
        <v>387393.52</v>
      </c>
      <c r="G13" s="163">
        <f t="shared" si="0"/>
        <v>-9.6715408120778584E-2</v>
      </c>
      <c r="H13" s="155">
        <f t="shared" si="3"/>
        <v>8.1043186573556858E-2</v>
      </c>
      <c r="I13" s="263">
        <f t="shared" si="4"/>
        <v>-0.10780456001724205</v>
      </c>
      <c r="J13" s="150">
        <v>759</v>
      </c>
      <c r="K13" s="63">
        <f t="shared" si="5"/>
        <v>253.01408432147562</v>
      </c>
      <c r="L13" s="61">
        <v>53</v>
      </c>
      <c r="M13" s="28">
        <f t="shared" si="1"/>
        <v>6.9828722002635041E-2</v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</f>
        <v>891</v>
      </c>
      <c r="O13" s="172">
        <f t="shared" si="2"/>
        <v>1.173913043478261</v>
      </c>
      <c r="P13" s="260">
        <v>30876.78</v>
      </c>
      <c r="Q13" s="89">
        <f t="shared" si="6"/>
        <v>0.1607850000695176</v>
      </c>
      <c r="R13" s="260">
        <v>28957.09</v>
      </c>
      <c r="S13" s="89">
        <f t="shared" si="7"/>
        <v>0.15078857697153095</v>
      </c>
      <c r="T13" s="130">
        <v>6027</v>
      </c>
      <c r="U13" s="26"/>
    </row>
    <row r="14" spans="1:24" ht="15.6" hidden="1" customHeight="1" x14ac:dyDescent="0.3">
      <c r="A14" s="198" t="s">
        <v>24</v>
      </c>
      <c r="B14" s="200">
        <f>'31 Jan - 6 Feb 2022'!E14</f>
        <v>0</v>
      </c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f>'31 Jan - 6 Feb 2022'!E15</f>
        <v>243672.85</v>
      </c>
      <c r="C15" s="73">
        <v>209317.26</v>
      </c>
      <c r="D15" s="145">
        <v>182308.79</v>
      </c>
      <c r="E15" s="269">
        <v>259704.01</v>
      </c>
      <c r="F15" s="145">
        <v>477525.48</v>
      </c>
      <c r="G15" s="163">
        <f t="shared" si="0"/>
        <v>0.24071951830441501</v>
      </c>
      <c r="H15" s="155">
        <f t="shared" si="3"/>
        <v>0.42452818649062396</v>
      </c>
      <c r="I15" s="263">
        <f t="shared" si="4"/>
        <v>6.5789684817163685E-2</v>
      </c>
      <c r="J15" s="150">
        <v>885</v>
      </c>
      <c r="K15" s="63">
        <f t="shared" si="5"/>
        <v>293.45085875706218</v>
      </c>
      <c r="L15" s="61">
        <v>36</v>
      </c>
      <c r="M15" s="28">
        <f t="shared" si="1"/>
        <v>4.0677966101694912E-2</v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</f>
        <v>418</v>
      </c>
      <c r="O15" s="172">
        <f t="shared" si="2"/>
        <v>0.47231638418079097</v>
      </c>
      <c r="P15" s="260">
        <v>0</v>
      </c>
      <c r="Q15" s="89">
        <f t="shared" si="6"/>
        <v>0</v>
      </c>
      <c r="R15" s="260">
        <v>21920.43</v>
      </c>
      <c r="S15" s="89">
        <f t="shared" si="7"/>
        <v>8.440543524915152E-2</v>
      </c>
      <c r="T15" s="130">
        <v>1732.5</v>
      </c>
      <c r="U15" s="9"/>
    </row>
    <row r="16" spans="1:24" ht="15.6" customHeight="1" x14ac:dyDescent="0.3">
      <c r="A16" s="198" t="s">
        <v>27</v>
      </c>
      <c r="B16" s="200">
        <f>'31 Jan - 6 Feb 2022'!E16</f>
        <v>132179.39000000001</v>
      </c>
      <c r="C16" s="73">
        <v>180239.49</v>
      </c>
      <c r="D16" s="145">
        <v>129098.68</v>
      </c>
      <c r="E16" s="269">
        <v>137113.72</v>
      </c>
      <c r="F16" s="145">
        <v>258556.16</v>
      </c>
      <c r="G16" s="163">
        <f t="shared" si="0"/>
        <v>-0.23926926335621562</v>
      </c>
      <c r="H16" s="155">
        <f t="shared" si="3"/>
        <v>6.208460071009253E-2</v>
      </c>
      <c r="I16" s="263">
        <f t="shared" si="4"/>
        <v>3.7330555088807615E-2</v>
      </c>
      <c r="J16" s="150">
        <v>506</v>
      </c>
      <c r="K16" s="63">
        <f t="shared" si="5"/>
        <v>270.97573122529644</v>
      </c>
      <c r="L16" s="61">
        <v>14</v>
      </c>
      <c r="M16" s="28">
        <f t="shared" si="1"/>
        <v>2.766798418972332E-2</v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</f>
        <v>387</v>
      </c>
      <c r="O16" s="172">
        <f t="shared" si="2"/>
        <v>0.7648221343873518</v>
      </c>
      <c r="P16" s="260">
        <v>33330.239999999998</v>
      </c>
      <c r="Q16" s="89">
        <f t="shared" si="6"/>
        <v>0.2430846453586118</v>
      </c>
      <c r="R16" s="260">
        <v>18156.09</v>
      </c>
      <c r="S16" s="89">
        <f t="shared" si="7"/>
        <v>0.13241628919410836</v>
      </c>
      <c r="T16" s="130">
        <v>5118.3500000000004</v>
      </c>
      <c r="U16" s="9"/>
      <c r="X16" s="238"/>
    </row>
    <row r="17" spans="1:21" ht="15.6" customHeight="1" x14ac:dyDescent="0.3">
      <c r="A17" s="198" t="s">
        <v>28</v>
      </c>
      <c r="B17" s="200">
        <f>'31 Jan - 6 Feb 2022'!E17</f>
        <v>192804.32</v>
      </c>
      <c r="C17" s="73">
        <v>209714.26</v>
      </c>
      <c r="D17" s="145">
        <v>160471.09</v>
      </c>
      <c r="E17" s="269">
        <v>171421.97</v>
      </c>
      <c r="F17" s="145">
        <v>345287.55</v>
      </c>
      <c r="G17" s="163">
        <f t="shared" si="0"/>
        <v>-0.18259268587648739</v>
      </c>
      <c r="H17" s="155">
        <f t="shared" si="3"/>
        <v>6.824207400847096E-2</v>
      </c>
      <c r="I17" s="263">
        <f t="shared" si="4"/>
        <v>-0.11090182004220656</v>
      </c>
      <c r="J17" s="150">
        <v>671</v>
      </c>
      <c r="K17" s="63">
        <f t="shared" si="5"/>
        <v>255.47238450074516</v>
      </c>
      <c r="L17" s="61">
        <v>47</v>
      </c>
      <c r="M17" s="28">
        <f t="shared" si="1"/>
        <v>7.0044709388971685E-2</v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</f>
        <v>579</v>
      </c>
      <c r="O17" s="172">
        <f t="shared" si="2"/>
        <v>0.8628912071535022</v>
      </c>
      <c r="P17" s="260">
        <v>32092.959999999999</v>
      </c>
      <c r="Q17" s="89">
        <f t="shared" si="6"/>
        <v>0.18721614271496237</v>
      </c>
      <c r="R17" s="260">
        <v>20615.7</v>
      </c>
      <c r="S17" s="89">
        <f t="shared" si="7"/>
        <v>0.12026288112311392</v>
      </c>
      <c r="T17" s="130">
        <v>4993.95</v>
      </c>
      <c r="U17" s="9"/>
    </row>
    <row r="18" spans="1:21" ht="15.6" customHeight="1" x14ac:dyDescent="0.3">
      <c r="A18" s="198" t="s">
        <v>33</v>
      </c>
      <c r="B18" s="200">
        <f>'31 Jan - 6 Feb 2022'!E18</f>
        <v>183194.06</v>
      </c>
      <c r="C18" s="73">
        <v>175278.96</v>
      </c>
      <c r="D18" s="73">
        <v>159619.59</v>
      </c>
      <c r="E18" s="269">
        <v>176783.81</v>
      </c>
      <c r="F18" s="145">
        <v>343247.81</v>
      </c>
      <c r="G18" s="163">
        <f t="shared" si="0"/>
        <v>8.5854571478516644E-3</v>
      </c>
      <c r="H18" s="155">
        <f t="shared" si="3"/>
        <v>0.10753203914381688</v>
      </c>
      <c r="I18" s="263">
        <f t="shared" si="4"/>
        <v>-3.499158215064397E-2</v>
      </c>
      <c r="J18" s="150">
        <v>666</v>
      </c>
      <c r="K18" s="63">
        <f t="shared" si="5"/>
        <v>265.44115615615613</v>
      </c>
      <c r="L18" s="61">
        <v>77</v>
      </c>
      <c r="M18" s="28">
        <f t="shared" si="1"/>
        <v>0.11561561561561562</v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</f>
        <v>1139</v>
      </c>
      <c r="O18" s="172">
        <f t="shared" si="2"/>
        <v>1.7102102102102101</v>
      </c>
      <c r="P18" s="260">
        <v>23437.55</v>
      </c>
      <c r="Q18" s="89">
        <f t="shared" si="6"/>
        <v>0.13257746849103433</v>
      </c>
      <c r="R18" s="260">
        <v>11850.16</v>
      </c>
      <c r="S18" s="89">
        <f t="shared" si="7"/>
        <v>6.703193012980091E-2</v>
      </c>
      <c r="T18" s="130">
        <v>4427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34" priority="14" operator="equal">
      <formula>0</formula>
    </cfRule>
  </conditionalFormatting>
  <conditionalFormatting sqref="D7:F19">
    <cfRule type="cellIs" dxfId="233" priority="1" operator="equal">
      <formula>0</formula>
    </cfRule>
  </conditionalFormatting>
  <conditionalFormatting sqref="G6:T19">
    <cfRule type="cellIs" dxfId="23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X41"/>
  <sheetViews>
    <sheetView zoomScale="70" zoomScaleNormal="70" workbookViewId="0">
      <pane xSplit="1" topLeftCell="B1" activePane="topRight" state="frozen"/>
      <selection pane="topRight" activeCell="F6" sqref="F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4.6329694723481259E-2</v>
      </c>
      <c r="H2" s="413"/>
      <c r="I2" s="400">
        <f>(((E4-E19-B19)-B4)/E4)</f>
        <v>7.8335466675652499E-2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1803393.1099999999</v>
      </c>
      <c r="C4" s="135">
        <f>SUM(C6:C19)-C14-C19-C10-C9</f>
        <v>1870031.7478260871</v>
      </c>
      <c r="D4" s="142">
        <f>SUM(D6:D19)-D19-D10-D9</f>
        <v>1457956.206521739</v>
      </c>
      <c r="E4" s="270">
        <f>SUM(E6:E19)-E19-E10-E9</f>
        <v>1956669.7478260878</v>
      </c>
      <c r="F4" s="142">
        <f>SUM(F6:F19)-F19-F10-F9</f>
        <v>5483297.8278260874</v>
      </c>
      <c r="G4" s="217">
        <f t="shared" ref="G4:G19" si="0">IFERROR((SUM(E4-C4)/C4),0)</f>
        <v>4.6329694723481259E-2</v>
      </c>
      <c r="H4" s="217">
        <f>IFERROR((SUM(E4-D4)/D4),0)</f>
        <v>0.34206345778666064</v>
      </c>
      <c r="I4" s="217">
        <f>IFERROR((SUM(E4-B4)/E4),0)</f>
        <v>7.8335466675652499E-2</v>
      </c>
      <c r="J4" s="262">
        <f>SUM(J6:J18)</f>
        <v>7566</v>
      </c>
      <c r="K4" s="218">
        <f>AVERAGE(K5:K19)</f>
        <v>220.29641389147946</v>
      </c>
      <c r="L4" s="219">
        <f>SUM(L6:L19)</f>
        <v>66</v>
      </c>
      <c r="M4" s="220">
        <f t="shared" ref="M4:M19" si="1">IFERROR(L4/J4,0)</f>
        <v>8.7232355273592389E-3</v>
      </c>
      <c r="N4" s="221">
        <f>SUM(N6:N19)</f>
        <v>7302</v>
      </c>
      <c r="O4" s="222">
        <f t="shared" ref="O4:O19" si="2">IFERROR(N4/SUM(J4),0)</f>
        <v>0.96510705789056306</v>
      </c>
      <c r="P4" s="249">
        <f>SUM(P6:P19)</f>
        <v>360955.87</v>
      </c>
      <c r="Q4" s="222">
        <f>SUM(P4/E4)</f>
        <v>0.18447460047922323</v>
      </c>
      <c r="R4" s="244">
        <f>SUM(R6:R19)</f>
        <v>270380.18</v>
      </c>
      <c r="S4" s="222">
        <f>SUM(R4/E4)</f>
        <v>0.13818386076669278</v>
      </c>
      <c r="T4" s="257">
        <f>SUM(T6:T19)</f>
        <v>78384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v>208482.78</v>
      </c>
      <c r="C6" s="255">
        <v>222786.17391304349</v>
      </c>
      <c r="D6" s="197">
        <v>165183.5652173913</v>
      </c>
      <c r="E6" s="268">
        <v>253875.9739130435</v>
      </c>
      <c r="F6" s="123">
        <f>427831+E6</f>
        <v>681706.9739130435</v>
      </c>
      <c r="G6" s="162">
        <f t="shared" si="0"/>
        <v>0.13954995255735572</v>
      </c>
      <c r="H6" s="154">
        <f t="shared" ref="H6:H18" si="3">IFERROR((SUM(E6-D6)/D6),0)</f>
        <v>0.53693240352893323</v>
      </c>
      <c r="I6" s="266">
        <f t="shared" ref="I6:I19" si="4">IFERROR((SUM(E6-B6)/B6),0)</f>
        <v>0.21773114265381296</v>
      </c>
      <c r="J6" s="149">
        <v>819</v>
      </c>
      <c r="K6" s="63">
        <f t="shared" ref="K6:K19" si="5">IFERROR(E6/J6,0)</f>
        <v>309.98287413070022</v>
      </c>
      <c r="L6" s="125">
        <v>3</v>
      </c>
      <c r="M6" s="126">
        <f t="shared" si="1"/>
        <v>3.663003663003663E-3</v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</f>
        <v>613</v>
      </c>
      <c r="O6" s="171">
        <f t="shared" si="2"/>
        <v>0.74847374847374848</v>
      </c>
      <c r="P6" s="259">
        <v>37900</v>
      </c>
      <c r="Q6" s="128">
        <f t="shared" ref="Q6:Q19" si="6">SUM(P6/E6)</f>
        <v>0.14928549328965388</v>
      </c>
      <c r="R6" s="260">
        <v>9410</v>
      </c>
      <c r="S6" s="128">
        <f t="shared" ref="S6:S19" si="7">SUM(R6/E6)</f>
        <v>3.7065342793024883E-2</v>
      </c>
      <c r="T6" s="129">
        <v>11094</v>
      </c>
      <c r="U6" s="26"/>
    </row>
    <row r="7" spans="1:24" ht="15.6" customHeight="1" x14ac:dyDescent="0.3">
      <c r="A7" s="409" t="s">
        <v>16</v>
      </c>
      <c r="B7" s="200">
        <v>207551.54</v>
      </c>
      <c r="C7" s="73">
        <v>232321.40869565221</v>
      </c>
      <c r="D7" s="145">
        <v>184483.5217391304</v>
      </c>
      <c r="E7" s="269">
        <v>238583.58260869569</v>
      </c>
      <c r="F7" s="145">
        <f>412265.38+E7</f>
        <v>650848.96260869573</v>
      </c>
      <c r="G7" s="163">
        <f t="shared" si="0"/>
        <v>2.6954786251520698E-2</v>
      </c>
      <c r="H7" s="155">
        <f t="shared" si="3"/>
        <v>0.29325145335237951</v>
      </c>
      <c r="I7" s="263">
        <f t="shared" si="4"/>
        <v>0.14951487523867896</v>
      </c>
      <c r="J7" s="150">
        <v>818</v>
      </c>
      <c r="K7" s="63">
        <f t="shared" si="5"/>
        <v>291.66697140427345</v>
      </c>
      <c r="L7" s="61">
        <v>3</v>
      </c>
      <c r="M7" s="28">
        <f t="shared" si="1"/>
        <v>3.667481662591687E-3</v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</f>
        <v>759</v>
      </c>
      <c r="O7" s="172">
        <f t="shared" si="2"/>
        <v>0.92787286063569685</v>
      </c>
      <c r="P7" s="260">
        <v>44587</v>
      </c>
      <c r="Q7" s="89">
        <f t="shared" si="6"/>
        <v>0.18688209604567707</v>
      </c>
      <c r="R7" s="260">
        <v>24691</v>
      </c>
      <c r="S7" s="89">
        <f t="shared" si="7"/>
        <v>0.10348993727911303</v>
      </c>
      <c r="T7" s="130">
        <v>12204</v>
      </c>
      <c r="U7" s="26"/>
    </row>
    <row r="8" spans="1:24" ht="15.6" customHeight="1" x14ac:dyDescent="0.3">
      <c r="A8" s="409" t="s">
        <v>17</v>
      </c>
      <c r="B8" s="200">
        <v>124702.84</v>
      </c>
      <c r="C8" s="73">
        <v>89875.521739130447</v>
      </c>
      <c r="D8" s="145">
        <v>99311.98260869566</v>
      </c>
      <c r="E8" s="269">
        <v>126222.67826086959</v>
      </c>
      <c r="F8" s="145">
        <f>223358.19+E8</f>
        <v>349580.86826086958</v>
      </c>
      <c r="G8" s="163">
        <f t="shared" si="0"/>
        <v>0.40441664001950539</v>
      </c>
      <c r="H8" s="155">
        <f t="shared" si="3"/>
        <v>0.27097128609551752</v>
      </c>
      <c r="I8" s="263">
        <f t="shared" si="4"/>
        <v>1.2187679613949429E-2</v>
      </c>
      <c r="J8" s="150">
        <v>499</v>
      </c>
      <c r="K8" s="63">
        <f t="shared" si="5"/>
        <v>252.95125903981884</v>
      </c>
      <c r="L8" s="61">
        <v>1</v>
      </c>
      <c r="M8" s="28">
        <f t="shared" si="1"/>
        <v>2.004008016032064E-3</v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</f>
        <v>261</v>
      </c>
      <c r="O8" s="172">
        <f t="shared" si="2"/>
        <v>0.5230460921843687</v>
      </c>
      <c r="P8" s="260">
        <v>62294</v>
      </c>
      <c r="Q8" s="89">
        <f t="shared" si="6"/>
        <v>0.49352462535499708</v>
      </c>
      <c r="R8" s="260">
        <v>18063</v>
      </c>
      <c r="S8" s="89">
        <f t="shared" si="7"/>
        <v>0.14310423648806164</v>
      </c>
      <c r="T8" s="130">
        <v>4246</v>
      </c>
      <c r="U8" s="26"/>
    </row>
    <row r="9" spans="1:24" ht="15.6" hidden="1" customHeight="1" x14ac:dyDescent="0.3">
      <c r="A9" s="409" t="s">
        <v>18</v>
      </c>
      <c r="B9" s="200">
        <v>0</v>
      </c>
      <c r="C9" s="73">
        <v>0</v>
      </c>
      <c r="D9" s="145">
        <v>0</v>
      </c>
      <c r="E9" s="269">
        <v>0</v>
      </c>
      <c r="F9" s="145">
        <f>0+E9</f>
        <v>0</v>
      </c>
      <c r="G9" s="163">
        <f t="shared" si="0"/>
        <v>0</v>
      </c>
      <c r="H9" s="155">
        <f t="shared" si="3"/>
        <v>0</v>
      </c>
      <c r="I9" s="263">
        <f t="shared" si="4"/>
        <v>0</v>
      </c>
      <c r="J9" s="150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130">
        <v>0</v>
      </c>
      <c r="U9" s="26"/>
    </row>
    <row r="10" spans="1:24" ht="15.6" customHeight="1" x14ac:dyDescent="0.3">
      <c r="A10" s="409" t="s">
        <v>20</v>
      </c>
      <c r="B10" s="200">
        <v>150013.85</v>
      </c>
      <c r="C10" s="73">
        <v>172889.5652173913</v>
      </c>
      <c r="D10" s="145">
        <v>122542.3826086957</v>
      </c>
      <c r="E10" s="269">
        <v>184217.4608695652</v>
      </c>
      <c r="F10" s="145">
        <f>301575.47+E10</f>
        <v>485792.93086956517</v>
      </c>
      <c r="G10" s="163">
        <f t="shared" si="0"/>
        <v>6.5520991032224585E-2</v>
      </c>
      <c r="H10" s="155">
        <f t="shared" si="3"/>
        <v>0.5032958960640691</v>
      </c>
      <c r="I10" s="263">
        <f t="shared" si="4"/>
        <v>0.2280030201849042</v>
      </c>
      <c r="J10" s="150">
        <v>605</v>
      </c>
      <c r="K10" s="63">
        <f t="shared" si="5"/>
        <v>304.49167085878543</v>
      </c>
      <c r="L10" s="61">
        <v>10</v>
      </c>
      <c r="M10" s="28">
        <f t="shared" si="1"/>
        <v>1.6528925619834711E-2</v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</f>
        <v>540</v>
      </c>
      <c r="O10" s="172">
        <f t="shared" si="2"/>
        <v>0.8925619834710744</v>
      </c>
      <c r="P10" s="260">
        <v>15998</v>
      </c>
      <c r="Q10" s="89">
        <f t="shared" si="6"/>
        <v>8.6843016533201228E-2</v>
      </c>
      <c r="R10" s="260">
        <v>42053</v>
      </c>
      <c r="S10" s="89">
        <f t="shared" si="7"/>
        <v>0.2282791207820172</v>
      </c>
      <c r="T10" s="130">
        <v>6752</v>
      </c>
      <c r="U10" s="26"/>
    </row>
    <row r="11" spans="1:24" ht="15.6" customHeight="1" x14ac:dyDescent="0.3">
      <c r="A11" s="409" t="s">
        <v>21</v>
      </c>
      <c r="B11" s="200">
        <v>194781.6</v>
      </c>
      <c r="C11" s="73">
        <v>295782.8521739131</v>
      </c>
      <c r="D11" s="145">
        <v>221002.5652173913</v>
      </c>
      <c r="E11" s="269">
        <v>230889.77391304349</v>
      </c>
      <c r="F11" s="145">
        <f>391997.1+E11</f>
        <v>622886.87391304341</v>
      </c>
      <c r="G11" s="163">
        <f t="shared" si="0"/>
        <v>-0.21939432182739943</v>
      </c>
      <c r="H11" s="155">
        <f t="shared" si="3"/>
        <v>4.4737981597302044E-2</v>
      </c>
      <c r="I11" s="263">
        <f t="shared" si="4"/>
        <v>0.18537774570618315</v>
      </c>
      <c r="J11" s="150">
        <v>794</v>
      </c>
      <c r="K11" s="63">
        <f t="shared" si="5"/>
        <v>290.79316613733437</v>
      </c>
      <c r="L11" s="61">
        <v>17</v>
      </c>
      <c r="M11" s="28">
        <f t="shared" si="1"/>
        <v>2.1410579345088162E-2</v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</f>
        <v>1013</v>
      </c>
      <c r="O11" s="172">
        <f t="shared" si="2"/>
        <v>1.2758186397984888</v>
      </c>
      <c r="P11" s="260">
        <v>36746.870000000003</v>
      </c>
      <c r="Q11" s="89">
        <f t="shared" si="6"/>
        <v>0.15915330236253519</v>
      </c>
      <c r="R11" s="260">
        <v>16898.48</v>
      </c>
      <c r="S11" s="89">
        <f t="shared" si="7"/>
        <v>7.3188516379959809E-2</v>
      </c>
      <c r="T11" s="130">
        <v>9122</v>
      </c>
      <c r="U11" s="26"/>
    </row>
    <row r="12" spans="1:24" ht="15.6" customHeight="1" x14ac:dyDescent="0.3">
      <c r="A12" s="198" t="s">
        <v>22</v>
      </c>
      <c r="B12" s="200">
        <v>130813.15</v>
      </c>
      <c r="C12" s="73">
        <v>155166.5217391304</v>
      </c>
      <c r="D12" s="145">
        <v>88183.65</v>
      </c>
      <c r="E12" s="269">
        <v>133779.52173913049</v>
      </c>
      <c r="F12" s="145">
        <f>259165.89+E12</f>
        <v>392945.4117391305</v>
      </c>
      <c r="G12" s="163">
        <f t="shared" si="0"/>
        <v>-0.13783256697573101</v>
      </c>
      <c r="H12" s="155">
        <f t="shared" si="3"/>
        <v>0.51705584583004327</v>
      </c>
      <c r="I12" s="263">
        <f t="shared" si="4"/>
        <v>2.267640324486106E-2</v>
      </c>
      <c r="J12" s="150">
        <v>502</v>
      </c>
      <c r="K12" s="63">
        <f t="shared" si="5"/>
        <v>266.49307119348703</v>
      </c>
      <c r="L12" s="61">
        <v>5</v>
      </c>
      <c r="M12" s="28">
        <f t="shared" si="1"/>
        <v>9.9601593625498006E-3</v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</f>
        <v>675</v>
      </c>
      <c r="O12" s="172">
        <f t="shared" si="2"/>
        <v>1.344621513944223</v>
      </c>
      <c r="P12" s="260">
        <v>15096</v>
      </c>
      <c r="Q12" s="89">
        <f t="shared" si="6"/>
        <v>0.1128423827784131</v>
      </c>
      <c r="R12" s="260">
        <v>17471</v>
      </c>
      <c r="S12" s="89">
        <f t="shared" si="7"/>
        <v>0.13059547360371326</v>
      </c>
      <c r="T12" s="130">
        <v>9915</v>
      </c>
      <c r="U12" s="26"/>
    </row>
    <row r="13" spans="1:24" ht="15.6" customHeight="1" x14ac:dyDescent="0.3">
      <c r="A13" s="198" t="s">
        <v>23</v>
      </c>
      <c r="B13" s="200">
        <v>192037.69</v>
      </c>
      <c r="C13" s="73">
        <v>207016.9130434783</v>
      </c>
      <c r="D13" s="145">
        <v>149053.69565217389</v>
      </c>
      <c r="E13" s="269">
        <v>222605.4782608696</v>
      </c>
      <c r="F13" s="145">
        <f>387393.52+E13</f>
        <v>609998.99826086964</v>
      </c>
      <c r="G13" s="163">
        <f t="shared" si="0"/>
        <v>7.5300925843278035E-2</v>
      </c>
      <c r="H13" s="155">
        <f t="shared" si="3"/>
        <v>0.49345829559525572</v>
      </c>
      <c r="I13" s="263">
        <f t="shared" si="4"/>
        <v>0.15917598394809682</v>
      </c>
      <c r="J13" s="150">
        <v>798</v>
      </c>
      <c r="K13" s="63">
        <f t="shared" si="5"/>
        <v>278.95423340961105</v>
      </c>
      <c r="L13" s="61">
        <v>4</v>
      </c>
      <c r="M13" s="28">
        <f t="shared" si="1"/>
        <v>5.0125313283208017E-3</v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</f>
        <v>895</v>
      </c>
      <c r="O13" s="172">
        <f t="shared" si="2"/>
        <v>1.1215538847117794</v>
      </c>
      <c r="P13" s="260">
        <v>43309</v>
      </c>
      <c r="Q13" s="89">
        <f t="shared" si="6"/>
        <v>0.19455496036466149</v>
      </c>
      <c r="R13" s="260">
        <v>33736</v>
      </c>
      <c r="S13" s="89">
        <f t="shared" si="7"/>
        <v>0.15155062788016857</v>
      </c>
      <c r="T13" s="130">
        <v>5132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269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150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</f>
        <v>0</v>
      </c>
      <c r="O14" s="172">
        <f t="shared" si="2"/>
        <v>0</v>
      </c>
      <c r="P14" s="247"/>
      <c r="Q14" s="89" t="e">
        <f t="shared" si="6"/>
        <v>#DIV/0!</v>
      </c>
      <c r="R14" s="260"/>
      <c r="S14" s="89" t="e">
        <f t="shared" si="7"/>
        <v>#DIV/0!</v>
      </c>
      <c r="T14" s="130"/>
      <c r="U14" s="26"/>
    </row>
    <row r="15" spans="1:24" ht="15.6" customHeight="1" x14ac:dyDescent="0.3">
      <c r="A15" s="198" t="s">
        <v>26</v>
      </c>
      <c r="B15" s="200">
        <v>259704.01</v>
      </c>
      <c r="C15" s="73">
        <v>186666.26086956519</v>
      </c>
      <c r="D15" s="145">
        <v>156007.65217391311</v>
      </c>
      <c r="E15" s="269">
        <v>257898</v>
      </c>
      <c r="F15" s="145">
        <f>477525.48+E15</f>
        <v>735423.48</v>
      </c>
      <c r="G15" s="163">
        <f t="shared" si="0"/>
        <v>0.38159943204845498</v>
      </c>
      <c r="H15" s="155">
        <f t="shared" si="3"/>
        <v>0.65311121862472665</v>
      </c>
      <c r="I15" s="263">
        <f t="shared" si="4"/>
        <v>-6.9541090258868517E-3</v>
      </c>
      <c r="J15" s="150">
        <v>861</v>
      </c>
      <c r="K15" s="63">
        <f t="shared" si="5"/>
        <v>299.53310104529618</v>
      </c>
      <c r="L15" s="61">
        <v>7</v>
      </c>
      <c r="M15" s="28">
        <f t="shared" si="1"/>
        <v>8.130081300813009E-3</v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</f>
        <v>425</v>
      </c>
      <c r="O15" s="172">
        <f t="shared" si="2"/>
        <v>0.49361207897793263</v>
      </c>
      <c r="P15" s="260">
        <v>0</v>
      </c>
      <c r="Q15" s="89">
        <f t="shared" si="6"/>
        <v>0</v>
      </c>
      <c r="R15" s="260">
        <v>27691</v>
      </c>
      <c r="S15" s="89">
        <f t="shared" si="7"/>
        <v>0.1073719067228129</v>
      </c>
      <c r="T15" s="130">
        <v>2313</v>
      </c>
      <c r="U15" s="9"/>
    </row>
    <row r="16" spans="1:24" ht="15.6" customHeight="1" x14ac:dyDescent="0.3">
      <c r="A16" s="198" t="s">
        <v>27</v>
      </c>
      <c r="B16" s="200">
        <v>137113.72</v>
      </c>
      <c r="C16" s="73">
        <v>120537</v>
      </c>
      <c r="D16" s="145">
        <v>102794.6086956522</v>
      </c>
      <c r="E16" s="269">
        <v>142871.24347826091</v>
      </c>
      <c r="F16" s="145">
        <f>258556.16+E16</f>
        <v>401427.40347826091</v>
      </c>
      <c r="G16" s="163">
        <f t="shared" si="0"/>
        <v>0.18528952502767537</v>
      </c>
      <c r="H16" s="155">
        <f t="shared" si="3"/>
        <v>0.38987097953030858</v>
      </c>
      <c r="I16" s="263">
        <f t="shared" si="4"/>
        <v>4.1990863337825743E-2</v>
      </c>
      <c r="J16" s="150">
        <v>562</v>
      </c>
      <c r="K16" s="63">
        <f t="shared" si="5"/>
        <v>254.21929444530412</v>
      </c>
      <c r="L16" s="61">
        <v>2</v>
      </c>
      <c r="M16" s="28">
        <f t="shared" si="1"/>
        <v>3.5587188612099642E-3</v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</f>
        <v>389</v>
      </c>
      <c r="O16" s="172">
        <f t="shared" si="2"/>
        <v>0.69217081850533813</v>
      </c>
      <c r="P16" s="260">
        <v>38281</v>
      </c>
      <c r="Q16" s="89">
        <f t="shared" si="6"/>
        <v>0.2679405531024498</v>
      </c>
      <c r="R16" s="260">
        <v>31354</v>
      </c>
      <c r="S16" s="89">
        <f t="shared" si="7"/>
        <v>0.21945633870521175</v>
      </c>
      <c r="T16" s="130">
        <v>5539</v>
      </c>
      <c r="U16" s="9"/>
      <c r="X16" s="238"/>
    </row>
    <row r="17" spans="1:21" ht="15.6" customHeight="1" x14ac:dyDescent="0.3">
      <c r="A17" s="198" t="s">
        <v>28</v>
      </c>
      <c r="B17" s="200">
        <v>171421.97</v>
      </c>
      <c r="C17" s="73">
        <v>194446.347826087</v>
      </c>
      <c r="D17" s="145">
        <v>154232.38260869571</v>
      </c>
      <c r="E17" s="269">
        <v>170930.7304347826</v>
      </c>
      <c r="F17" s="145">
        <f>345287.55+E17</f>
        <v>516218.28043478262</v>
      </c>
      <c r="G17" s="163">
        <f t="shared" si="0"/>
        <v>-0.12093627704613302</v>
      </c>
      <c r="H17" s="155">
        <f t="shared" si="3"/>
        <v>0.10826745683137377</v>
      </c>
      <c r="I17" s="263">
        <f t="shared" si="4"/>
        <v>-2.8656744827830517E-3</v>
      </c>
      <c r="J17" s="150">
        <v>653</v>
      </c>
      <c r="K17" s="63">
        <f t="shared" si="5"/>
        <v>261.76222118649707</v>
      </c>
      <c r="L17" s="61">
        <v>3</v>
      </c>
      <c r="M17" s="28">
        <f t="shared" si="1"/>
        <v>4.5941807044410417E-3</v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</f>
        <v>582</v>
      </c>
      <c r="O17" s="172">
        <f t="shared" si="2"/>
        <v>0.89127105666156203</v>
      </c>
      <c r="P17" s="260">
        <v>50025</v>
      </c>
      <c r="Q17" s="89">
        <f t="shared" si="6"/>
        <v>0.2926624128543503</v>
      </c>
      <c r="R17" s="260">
        <v>20615.7</v>
      </c>
      <c r="S17" s="89">
        <f t="shared" si="7"/>
        <v>0.12060850584070823</v>
      </c>
      <c r="T17" s="130">
        <v>6476</v>
      </c>
      <c r="U17" s="9"/>
    </row>
    <row r="18" spans="1:21" ht="15.6" customHeight="1" x14ac:dyDescent="0.3">
      <c r="A18" s="198" t="s">
        <v>33</v>
      </c>
      <c r="B18" s="200">
        <v>176783.81</v>
      </c>
      <c r="C18" s="73">
        <v>165432.747826087</v>
      </c>
      <c r="D18" s="73">
        <v>137702.58260869569</v>
      </c>
      <c r="E18" s="269">
        <v>179012.76521739131</v>
      </c>
      <c r="F18" s="145">
        <f>343247.81+E18</f>
        <v>522260.57521739131</v>
      </c>
      <c r="G18" s="163">
        <f t="shared" si="0"/>
        <v>8.2087842762428476E-2</v>
      </c>
      <c r="H18" s="155">
        <f t="shared" si="3"/>
        <v>0.29999569961650774</v>
      </c>
      <c r="I18" s="263">
        <f t="shared" si="4"/>
        <v>1.2608367346485579E-2</v>
      </c>
      <c r="J18" s="150">
        <v>655</v>
      </c>
      <c r="K18" s="63">
        <f t="shared" si="5"/>
        <v>273.30193162960506</v>
      </c>
      <c r="L18" s="61">
        <v>11</v>
      </c>
      <c r="M18" s="28">
        <f t="shared" si="1"/>
        <v>1.6793893129770993E-2</v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</f>
        <v>1150</v>
      </c>
      <c r="O18" s="172">
        <f t="shared" si="2"/>
        <v>1.7557251908396947</v>
      </c>
      <c r="P18" s="260">
        <v>16719</v>
      </c>
      <c r="Q18" s="89">
        <f t="shared" si="6"/>
        <v>9.3395574218948091E-2</v>
      </c>
      <c r="R18" s="260">
        <v>28397</v>
      </c>
      <c r="S18" s="89">
        <f t="shared" si="7"/>
        <v>0.15863114546895563</v>
      </c>
      <c r="T18" s="130">
        <v>5591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31" priority="14" operator="equal">
      <formula>0</formula>
    </cfRule>
  </conditionalFormatting>
  <conditionalFormatting sqref="D7:F19">
    <cfRule type="cellIs" dxfId="230" priority="1" operator="equal">
      <formula>0</formula>
    </cfRule>
  </conditionalFormatting>
  <conditionalFormatting sqref="G6:T19">
    <cfRule type="cellIs" dxfId="229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X41"/>
  <sheetViews>
    <sheetView zoomScale="70" zoomScaleNormal="70" workbookViewId="0">
      <pane xSplit="1" topLeftCell="B1" activePane="topRight" state="frozen"/>
      <selection pane="topRight" activeCell="E11" sqref="E11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4.9685366187993636E-2</v>
      </c>
      <c r="H2" s="413"/>
      <c r="I2" s="400">
        <f>(((E4-E19-B19)-B4)/E4)</f>
        <v>3.1968355210082958E-3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1956669.7478260878</v>
      </c>
      <c r="C4" s="135">
        <f>SUM(C6:C19)-C14-C19-C10-C9</f>
        <v>1870031.7478260871</v>
      </c>
      <c r="D4" s="142">
        <f>SUM(D6:D19)-D19-D10-D9</f>
        <v>1457956.206521739</v>
      </c>
      <c r="E4" s="270">
        <f>SUM(E6:E19)-E19-E10-E9</f>
        <v>1962944.96</v>
      </c>
      <c r="F4" s="142">
        <f>SUM(F6:F19)-F19-F10-F9</f>
        <v>7434592.8000000007</v>
      </c>
      <c r="G4" s="217">
        <f t="shared" ref="G4:G19" si="0">IFERROR((SUM(E4-C4)/C4),0)</f>
        <v>4.9685366187993636E-2</v>
      </c>
      <c r="H4" s="217">
        <f>IFERROR((SUM(E4-D4)/D4),0)</f>
        <v>0.34636757346986285</v>
      </c>
      <c r="I4" s="217">
        <f>IFERROR((SUM(E4-B4)/E4),0)</f>
        <v>3.1968355210082958E-3</v>
      </c>
      <c r="J4" s="262">
        <f>SUM(J6:J18)</f>
        <v>7377</v>
      </c>
      <c r="K4" s="218">
        <f>AVERAGE(K5:K19)</f>
        <v>223.48417039867789</v>
      </c>
      <c r="L4" s="219">
        <f>SUM(L6:L19)</f>
        <v>73</v>
      </c>
      <c r="M4" s="220">
        <f t="shared" ref="M4:M19" si="1">IFERROR(L4/J4,0)</f>
        <v>9.8956215263657308E-3</v>
      </c>
      <c r="N4" s="221">
        <f>SUM(N6:N19)</f>
        <v>7375</v>
      </c>
      <c r="O4" s="222">
        <f t="shared" ref="O4:O19" si="2">IFERROR(N4/SUM(J4),0)</f>
        <v>0.99972888708146945</v>
      </c>
      <c r="P4" s="249">
        <f>SUM(P6:P19)</f>
        <v>400667.04</v>
      </c>
      <c r="Q4" s="222">
        <f>SUM(P4/E4)</f>
        <v>0.2041152697424588</v>
      </c>
      <c r="R4" s="244">
        <f>SUM(R6:R19)</f>
        <v>263115.58999999997</v>
      </c>
      <c r="S4" s="222">
        <f>SUM(R4/E4)</f>
        <v>0.13404124688243932</v>
      </c>
      <c r="T4" s="257">
        <f>SUM(T6:T19)</f>
        <v>71652.88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v>253875.9739130435</v>
      </c>
      <c r="C6" s="255">
        <v>222786.17391304349</v>
      </c>
      <c r="D6" s="197">
        <v>165183.5652173913</v>
      </c>
      <c r="E6" s="145">
        <v>239048.72</v>
      </c>
      <c r="F6" s="123">
        <v>920756.1</v>
      </c>
      <c r="G6" s="162">
        <f t="shared" si="0"/>
        <v>7.2996208881903099E-2</v>
      </c>
      <c r="H6" s="154">
        <f t="shared" ref="H6:H18" si="3">IFERROR((SUM(E6-D6)/D6),0)</f>
        <v>0.44717012061943218</v>
      </c>
      <c r="I6" s="266">
        <f t="shared" ref="I6:I19" si="4">IFERROR((SUM(E6-B6)/B6),0)</f>
        <v>-5.8403533365162276E-2</v>
      </c>
      <c r="J6" s="273">
        <v>755</v>
      </c>
      <c r="K6" s="63">
        <f t="shared" ref="K6:K19" si="5">IFERROR(E6/J6,0)</f>
        <v>316.62082119205297</v>
      </c>
      <c r="L6" s="125">
        <v>10</v>
      </c>
      <c r="M6" s="126">
        <f t="shared" si="1"/>
        <v>1.3245033112582781E-2</v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</f>
        <v>623</v>
      </c>
      <c r="O6" s="171">
        <f t="shared" si="2"/>
        <v>0.8251655629139073</v>
      </c>
      <c r="P6" s="260">
        <v>35710.870000000003</v>
      </c>
      <c r="Q6" s="128">
        <f t="shared" ref="Q6:Q19" si="6">SUM(P6/E6)</f>
        <v>0.14938741357828647</v>
      </c>
      <c r="R6" s="260">
        <v>15598.77</v>
      </c>
      <c r="S6" s="128">
        <f t="shared" ref="S6:S19" si="7">SUM(R6/E6)</f>
        <v>6.5253518194952065E-2</v>
      </c>
      <c r="T6" s="260">
        <v>5641.2</v>
      </c>
      <c r="U6" s="26"/>
    </row>
    <row r="7" spans="1:24" ht="15.6" customHeight="1" x14ac:dyDescent="0.3">
      <c r="A7" s="409" t="s">
        <v>16</v>
      </c>
      <c r="B7" s="200">
        <v>238583.58260869569</v>
      </c>
      <c r="C7" s="73">
        <v>232321.40869565221</v>
      </c>
      <c r="D7" s="145">
        <v>184483.5217391304</v>
      </c>
      <c r="E7" s="145">
        <v>243180.16</v>
      </c>
      <c r="F7" s="145">
        <v>894029.3</v>
      </c>
      <c r="G7" s="163">
        <f t="shared" si="0"/>
        <v>4.6740209459443641E-2</v>
      </c>
      <c r="H7" s="155">
        <f t="shared" si="3"/>
        <v>0.31816737726781796</v>
      </c>
      <c r="I7" s="263">
        <f t="shared" si="4"/>
        <v>1.9266109348534764E-2</v>
      </c>
      <c r="J7" s="273">
        <v>834</v>
      </c>
      <c r="K7" s="63">
        <f t="shared" si="5"/>
        <v>291.58292565947244</v>
      </c>
      <c r="L7" s="61">
        <v>3</v>
      </c>
      <c r="M7" s="28">
        <f t="shared" si="1"/>
        <v>3.5971223021582736E-3</v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</f>
        <v>762</v>
      </c>
      <c r="O7" s="172">
        <f t="shared" si="2"/>
        <v>0.91366906474820142</v>
      </c>
      <c r="P7" s="260">
        <v>49641.38</v>
      </c>
      <c r="Q7" s="89">
        <f t="shared" si="6"/>
        <v>0.20413416949803798</v>
      </c>
      <c r="R7" s="260">
        <v>28050.75</v>
      </c>
      <c r="S7" s="89">
        <f t="shared" si="7"/>
        <v>0.11534966503846367</v>
      </c>
      <c r="T7" s="260">
        <v>11816.98</v>
      </c>
      <c r="U7" s="26"/>
    </row>
    <row r="8" spans="1:24" ht="15.6" customHeight="1" x14ac:dyDescent="0.3">
      <c r="A8" s="409" t="s">
        <v>17</v>
      </c>
      <c r="B8" s="200">
        <v>126222.67826086959</v>
      </c>
      <c r="C8" s="73">
        <v>89875.521739130447</v>
      </c>
      <c r="D8" s="145">
        <v>99311.98260869566</v>
      </c>
      <c r="E8" s="145">
        <v>135782.1</v>
      </c>
      <c r="F8" s="145">
        <v>473722.6</v>
      </c>
      <c r="G8" s="163">
        <f t="shared" si="0"/>
        <v>0.51077954678378823</v>
      </c>
      <c r="H8" s="155">
        <f t="shared" si="3"/>
        <v>0.36722776480056957</v>
      </c>
      <c r="I8" s="263">
        <f t="shared" si="4"/>
        <v>7.5734581699918951E-2</v>
      </c>
      <c r="J8" s="273">
        <v>534</v>
      </c>
      <c r="K8" s="63">
        <f t="shared" si="5"/>
        <v>254.27359550561798</v>
      </c>
      <c r="L8" s="61">
        <v>1</v>
      </c>
      <c r="M8" s="28">
        <f t="shared" si="1"/>
        <v>1.8726591760299626E-3</v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</f>
        <v>262</v>
      </c>
      <c r="O8" s="172">
        <f t="shared" si="2"/>
        <v>0.49063670411985016</v>
      </c>
      <c r="P8" s="260">
        <v>77794.91</v>
      </c>
      <c r="Q8" s="89">
        <f t="shared" si="6"/>
        <v>0.57293936387786015</v>
      </c>
      <c r="R8" s="260">
        <v>14877.52</v>
      </c>
      <c r="S8" s="89">
        <f t="shared" si="7"/>
        <v>0.10956908163889055</v>
      </c>
      <c r="T8" s="260">
        <v>3864.75</v>
      </c>
      <c r="U8" s="26"/>
    </row>
    <row r="9" spans="1:24" ht="15.6" hidden="1" customHeight="1" x14ac:dyDescent="0.3">
      <c r="A9" s="409" t="s">
        <v>18</v>
      </c>
      <c r="B9" s="200">
        <v>0</v>
      </c>
      <c r="C9" s="73">
        <v>0</v>
      </c>
      <c r="D9" s="145">
        <v>0</v>
      </c>
      <c r="E9" s="145">
        <v>0</v>
      </c>
      <c r="F9" s="145">
        <f>0+E9</f>
        <v>0</v>
      </c>
      <c r="G9" s="163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60">
        <v>0</v>
      </c>
      <c r="U9" s="26"/>
    </row>
    <row r="10" spans="1:24" ht="15.6" customHeight="1" x14ac:dyDescent="0.3">
      <c r="A10" s="409" t="s">
        <v>20</v>
      </c>
      <c r="B10" s="200">
        <v>184217.4608695652</v>
      </c>
      <c r="C10" s="73">
        <v>172889.5652173913</v>
      </c>
      <c r="D10" s="145">
        <v>122542.3826086957</v>
      </c>
      <c r="E10" s="145">
        <v>146542.06</v>
      </c>
      <c r="F10" s="145">
        <v>632335.1</v>
      </c>
      <c r="G10" s="163">
        <f t="shared" si="0"/>
        <v>-0.15239499957248404</v>
      </c>
      <c r="H10" s="155">
        <f t="shared" si="3"/>
        <v>0.19584797423060113</v>
      </c>
      <c r="I10" s="263">
        <f t="shared" si="4"/>
        <v>-0.2045159057763867</v>
      </c>
      <c r="J10" s="273">
        <v>525</v>
      </c>
      <c r="K10" s="63">
        <f t="shared" si="5"/>
        <v>279.12773333333331</v>
      </c>
      <c r="L10" s="61">
        <v>4</v>
      </c>
      <c r="M10" s="28">
        <f t="shared" si="1"/>
        <v>7.619047619047619E-3</v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</f>
        <v>544</v>
      </c>
      <c r="O10" s="172">
        <f t="shared" si="2"/>
        <v>1.0361904761904761</v>
      </c>
      <c r="P10" s="260">
        <v>41416.28</v>
      </c>
      <c r="Q10" s="89">
        <f t="shared" si="6"/>
        <v>0.28262384191951445</v>
      </c>
      <c r="R10" s="260">
        <v>9968.9</v>
      </c>
      <c r="S10" s="89">
        <f t="shared" si="7"/>
        <v>6.8027568330894211E-2</v>
      </c>
      <c r="T10" s="260">
        <v>5516.5</v>
      </c>
      <c r="U10" s="26"/>
    </row>
    <row r="11" spans="1:24" ht="15.6" customHeight="1" x14ac:dyDescent="0.3">
      <c r="A11" s="409" t="s">
        <v>21</v>
      </c>
      <c r="B11" s="200">
        <v>230889.77391304349</v>
      </c>
      <c r="C11" s="73">
        <v>295782.8521739131</v>
      </c>
      <c r="D11" s="145">
        <v>221002.5652173913</v>
      </c>
      <c r="E11" s="145">
        <v>232444.11</v>
      </c>
      <c r="F11" s="145">
        <v>855331.3</v>
      </c>
      <c r="G11" s="163">
        <f t="shared" si="0"/>
        <v>-0.21413933129791946</v>
      </c>
      <c r="H11" s="155">
        <f t="shared" si="3"/>
        <v>5.1771094925319547E-2</v>
      </c>
      <c r="I11" s="263">
        <f t="shared" si="4"/>
        <v>6.7319399236012902E-3</v>
      </c>
      <c r="J11" s="273">
        <v>763</v>
      </c>
      <c r="K11" s="63">
        <f t="shared" si="5"/>
        <v>304.64496723460024</v>
      </c>
      <c r="L11" s="61">
        <v>6</v>
      </c>
      <c r="M11" s="28">
        <f t="shared" si="1"/>
        <v>7.8636959370904317E-3</v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</f>
        <v>1019</v>
      </c>
      <c r="O11" s="172">
        <f t="shared" si="2"/>
        <v>1.3355176933158583</v>
      </c>
      <c r="P11" s="260">
        <v>28023.05</v>
      </c>
      <c r="Q11" s="89">
        <f t="shared" si="6"/>
        <v>0.12055822795423812</v>
      </c>
      <c r="R11" s="260">
        <v>45284.1</v>
      </c>
      <c r="S11" s="89">
        <f t="shared" si="7"/>
        <v>0.19481715411072364</v>
      </c>
      <c r="T11" s="260">
        <v>11790.05</v>
      </c>
      <c r="U11" s="26"/>
    </row>
    <row r="12" spans="1:24" ht="15.6" customHeight="1" x14ac:dyDescent="0.3">
      <c r="A12" s="198" t="s">
        <v>22</v>
      </c>
      <c r="B12" s="200">
        <v>133779.52173913049</v>
      </c>
      <c r="C12" s="73">
        <v>155166.5217391304</v>
      </c>
      <c r="D12" s="145">
        <v>88183.65</v>
      </c>
      <c r="E12" s="145">
        <v>131242.26999999999</v>
      </c>
      <c r="F12" s="145">
        <v>524144.4</v>
      </c>
      <c r="G12" s="163">
        <f t="shared" si="0"/>
        <v>-0.15418436574451561</v>
      </c>
      <c r="H12" s="155">
        <f t="shared" si="3"/>
        <v>0.48828348565748864</v>
      </c>
      <c r="I12" s="263">
        <f t="shared" si="4"/>
        <v>-1.8965920240604024E-2</v>
      </c>
      <c r="J12" s="273">
        <v>472</v>
      </c>
      <c r="K12" s="63">
        <f t="shared" si="5"/>
        <v>278.05565677966098</v>
      </c>
      <c r="L12" s="61">
        <v>0</v>
      </c>
      <c r="M12" s="28">
        <f t="shared" si="1"/>
        <v>0</v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</f>
        <v>675</v>
      </c>
      <c r="O12" s="172">
        <f t="shared" si="2"/>
        <v>1.4300847457627119</v>
      </c>
      <c r="P12" s="260">
        <v>18954.419999999998</v>
      </c>
      <c r="Q12" s="89">
        <f t="shared" si="6"/>
        <v>0.14442313440631588</v>
      </c>
      <c r="R12" s="260">
        <v>26314.05</v>
      </c>
      <c r="S12" s="89">
        <f t="shared" si="7"/>
        <v>0.20049980848395874</v>
      </c>
      <c r="T12" s="260">
        <v>7936</v>
      </c>
      <c r="U12" s="26"/>
    </row>
    <row r="13" spans="1:24" ht="15.6" customHeight="1" x14ac:dyDescent="0.3">
      <c r="A13" s="198" t="s">
        <v>23</v>
      </c>
      <c r="B13" s="200">
        <v>222605.4782608696</v>
      </c>
      <c r="C13" s="73">
        <v>207016.9130434783</v>
      </c>
      <c r="D13" s="145">
        <v>149053.69565217389</v>
      </c>
      <c r="E13" s="145">
        <v>220664.45</v>
      </c>
      <c r="F13" s="145">
        <v>830642</v>
      </c>
      <c r="G13" s="163">
        <f t="shared" si="0"/>
        <v>6.5924743809001804E-2</v>
      </c>
      <c r="H13" s="155">
        <f t="shared" si="3"/>
        <v>0.48043595319457416</v>
      </c>
      <c r="I13" s="263">
        <f t="shared" si="4"/>
        <v>-8.71958891593364E-3</v>
      </c>
      <c r="J13" s="273">
        <v>805</v>
      </c>
      <c r="K13" s="63">
        <f t="shared" si="5"/>
        <v>274.11732919254661</v>
      </c>
      <c r="L13" s="61">
        <v>10</v>
      </c>
      <c r="M13" s="28">
        <f t="shared" si="1"/>
        <v>1.2422360248447204E-2</v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</f>
        <v>905</v>
      </c>
      <c r="O13" s="172">
        <f t="shared" si="2"/>
        <v>1.1242236024844721</v>
      </c>
      <c r="P13" s="260">
        <v>41436.25</v>
      </c>
      <c r="Q13" s="89">
        <f t="shared" si="6"/>
        <v>0.18777945428001655</v>
      </c>
      <c r="R13" s="260">
        <v>21298.6</v>
      </c>
      <c r="S13" s="89">
        <f t="shared" si="7"/>
        <v>9.6520304924513203E-2</v>
      </c>
      <c r="T13" s="260">
        <v>5995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60"/>
      <c r="U14" s="26"/>
    </row>
    <row r="15" spans="1:24" ht="15.6" customHeight="1" x14ac:dyDescent="0.3">
      <c r="A15" s="198" t="s">
        <v>26</v>
      </c>
      <c r="B15" s="200">
        <v>257898</v>
      </c>
      <c r="C15" s="73">
        <v>186666.26086956519</v>
      </c>
      <c r="D15" s="145">
        <v>156007.65217391311</v>
      </c>
      <c r="E15" s="145">
        <v>243303.6</v>
      </c>
      <c r="F15" s="145">
        <v>978727.7</v>
      </c>
      <c r="G15" s="163">
        <f t="shared" si="0"/>
        <v>0.30341497636796128</v>
      </c>
      <c r="H15" s="155">
        <f t="shared" si="3"/>
        <v>0.5595619612861793</v>
      </c>
      <c r="I15" s="263">
        <f t="shared" si="4"/>
        <v>-5.6589814577856341E-2</v>
      </c>
      <c r="J15" s="273">
        <v>850</v>
      </c>
      <c r="K15" s="63">
        <f t="shared" si="5"/>
        <v>286.23952941176469</v>
      </c>
      <c r="L15" s="61">
        <v>17</v>
      </c>
      <c r="M15" s="28">
        <f t="shared" si="1"/>
        <v>0.02</v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</f>
        <v>442</v>
      </c>
      <c r="O15" s="172">
        <f t="shared" si="2"/>
        <v>0.52</v>
      </c>
      <c r="P15" s="260">
        <v>0</v>
      </c>
      <c r="Q15" s="89">
        <f t="shared" si="6"/>
        <v>0</v>
      </c>
      <c r="R15" s="260">
        <v>30622.5</v>
      </c>
      <c r="S15" s="89">
        <f t="shared" si="7"/>
        <v>0.12586126962363073</v>
      </c>
      <c r="T15" s="260">
        <v>2806.4</v>
      </c>
      <c r="U15" s="9"/>
    </row>
    <row r="16" spans="1:24" ht="15.6" customHeight="1" x14ac:dyDescent="0.3">
      <c r="A16" s="198" t="s">
        <v>27</v>
      </c>
      <c r="B16" s="200">
        <v>142871.24347826091</v>
      </c>
      <c r="C16" s="73">
        <v>120537</v>
      </c>
      <c r="D16" s="145">
        <v>102794.6086956522</v>
      </c>
      <c r="E16" s="145">
        <v>152682.18</v>
      </c>
      <c r="F16" s="145">
        <v>554132.6</v>
      </c>
      <c r="G16" s="163">
        <f t="shared" si="0"/>
        <v>0.26668309315811739</v>
      </c>
      <c r="H16" s="155">
        <f t="shared" si="3"/>
        <v>0.48531311065205535</v>
      </c>
      <c r="I16" s="263">
        <f t="shared" si="4"/>
        <v>6.866977764655563E-2</v>
      </c>
      <c r="J16" s="273">
        <v>535</v>
      </c>
      <c r="K16" s="63">
        <f t="shared" si="5"/>
        <v>285.38725233644857</v>
      </c>
      <c r="L16" s="61">
        <v>7</v>
      </c>
      <c r="M16" s="28">
        <f t="shared" si="1"/>
        <v>1.3084112149532711E-2</v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</f>
        <v>396</v>
      </c>
      <c r="O16" s="172">
        <f t="shared" si="2"/>
        <v>0.74018691588785046</v>
      </c>
      <c r="P16" s="260">
        <v>39266.25</v>
      </c>
      <c r="Q16" s="89">
        <f t="shared" si="6"/>
        <v>0.25717637775410335</v>
      </c>
      <c r="R16" s="260">
        <v>27748.3</v>
      </c>
      <c r="S16" s="89">
        <f t="shared" si="7"/>
        <v>0.18173895604582016</v>
      </c>
      <c r="T16" s="260">
        <v>6842.5</v>
      </c>
      <c r="U16" s="9"/>
      <c r="X16" s="238"/>
    </row>
    <row r="17" spans="1:21" ht="15.6" customHeight="1" x14ac:dyDescent="0.3">
      <c r="A17" s="198" t="s">
        <v>28</v>
      </c>
      <c r="B17" s="200">
        <v>170930.7304347826</v>
      </c>
      <c r="C17" s="73">
        <v>194446.347826087</v>
      </c>
      <c r="D17" s="145">
        <v>154232.38260869571</v>
      </c>
      <c r="E17" s="145">
        <v>205896.16</v>
      </c>
      <c r="F17" s="145">
        <v>722144.6</v>
      </c>
      <c r="G17" s="163">
        <f t="shared" si="0"/>
        <v>5.8884171916428703E-2</v>
      </c>
      <c r="H17" s="155">
        <f t="shared" si="3"/>
        <v>0.33497360617439786</v>
      </c>
      <c r="I17" s="263">
        <f t="shared" si="4"/>
        <v>0.2045590601308418</v>
      </c>
      <c r="J17" s="273">
        <v>732</v>
      </c>
      <c r="K17" s="63">
        <f t="shared" si="5"/>
        <v>281.27890710382513</v>
      </c>
      <c r="L17" s="61">
        <v>7</v>
      </c>
      <c r="M17" s="28">
        <f t="shared" si="1"/>
        <v>9.562841530054645E-3</v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</f>
        <v>589</v>
      </c>
      <c r="O17" s="172">
        <f t="shared" si="2"/>
        <v>0.80464480874316935</v>
      </c>
      <c r="P17" s="260">
        <v>51091.8</v>
      </c>
      <c r="Q17" s="89">
        <f t="shared" si="6"/>
        <v>0.24814353021445373</v>
      </c>
      <c r="R17" s="260">
        <v>31416.1</v>
      </c>
      <c r="S17" s="89">
        <f t="shared" si="7"/>
        <v>0.1525822531124427</v>
      </c>
      <c r="T17" s="260">
        <v>4998</v>
      </c>
      <c r="U17" s="9"/>
    </row>
    <row r="18" spans="1:21" ht="15.6" customHeight="1" x14ac:dyDescent="0.3">
      <c r="A18" s="198" t="s">
        <v>33</v>
      </c>
      <c r="B18" s="200">
        <v>179012.76521739131</v>
      </c>
      <c r="C18" s="73">
        <v>165432.747826087</v>
      </c>
      <c r="D18" s="73">
        <v>137702.58260869569</v>
      </c>
      <c r="E18" s="145">
        <v>158701.21</v>
      </c>
      <c r="F18" s="145">
        <v>680962.2</v>
      </c>
      <c r="G18" s="163">
        <f t="shared" si="0"/>
        <v>-4.0690479451889472E-2</v>
      </c>
      <c r="H18" s="155">
        <f t="shared" si="3"/>
        <v>0.15249261846435599</v>
      </c>
      <c r="I18" s="263">
        <f t="shared" si="4"/>
        <v>-0.11346428391698864</v>
      </c>
      <c r="J18" s="273">
        <v>572</v>
      </c>
      <c r="K18" s="63">
        <f t="shared" si="5"/>
        <v>277.44966783216779</v>
      </c>
      <c r="L18" s="61">
        <v>8</v>
      </c>
      <c r="M18" s="28">
        <f t="shared" si="1"/>
        <v>1.3986013986013986E-2</v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</f>
        <v>1158</v>
      </c>
      <c r="O18" s="172">
        <f t="shared" si="2"/>
        <v>2.0244755244755246</v>
      </c>
      <c r="P18" s="260">
        <v>17331.830000000002</v>
      </c>
      <c r="Q18" s="89">
        <f t="shared" si="6"/>
        <v>0.10921044647359653</v>
      </c>
      <c r="R18" s="260">
        <v>11936</v>
      </c>
      <c r="S18" s="89">
        <f t="shared" si="7"/>
        <v>7.5210516668398439E-2</v>
      </c>
      <c r="T18" s="260">
        <v>4445.5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28" priority="19" operator="equal">
      <formula>0</formula>
    </cfRule>
  </conditionalFormatting>
  <conditionalFormatting sqref="D7:D19">
    <cfRule type="cellIs" dxfId="227" priority="8" operator="equal">
      <formula>0</formula>
    </cfRule>
  </conditionalFormatting>
  <conditionalFormatting sqref="E6:E18">
    <cfRule type="cellIs" dxfId="226" priority="5" operator="equal">
      <formula>0</formula>
    </cfRule>
  </conditionalFormatting>
  <conditionalFormatting sqref="E19:F19">
    <cfRule type="cellIs" dxfId="225" priority="18" operator="equal">
      <formula>0</formula>
    </cfRule>
  </conditionalFormatting>
  <conditionalFormatting sqref="F7:F18">
    <cfRule type="cellIs" dxfId="224" priority="6" operator="equal">
      <formula>0</formula>
    </cfRule>
  </conditionalFormatting>
  <conditionalFormatting sqref="G6:T19">
    <cfRule type="cellIs" dxfId="22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1.9019797748802095E-2</v>
      </c>
      <c r="H2" s="413"/>
      <c r="I2" s="400">
        <f>(((E4-E19-B19)-B4)/E4)</f>
        <v>-4.6204282822071556E-2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1962944.96</v>
      </c>
      <c r="C4" s="135">
        <f>SUM(C6:C19)-C14-C19-C10-C9</f>
        <v>1841234.09</v>
      </c>
      <c r="D4" s="142">
        <f>SUM(D6:D19)-D19-D10-D9</f>
        <v>1666890.6100000006</v>
      </c>
      <c r="E4" s="270">
        <f>SUM(E6:E19)-E19-E10-E9</f>
        <v>1876253.9899999998</v>
      </c>
      <c r="F4" s="142">
        <f>SUM(F6:F19)-F19-F10-F9</f>
        <v>1717036.0599999996</v>
      </c>
      <c r="G4" s="217">
        <f t="shared" ref="G4:G19" si="0">IFERROR((SUM(E4-C4)/C4),0)</f>
        <v>1.9019797748802095E-2</v>
      </c>
      <c r="H4" s="217">
        <f>IFERROR((SUM(E4-D4)/D4),0)</f>
        <v>0.12560115147568029</v>
      </c>
      <c r="I4" s="217">
        <f>IFERROR((SUM(E4-B4)/E4),0)</f>
        <v>-4.6204282822071556E-2</v>
      </c>
      <c r="J4" s="262">
        <f>SUM(J6:J18)</f>
        <v>7202</v>
      </c>
      <c r="K4" s="218">
        <f>AVERAGE(K5:K19)</f>
        <v>222.25966122436097</v>
      </c>
      <c r="L4" s="219">
        <f>SUM(L6:L19)</f>
        <v>86</v>
      </c>
      <c r="M4" s="220">
        <f t="shared" ref="M4:M19" si="1">IFERROR(L4/J4,0)</f>
        <v>1.1941127464593169E-2</v>
      </c>
      <c r="N4" s="221">
        <f>SUM(N6:N19)</f>
        <v>7461</v>
      </c>
      <c r="O4" s="222">
        <f t="shared" ref="O4:O19" si="2">IFERROR(N4/SUM(J4),0)</f>
        <v>1.0359622327131353</v>
      </c>
      <c r="P4" s="249">
        <f>SUM(P6:P19)</f>
        <v>437113.72</v>
      </c>
      <c r="Q4" s="222">
        <f>SUM(P4/E4)</f>
        <v>0.23297150723181143</v>
      </c>
      <c r="R4" s="244">
        <f>SUM(R6:R19)</f>
        <v>220455.73</v>
      </c>
      <c r="S4" s="222">
        <f>SUM(R4/E4)</f>
        <v>0.11749780742638156</v>
      </c>
      <c r="T4" s="257">
        <f>SUM(T6:T19)</f>
        <v>74704.800000000003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71"/>
      <c r="U5" s="25"/>
    </row>
    <row r="6" spans="1:24" ht="16.5" customHeight="1" x14ac:dyDescent="0.3">
      <c r="A6" s="408" t="s">
        <v>15</v>
      </c>
      <c r="B6" s="200">
        <v>239048.72</v>
      </c>
      <c r="C6" s="255">
        <v>224764.48</v>
      </c>
      <c r="D6" s="197">
        <v>183695.4</v>
      </c>
      <c r="E6" s="145">
        <v>218365.71</v>
      </c>
      <c r="F6" s="123">
        <v>205538.15</v>
      </c>
      <c r="G6" s="162">
        <f t="shared" si="0"/>
        <v>-2.8468777628920808E-2</v>
      </c>
      <c r="H6" s="154">
        <f t="shared" ref="H6:H18" si="3">IFERROR((SUM(E6-D6)/D6),0)</f>
        <v>0.18873804134453012</v>
      </c>
      <c r="I6" s="266">
        <f t="shared" ref="I6:I19" si="4">IFERROR((SUM(E6-B6)/B6),0)</f>
        <v>-8.6522153308329824E-2</v>
      </c>
      <c r="J6" s="273">
        <v>731</v>
      </c>
      <c r="K6" s="63">
        <f t="shared" ref="K6:K19" si="5">IFERROR(E6/J6,0)</f>
        <v>298.72190150478792</v>
      </c>
      <c r="L6" s="125">
        <v>9</v>
      </c>
      <c r="M6" s="126">
        <f t="shared" si="1"/>
        <v>1.2311901504787962E-2</v>
      </c>
      <c r="N6" s="46">
        <f>L6+'15 - 21 Nov'!L6+'22 - 28 Nov'!L6+'29 Nov - 5 Dec'!L6+'6 - 12 Dec'!L6+'13 - 19 Dec'!L6+'20 - 26 Dec'!L6+'27 Dec - 2 Jan 2022'!L6+'3 - 9 Jan 2022'!L6+'10 - 16 Jan 2022'!L6+'17 - 23 Jan 2022'!L6+'24 - 30 Jan 2022'!L6+'31 Jan - 6 Feb 2022'!L6+'7 - 13 Feb 2022'!L6+'14 - 20 Feb 2022'!L6+'21 - 27 Feb 2022'!L6</f>
        <v>632</v>
      </c>
      <c r="O6" s="171">
        <f t="shared" si="2"/>
        <v>0.86456908344733241</v>
      </c>
      <c r="P6" s="260">
        <v>37989.24</v>
      </c>
      <c r="Q6" s="128">
        <f t="shared" ref="Q6:Q19" si="6">SUM(P6/E6)</f>
        <v>0.1739707209524792</v>
      </c>
      <c r="R6" s="260">
        <v>10792.75</v>
      </c>
      <c r="S6" s="128">
        <f t="shared" ref="S6:S19" si="7">SUM(R6/E6)</f>
        <v>4.9425113494238636E-2</v>
      </c>
      <c r="T6" s="260">
        <v>10300.85</v>
      </c>
      <c r="U6" s="26"/>
    </row>
    <row r="7" spans="1:24" ht="15.6" customHeight="1" x14ac:dyDescent="0.3">
      <c r="A7" s="409" t="s">
        <v>16</v>
      </c>
      <c r="B7" s="200">
        <v>243180.16</v>
      </c>
      <c r="C7" s="73">
        <v>174386.4</v>
      </c>
      <c r="D7" s="145">
        <v>216682.01</v>
      </c>
      <c r="E7" s="145">
        <v>205166.89</v>
      </c>
      <c r="F7" s="145">
        <v>189745.19</v>
      </c>
      <c r="G7" s="163">
        <f t="shared" si="0"/>
        <v>0.1765073996596066</v>
      </c>
      <c r="H7" s="155">
        <f t="shared" si="3"/>
        <v>-5.314294435426363E-2</v>
      </c>
      <c r="I7" s="263">
        <f t="shared" si="4"/>
        <v>-0.15631731634685983</v>
      </c>
      <c r="J7" s="273">
        <v>732</v>
      </c>
      <c r="K7" s="63">
        <f t="shared" si="5"/>
        <v>280.28263661202186</v>
      </c>
      <c r="L7" s="61">
        <v>6</v>
      </c>
      <c r="M7" s="28">
        <f t="shared" si="1"/>
        <v>8.1967213114754103E-3</v>
      </c>
      <c r="N7" s="46">
        <f>L7+'15 - 21 Nov'!L7+'22 - 28 Nov'!L7+'29 Nov - 5 Dec'!L7+'6 - 12 Dec'!L7+'13 - 19 Dec'!L7+'20 - 26 Dec'!L7+'27 Dec - 2 Jan 2022'!L7+'3 - 9 Jan 2022'!L7+'10 - 16 Jan 2022'!L7+'17 - 23 Jan 2022'!L7+'24 - 30 Jan 2022'!L7+'31 Jan - 6 Feb 2022'!L7+'7 - 13 Feb 2022'!L7+'14 - 20 Feb 2022'!L7+'21 - 27 Feb 2022'!L7</f>
        <v>768</v>
      </c>
      <c r="O7" s="172">
        <f t="shared" si="2"/>
        <v>1.0491803278688525</v>
      </c>
      <c r="P7" s="260">
        <v>46525.1</v>
      </c>
      <c r="Q7" s="89">
        <f t="shared" si="6"/>
        <v>0.22676709677667772</v>
      </c>
      <c r="R7" s="260">
        <v>17810.5</v>
      </c>
      <c r="S7" s="89">
        <f t="shared" si="7"/>
        <v>8.6809816145285421E-2</v>
      </c>
      <c r="T7" s="260">
        <v>10756</v>
      </c>
      <c r="U7" s="26"/>
    </row>
    <row r="8" spans="1:24" ht="15.6" customHeight="1" x14ac:dyDescent="0.3">
      <c r="A8" s="409" t="s">
        <v>17</v>
      </c>
      <c r="B8" s="200">
        <v>135782.1</v>
      </c>
      <c r="C8" s="73">
        <v>106995.52</v>
      </c>
      <c r="D8" s="145">
        <v>115000</v>
      </c>
      <c r="E8" s="145">
        <v>144923.59</v>
      </c>
      <c r="F8" s="145">
        <v>132288.72</v>
      </c>
      <c r="G8" s="163">
        <f t="shared" si="0"/>
        <v>0.35448278582131282</v>
      </c>
      <c r="H8" s="155">
        <f t="shared" si="3"/>
        <v>0.26020513043478261</v>
      </c>
      <c r="I8" s="263">
        <f t="shared" si="4"/>
        <v>6.7324706275716684E-2</v>
      </c>
      <c r="J8" s="273">
        <v>547</v>
      </c>
      <c r="K8" s="63">
        <f t="shared" si="5"/>
        <v>264.94257769652648</v>
      </c>
      <c r="L8" s="61">
        <v>0</v>
      </c>
      <c r="M8" s="28">
        <f t="shared" si="1"/>
        <v>0</v>
      </c>
      <c r="N8" s="46">
        <f>L8+'15 - 21 Nov'!L8+'22 - 28 Nov'!L8+'29 Nov - 5 Dec'!L8+'6 - 12 Dec'!L8+'13 - 19 Dec'!L8+'20 - 26 Dec'!L8+'27 Dec - 2 Jan 2022'!L8+'3 - 9 Jan 2022'!L8+'10 - 16 Jan 2022'!L8+'17 - 23 Jan 2022'!L8+'24 - 30 Jan 2022'!L8+'31 Jan - 6 Feb 2022'!L8+'7 - 13 Feb 2022'!L8+'14 - 20 Feb 2022'!L8+'21 - 27 Feb 2022'!L8</f>
        <v>262</v>
      </c>
      <c r="O8" s="172">
        <f t="shared" si="2"/>
        <v>0.4789762340036563</v>
      </c>
      <c r="P8" s="260">
        <v>66162.75</v>
      </c>
      <c r="Q8" s="89">
        <f t="shared" si="6"/>
        <v>0.45653540600257003</v>
      </c>
      <c r="R8" s="260">
        <v>17811.8</v>
      </c>
      <c r="S8" s="89">
        <f t="shared" si="7"/>
        <v>0.12290476657388903</v>
      </c>
      <c r="T8" s="260">
        <v>3147.5</v>
      </c>
      <c r="U8" s="26"/>
    </row>
    <row r="9" spans="1:24" ht="15.6" hidden="1" customHeight="1" x14ac:dyDescent="0.3">
      <c r="A9" s="409" t="s">
        <v>18</v>
      </c>
      <c r="B9" s="200">
        <v>0</v>
      </c>
      <c r="C9" s="73">
        <v>0</v>
      </c>
      <c r="D9" s="145">
        <v>0</v>
      </c>
      <c r="E9" s="145"/>
      <c r="F9" s="145">
        <f>0+E9</f>
        <v>0</v>
      </c>
      <c r="G9" s="163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L9+'15 - 21 Nov'!L9+'22 - 28 Nov'!L9+'29 Nov - 5 Dec'!L9+'6 - 12 Dec'!L9+'13 - 19 Dec'!L9+'20 - 26 Dec'!L9+'27 Dec - 2 Jan 2022'!L9+'3 - 9 Jan 2022'!L9+'10 - 16 Jan 2022'!L9+'17 - 23 Jan 2022'!L9+'24 - 30 Jan 2022'!L9+'31 Jan - 6 Feb 2022'!L9+'7 - 13 Feb 2022'!L9+'14 - 20 Feb 2022'!L9+'21 - 27 Feb 2022'!L9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60">
        <v>0</v>
      </c>
      <c r="U9" s="26"/>
    </row>
    <row r="10" spans="1:24" ht="15.6" customHeight="1" x14ac:dyDescent="0.3">
      <c r="A10" s="409" t="s">
        <v>20</v>
      </c>
      <c r="B10" s="200">
        <v>146542.06</v>
      </c>
      <c r="C10" s="73">
        <v>159016.18</v>
      </c>
      <c r="D10" s="145">
        <v>125510.9</v>
      </c>
      <c r="E10" s="145">
        <v>158186.46</v>
      </c>
      <c r="F10" s="145">
        <v>142426.5</v>
      </c>
      <c r="G10" s="163">
        <f t="shared" si="0"/>
        <v>-5.2178338078552834E-3</v>
      </c>
      <c r="H10" s="155">
        <f t="shared" si="3"/>
        <v>0.26034041664907193</v>
      </c>
      <c r="I10" s="263">
        <f t="shared" si="4"/>
        <v>7.9461145830760083E-2</v>
      </c>
      <c r="J10" s="273">
        <v>525</v>
      </c>
      <c r="K10" s="63">
        <f t="shared" si="5"/>
        <v>301.30754285714283</v>
      </c>
      <c r="L10" s="61">
        <v>4</v>
      </c>
      <c r="M10" s="28">
        <f t="shared" si="1"/>
        <v>7.619047619047619E-3</v>
      </c>
      <c r="N10" s="46">
        <f>L10+'15 - 21 Nov'!L10+'22 - 28 Nov'!L10+'29 Nov - 5 Dec'!L10+'6 - 12 Dec'!L10+'13 - 19 Dec'!L10+'20 - 26 Dec'!L10+'27 Dec - 2 Jan 2022'!L10+'3 - 9 Jan 2022'!L10+'10 - 16 Jan 2022'!L10+'17 - 23 Jan 2022'!L10+'24 - 30 Jan 2022'!L10+'31 Jan - 6 Feb 2022'!L10+'7 - 13 Feb 2022'!L10+'14 - 20 Feb 2022'!L10+'21 - 27 Feb 2022'!L10</f>
        <v>548</v>
      </c>
      <c r="O10" s="172">
        <f t="shared" si="2"/>
        <v>1.0438095238095237</v>
      </c>
      <c r="P10" s="260">
        <v>66198.25</v>
      </c>
      <c r="Q10" s="89">
        <f t="shared" si="6"/>
        <v>0.41848240361406408</v>
      </c>
      <c r="R10" s="260">
        <v>5491.1</v>
      </c>
      <c r="S10" s="89">
        <f t="shared" si="7"/>
        <v>3.4712831932644558E-2</v>
      </c>
      <c r="T10" s="260">
        <v>6681.5</v>
      </c>
      <c r="U10" s="26"/>
    </row>
    <row r="11" spans="1:24" ht="15.6" customHeight="1" x14ac:dyDescent="0.3">
      <c r="A11" s="409" t="s">
        <v>21</v>
      </c>
      <c r="B11" s="200">
        <v>232444.11</v>
      </c>
      <c r="C11" s="73">
        <v>270331.87</v>
      </c>
      <c r="D11" s="145">
        <v>236841.5</v>
      </c>
      <c r="E11" s="145">
        <v>224089.43</v>
      </c>
      <c r="F11" s="145">
        <v>205173.86</v>
      </c>
      <c r="G11" s="163">
        <f t="shared" si="0"/>
        <v>-0.17105804062243937</v>
      </c>
      <c r="H11" s="155">
        <f t="shared" si="3"/>
        <v>-5.3842210930094628E-2</v>
      </c>
      <c r="I11" s="263">
        <f t="shared" si="4"/>
        <v>-3.5942747699651299E-2</v>
      </c>
      <c r="J11" s="273">
        <v>613</v>
      </c>
      <c r="K11" s="63">
        <f t="shared" si="5"/>
        <v>365.56187601957583</v>
      </c>
      <c r="L11" s="61">
        <v>15</v>
      </c>
      <c r="M11" s="28">
        <f t="shared" si="1"/>
        <v>2.4469820554649267E-2</v>
      </c>
      <c r="N11" s="46">
        <f>L11+'15 - 21 Nov'!L11+'22 - 28 Nov'!L11+'29 Nov - 5 Dec'!L11+'6 - 12 Dec'!L11+'13 - 19 Dec'!L11+'20 - 26 Dec'!L11+'27 Dec - 2 Jan 2022'!L11+'3 - 9 Jan 2022'!L11+'10 - 16 Jan 2022'!L11+'17 - 23 Jan 2022'!L11+'24 - 30 Jan 2022'!L11+'31 Jan - 6 Feb 2022'!L11+'7 - 13 Feb 2022'!L11+'14 - 20 Feb 2022'!L11+'21 - 27 Feb 2022'!L11</f>
        <v>1034</v>
      </c>
      <c r="O11" s="172">
        <f t="shared" si="2"/>
        <v>1.6867862969004894</v>
      </c>
      <c r="P11" s="260">
        <v>49397.05</v>
      </c>
      <c r="Q11" s="89">
        <f t="shared" si="6"/>
        <v>0.2204345381216776</v>
      </c>
      <c r="R11" s="260">
        <v>26302.82</v>
      </c>
      <c r="S11" s="89">
        <f t="shared" si="7"/>
        <v>0.1173764420749341</v>
      </c>
      <c r="T11" s="260">
        <v>8314.4</v>
      </c>
      <c r="U11" s="26"/>
    </row>
    <row r="12" spans="1:24" ht="15.6" customHeight="1" x14ac:dyDescent="0.3">
      <c r="A12" s="198" t="s">
        <v>22</v>
      </c>
      <c r="B12" s="200">
        <v>131242.26999999999</v>
      </c>
      <c r="C12" s="73">
        <v>157839.24</v>
      </c>
      <c r="D12" s="145">
        <v>121011.8</v>
      </c>
      <c r="E12" s="145">
        <v>130082.37</v>
      </c>
      <c r="F12" s="145">
        <v>115336.09</v>
      </c>
      <c r="G12" s="163">
        <f t="shared" si="0"/>
        <v>-0.17585531962774273</v>
      </c>
      <c r="H12" s="155">
        <f t="shared" si="3"/>
        <v>7.4956078663403009E-2</v>
      </c>
      <c r="I12" s="263">
        <f t="shared" si="4"/>
        <v>-8.8378538408394967E-3</v>
      </c>
      <c r="J12" s="273">
        <v>494</v>
      </c>
      <c r="K12" s="63">
        <f t="shared" si="5"/>
        <v>263.32463562753037</v>
      </c>
      <c r="L12" s="61">
        <v>5</v>
      </c>
      <c r="M12" s="28">
        <f t="shared" si="1"/>
        <v>1.0121457489878543E-2</v>
      </c>
      <c r="N12" s="46">
        <f>L12+'15 - 21 Nov'!L12+'22 - 28 Nov'!L12+'29 Nov - 5 Dec'!L12+'6 - 12 Dec'!L12+'13 - 19 Dec'!L12+'20 - 26 Dec'!L12+'27 Dec - 2 Jan 2022'!L12+'3 - 9 Jan 2022'!L12+'10 - 16 Jan 2022'!L12+'17 - 23 Jan 2022'!L12+'24 - 30 Jan 2022'!L12+'31 Jan - 6 Feb 2022'!L12+'7 - 13 Feb 2022'!L12+'14 - 20 Feb 2022'!L12+'21 - 27 Feb 2022'!L12</f>
        <v>680</v>
      </c>
      <c r="O12" s="172">
        <f t="shared" si="2"/>
        <v>1.3765182186234817</v>
      </c>
      <c r="P12" s="260">
        <v>25163.35</v>
      </c>
      <c r="Q12" s="89">
        <f t="shared" si="6"/>
        <v>0.1934416631554299</v>
      </c>
      <c r="R12" s="260">
        <v>15299.85</v>
      </c>
      <c r="S12" s="89">
        <f t="shared" si="7"/>
        <v>0.11761663013981065</v>
      </c>
      <c r="T12" s="260">
        <v>10197</v>
      </c>
      <c r="U12" s="26"/>
    </row>
    <row r="13" spans="1:24" ht="15.6" customHeight="1" x14ac:dyDescent="0.3">
      <c r="A13" s="198" t="s">
        <v>23</v>
      </c>
      <c r="B13" s="200">
        <v>220664.45</v>
      </c>
      <c r="C13" s="73">
        <v>217934.76</v>
      </c>
      <c r="D13" s="145">
        <v>199536.6</v>
      </c>
      <c r="E13" s="145">
        <v>228031.91</v>
      </c>
      <c r="F13" s="145">
        <v>211011.08</v>
      </c>
      <c r="G13" s="163">
        <f t="shared" si="0"/>
        <v>4.6331067150554565E-2</v>
      </c>
      <c r="H13" s="155">
        <f t="shared" si="3"/>
        <v>0.14280743482649297</v>
      </c>
      <c r="I13" s="263">
        <f t="shared" si="4"/>
        <v>3.3387616355964864E-2</v>
      </c>
      <c r="J13" s="273">
        <v>845</v>
      </c>
      <c r="K13" s="63">
        <f t="shared" si="5"/>
        <v>269.86024852071006</v>
      </c>
      <c r="L13" s="61">
        <v>12</v>
      </c>
      <c r="M13" s="28">
        <f t="shared" si="1"/>
        <v>1.4201183431952662E-2</v>
      </c>
      <c r="N13" s="46">
        <f>L13+'15 - 21 Nov'!L13+'22 - 28 Nov'!L13+'29 Nov - 5 Dec'!L13+'6 - 12 Dec'!L13+'13 - 19 Dec'!L13+'20 - 26 Dec'!L13+'27 Dec - 2 Jan 2022'!L13+'3 - 9 Jan 2022'!L13+'10 - 16 Jan 2022'!L13+'17 - 23 Jan 2022'!L13+'24 - 30 Jan 2022'!L13+'31 Jan - 6 Feb 2022'!L13+'7 - 13 Feb 2022'!L13+'14 - 20 Feb 2022'!L13+'21 - 27 Feb 2022'!L13</f>
        <v>917</v>
      </c>
      <c r="O13" s="172">
        <f t="shared" si="2"/>
        <v>1.0852071005917159</v>
      </c>
      <c r="P13" s="260">
        <v>45054.47</v>
      </c>
      <c r="Q13" s="89">
        <f t="shared" si="6"/>
        <v>0.19757967207308838</v>
      </c>
      <c r="R13" s="260">
        <v>35558.949999999997</v>
      </c>
      <c r="S13" s="89">
        <f t="shared" si="7"/>
        <v>0.15593848246940525</v>
      </c>
      <c r="T13" s="260">
        <v>5030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L14+'15 - 21 Nov'!L14+'22 - 28 Nov'!L14+'29 Nov - 5 Dec'!L14+'6 - 12 Dec'!L14+'13 - 19 Dec'!L14+'20 - 26 Dec'!L14+'27 Dec - 2 Jan 2022'!L14+'3 - 9 Jan 2022'!L14+'10 - 16 Jan 2022'!L14+'17 - 23 Jan 2022'!L14+'24 - 30 Jan 2022'!L14+'31 Jan - 6 Feb 2022'!L14+'7 - 13 Feb 2022'!L14+'14 - 20 Feb 2022'!L14+'21 - 27 Feb 2022'!L14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60"/>
      <c r="U14" s="26"/>
    </row>
    <row r="15" spans="1:24" ht="15.6" customHeight="1" x14ac:dyDescent="0.3">
      <c r="A15" s="198" t="s">
        <v>26</v>
      </c>
      <c r="B15" s="200">
        <v>243303.6</v>
      </c>
      <c r="C15" s="73">
        <v>183776.76</v>
      </c>
      <c r="D15" s="145">
        <v>174523.6</v>
      </c>
      <c r="E15" s="145">
        <v>241742.72</v>
      </c>
      <c r="F15" s="145">
        <v>214774.9</v>
      </c>
      <c r="G15" s="163">
        <f t="shared" si="0"/>
        <v>0.31541507206896013</v>
      </c>
      <c r="H15" s="155">
        <f t="shared" si="3"/>
        <v>0.38515776662869661</v>
      </c>
      <c r="I15" s="263">
        <f t="shared" si="4"/>
        <v>-6.4153592466367317E-3</v>
      </c>
      <c r="J15" s="273">
        <v>885</v>
      </c>
      <c r="K15" s="63">
        <f t="shared" si="5"/>
        <v>273.15561581920906</v>
      </c>
      <c r="L15" s="61">
        <v>15</v>
      </c>
      <c r="M15" s="28">
        <f t="shared" si="1"/>
        <v>1.6949152542372881E-2</v>
      </c>
      <c r="N15" s="46">
        <f>L15+'15 - 21 Nov'!L15+'22 - 28 Nov'!L15+'29 Nov - 5 Dec'!L15+'6 - 12 Dec'!L15+'13 - 19 Dec'!L15+'20 - 26 Dec'!L15+'27 Dec - 2 Jan 2022'!L15+'3 - 9 Jan 2022'!L15+'10 - 16 Jan 2022'!L15+'17 - 23 Jan 2022'!L15+'24 - 30 Jan 2022'!L15+'31 Jan - 6 Feb 2022'!L15+'7 - 13 Feb 2022'!L15+'14 - 20 Feb 2022'!L15+'21 - 27 Feb 2022'!L15</f>
        <v>457</v>
      </c>
      <c r="O15" s="172">
        <f t="shared" si="2"/>
        <v>0.51638418079096049</v>
      </c>
      <c r="P15" s="260">
        <v>0</v>
      </c>
      <c r="Q15" s="89">
        <f t="shared" si="6"/>
        <v>0</v>
      </c>
      <c r="R15" s="260">
        <v>24031.5</v>
      </c>
      <c r="S15" s="89">
        <f t="shared" si="7"/>
        <v>9.9409405172573559E-2</v>
      </c>
      <c r="T15" s="260">
        <v>3513.5</v>
      </c>
      <c r="U15" s="9"/>
    </row>
    <row r="16" spans="1:24" ht="15.6" customHeight="1" x14ac:dyDescent="0.3">
      <c r="A16" s="198" t="s">
        <v>27</v>
      </c>
      <c r="B16" s="200">
        <v>152682.18</v>
      </c>
      <c r="C16" s="73">
        <v>127255.26</v>
      </c>
      <c r="D16" s="145">
        <v>117847.8</v>
      </c>
      <c r="E16" s="145">
        <v>145092.71</v>
      </c>
      <c r="F16" s="145">
        <v>129844.89</v>
      </c>
      <c r="G16" s="163">
        <f t="shared" si="0"/>
        <v>0.14017063027492929</v>
      </c>
      <c r="H16" s="155">
        <f t="shared" si="3"/>
        <v>0.23118726017795824</v>
      </c>
      <c r="I16" s="263">
        <f t="shared" si="4"/>
        <v>-4.9707634512423139E-2</v>
      </c>
      <c r="J16" s="273">
        <v>531</v>
      </c>
      <c r="K16" s="63">
        <f t="shared" si="5"/>
        <v>273.244274952919</v>
      </c>
      <c r="L16" s="61">
        <v>11</v>
      </c>
      <c r="M16" s="28">
        <f t="shared" si="1"/>
        <v>2.0715630885122412E-2</v>
      </c>
      <c r="N16" s="46">
        <f>L16+'15 - 21 Nov'!L16+'22 - 28 Nov'!L16+'29 Nov - 5 Dec'!L16+'6 - 12 Dec'!L16+'13 - 19 Dec'!L16+'20 - 26 Dec'!L16+'27 Dec - 2 Jan 2022'!L16+'3 - 9 Jan 2022'!L16+'10 - 16 Jan 2022'!L16+'17 - 23 Jan 2022'!L16+'24 - 30 Jan 2022'!L16+'31 Jan - 6 Feb 2022'!L16+'7 - 13 Feb 2022'!L16+'14 - 20 Feb 2022'!L16+'21 - 27 Feb 2022'!L16</f>
        <v>407</v>
      </c>
      <c r="O16" s="172">
        <f t="shared" si="2"/>
        <v>0.7664783427495292</v>
      </c>
      <c r="P16" s="260">
        <v>34736.050000000003</v>
      </c>
      <c r="Q16" s="89">
        <f t="shared" si="6"/>
        <v>0.23940589434162479</v>
      </c>
      <c r="R16" s="260">
        <v>30879.55</v>
      </c>
      <c r="S16" s="89">
        <f t="shared" si="7"/>
        <v>0.21282633703650583</v>
      </c>
      <c r="T16" s="260">
        <v>6711.05</v>
      </c>
      <c r="U16" s="9"/>
      <c r="X16" s="238"/>
    </row>
    <row r="17" spans="1:21" ht="15.6" customHeight="1" x14ac:dyDescent="0.3">
      <c r="A17" s="198" t="s">
        <v>28</v>
      </c>
      <c r="B17" s="200">
        <v>205896.16</v>
      </c>
      <c r="C17" s="73">
        <v>208721.29</v>
      </c>
      <c r="D17" s="145">
        <v>164974.1</v>
      </c>
      <c r="E17" s="145">
        <v>181925.54</v>
      </c>
      <c r="F17" s="145">
        <v>168691.74</v>
      </c>
      <c r="G17" s="163">
        <f t="shared" si="0"/>
        <v>-0.12838053080258366</v>
      </c>
      <c r="H17" s="155">
        <f t="shared" si="3"/>
        <v>0.10275212897054752</v>
      </c>
      <c r="I17" s="263">
        <f t="shared" si="4"/>
        <v>-0.11642091819488035</v>
      </c>
      <c r="J17" s="273">
        <v>656</v>
      </c>
      <c r="K17" s="63">
        <f t="shared" si="5"/>
        <v>277.32551829268294</v>
      </c>
      <c r="L17" s="61">
        <v>1</v>
      </c>
      <c r="M17" s="28">
        <f t="shared" si="1"/>
        <v>1.5243902439024391E-3</v>
      </c>
      <c r="N17" s="46">
        <f>L17+'15 - 21 Nov'!L17+'22 - 28 Nov'!L17+'29 Nov - 5 Dec'!L17+'6 - 12 Dec'!L17+'13 - 19 Dec'!L17+'20 - 26 Dec'!L17+'27 Dec - 2 Jan 2022'!L17+'3 - 9 Jan 2022'!L17+'10 - 16 Jan 2022'!L17+'17 - 23 Jan 2022'!L17+'24 - 30 Jan 2022'!L17+'31 Jan - 6 Feb 2022'!L17+'7 - 13 Feb 2022'!L17+'14 - 20 Feb 2022'!L17+'21 - 27 Feb 2022'!L17</f>
        <v>590</v>
      </c>
      <c r="O17" s="172">
        <f t="shared" si="2"/>
        <v>0.89939024390243905</v>
      </c>
      <c r="P17" s="260">
        <v>31293.33</v>
      </c>
      <c r="Q17" s="89">
        <f t="shared" si="6"/>
        <v>0.17201174722361687</v>
      </c>
      <c r="R17" s="260">
        <v>25664.73</v>
      </c>
      <c r="S17" s="89">
        <f t="shared" si="7"/>
        <v>0.14107271579350539</v>
      </c>
      <c r="T17" s="260">
        <v>4740</v>
      </c>
      <c r="U17" s="9"/>
    </row>
    <row r="18" spans="1:21" ht="15.6" customHeight="1" x14ac:dyDescent="0.3">
      <c r="A18" s="198" t="s">
        <v>33</v>
      </c>
      <c r="B18" s="200">
        <v>158701.21</v>
      </c>
      <c r="C18" s="73">
        <v>169228.51</v>
      </c>
      <c r="D18" s="73">
        <v>136777.79999999999</v>
      </c>
      <c r="E18" s="145">
        <v>156833.12</v>
      </c>
      <c r="F18" s="145">
        <v>144631.44</v>
      </c>
      <c r="G18" s="163">
        <f t="shared" si="0"/>
        <v>-7.3246464203933562E-2</v>
      </c>
      <c r="H18" s="155">
        <f t="shared" si="3"/>
        <v>0.14662701110852791</v>
      </c>
      <c r="I18" s="263">
        <f t="shared" si="4"/>
        <v>-1.1771113780417911E-2</v>
      </c>
      <c r="J18" s="273">
        <v>643</v>
      </c>
      <c r="K18" s="63">
        <f t="shared" si="5"/>
        <v>243.9084292379471</v>
      </c>
      <c r="L18" s="61">
        <v>8</v>
      </c>
      <c r="M18" s="28">
        <f t="shared" si="1"/>
        <v>1.2441679626749611E-2</v>
      </c>
      <c r="N18" s="46">
        <f>L18+'15 - 21 Nov'!L18+'22 - 28 Nov'!L18+'29 Nov - 5 Dec'!L18+'6 - 12 Dec'!L18+'13 - 19 Dec'!L18+'20 - 26 Dec'!L18+'27 Dec - 2 Jan 2022'!L18+'3 - 9 Jan 2022'!L18+'10 - 16 Jan 2022'!L18+'17 - 23 Jan 2022'!L18+'24 - 30 Jan 2022'!L18+'31 Jan - 6 Feb 2022'!L18+'7 - 13 Feb 2022'!L18+'14 - 20 Feb 2022'!L18+'21 - 27 Feb 2022'!L18</f>
        <v>1166</v>
      </c>
      <c r="O18" s="172">
        <f t="shared" si="2"/>
        <v>1.8133748055987557</v>
      </c>
      <c r="P18" s="260">
        <v>34594.129999999997</v>
      </c>
      <c r="Q18" s="89">
        <f t="shared" si="6"/>
        <v>0.22057923734476492</v>
      </c>
      <c r="R18" s="260">
        <v>10812.18</v>
      </c>
      <c r="S18" s="89">
        <f t="shared" si="7"/>
        <v>6.8940667634489458E-2</v>
      </c>
      <c r="T18" s="260">
        <v>5313</v>
      </c>
      <c r="U18" s="9"/>
    </row>
    <row r="19" spans="1:21" ht="16.2" hidden="1" customHeight="1" thickBot="1" x14ac:dyDescent="0.35">
      <c r="A19" s="203" t="s">
        <v>37</v>
      </c>
      <c r="B19" s="200">
        <f>'17 - 23 Jan 2022'!E19</f>
        <v>0</v>
      </c>
      <c r="C19" s="206">
        <v>0</v>
      </c>
      <c r="D19" s="131">
        <v>0</v>
      </c>
      <c r="E19" s="267">
        <v>0</v>
      </c>
      <c r="F19" s="216">
        <v>0</v>
      </c>
      <c r="G19" s="207">
        <f t="shared" si="0"/>
        <v>0</v>
      </c>
      <c r="H19" s="156">
        <f>IFERROR((SUM(D19-A19)/A19),0)</f>
        <v>0</v>
      </c>
      <c r="I19" s="264">
        <f t="shared" si="4"/>
        <v>0</v>
      </c>
      <c r="J19" s="151"/>
      <c r="K19" s="132">
        <f t="shared" si="5"/>
        <v>0</v>
      </c>
      <c r="L19" s="133">
        <v>0</v>
      </c>
      <c r="M19" s="114">
        <f t="shared" si="1"/>
        <v>0</v>
      </c>
      <c r="N19" s="46">
        <f>L19+'15 - 21 Nov'!L19+'22 - 28 Nov'!L19+'29 Nov - 5 Dec'!L19+'6 - 12 Dec'!L19+'13 - 19 Dec'!L19+'20 - 26 Dec'!L19+'27 Dec - 2 Jan 2022'!L19+'3 - 9 Jan 2022'!L19+'10 - 16 Jan 2022'!L19+'17 - 23 Jan 2022'!L19</f>
        <v>0</v>
      </c>
      <c r="O19" s="213">
        <f t="shared" si="2"/>
        <v>0</v>
      </c>
      <c r="P19" s="261">
        <v>0</v>
      </c>
      <c r="Q19" s="116" t="e">
        <f t="shared" si="6"/>
        <v>#DIV/0!</v>
      </c>
      <c r="R19" s="261">
        <v>0</v>
      </c>
      <c r="S19" s="116" t="e">
        <f t="shared" si="7"/>
        <v>#DIV/0!</v>
      </c>
      <c r="T19" s="134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22" priority="19" operator="equal">
      <formula>0</formula>
    </cfRule>
  </conditionalFormatting>
  <conditionalFormatting sqref="D7:D19">
    <cfRule type="cellIs" dxfId="221" priority="8" operator="equal">
      <formula>0</formula>
    </cfRule>
  </conditionalFormatting>
  <conditionalFormatting sqref="E6:E18">
    <cfRule type="cellIs" dxfId="220" priority="5" operator="equal">
      <formula>0</formula>
    </cfRule>
  </conditionalFormatting>
  <conditionalFormatting sqref="E19:F19">
    <cfRule type="cellIs" dxfId="219" priority="18" operator="equal">
      <formula>0</formula>
    </cfRule>
  </conditionalFormatting>
  <conditionalFormatting sqref="F7:F18">
    <cfRule type="cellIs" dxfId="218" priority="6" operator="equal">
      <formula>0</formula>
    </cfRule>
  </conditionalFormatting>
  <conditionalFormatting sqref="G6:T19">
    <cfRule type="cellIs" dxfId="21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X41"/>
  <sheetViews>
    <sheetView zoomScale="70" zoomScaleNormal="70" workbookViewId="0">
      <pane xSplit="1" topLeftCell="B1" activePane="topRight" state="frozen"/>
      <selection pane="topRight" activeCell="G15" sqref="G15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-3.380363714759705E-2</v>
      </c>
      <c r="H2" s="413"/>
      <c r="I2" s="400">
        <f>(((E4-E19-B19)-B4)/E4)</f>
        <v>9.2585554936703337E-4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53" t="s">
        <v>44</v>
      </c>
      <c r="G3" s="253" t="s">
        <v>50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1876253.9899999998</v>
      </c>
      <c r="C4" s="135">
        <f>SUM(C6:C19)-C14-C19-C10-C9</f>
        <v>1943696.7599999998</v>
      </c>
      <c r="D4" s="142">
        <f>SUM(D6:D19)-D19-D10-D9</f>
        <v>1634444.0299999998</v>
      </c>
      <c r="E4" s="270">
        <f>SUM(E6:E19)-E19-E10-E9</f>
        <v>1877992.7399999998</v>
      </c>
      <c r="F4" s="142">
        <f>SUM(F6:F19)-F19-F10-F9</f>
        <v>3595028.8000000003</v>
      </c>
      <c r="G4" s="217">
        <f t="shared" ref="G4:G19" si="0">IFERROR((SUM(E4-C4)/C4),0)</f>
        <v>-3.380363714759705E-2</v>
      </c>
      <c r="H4" s="217">
        <f>IFERROR((SUM(E4-D4)/D4),0)</f>
        <v>0.14901012547979389</v>
      </c>
      <c r="I4" s="217">
        <f>IFERROR((SUM(E4-B4)/E4),0)</f>
        <v>9.2585554936703337E-4</v>
      </c>
      <c r="J4" s="262">
        <f>SUM(J6:J18)</f>
        <v>7368</v>
      </c>
      <c r="K4" s="218">
        <f>AVERAGE(K5:K19)</f>
        <v>215.38215463033293</v>
      </c>
      <c r="L4" s="219">
        <f>SUM(L6:L19)</f>
        <v>133</v>
      </c>
      <c r="M4" s="220">
        <f t="shared" ref="M4:M19" si="1">IFERROR(L4/J4,0)</f>
        <v>1.8051031487513573E-2</v>
      </c>
      <c r="N4" s="221">
        <f>SUM(N6:N19)</f>
        <v>133</v>
      </c>
      <c r="O4" s="222">
        <f t="shared" ref="O4:O19" si="2">IFERROR(N4/SUM(J4),0)</f>
        <v>1.8051031487513573E-2</v>
      </c>
      <c r="P4" s="249">
        <f>SUM(P6:P19)</f>
        <v>407180.69</v>
      </c>
      <c r="Q4" s="222">
        <f>SUM(P4/E4)</f>
        <v>0.21681696703470751</v>
      </c>
      <c r="R4" s="244">
        <f>SUM(R6:R19)</f>
        <v>257869.19999999998</v>
      </c>
      <c r="S4" s="222">
        <f>SUM(R4/E4)</f>
        <v>0.1373110739501581</v>
      </c>
      <c r="T4" s="257">
        <f>SUM(T6:T19)</f>
        <v>74475.95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218365.71</v>
      </c>
      <c r="C6" s="255">
        <v>228522.88</v>
      </c>
      <c r="D6" s="197">
        <v>198648.1</v>
      </c>
      <c r="E6" s="144">
        <v>220633.24</v>
      </c>
      <c r="F6" s="123">
        <f>205538.15+E6</f>
        <v>426171.39</v>
      </c>
      <c r="G6" s="162">
        <f t="shared" si="0"/>
        <v>-3.4524508005500429E-2</v>
      </c>
      <c r="H6" s="154">
        <f t="shared" ref="H6:H18" si="3">IFERROR((SUM(E6-D6)/D6),0)</f>
        <v>0.11067379954804493</v>
      </c>
      <c r="I6" s="266">
        <f t="shared" ref="I6:I19" si="4">IFERROR((SUM(E6-B6)/B6),0)</f>
        <v>1.0384093729734393E-2</v>
      </c>
      <c r="J6" s="285">
        <v>749</v>
      </c>
      <c r="K6" s="124">
        <f t="shared" ref="K6:K19" si="5">IFERROR(E6/J6,0)</f>
        <v>294.57041388518024</v>
      </c>
      <c r="L6" s="125">
        <v>10</v>
      </c>
      <c r="M6" s="126">
        <f t="shared" si="1"/>
        <v>1.335113484646195E-2</v>
      </c>
      <c r="N6" s="127">
        <f t="shared" ref="N6:N19" si="6">L6</f>
        <v>10</v>
      </c>
      <c r="O6" s="171">
        <f t="shared" si="2"/>
        <v>1.335113484646195E-2</v>
      </c>
      <c r="P6" s="259">
        <v>41793.15</v>
      </c>
      <c r="Q6" s="128">
        <f t="shared" ref="Q6:Q19" si="7">SUM(P6/E6)</f>
        <v>0.18942363353772079</v>
      </c>
      <c r="R6" s="259">
        <v>13258.25</v>
      </c>
      <c r="S6" s="128">
        <f t="shared" ref="S6:S19" si="8">SUM(R6/E6)</f>
        <v>6.0091806656150271E-2</v>
      </c>
      <c r="T6" s="286">
        <v>7297.45</v>
      </c>
      <c r="U6" s="26"/>
    </row>
    <row r="7" spans="1:24" ht="15.6" customHeight="1" x14ac:dyDescent="0.3">
      <c r="A7" s="409" t="s">
        <v>16</v>
      </c>
      <c r="B7" s="200">
        <v>205166.89</v>
      </c>
      <c r="C7" s="73">
        <v>173162.7</v>
      </c>
      <c r="D7" s="145">
        <v>173140.4</v>
      </c>
      <c r="E7" s="145">
        <v>229538.83</v>
      </c>
      <c r="F7" s="145">
        <f>189745.19+E7</f>
        <v>419284.02</v>
      </c>
      <c r="G7" s="163">
        <f t="shared" si="0"/>
        <v>0.32556739990771666</v>
      </c>
      <c r="H7" s="155">
        <f t="shared" si="3"/>
        <v>0.32573812928698326</v>
      </c>
      <c r="I7" s="263">
        <f t="shared" si="4"/>
        <v>0.11879080489059406</v>
      </c>
      <c r="J7" s="273">
        <v>804</v>
      </c>
      <c r="K7" s="63">
        <f t="shared" si="5"/>
        <v>285.49605721393033</v>
      </c>
      <c r="L7" s="61">
        <v>12</v>
      </c>
      <c r="M7" s="28">
        <f t="shared" si="1"/>
        <v>1.4925373134328358E-2</v>
      </c>
      <c r="N7" s="46">
        <f t="shared" si="6"/>
        <v>12</v>
      </c>
      <c r="O7" s="172">
        <f t="shared" si="2"/>
        <v>1.4925373134328358E-2</v>
      </c>
      <c r="P7" s="260">
        <v>50559.199999999997</v>
      </c>
      <c r="Q7" s="89">
        <f t="shared" si="7"/>
        <v>0.22026425768572577</v>
      </c>
      <c r="R7" s="260">
        <v>15504.4</v>
      </c>
      <c r="S7" s="89">
        <f t="shared" si="8"/>
        <v>6.7545870125764781E-2</v>
      </c>
      <c r="T7" s="281">
        <v>9800.9</v>
      </c>
      <c r="U7" s="26"/>
    </row>
    <row r="8" spans="1:24" ht="15.6" customHeight="1" x14ac:dyDescent="0.3">
      <c r="A8" s="409" t="s">
        <v>17</v>
      </c>
      <c r="B8" s="200">
        <v>144923.59</v>
      </c>
      <c r="C8" s="73">
        <v>111287.99</v>
      </c>
      <c r="D8" s="145">
        <v>99515.73</v>
      </c>
      <c r="E8" s="145">
        <v>143637.97</v>
      </c>
      <c r="F8" s="145">
        <f>132288.72+E8</f>
        <v>275926.69</v>
      </c>
      <c r="G8" s="163">
        <f t="shared" si="0"/>
        <v>0.29068707234266694</v>
      </c>
      <c r="H8" s="155">
        <f t="shared" si="3"/>
        <v>0.44336950550430576</v>
      </c>
      <c r="I8" s="263">
        <f t="shared" si="4"/>
        <v>-8.8710195489912682E-3</v>
      </c>
      <c r="J8" s="273">
        <v>570</v>
      </c>
      <c r="K8" s="63">
        <f t="shared" si="5"/>
        <v>251.99643859649123</v>
      </c>
      <c r="L8" s="61">
        <v>2</v>
      </c>
      <c r="M8" s="28">
        <f t="shared" si="1"/>
        <v>3.5087719298245615E-3</v>
      </c>
      <c r="N8" s="46">
        <f t="shared" si="6"/>
        <v>2</v>
      </c>
      <c r="O8" s="172">
        <f t="shared" si="2"/>
        <v>3.5087719298245615E-3</v>
      </c>
      <c r="P8" s="260">
        <v>73276.5</v>
      </c>
      <c r="Q8" s="89">
        <f t="shared" si="7"/>
        <v>0.51014714284809237</v>
      </c>
      <c r="R8" s="260">
        <v>18360.400000000001</v>
      </c>
      <c r="S8" s="89">
        <f t="shared" si="8"/>
        <v>0.12782414009331936</v>
      </c>
      <c r="T8" s="281">
        <v>4553.1000000000004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45">
        <f>0+E9</f>
        <v>0</v>
      </c>
      <c r="G9" s="163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 t="shared" si="6"/>
        <v>0</v>
      </c>
      <c r="O9" s="172">
        <f t="shared" si="2"/>
        <v>0</v>
      </c>
      <c r="P9" s="260">
        <v>0</v>
      </c>
      <c r="Q9" s="89" t="e">
        <f t="shared" si="7"/>
        <v>#DIV/0!</v>
      </c>
      <c r="R9" s="260">
        <v>0</v>
      </c>
      <c r="S9" s="89" t="e">
        <f t="shared" si="8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158186.46</v>
      </c>
      <c r="C10" s="73">
        <v>157896.94</v>
      </c>
      <c r="D10" s="145">
        <v>127052.2</v>
      </c>
      <c r="E10" s="145">
        <v>152386.4</v>
      </c>
      <c r="F10" s="145">
        <f>142426.5+E10</f>
        <v>294812.90000000002</v>
      </c>
      <c r="G10" s="163">
        <f t="shared" si="0"/>
        <v>-3.4899599700918889E-2</v>
      </c>
      <c r="H10" s="155">
        <f t="shared" si="3"/>
        <v>0.19939993168162376</v>
      </c>
      <c r="I10" s="263">
        <f t="shared" si="4"/>
        <v>-3.6665970020442952E-2</v>
      </c>
      <c r="J10" s="273">
        <v>531</v>
      </c>
      <c r="K10" s="63">
        <f t="shared" si="5"/>
        <v>286.98003766478342</v>
      </c>
      <c r="L10" s="61">
        <v>5</v>
      </c>
      <c r="M10" s="28">
        <f t="shared" si="1"/>
        <v>9.4161958568738224E-3</v>
      </c>
      <c r="N10" s="46">
        <f t="shared" si="6"/>
        <v>5</v>
      </c>
      <c r="O10" s="172">
        <f t="shared" si="2"/>
        <v>9.4161958568738224E-3</v>
      </c>
      <c r="P10" s="260">
        <v>36067.35</v>
      </c>
      <c r="Q10" s="89">
        <f t="shared" si="7"/>
        <v>0.23668352293905492</v>
      </c>
      <c r="R10" s="260">
        <v>14088.95</v>
      </c>
      <c r="S10" s="89">
        <f t="shared" si="8"/>
        <v>9.2455429093409924E-2</v>
      </c>
      <c r="T10" s="281">
        <v>6385.5</v>
      </c>
      <c r="U10" s="26"/>
    </row>
    <row r="11" spans="1:24" ht="15.6" customHeight="1" x14ac:dyDescent="0.3">
      <c r="A11" s="409" t="s">
        <v>21</v>
      </c>
      <c r="B11" s="200">
        <v>224089.43</v>
      </c>
      <c r="C11" s="73">
        <v>317971.75</v>
      </c>
      <c r="D11" s="145">
        <v>241525.5</v>
      </c>
      <c r="E11" s="145">
        <v>233868.56</v>
      </c>
      <c r="F11" s="145">
        <f>205173.86+E11</f>
        <v>439042.42</v>
      </c>
      <c r="G11" s="163">
        <f t="shared" si="0"/>
        <v>-0.26449893740560287</v>
      </c>
      <c r="H11" s="155">
        <f t="shared" si="3"/>
        <v>-3.1702408234327233E-2</v>
      </c>
      <c r="I11" s="263">
        <f t="shared" si="4"/>
        <v>4.3639407713250936E-2</v>
      </c>
      <c r="J11" s="273">
        <v>835</v>
      </c>
      <c r="K11" s="63">
        <f t="shared" si="5"/>
        <v>280.08210778443112</v>
      </c>
      <c r="L11" s="61">
        <v>22</v>
      </c>
      <c r="M11" s="28">
        <f t="shared" si="1"/>
        <v>2.6347305389221556E-2</v>
      </c>
      <c r="N11" s="46">
        <f t="shared" si="6"/>
        <v>22</v>
      </c>
      <c r="O11" s="172">
        <f t="shared" si="2"/>
        <v>2.6347305389221556E-2</v>
      </c>
      <c r="P11" s="260">
        <v>33757.120000000003</v>
      </c>
      <c r="Q11" s="89">
        <f t="shared" si="7"/>
        <v>0.14434227499412491</v>
      </c>
      <c r="R11" s="260">
        <v>29140.1</v>
      </c>
      <c r="S11" s="89">
        <f t="shared" si="8"/>
        <v>0.12460033105775312</v>
      </c>
      <c r="T11" s="281">
        <v>14627.6</v>
      </c>
      <c r="U11" s="26"/>
    </row>
    <row r="12" spans="1:24" ht="15.6" customHeight="1" x14ac:dyDescent="0.3">
      <c r="A12" s="198" t="s">
        <v>22</v>
      </c>
      <c r="B12" s="200">
        <v>130082.37</v>
      </c>
      <c r="C12" s="73">
        <v>142886.70000000001</v>
      </c>
      <c r="D12" s="145">
        <v>125360.2</v>
      </c>
      <c r="E12" s="145">
        <v>130047.86</v>
      </c>
      <c r="F12" s="145">
        <f>115336.09+E12</f>
        <v>245383.95</v>
      </c>
      <c r="G12" s="163">
        <f t="shared" si="0"/>
        <v>-8.9853289354432639E-2</v>
      </c>
      <c r="H12" s="155">
        <f t="shared" si="3"/>
        <v>3.7393526813135299E-2</v>
      </c>
      <c r="I12" s="263">
        <f t="shared" si="4"/>
        <v>-2.6529344445365476E-4</v>
      </c>
      <c r="J12" s="273">
        <v>483</v>
      </c>
      <c r="K12" s="63">
        <f t="shared" si="5"/>
        <v>269.25022774327124</v>
      </c>
      <c r="L12" s="61">
        <v>6</v>
      </c>
      <c r="M12" s="28">
        <f t="shared" si="1"/>
        <v>1.2422360248447204E-2</v>
      </c>
      <c r="N12" s="46">
        <f t="shared" si="6"/>
        <v>6</v>
      </c>
      <c r="O12" s="172">
        <f t="shared" si="2"/>
        <v>1.2422360248447204E-2</v>
      </c>
      <c r="P12" s="260">
        <v>17305.8</v>
      </c>
      <c r="Q12" s="89">
        <f t="shared" si="7"/>
        <v>0.13307254729143561</v>
      </c>
      <c r="R12" s="260">
        <v>29543.95</v>
      </c>
      <c r="S12" s="89">
        <f t="shared" si="8"/>
        <v>0.22717751756930102</v>
      </c>
      <c r="T12" s="281">
        <v>9465.75</v>
      </c>
      <c r="U12" s="26"/>
    </row>
    <row r="13" spans="1:24" ht="15.6" customHeight="1" x14ac:dyDescent="0.3">
      <c r="A13" s="198" t="s">
        <v>23</v>
      </c>
      <c r="B13" s="200">
        <v>228031.91</v>
      </c>
      <c r="C13" s="73">
        <v>227804.48</v>
      </c>
      <c r="D13" s="145">
        <v>194756.2</v>
      </c>
      <c r="E13" s="145">
        <v>212862.25</v>
      </c>
      <c r="F13" s="145">
        <f>211011.08+E13</f>
        <v>423873.32999999996</v>
      </c>
      <c r="G13" s="163">
        <f t="shared" si="0"/>
        <v>-6.559234480375456E-2</v>
      </c>
      <c r="H13" s="155">
        <f t="shared" si="3"/>
        <v>9.2967772014446712E-2</v>
      </c>
      <c r="I13" s="263">
        <f t="shared" si="4"/>
        <v>-6.6524286008918673E-2</v>
      </c>
      <c r="J13" s="273">
        <v>780</v>
      </c>
      <c r="K13" s="63">
        <f t="shared" si="5"/>
        <v>272.90032051282049</v>
      </c>
      <c r="L13" s="61">
        <v>21</v>
      </c>
      <c r="M13" s="28">
        <f t="shared" si="1"/>
        <v>2.6923076923076925E-2</v>
      </c>
      <c r="N13" s="46">
        <f t="shared" si="6"/>
        <v>21</v>
      </c>
      <c r="O13" s="172">
        <f t="shared" si="2"/>
        <v>2.6923076923076925E-2</v>
      </c>
      <c r="P13" s="260">
        <v>41116</v>
      </c>
      <c r="Q13" s="89">
        <f t="shared" si="7"/>
        <v>0.19315778161698469</v>
      </c>
      <c r="R13" s="260">
        <v>29831.35</v>
      </c>
      <c r="S13" s="89">
        <f t="shared" si="8"/>
        <v>0.14014391936569306</v>
      </c>
      <c r="T13" s="281">
        <v>4705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45"/>
      <c r="G14" s="163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 t="shared" si="6"/>
        <v>0</v>
      </c>
      <c r="O14" s="172">
        <f t="shared" si="2"/>
        <v>0</v>
      </c>
      <c r="P14" s="260"/>
      <c r="Q14" s="89" t="e">
        <f t="shared" si="7"/>
        <v>#DIV/0!</v>
      </c>
      <c r="R14" s="260"/>
      <c r="S14" s="89" t="e">
        <f t="shared" si="8"/>
        <v>#DIV/0!</v>
      </c>
      <c r="T14" s="281"/>
      <c r="U14" s="26"/>
    </row>
    <row r="15" spans="1:24" ht="15.6" customHeight="1" x14ac:dyDescent="0.3">
      <c r="A15" s="198" t="s">
        <v>26</v>
      </c>
      <c r="B15" s="200">
        <v>241742.72</v>
      </c>
      <c r="C15" s="73">
        <v>199136.28</v>
      </c>
      <c r="D15" s="145">
        <v>172209.5</v>
      </c>
      <c r="E15" s="145">
        <v>226735.62</v>
      </c>
      <c r="F15" s="145">
        <f>214774.9+E15</f>
        <v>441510.52</v>
      </c>
      <c r="G15" s="163">
        <f t="shared" si="0"/>
        <v>0.13859523739220195</v>
      </c>
      <c r="H15" s="155">
        <f t="shared" si="3"/>
        <v>0.3166266669376544</v>
      </c>
      <c r="I15" s="263">
        <f t="shared" si="4"/>
        <v>-6.2078808412513953E-2</v>
      </c>
      <c r="J15" s="273">
        <v>772</v>
      </c>
      <c r="K15" s="63">
        <f t="shared" si="5"/>
        <v>293.69898963730571</v>
      </c>
      <c r="L15" s="61">
        <v>16</v>
      </c>
      <c r="M15" s="28">
        <f t="shared" si="1"/>
        <v>2.072538860103627E-2</v>
      </c>
      <c r="N15" s="46">
        <f t="shared" si="6"/>
        <v>16</v>
      </c>
      <c r="O15" s="172">
        <f t="shared" si="2"/>
        <v>2.072538860103627E-2</v>
      </c>
      <c r="P15" s="260">
        <v>0</v>
      </c>
      <c r="Q15" s="89">
        <f t="shared" si="7"/>
        <v>0</v>
      </c>
      <c r="R15" s="260">
        <v>24052</v>
      </c>
      <c r="S15" s="89">
        <f t="shared" si="8"/>
        <v>0.10607949469959771</v>
      </c>
      <c r="T15" s="281">
        <v>2333.9499999999998</v>
      </c>
      <c r="U15" s="9"/>
    </row>
    <row r="16" spans="1:24" ht="15.6" customHeight="1" x14ac:dyDescent="0.3">
      <c r="A16" s="198" t="s">
        <v>27</v>
      </c>
      <c r="B16" s="200">
        <v>145092.71</v>
      </c>
      <c r="C16" s="73">
        <v>138626.42000000001</v>
      </c>
      <c r="D16" s="145">
        <v>128763</v>
      </c>
      <c r="E16" s="145">
        <v>150819.63</v>
      </c>
      <c r="F16" s="145">
        <f>129844.89+E16</f>
        <v>280664.52</v>
      </c>
      <c r="G16" s="163">
        <f t="shared" si="0"/>
        <v>8.7957331654384435E-2</v>
      </c>
      <c r="H16" s="155">
        <f t="shared" si="3"/>
        <v>0.17129633512732698</v>
      </c>
      <c r="I16" s="263">
        <f t="shared" si="4"/>
        <v>3.9470763210639685E-2</v>
      </c>
      <c r="J16" s="273">
        <v>569</v>
      </c>
      <c r="K16" s="63">
        <f t="shared" si="5"/>
        <v>265.06086115992969</v>
      </c>
      <c r="L16" s="61">
        <v>16</v>
      </c>
      <c r="M16" s="28">
        <f t="shared" si="1"/>
        <v>2.8119507908611598E-2</v>
      </c>
      <c r="N16" s="46">
        <f t="shared" si="6"/>
        <v>16</v>
      </c>
      <c r="O16" s="172">
        <f t="shared" si="2"/>
        <v>2.8119507908611598E-2</v>
      </c>
      <c r="P16" s="260">
        <v>39291.730000000003</v>
      </c>
      <c r="Q16" s="89">
        <f t="shared" si="7"/>
        <v>0.26052132603693567</v>
      </c>
      <c r="R16" s="260">
        <v>27142.55</v>
      </c>
      <c r="S16" s="89">
        <f t="shared" si="8"/>
        <v>0.17996695788207409</v>
      </c>
      <c r="T16" s="281">
        <v>6382.7</v>
      </c>
      <c r="U16" s="9"/>
      <c r="X16" s="238"/>
    </row>
    <row r="17" spans="1:21" ht="15.6" customHeight="1" x14ac:dyDescent="0.3">
      <c r="A17" s="198" t="s">
        <v>28</v>
      </c>
      <c r="B17" s="200">
        <v>181925.54</v>
      </c>
      <c r="C17" s="73">
        <v>218588.98</v>
      </c>
      <c r="D17" s="145">
        <v>163994.20000000001</v>
      </c>
      <c r="E17" s="145">
        <v>190573.92</v>
      </c>
      <c r="F17" s="145">
        <f>168691.74+E17</f>
        <v>359265.66000000003</v>
      </c>
      <c r="G17" s="163">
        <f t="shared" si="0"/>
        <v>-0.12816318553661762</v>
      </c>
      <c r="H17" s="155">
        <f t="shared" si="3"/>
        <v>0.1620771954130085</v>
      </c>
      <c r="I17" s="263">
        <f t="shared" si="4"/>
        <v>4.7538020225197652E-2</v>
      </c>
      <c r="J17" s="273">
        <v>716</v>
      </c>
      <c r="K17" s="63">
        <f t="shared" si="5"/>
        <v>266.16469273743019</v>
      </c>
      <c r="L17" s="61">
        <v>9</v>
      </c>
      <c r="M17" s="28">
        <f t="shared" si="1"/>
        <v>1.2569832402234637E-2</v>
      </c>
      <c r="N17" s="46">
        <f t="shared" si="6"/>
        <v>9</v>
      </c>
      <c r="O17" s="172">
        <f t="shared" si="2"/>
        <v>1.2569832402234637E-2</v>
      </c>
      <c r="P17" s="260">
        <v>50499.4</v>
      </c>
      <c r="Q17" s="89">
        <f t="shared" si="7"/>
        <v>0.2649858910390257</v>
      </c>
      <c r="R17" s="260">
        <v>27714.5</v>
      </c>
      <c r="S17" s="89">
        <f t="shared" si="8"/>
        <v>0.14542650956647163</v>
      </c>
      <c r="T17" s="281">
        <v>5762</v>
      </c>
      <c r="U17" s="9"/>
    </row>
    <row r="18" spans="1:21" ht="16.2" customHeight="1" thickBot="1" x14ac:dyDescent="0.35">
      <c r="A18" s="199" t="s">
        <v>33</v>
      </c>
      <c r="B18" s="201">
        <v>156833.12</v>
      </c>
      <c r="C18" s="131">
        <v>185708.58</v>
      </c>
      <c r="D18" s="131">
        <v>136531.20000000001</v>
      </c>
      <c r="E18" s="146">
        <v>139274.85999999999</v>
      </c>
      <c r="F18" s="146">
        <f>144631.44+E18</f>
        <v>283906.3</v>
      </c>
      <c r="G18" s="164">
        <f t="shared" si="0"/>
        <v>-0.25003540493390236</v>
      </c>
      <c r="H18" s="156">
        <f t="shared" si="3"/>
        <v>2.0095480007499927E-2</v>
      </c>
      <c r="I18" s="264">
        <f t="shared" si="4"/>
        <v>-0.11195505133099444</v>
      </c>
      <c r="J18" s="282">
        <v>559</v>
      </c>
      <c r="K18" s="132">
        <f t="shared" si="5"/>
        <v>249.15001788908762</v>
      </c>
      <c r="L18" s="133">
        <v>14</v>
      </c>
      <c r="M18" s="114">
        <f t="shared" si="1"/>
        <v>2.5044722719141325E-2</v>
      </c>
      <c r="N18" s="115">
        <f t="shared" si="6"/>
        <v>14</v>
      </c>
      <c r="O18" s="173">
        <f t="shared" si="2"/>
        <v>2.5044722719141325E-2</v>
      </c>
      <c r="P18" s="261">
        <v>23514.44</v>
      </c>
      <c r="Q18" s="116">
        <f t="shared" si="7"/>
        <v>0.16883477750399462</v>
      </c>
      <c r="R18" s="261">
        <v>29232.75</v>
      </c>
      <c r="S18" s="116">
        <f t="shared" si="8"/>
        <v>0.20989251039275864</v>
      </c>
      <c r="T18" s="283">
        <v>3162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 t="shared" si="6"/>
        <v>0</v>
      </c>
      <c r="O19" s="213">
        <f t="shared" si="2"/>
        <v>0</v>
      </c>
      <c r="P19" s="279">
        <v>0</v>
      </c>
      <c r="Q19" s="215" t="e">
        <f t="shared" si="7"/>
        <v>#DIV/0!</v>
      </c>
      <c r="R19" s="279">
        <v>0</v>
      </c>
      <c r="S19" s="215" t="e">
        <f t="shared" si="8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16" priority="19" operator="equal">
      <formula>0</formula>
    </cfRule>
  </conditionalFormatting>
  <conditionalFormatting sqref="D7:D19">
    <cfRule type="cellIs" dxfId="215" priority="8" operator="equal">
      <formula>0</formula>
    </cfRule>
  </conditionalFormatting>
  <conditionalFormatting sqref="E6:E18">
    <cfRule type="cellIs" dxfId="214" priority="5" operator="equal">
      <formula>0</formula>
    </cfRule>
  </conditionalFormatting>
  <conditionalFormatting sqref="E19:F19">
    <cfRule type="cellIs" dxfId="213" priority="18" operator="equal">
      <formula>0</formula>
    </cfRule>
  </conditionalFormatting>
  <conditionalFormatting sqref="F7:F18">
    <cfRule type="cellIs" dxfId="212" priority="6" operator="equal">
      <formula>0</formula>
    </cfRule>
  </conditionalFormatting>
  <conditionalFormatting sqref="G6:T19">
    <cfRule type="cellIs" dxfId="21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X41"/>
  <sheetViews>
    <sheetView zoomScale="70" zoomScaleNormal="70" workbookViewId="0">
      <pane xSplit="1" topLeftCell="B1" activePane="topRight" state="frozen"/>
      <selection pane="topRight" activeCell="A3" sqref="A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0.97283174436032516</v>
      </c>
      <c r="H2" s="413"/>
      <c r="I2" s="400">
        <f>(((E4-E19-B19)-B4)/E4)</f>
        <v>-1.3646569253775226E-2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47</v>
      </c>
      <c r="D3" s="113" t="s">
        <v>49</v>
      </c>
      <c r="E3" s="271" t="s">
        <v>52</v>
      </c>
      <c r="F3" s="290" t="s">
        <v>44</v>
      </c>
      <c r="G3" s="292" t="s">
        <v>50</v>
      </c>
      <c r="H3" s="293" t="s">
        <v>51</v>
      </c>
      <c r="I3" s="294" t="s">
        <v>41</v>
      </c>
      <c r="J3" s="291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1877992.7399999998</v>
      </c>
      <c r="C4" s="135">
        <f>SUM(C6:C19)-C14-C19-C10-C9</f>
        <v>939111.82000000007</v>
      </c>
      <c r="D4" s="142">
        <f>SUM(D6:D19)-D19-D10-D9</f>
        <v>1590539.59</v>
      </c>
      <c r="E4" s="270">
        <f>SUM(E6:E19)-E19-E10-E9</f>
        <v>1852709.6099999999</v>
      </c>
      <c r="F4" s="142">
        <f>SUM(F6:F19)-F19-F10-F9</f>
        <v>5321648.1900000004</v>
      </c>
      <c r="G4" s="217">
        <f t="shared" ref="G4:G19" si="0">IFERROR((SUM(E4-C4)/C4),0)</f>
        <v>0.97283174436032516</v>
      </c>
      <c r="H4" s="217">
        <f>IFERROR((SUM(E4-D4)/D4),0)</f>
        <v>0.16483086724046886</v>
      </c>
      <c r="I4" s="217">
        <f>IFERROR((SUM(E4-B4)/E4),0)</f>
        <v>-1.3646569253775226E-2</v>
      </c>
      <c r="J4" s="262">
        <f>SUM(J6:J18)</f>
        <v>6977</v>
      </c>
      <c r="K4" s="218">
        <f>AVERAGE(K5:K19)</f>
        <v>220.68420020601323</v>
      </c>
      <c r="L4" s="219">
        <f>SUM(L6:L19)</f>
        <v>133</v>
      </c>
      <c r="M4" s="220">
        <f t="shared" ref="M4:M19" si="1">IFERROR(L4/J4,0)</f>
        <v>1.9062634370073096E-2</v>
      </c>
      <c r="N4" s="221">
        <f>SUM(N6:N19)</f>
        <v>133</v>
      </c>
      <c r="O4" s="222">
        <f t="shared" ref="O4:O19" si="2">IFERROR(N4/SUM(J4),0)</f>
        <v>1.9062634370073096E-2</v>
      </c>
      <c r="P4" s="249">
        <f>SUM(P6:P19)</f>
        <v>407180.69</v>
      </c>
      <c r="Q4" s="222">
        <f>SUM(P4/E4)</f>
        <v>0.21977577479074015</v>
      </c>
      <c r="R4" s="244">
        <f>SUM(R6:R19)</f>
        <v>257869.19999999998</v>
      </c>
      <c r="S4" s="222">
        <f>SUM(R4/E4)</f>
        <v>0.13918489903012918</v>
      </c>
      <c r="T4" s="257">
        <f>SUM(T6:T19)</f>
        <v>74475.95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220633.24</v>
      </c>
      <c r="C6" s="255">
        <v>111844.41</v>
      </c>
      <c r="D6" s="197">
        <v>206498.85</v>
      </c>
      <c r="E6" s="144">
        <v>232505.15</v>
      </c>
      <c r="F6" s="129">
        <f t="shared" ref="F6:F18" si="3">144631.44+E6+B6</f>
        <v>597769.82999999996</v>
      </c>
      <c r="G6" s="287">
        <f t="shared" si="0"/>
        <v>1.078826737965715</v>
      </c>
      <c r="H6" s="154">
        <f t="shared" ref="H6:H18" si="4">IFERROR((SUM(E6-D6)/D6),0)</f>
        <v>0.12593920014566662</v>
      </c>
      <c r="I6" s="266">
        <f t="shared" ref="I6:I19" si="5">IFERROR((SUM(E6-B6)/B6),0)</f>
        <v>5.3808347282576295E-2</v>
      </c>
      <c r="J6" s="285">
        <v>749</v>
      </c>
      <c r="K6" s="124">
        <f t="shared" ref="K6:K19" si="6">IFERROR(E6/J6,0)</f>
        <v>310.42076101468626</v>
      </c>
      <c r="L6" s="125">
        <v>10</v>
      </c>
      <c r="M6" s="126">
        <f t="shared" si="1"/>
        <v>1.335113484646195E-2</v>
      </c>
      <c r="N6" s="127">
        <f t="shared" ref="N6:N19" si="7">L6</f>
        <v>10</v>
      </c>
      <c r="O6" s="171">
        <f t="shared" si="2"/>
        <v>1.335113484646195E-2</v>
      </c>
      <c r="P6" s="259">
        <v>41793.15</v>
      </c>
      <c r="Q6" s="128">
        <f t="shared" ref="Q6:Q19" si="8">SUM(P6/E6)</f>
        <v>0.17975150227855169</v>
      </c>
      <c r="R6" s="259">
        <v>13258.25</v>
      </c>
      <c r="S6" s="128">
        <f t="shared" ref="S6:S19" si="9">SUM(R6/E6)</f>
        <v>5.7023468082319902E-2</v>
      </c>
      <c r="T6" s="286">
        <v>7297.45</v>
      </c>
      <c r="U6" s="26"/>
    </row>
    <row r="7" spans="1:24" ht="15.6" customHeight="1" x14ac:dyDescent="0.3">
      <c r="A7" s="409" t="s">
        <v>16</v>
      </c>
      <c r="B7" s="200">
        <v>229538.83</v>
      </c>
      <c r="C7" s="73">
        <v>25855.03</v>
      </c>
      <c r="D7" s="145">
        <v>147714.4</v>
      </c>
      <c r="E7" s="145">
        <v>238531.51</v>
      </c>
      <c r="F7" s="130">
        <f t="shared" si="3"/>
        <v>612701.78</v>
      </c>
      <c r="G7" s="288">
        <f t="shared" si="0"/>
        <v>8.225729384185593</v>
      </c>
      <c r="H7" s="155">
        <f t="shared" si="4"/>
        <v>0.61481554946572592</v>
      </c>
      <c r="I7" s="263">
        <f t="shared" si="5"/>
        <v>3.9177162312799198E-2</v>
      </c>
      <c r="J7" s="273">
        <v>782</v>
      </c>
      <c r="K7" s="63">
        <f t="shared" si="6"/>
        <v>305.02750639386193</v>
      </c>
      <c r="L7" s="61">
        <v>12</v>
      </c>
      <c r="M7" s="28">
        <f t="shared" si="1"/>
        <v>1.5345268542199489E-2</v>
      </c>
      <c r="N7" s="46">
        <f t="shared" si="7"/>
        <v>12</v>
      </c>
      <c r="O7" s="172">
        <f t="shared" si="2"/>
        <v>1.5345268542199489E-2</v>
      </c>
      <c r="P7" s="260">
        <v>50559.199999999997</v>
      </c>
      <c r="Q7" s="89">
        <f t="shared" si="8"/>
        <v>0.21196025632001406</v>
      </c>
      <c r="R7" s="260">
        <v>15504.4</v>
      </c>
      <c r="S7" s="89">
        <f t="shared" si="9"/>
        <v>6.4999378908052852E-2</v>
      </c>
      <c r="T7" s="281">
        <v>9800.9</v>
      </c>
      <c r="U7" s="26"/>
    </row>
    <row r="8" spans="1:24" ht="15.6" customHeight="1" x14ac:dyDescent="0.3">
      <c r="A8" s="409" t="s">
        <v>17</v>
      </c>
      <c r="B8" s="200">
        <v>143637.97</v>
      </c>
      <c r="C8" s="73">
        <v>63417.32</v>
      </c>
      <c r="D8" s="145">
        <v>108914.78</v>
      </c>
      <c r="E8" s="145">
        <v>110546.73</v>
      </c>
      <c r="F8" s="130">
        <f t="shared" si="3"/>
        <v>398816.14</v>
      </c>
      <c r="G8" s="288">
        <f t="shared" si="0"/>
        <v>0.74316306649350672</v>
      </c>
      <c r="H8" s="155">
        <f t="shared" si="4"/>
        <v>1.4983733153571968E-2</v>
      </c>
      <c r="I8" s="263">
        <f t="shared" si="5"/>
        <v>-0.23037947417385532</v>
      </c>
      <c r="J8" s="273">
        <v>441</v>
      </c>
      <c r="K8" s="63">
        <f t="shared" si="6"/>
        <v>250.67285714285714</v>
      </c>
      <c r="L8" s="61">
        <v>2</v>
      </c>
      <c r="M8" s="28">
        <f t="shared" si="1"/>
        <v>4.5351473922902496E-3</v>
      </c>
      <c r="N8" s="46">
        <f t="shared" si="7"/>
        <v>2</v>
      </c>
      <c r="O8" s="172">
        <f t="shared" si="2"/>
        <v>4.5351473922902496E-3</v>
      </c>
      <c r="P8" s="260">
        <v>73276.5</v>
      </c>
      <c r="Q8" s="89">
        <f t="shared" si="8"/>
        <v>0.66285542774535255</v>
      </c>
      <c r="R8" s="260">
        <v>18360.400000000001</v>
      </c>
      <c r="S8" s="89">
        <f t="shared" si="9"/>
        <v>0.16608722845080992</v>
      </c>
      <c r="T8" s="281">
        <v>4553.1000000000004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>
        <f t="shared" si="3"/>
        <v>144631.44</v>
      </c>
      <c r="G9" s="288">
        <f t="shared" si="0"/>
        <v>0</v>
      </c>
      <c r="H9" s="155">
        <f t="shared" si="4"/>
        <v>0</v>
      </c>
      <c r="I9" s="263">
        <f t="shared" si="5"/>
        <v>0</v>
      </c>
      <c r="J9" s="273">
        <v>0</v>
      </c>
      <c r="K9" s="63">
        <f t="shared" si="6"/>
        <v>0</v>
      </c>
      <c r="L9" s="61">
        <v>0</v>
      </c>
      <c r="M9" s="28">
        <f t="shared" si="1"/>
        <v>0</v>
      </c>
      <c r="N9" s="46">
        <f t="shared" si="7"/>
        <v>0</v>
      </c>
      <c r="O9" s="172">
        <f t="shared" si="2"/>
        <v>0</v>
      </c>
      <c r="P9" s="260">
        <v>0</v>
      </c>
      <c r="Q9" s="89" t="e">
        <f t="shared" si="8"/>
        <v>#DIV/0!</v>
      </c>
      <c r="R9" s="260">
        <v>0</v>
      </c>
      <c r="S9" s="89" t="e">
        <f t="shared" si="9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152386.4</v>
      </c>
      <c r="C10" s="73">
        <v>92886.66</v>
      </c>
      <c r="D10" s="145">
        <v>149128.31</v>
      </c>
      <c r="E10" s="145">
        <v>138082.21</v>
      </c>
      <c r="F10" s="130">
        <f t="shared" si="3"/>
        <v>435100.05000000005</v>
      </c>
      <c r="G10" s="288">
        <f t="shared" si="0"/>
        <v>0.48656663938610761</v>
      </c>
      <c r="H10" s="155">
        <f t="shared" si="4"/>
        <v>-7.4071113660444526E-2</v>
      </c>
      <c r="I10" s="263">
        <f t="shared" si="5"/>
        <v>-9.3867891097893272E-2</v>
      </c>
      <c r="J10" s="273">
        <v>464</v>
      </c>
      <c r="K10" s="63">
        <f t="shared" si="6"/>
        <v>297.59096982758621</v>
      </c>
      <c r="L10" s="61">
        <v>5</v>
      </c>
      <c r="M10" s="28">
        <f t="shared" si="1"/>
        <v>1.0775862068965518E-2</v>
      </c>
      <c r="N10" s="46">
        <f t="shared" si="7"/>
        <v>5</v>
      </c>
      <c r="O10" s="172">
        <f t="shared" si="2"/>
        <v>1.0775862068965518E-2</v>
      </c>
      <c r="P10" s="260">
        <v>36067.35</v>
      </c>
      <c r="Q10" s="89">
        <f t="shared" si="8"/>
        <v>0.26120200422632284</v>
      </c>
      <c r="R10" s="260">
        <v>14088.95</v>
      </c>
      <c r="S10" s="89">
        <f t="shared" si="9"/>
        <v>0.10203305697381293</v>
      </c>
      <c r="T10" s="281">
        <v>6385.5</v>
      </c>
      <c r="U10" s="26"/>
    </row>
    <row r="11" spans="1:24" ht="15.6" customHeight="1" x14ac:dyDescent="0.3">
      <c r="A11" s="409" t="s">
        <v>21</v>
      </c>
      <c r="B11" s="200">
        <v>233868.56</v>
      </c>
      <c r="C11" s="73">
        <v>136211.63</v>
      </c>
      <c r="D11" s="145">
        <v>243817.58</v>
      </c>
      <c r="E11" s="145">
        <v>193342.82</v>
      </c>
      <c r="F11" s="130">
        <f t="shared" si="3"/>
        <v>571842.82000000007</v>
      </c>
      <c r="G11" s="288">
        <f t="shared" si="0"/>
        <v>0.41942960377171906</v>
      </c>
      <c r="H11" s="155">
        <f t="shared" si="4"/>
        <v>-0.20701854230527586</v>
      </c>
      <c r="I11" s="263">
        <f t="shared" si="5"/>
        <v>-0.17328425847407616</v>
      </c>
      <c r="J11" s="273">
        <v>696</v>
      </c>
      <c r="K11" s="63">
        <f t="shared" si="6"/>
        <v>277.79140804597699</v>
      </c>
      <c r="L11" s="61">
        <v>22</v>
      </c>
      <c r="M11" s="28">
        <f t="shared" si="1"/>
        <v>3.1609195402298854E-2</v>
      </c>
      <c r="N11" s="46">
        <f t="shared" si="7"/>
        <v>22</v>
      </c>
      <c r="O11" s="172">
        <f t="shared" si="2"/>
        <v>3.1609195402298854E-2</v>
      </c>
      <c r="P11" s="260">
        <v>33757.120000000003</v>
      </c>
      <c r="Q11" s="89">
        <f t="shared" si="8"/>
        <v>0.1745972257981962</v>
      </c>
      <c r="R11" s="260">
        <v>29140.1</v>
      </c>
      <c r="S11" s="89">
        <f t="shared" si="9"/>
        <v>0.15071725963239802</v>
      </c>
      <c r="T11" s="281">
        <v>14627.6</v>
      </c>
      <c r="U11" s="26"/>
    </row>
    <row r="12" spans="1:24" ht="15.6" customHeight="1" x14ac:dyDescent="0.3">
      <c r="A12" s="198" t="s">
        <v>22</v>
      </c>
      <c r="B12" s="200">
        <v>130047.86</v>
      </c>
      <c r="C12" s="73">
        <v>70519.100000000006</v>
      </c>
      <c r="D12" s="145">
        <v>106568.05</v>
      </c>
      <c r="E12" s="145">
        <v>118093.22</v>
      </c>
      <c r="F12" s="130">
        <f t="shared" si="3"/>
        <v>392772.52</v>
      </c>
      <c r="G12" s="288">
        <f t="shared" si="0"/>
        <v>0.67462744135985842</v>
      </c>
      <c r="H12" s="155">
        <f t="shared" si="4"/>
        <v>0.10814845537663491</v>
      </c>
      <c r="I12" s="263">
        <f t="shared" si="5"/>
        <v>-9.1924926715441529E-2</v>
      </c>
      <c r="J12" s="273">
        <v>443</v>
      </c>
      <c r="K12" s="63">
        <f t="shared" si="6"/>
        <v>266.57611738148984</v>
      </c>
      <c r="L12" s="61">
        <v>6</v>
      </c>
      <c r="M12" s="28">
        <f t="shared" si="1"/>
        <v>1.3544018058690745E-2</v>
      </c>
      <c r="N12" s="46">
        <f t="shared" si="7"/>
        <v>6</v>
      </c>
      <c r="O12" s="172">
        <f t="shared" si="2"/>
        <v>1.3544018058690745E-2</v>
      </c>
      <c r="P12" s="260">
        <v>17305.8</v>
      </c>
      <c r="Q12" s="89">
        <f t="shared" si="8"/>
        <v>0.14654355262732272</v>
      </c>
      <c r="R12" s="260">
        <v>29543.95</v>
      </c>
      <c r="S12" s="89">
        <f t="shared" si="9"/>
        <v>0.25017481951969811</v>
      </c>
      <c r="T12" s="281">
        <v>9465.75</v>
      </c>
      <c r="U12" s="26"/>
    </row>
    <row r="13" spans="1:24" ht="15.6" customHeight="1" x14ac:dyDescent="0.3">
      <c r="A13" s="198" t="s">
        <v>23</v>
      </c>
      <c r="B13" s="200">
        <v>212862.25</v>
      </c>
      <c r="C13" s="73">
        <v>128530.38</v>
      </c>
      <c r="D13" s="145">
        <v>174962.19</v>
      </c>
      <c r="E13" s="145">
        <v>185508.77</v>
      </c>
      <c r="F13" s="130">
        <f t="shared" si="3"/>
        <v>543002.46</v>
      </c>
      <c r="G13" s="288">
        <f t="shared" si="0"/>
        <v>0.44330678863627404</v>
      </c>
      <c r="H13" s="155">
        <f t="shared" si="4"/>
        <v>6.0279195179255514E-2</v>
      </c>
      <c r="I13" s="263">
        <f t="shared" si="5"/>
        <v>-0.12850319866486429</v>
      </c>
      <c r="J13" s="273">
        <v>731</v>
      </c>
      <c r="K13" s="63">
        <f t="shared" si="6"/>
        <v>253.77396716826263</v>
      </c>
      <c r="L13" s="61">
        <v>21</v>
      </c>
      <c r="M13" s="28">
        <f t="shared" si="1"/>
        <v>2.8727770177838577E-2</v>
      </c>
      <c r="N13" s="46">
        <f t="shared" si="7"/>
        <v>21</v>
      </c>
      <c r="O13" s="172">
        <f t="shared" si="2"/>
        <v>2.8727770177838577E-2</v>
      </c>
      <c r="P13" s="260">
        <v>41116</v>
      </c>
      <c r="Q13" s="89">
        <f t="shared" si="8"/>
        <v>0.22163911711559514</v>
      </c>
      <c r="R13" s="260">
        <v>29831.35</v>
      </c>
      <c r="S13" s="89">
        <f t="shared" si="9"/>
        <v>0.16080830032995205</v>
      </c>
      <c r="T13" s="281">
        <v>4705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>
        <f t="shared" si="3"/>
        <v>144631.44</v>
      </c>
      <c r="G14" s="288">
        <f t="shared" si="0"/>
        <v>0</v>
      </c>
      <c r="H14" s="155">
        <f t="shared" si="4"/>
        <v>0</v>
      </c>
      <c r="I14" s="263">
        <f t="shared" si="5"/>
        <v>0</v>
      </c>
      <c r="J14" s="273"/>
      <c r="K14" s="63">
        <f t="shared" si="6"/>
        <v>0</v>
      </c>
      <c r="L14" s="61"/>
      <c r="M14" s="28">
        <f t="shared" si="1"/>
        <v>0</v>
      </c>
      <c r="N14" s="46">
        <f t="shared" si="7"/>
        <v>0</v>
      </c>
      <c r="O14" s="172">
        <f t="shared" si="2"/>
        <v>0</v>
      </c>
      <c r="P14" s="260"/>
      <c r="Q14" s="89" t="e">
        <f t="shared" si="8"/>
        <v>#DIV/0!</v>
      </c>
      <c r="R14" s="260"/>
      <c r="S14" s="89" t="e">
        <f t="shared" si="9"/>
        <v>#DIV/0!</v>
      </c>
      <c r="T14" s="281"/>
      <c r="U14" s="26"/>
    </row>
    <row r="15" spans="1:24" ht="15.6" customHeight="1" x14ac:dyDescent="0.3">
      <c r="A15" s="198" t="s">
        <v>26</v>
      </c>
      <c r="B15" s="200">
        <v>226735.62</v>
      </c>
      <c r="C15" s="73">
        <v>137714.01999999999</v>
      </c>
      <c r="D15" s="145">
        <v>196261</v>
      </c>
      <c r="E15" s="145">
        <v>326106.42</v>
      </c>
      <c r="F15" s="130">
        <f t="shared" si="3"/>
        <v>697473.48</v>
      </c>
      <c r="G15" s="288">
        <f t="shared" si="0"/>
        <v>1.3679972453058884</v>
      </c>
      <c r="H15" s="155">
        <f t="shared" si="4"/>
        <v>0.66159563030861956</v>
      </c>
      <c r="I15" s="263">
        <f t="shared" si="5"/>
        <v>0.4382672647553128</v>
      </c>
      <c r="J15" s="273">
        <v>1001</v>
      </c>
      <c r="K15" s="63">
        <f t="shared" si="6"/>
        <v>325.78063936063933</v>
      </c>
      <c r="L15" s="61">
        <v>16</v>
      </c>
      <c r="M15" s="28">
        <f t="shared" si="1"/>
        <v>1.5984015984015984E-2</v>
      </c>
      <c r="N15" s="46">
        <f t="shared" si="7"/>
        <v>16</v>
      </c>
      <c r="O15" s="172">
        <f t="shared" si="2"/>
        <v>1.5984015984015984E-2</v>
      </c>
      <c r="P15" s="260">
        <v>0</v>
      </c>
      <c r="Q15" s="89">
        <f t="shared" si="8"/>
        <v>0</v>
      </c>
      <c r="R15" s="260">
        <v>24052</v>
      </c>
      <c r="S15" s="89">
        <f t="shared" si="9"/>
        <v>7.3755064374384297E-2</v>
      </c>
      <c r="T15" s="281">
        <v>2333.9499999999998</v>
      </c>
      <c r="U15" s="9"/>
    </row>
    <row r="16" spans="1:24" ht="15.6" customHeight="1" x14ac:dyDescent="0.3">
      <c r="A16" s="198" t="s">
        <v>27</v>
      </c>
      <c r="B16" s="200">
        <v>150819.63</v>
      </c>
      <c r="C16" s="73">
        <v>63130.559999999998</v>
      </c>
      <c r="D16" s="145">
        <v>111117.75999999999</v>
      </c>
      <c r="E16" s="145">
        <v>115253.69</v>
      </c>
      <c r="F16" s="130">
        <f t="shared" si="3"/>
        <v>410704.76</v>
      </c>
      <c r="G16" s="288">
        <f t="shared" si="0"/>
        <v>0.82564022875767307</v>
      </c>
      <c r="H16" s="155">
        <f t="shared" si="4"/>
        <v>3.7221142686821689E-2</v>
      </c>
      <c r="I16" s="263">
        <f t="shared" si="5"/>
        <v>-0.23581771152733899</v>
      </c>
      <c r="J16" s="273">
        <v>447</v>
      </c>
      <c r="K16" s="63">
        <f t="shared" si="6"/>
        <v>257.83823266219241</v>
      </c>
      <c r="L16" s="61">
        <v>16</v>
      </c>
      <c r="M16" s="28">
        <f t="shared" si="1"/>
        <v>3.5794183445190156E-2</v>
      </c>
      <c r="N16" s="46">
        <f t="shared" si="7"/>
        <v>16</v>
      </c>
      <c r="O16" s="172">
        <f t="shared" si="2"/>
        <v>3.5794183445190156E-2</v>
      </c>
      <c r="P16" s="260">
        <v>39291.730000000003</v>
      </c>
      <c r="Q16" s="89">
        <f t="shared" si="8"/>
        <v>0.3409151585515397</v>
      </c>
      <c r="R16" s="260">
        <v>27142.55</v>
      </c>
      <c r="S16" s="89">
        <f t="shared" si="9"/>
        <v>0.23550265505598994</v>
      </c>
      <c r="T16" s="281">
        <v>6382.7</v>
      </c>
      <c r="U16" s="9"/>
      <c r="X16" s="238"/>
    </row>
    <row r="17" spans="1:21" ht="15.6" customHeight="1" x14ac:dyDescent="0.3">
      <c r="A17" s="198" t="s">
        <v>28</v>
      </c>
      <c r="B17" s="200">
        <v>190573.92</v>
      </c>
      <c r="C17" s="73">
        <v>99672.75</v>
      </c>
      <c r="D17" s="145">
        <v>154734.54</v>
      </c>
      <c r="E17" s="145">
        <v>172469.75</v>
      </c>
      <c r="F17" s="130">
        <f t="shared" si="3"/>
        <v>507675.11</v>
      </c>
      <c r="G17" s="288">
        <f t="shared" si="0"/>
        <v>0.73036010343850255</v>
      </c>
      <c r="H17" s="155">
        <f t="shared" si="4"/>
        <v>0.11461700794147184</v>
      </c>
      <c r="I17" s="263">
        <f t="shared" si="5"/>
        <v>-9.4998150848762578E-2</v>
      </c>
      <c r="J17" s="273">
        <v>626</v>
      </c>
      <c r="K17" s="63">
        <f t="shared" si="6"/>
        <v>275.51078274760386</v>
      </c>
      <c r="L17" s="61">
        <v>9</v>
      </c>
      <c r="M17" s="28">
        <f t="shared" si="1"/>
        <v>1.437699680511182E-2</v>
      </c>
      <c r="N17" s="46">
        <f t="shared" si="7"/>
        <v>9</v>
      </c>
      <c r="O17" s="172">
        <f t="shared" si="2"/>
        <v>1.437699680511182E-2</v>
      </c>
      <c r="P17" s="260">
        <v>50499.4</v>
      </c>
      <c r="Q17" s="89">
        <f t="shared" si="8"/>
        <v>0.29280149127600635</v>
      </c>
      <c r="R17" s="260">
        <v>27714.5</v>
      </c>
      <c r="S17" s="89">
        <f t="shared" si="9"/>
        <v>0.1606919474284621</v>
      </c>
      <c r="T17" s="281">
        <v>5762</v>
      </c>
      <c r="U17" s="9"/>
    </row>
    <row r="18" spans="1:21" ht="16.2" customHeight="1" thickBot="1" x14ac:dyDescent="0.35">
      <c r="A18" s="199" t="s">
        <v>33</v>
      </c>
      <c r="B18" s="201">
        <v>139274.85999999999</v>
      </c>
      <c r="C18" s="131">
        <v>102216.62</v>
      </c>
      <c r="D18" s="131">
        <v>139950.44</v>
      </c>
      <c r="E18" s="146">
        <v>160351.54999999999</v>
      </c>
      <c r="F18" s="134">
        <f t="shared" si="3"/>
        <v>444257.85</v>
      </c>
      <c r="G18" s="289">
        <f t="shared" si="0"/>
        <v>0.56874244129770668</v>
      </c>
      <c r="H18" s="156">
        <f t="shared" si="4"/>
        <v>0.14577381821736313</v>
      </c>
      <c r="I18" s="264">
        <f t="shared" si="5"/>
        <v>0.15133161864244563</v>
      </c>
      <c r="J18" s="282">
        <v>597</v>
      </c>
      <c r="K18" s="132">
        <f t="shared" si="6"/>
        <v>268.59556113902846</v>
      </c>
      <c r="L18" s="133">
        <v>14</v>
      </c>
      <c r="M18" s="114">
        <f t="shared" si="1"/>
        <v>2.3450586264656615E-2</v>
      </c>
      <c r="N18" s="115">
        <f t="shared" si="7"/>
        <v>14</v>
      </c>
      <c r="O18" s="173">
        <f t="shared" si="2"/>
        <v>2.3450586264656615E-2</v>
      </c>
      <c r="P18" s="261">
        <v>23514.44</v>
      </c>
      <c r="Q18" s="116">
        <f t="shared" si="8"/>
        <v>0.1466430477285689</v>
      </c>
      <c r="R18" s="261">
        <v>29232.75</v>
      </c>
      <c r="S18" s="116">
        <f t="shared" si="9"/>
        <v>0.18230413114185676</v>
      </c>
      <c r="T18" s="283">
        <v>3162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5"/>
        <v>0</v>
      </c>
      <c r="J19" s="276"/>
      <c r="K19" s="209">
        <f t="shared" si="6"/>
        <v>0</v>
      </c>
      <c r="L19" s="210">
        <v>0</v>
      </c>
      <c r="M19" s="277">
        <f t="shared" si="1"/>
        <v>0</v>
      </c>
      <c r="N19" s="278">
        <f t="shared" si="7"/>
        <v>0</v>
      </c>
      <c r="O19" s="213">
        <f t="shared" si="2"/>
        <v>0</v>
      </c>
      <c r="P19" s="279">
        <v>0</v>
      </c>
      <c r="Q19" s="215" t="e">
        <f t="shared" si="8"/>
        <v>#DIV/0!</v>
      </c>
      <c r="R19" s="279">
        <v>0</v>
      </c>
      <c r="S19" s="215" t="e">
        <f t="shared" si="9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10" priority="19" operator="equal">
      <formula>0</formula>
    </cfRule>
  </conditionalFormatting>
  <conditionalFormatting sqref="D7:D19">
    <cfRule type="cellIs" dxfId="209" priority="8" operator="equal">
      <formula>0</formula>
    </cfRule>
  </conditionalFormatting>
  <conditionalFormatting sqref="E6:T19">
    <cfRule type="cellIs" dxfId="20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X41"/>
  <sheetViews>
    <sheetView zoomScale="70" zoomScaleNormal="70" workbookViewId="0">
      <pane xSplit="1" topLeftCell="B1" activePane="topRight" state="frozen"/>
      <selection pane="topRight" activeCell="D12" sqref="D12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-0.1156983024890703</v>
      </c>
      <c r="H2" s="413"/>
      <c r="I2" s="400">
        <f>(((E4-E19-B19)-B4)/E4)</f>
        <v>0.15886222557063365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1852709.6099999999</v>
      </c>
      <c r="C4" s="135">
        <f>SUM(C6:C19)-C14-C19-C10-C9</f>
        <v>2490805.17</v>
      </c>
      <c r="D4" s="142">
        <f>SUM(D6:D19)-D19-D10-D9</f>
        <v>1732594.2799999998</v>
      </c>
      <c r="E4" s="270">
        <f>SUM(E6:E19)-E19-E10-E9</f>
        <v>2202623.2399999998</v>
      </c>
      <c r="F4" s="142">
        <f>SUM(F6:F19)-F19-F10-F9</f>
        <v>5646278.6899999995</v>
      </c>
      <c r="G4" s="217">
        <f t="shared" ref="G4:G19" si="0">IFERROR((SUM(E4-C4)/C4),0)</f>
        <v>-0.1156983024890703</v>
      </c>
      <c r="H4" s="217">
        <f>IFERROR((SUM(E4-D4)/D4),0)</f>
        <v>0.27128622403162961</v>
      </c>
      <c r="I4" s="217">
        <f>IFERROR((SUM(E4-B4)/E4),0)</f>
        <v>0.15886222557063365</v>
      </c>
      <c r="J4" s="262">
        <f>SUM(J6:J18)</f>
        <v>7817</v>
      </c>
      <c r="K4" s="218">
        <f>AVERAGE(K5:K19)</f>
        <v>230.82489754003225</v>
      </c>
      <c r="L4" s="219">
        <f>SUM(L6:L19)</f>
        <v>133</v>
      </c>
      <c r="M4" s="220">
        <f t="shared" ref="M4:M19" si="1">IFERROR(L4/J4,0)</f>
        <v>1.7014199820903159E-2</v>
      </c>
      <c r="N4" s="221">
        <f>SUM(N6:N19)</f>
        <v>133</v>
      </c>
      <c r="O4" s="222">
        <f t="shared" ref="O4:O19" si="2">IFERROR(N4/SUM(J4),0)</f>
        <v>1.7014199820903159E-2</v>
      </c>
      <c r="P4" s="249">
        <f>SUM(P6:P19)</f>
        <v>407180.69</v>
      </c>
      <c r="Q4" s="222">
        <f>SUM(P4/E4)</f>
        <v>0.18486170608097283</v>
      </c>
      <c r="R4" s="244">
        <f>SUM(R6:R19)</f>
        <v>257869.19999999998</v>
      </c>
      <c r="S4" s="222">
        <f>SUM(R4/E4)</f>
        <v>0.11707367620437893</v>
      </c>
      <c r="T4" s="257">
        <f>SUM(T6:T19)</f>
        <v>74475.95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232505.15</v>
      </c>
      <c r="C6" s="255">
        <v>339552.82</v>
      </c>
      <c r="D6" s="197">
        <v>239554.8</v>
      </c>
      <c r="E6" s="144">
        <v>254872.5</v>
      </c>
      <c r="F6" s="129">
        <f t="shared" ref="F6:F18" si="3">144631.44+E6+B6</f>
        <v>632009.09</v>
      </c>
      <c r="G6" s="287">
        <f t="shared" si="0"/>
        <v>-0.24938776830067264</v>
      </c>
      <c r="H6" s="154">
        <f t="shared" ref="H6:H18" si="4">IFERROR((SUM(E6-D6)/D6),0)</f>
        <v>6.3942363083519985E-2</v>
      </c>
      <c r="I6" s="266">
        <f t="shared" ref="I6:I19" si="5">IFERROR((SUM(E6-B6)/B6),0)</f>
        <v>9.620152499847856E-2</v>
      </c>
      <c r="J6" s="285">
        <v>807</v>
      </c>
      <c r="K6" s="124">
        <f t="shared" ref="K6:K19" si="6">IFERROR(E6/J6,0)</f>
        <v>315.82713754646841</v>
      </c>
      <c r="L6" s="125">
        <v>10</v>
      </c>
      <c r="M6" s="126">
        <f t="shared" si="1"/>
        <v>1.2391573729863693E-2</v>
      </c>
      <c r="N6" s="127">
        <f t="shared" ref="N6:N19" si="7">L6</f>
        <v>10</v>
      </c>
      <c r="O6" s="171">
        <f t="shared" si="2"/>
        <v>1.2391573729863693E-2</v>
      </c>
      <c r="P6" s="259">
        <v>41793.15</v>
      </c>
      <c r="Q6" s="128">
        <f t="shared" ref="Q6:Q19" si="8">SUM(P6/E6)</f>
        <v>0.16397669422946767</v>
      </c>
      <c r="R6" s="259">
        <v>13258.25</v>
      </c>
      <c r="S6" s="128">
        <f t="shared" ref="S6:S19" si="9">SUM(R6/E6)</f>
        <v>5.2019146828316119E-2</v>
      </c>
      <c r="T6" s="286">
        <v>7297.45</v>
      </c>
      <c r="U6" s="26"/>
    </row>
    <row r="7" spans="1:24" ht="15.6" customHeight="1" x14ac:dyDescent="0.3">
      <c r="A7" s="409" t="s">
        <v>16</v>
      </c>
      <c r="B7" s="200">
        <v>238531.51</v>
      </c>
      <c r="C7" s="73">
        <v>237354.06</v>
      </c>
      <c r="D7" s="145">
        <v>207285.9</v>
      </c>
      <c r="E7" s="145">
        <v>261094.6</v>
      </c>
      <c r="F7" s="130">
        <f t="shared" si="3"/>
        <v>644257.55000000005</v>
      </c>
      <c r="G7" s="288">
        <f t="shared" si="0"/>
        <v>0.1000216301334808</v>
      </c>
      <c r="H7" s="155">
        <f t="shared" si="4"/>
        <v>0.25958687976365019</v>
      </c>
      <c r="I7" s="263">
        <f t="shared" si="5"/>
        <v>9.4591653740002724E-2</v>
      </c>
      <c r="J7" s="273">
        <v>858</v>
      </c>
      <c r="K7" s="63">
        <f t="shared" si="6"/>
        <v>304.30606060606061</v>
      </c>
      <c r="L7" s="61">
        <v>12</v>
      </c>
      <c r="M7" s="28">
        <f t="shared" si="1"/>
        <v>1.3986013986013986E-2</v>
      </c>
      <c r="N7" s="46">
        <f t="shared" si="7"/>
        <v>12</v>
      </c>
      <c r="O7" s="172">
        <f t="shared" si="2"/>
        <v>1.3986013986013986E-2</v>
      </c>
      <c r="P7" s="260">
        <v>50559.199999999997</v>
      </c>
      <c r="Q7" s="89">
        <f t="shared" si="8"/>
        <v>0.19364322356724342</v>
      </c>
      <c r="R7" s="260">
        <v>15504.4</v>
      </c>
      <c r="S7" s="89">
        <f t="shared" si="9"/>
        <v>5.9382308174891395E-2</v>
      </c>
      <c r="T7" s="281">
        <v>9800.9</v>
      </c>
      <c r="U7" s="26"/>
    </row>
    <row r="8" spans="1:24" ht="15.6" customHeight="1" x14ac:dyDescent="0.3">
      <c r="A8" s="409" t="s">
        <v>17</v>
      </c>
      <c r="B8" s="200">
        <v>110546.73</v>
      </c>
      <c r="C8" s="73">
        <v>127846.77</v>
      </c>
      <c r="D8" s="145">
        <v>106593.3</v>
      </c>
      <c r="E8" s="145">
        <v>127181.74</v>
      </c>
      <c r="F8" s="130">
        <f t="shared" si="3"/>
        <v>382359.91</v>
      </c>
      <c r="G8" s="288">
        <f t="shared" si="0"/>
        <v>-5.2017739673829756E-3</v>
      </c>
      <c r="H8" s="155">
        <f t="shared" si="4"/>
        <v>0.19314947562370244</v>
      </c>
      <c r="I8" s="263">
        <f t="shared" si="5"/>
        <v>0.15047943978080591</v>
      </c>
      <c r="J8" s="273">
        <v>441</v>
      </c>
      <c r="K8" s="63">
        <f t="shared" si="6"/>
        <v>288.39396825396824</v>
      </c>
      <c r="L8" s="61">
        <v>2</v>
      </c>
      <c r="M8" s="28">
        <f t="shared" si="1"/>
        <v>4.5351473922902496E-3</v>
      </c>
      <c r="N8" s="46">
        <f t="shared" si="7"/>
        <v>2</v>
      </c>
      <c r="O8" s="172">
        <f t="shared" si="2"/>
        <v>4.5351473922902496E-3</v>
      </c>
      <c r="P8" s="260">
        <v>73276.5</v>
      </c>
      <c r="Q8" s="89">
        <f t="shared" si="8"/>
        <v>0.57615582236884</v>
      </c>
      <c r="R8" s="260">
        <v>18360.400000000001</v>
      </c>
      <c r="S8" s="89">
        <f t="shared" si="9"/>
        <v>0.14436349117412611</v>
      </c>
      <c r="T8" s="281">
        <v>4553.1000000000004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>
        <f t="shared" si="3"/>
        <v>144631.44</v>
      </c>
      <c r="G9" s="288">
        <f t="shared" si="0"/>
        <v>0</v>
      </c>
      <c r="H9" s="155">
        <f t="shared" si="4"/>
        <v>0</v>
      </c>
      <c r="I9" s="263">
        <f t="shared" si="5"/>
        <v>0</v>
      </c>
      <c r="J9" s="273">
        <v>0</v>
      </c>
      <c r="K9" s="63">
        <f t="shared" si="6"/>
        <v>0</v>
      </c>
      <c r="L9" s="61">
        <v>0</v>
      </c>
      <c r="M9" s="28">
        <f t="shared" si="1"/>
        <v>0</v>
      </c>
      <c r="N9" s="46">
        <f t="shared" si="7"/>
        <v>0</v>
      </c>
      <c r="O9" s="172">
        <f t="shared" si="2"/>
        <v>0</v>
      </c>
      <c r="P9" s="260">
        <v>0</v>
      </c>
      <c r="Q9" s="89" t="e">
        <f t="shared" si="8"/>
        <v>#DIV/0!</v>
      </c>
      <c r="R9" s="260">
        <v>0</v>
      </c>
      <c r="S9" s="89" t="e">
        <f t="shared" si="9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138082.21</v>
      </c>
      <c r="C10" s="73">
        <v>134544.66</v>
      </c>
      <c r="D10" s="145">
        <v>135888.35</v>
      </c>
      <c r="E10" s="145">
        <v>148861.70000000001</v>
      </c>
      <c r="F10" s="130">
        <f t="shared" si="3"/>
        <v>431575.35</v>
      </c>
      <c r="G10" s="288">
        <f t="shared" si="0"/>
        <v>0.10641106083288633</v>
      </c>
      <c r="H10" s="155">
        <f t="shared" si="4"/>
        <v>9.5470656608899918E-2</v>
      </c>
      <c r="I10" s="263">
        <f t="shared" si="5"/>
        <v>7.8065740691722854E-2</v>
      </c>
      <c r="J10" s="273">
        <v>519</v>
      </c>
      <c r="K10" s="63">
        <f t="shared" si="6"/>
        <v>286.82408477842006</v>
      </c>
      <c r="L10" s="61">
        <v>5</v>
      </c>
      <c r="M10" s="28">
        <f t="shared" si="1"/>
        <v>9.6339113680154135E-3</v>
      </c>
      <c r="N10" s="46">
        <f t="shared" si="7"/>
        <v>5</v>
      </c>
      <c r="O10" s="172">
        <f t="shared" si="2"/>
        <v>9.6339113680154135E-3</v>
      </c>
      <c r="P10" s="260">
        <v>36067.35</v>
      </c>
      <c r="Q10" s="89">
        <f t="shared" si="8"/>
        <v>0.24228764013846407</v>
      </c>
      <c r="R10" s="260">
        <v>14088.95</v>
      </c>
      <c r="S10" s="89">
        <f t="shared" si="9"/>
        <v>9.4644559346023852E-2</v>
      </c>
      <c r="T10" s="281">
        <v>6385.5</v>
      </c>
      <c r="U10" s="26"/>
    </row>
    <row r="11" spans="1:24" ht="15.6" customHeight="1" x14ac:dyDescent="0.3">
      <c r="A11" s="409" t="s">
        <v>21</v>
      </c>
      <c r="B11" s="200">
        <v>193342.82</v>
      </c>
      <c r="C11" s="73">
        <v>369279.11</v>
      </c>
      <c r="D11" s="145">
        <v>267732.09999999998</v>
      </c>
      <c r="E11" s="145">
        <v>226906.2</v>
      </c>
      <c r="F11" s="130">
        <f t="shared" si="3"/>
        <v>564880.46</v>
      </c>
      <c r="G11" s="288">
        <f t="shared" si="0"/>
        <v>-0.38554282152597252</v>
      </c>
      <c r="H11" s="155">
        <f t="shared" si="4"/>
        <v>-0.15248787874147318</v>
      </c>
      <c r="I11" s="263">
        <f t="shared" si="5"/>
        <v>0.17359517151968717</v>
      </c>
      <c r="J11" s="273">
        <v>773</v>
      </c>
      <c r="K11" s="63">
        <f t="shared" si="6"/>
        <v>293.53971539456666</v>
      </c>
      <c r="L11" s="61">
        <v>22</v>
      </c>
      <c r="M11" s="28">
        <f t="shared" si="1"/>
        <v>2.8460543337645538E-2</v>
      </c>
      <c r="N11" s="46">
        <f t="shared" si="7"/>
        <v>22</v>
      </c>
      <c r="O11" s="172">
        <f t="shared" si="2"/>
        <v>2.8460543337645538E-2</v>
      </c>
      <c r="P11" s="260">
        <v>33757.120000000003</v>
      </c>
      <c r="Q11" s="89">
        <f t="shared" si="8"/>
        <v>0.14877125437735947</v>
      </c>
      <c r="R11" s="260">
        <v>29140.1</v>
      </c>
      <c r="S11" s="89">
        <f t="shared" si="9"/>
        <v>0.12842355122953888</v>
      </c>
      <c r="T11" s="281">
        <v>14627.6</v>
      </c>
      <c r="U11" s="26"/>
    </row>
    <row r="12" spans="1:24" ht="15.6" customHeight="1" x14ac:dyDescent="0.3">
      <c r="A12" s="198" t="s">
        <v>22</v>
      </c>
      <c r="B12" s="200">
        <v>118093.22</v>
      </c>
      <c r="C12" s="73">
        <v>166773.71</v>
      </c>
      <c r="D12" s="145">
        <v>104694.2</v>
      </c>
      <c r="E12" s="145">
        <v>138286.29999999999</v>
      </c>
      <c r="F12" s="130">
        <f t="shared" si="3"/>
        <v>401010.95999999996</v>
      </c>
      <c r="G12" s="288">
        <f t="shared" si="0"/>
        <v>-0.17081475251704842</v>
      </c>
      <c r="H12" s="155">
        <f t="shared" si="4"/>
        <v>0.32085922620355273</v>
      </c>
      <c r="I12" s="263">
        <f t="shared" si="5"/>
        <v>0.17099271236739913</v>
      </c>
      <c r="J12" s="273">
        <v>508</v>
      </c>
      <c r="K12" s="63">
        <f t="shared" si="6"/>
        <v>272.21712598425194</v>
      </c>
      <c r="L12" s="61">
        <v>6</v>
      </c>
      <c r="M12" s="28">
        <f t="shared" si="1"/>
        <v>1.1811023622047244E-2</v>
      </c>
      <c r="N12" s="46">
        <f t="shared" si="7"/>
        <v>6</v>
      </c>
      <c r="O12" s="172">
        <f t="shared" si="2"/>
        <v>1.1811023622047244E-2</v>
      </c>
      <c r="P12" s="260">
        <v>17305.8</v>
      </c>
      <c r="Q12" s="89">
        <f t="shared" si="8"/>
        <v>0.12514471787877759</v>
      </c>
      <c r="R12" s="260">
        <v>29543.95</v>
      </c>
      <c r="S12" s="89">
        <f t="shared" si="9"/>
        <v>0.21364336163452202</v>
      </c>
      <c r="T12" s="281">
        <v>9465.75</v>
      </c>
      <c r="U12" s="26"/>
    </row>
    <row r="13" spans="1:24" ht="15.6" customHeight="1" x14ac:dyDescent="0.3">
      <c r="A13" s="198" t="s">
        <v>23</v>
      </c>
      <c r="B13" s="200">
        <v>185508.77</v>
      </c>
      <c r="C13" s="73">
        <v>231068.59</v>
      </c>
      <c r="D13" s="145">
        <v>186508.08</v>
      </c>
      <c r="E13" s="145">
        <v>229667.3</v>
      </c>
      <c r="F13" s="130">
        <f t="shared" si="3"/>
        <v>559807.51</v>
      </c>
      <c r="G13" s="288">
        <f t="shared" si="0"/>
        <v>-6.0643897987173769E-3</v>
      </c>
      <c r="H13" s="155">
        <f t="shared" si="4"/>
        <v>0.23140670366667226</v>
      </c>
      <c r="I13" s="263">
        <f t="shared" si="5"/>
        <v>0.23804012069079</v>
      </c>
      <c r="J13" s="273">
        <v>781</v>
      </c>
      <c r="K13" s="63">
        <f t="shared" si="6"/>
        <v>294.06824583866836</v>
      </c>
      <c r="L13" s="61">
        <v>21</v>
      </c>
      <c r="M13" s="28">
        <f t="shared" si="1"/>
        <v>2.6888604353393086E-2</v>
      </c>
      <c r="N13" s="46">
        <f t="shared" si="7"/>
        <v>21</v>
      </c>
      <c r="O13" s="172">
        <f t="shared" si="2"/>
        <v>2.6888604353393086E-2</v>
      </c>
      <c r="P13" s="260">
        <v>41116</v>
      </c>
      <c r="Q13" s="89">
        <f t="shared" si="8"/>
        <v>0.17902417975915597</v>
      </c>
      <c r="R13" s="260">
        <v>29831.35</v>
      </c>
      <c r="S13" s="89">
        <f t="shared" si="9"/>
        <v>0.12988940959379067</v>
      </c>
      <c r="T13" s="281">
        <v>4705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>
        <f t="shared" si="3"/>
        <v>144631.44</v>
      </c>
      <c r="G14" s="288">
        <f t="shared" si="0"/>
        <v>0</v>
      </c>
      <c r="H14" s="155">
        <f t="shared" si="4"/>
        <v>0</v>
      </c>
      <c r="I14" s="263">
        <f t="shared" si="5"/>
        <v>0</v>
      </c>
      <c r="J14" s="273"/>
      <c r="K14" s="63">
        <f t="shared" si="6"/>
        <v>0</v>
      </c>
      <c r="L14" s="61"/>
      <c r="M14" s="28">
        <f t="shared" si="1"/>
        <v>0</v>
      </c>
      <c r="N14" s="46">
        <f t="shared" si="7"/>
        <v>0</v>
      </c>
      <c r="O14" s="172">
        <f t="shared" si="2"/>
        <v>0</v>
      </c>
      <c r="P14" s="260"/>
      <c r="Q14" s="89" t="e">
        <f t="shared" si="8"/>
        <v>#DIV/0!</v>
      </c>
      <c r="R14" s="260"/>
      <c r="S14" s="89" t="e">
        <f t="shared" si="9"/>
        <v>#DIV/0!</v>
      </c>
      <c r="T14" s="281"/>
      <c r="U14" s="26"/>
    </row>
    <row r="15" spans="1:24" ht="15.6" customHeight="1" x14ac:dyDescent="0.3">
      <c r="A15" s="198" t="s">
        <v>26</v>
      </c>
      <c r="B15" s="200">
        <v>326106.42</v>
      </c>
      <c r="C15" s="73">
        <v>407133.91</v>
      </c>
      <c r="D15" s="145">
        <v>184312.8</v>
      </c>
      <c r="E15" s="145">
        <v>470107.2</v>
      </c>
      <c r="F15" s="130">
        <f t="shared" si="3"/>
        <v>940845.06</v>
      </c>
      <c r="G15" s="288">
        <f t="shared" si="0"/>
        <v>0.15467463763949321</v>
      </c>
      <c r="H15" s="155">
        <f t="shared" si="4"/>
        <v>1.5505944242613645</v>
      </c>
      <c r="I15" s="263">
        <f t="shared" si="5"/>
        <v>0.44157603520961053</v>
      </c>
      <c r="J15" s="273">
        <v>1318</v>
      </c>
      <c r="K15" s="63">
        <f t="shared" si="6"/>
        <v>356.6822458270106</v>
      </c>
      <c r="L15" s="61">
        <v>16</v>
      </c>
      <c r="M15" s="28">
        <f t="shared" si="1"/>
        <v>1.2139605462822459E-2</v>
      </c>
      <c r="N15" s="46">
        <f t="shared" si="7"/>
        <v>16</v>
      </c>
      <c r="O15" s="172">
        <f t="shared" si="2"/>
        <v>1.2139605462822459E-2</v>
      </c>
      <c r="P15" s="260">
        <v>0</v>
      </c>
      <c r="Q15" s="89">
        <f t="shared" si="8"/>
        <v>0</v>
      </c>
      <c r="R15" s="260">
        <v>24052</v>
      </c>
      <c r="S15" s="89">
        <f t="shared" si="9"/>
        <v>5.1162798612741943E-2</v>
      </c>
      <c r="T15" s="281">
        <v>2333.9499999999998</v>
      </c>
      <c r="U15" s="9"/>
    </row>
    <row r="16" spans="1:24" ht="15.6" customHeight="1" x14ac:dyDescent="0.3">
      <c r="A16" s="198" t="s">
        <v>27</v>
      </c>
      <c r="B16" s="200">
        <v>115253.69</v>
      </c>
      <c r="C16" s="73">
        <v>164652.97</v>
      </c>
      <c r="D16" s="145">
        <v>136626.70000000001</v>
      </c>
      <c r="E16" s="145">
        <v>135960.20000000001</v>
      </c>
      <c r="F16" s="130">
        <f t="shared" si="3"/>
        <v>395845.33</v>
      </c>
      <c r="G16" s="288">
        <f t="shared" si="0"/>
        <v>-0.17426208588888489</v>
      </c>
      <c r="H16" s="155">
        <f t="shared" si="4"/>
        <v>-4.8782558606773052E-3</v>
      </c>
      <c r="I16" s="263">
        <f t="shared" si="5"/>
        <v>0.17966027812211485</v>
      </c>
      <c r="J16" s="273">
        <v>487</v>
      </c>
      <c r="K16" s="63">
        <f t="shared" si="6"/>
        <v>279.17905544147845</v>
      </c>
      <c r="L16" s="61">
        <v>16</v>
      </c>
      <c r="M16" s="28">
        <f t="shared" si="1"/>
        <v>3.2854209445585217E-2</v>
      </c>
      <c r="N16" s="46">
        <f t="shared" si="7"/>
        <v>16</v>
      </c>
      <c r="O16" s="172">
        <f t="shared" si="2"/>
        <v>3.2854209445585217E-2</v>
      </c>
      <c r="P16" s="260">
        <v>39291.730000000003</v>
      </c>
      <c r="Q16" s="89">
        <f t="shared" si="8"/>
        <v>0.28899435275911628</v>
      </c>
      <c r="R16" s="260">
        <v>27142.55</v>
      </c>
      <c r="S16" s="89">
        <f t="shared" si="9"/>
        <v>0.19963599641659838</v>
      </c>
      <c r="T16" s="281">
        <v>6382.7</v>
      </c>
      <c r="U16" s="9"/>
      <c r="X16" s="238"/>
    </row>
    <row r="17" spans="1:21" ht="15.6" customHeight="1" x14ac:dyDescent="0.3">
      <c r="A17" s="198" t="s">
        <v>28</v>
      </c>
      <c r="B17" s="200">
        <v>172469.75</v>
      </c>
      <c r="C17" s="73">
        <v>250243.46</v>
      </c>
      <c r="D17" s="145">
        <v>153117</v>
      </c>
      <c r="E17" s="145">
        <v>192610.4</v>
      </c>
      <c r="F17" s="130">
        <f t="shared" si="3"/>
        <v>509711.58999999997</v>
      </c>
      <c r="G17" s="288">
        <f t="shared" si="0"/>
        <v>-0.23030795689925324</v>
      </c>
      <c r="H17" s="155">
        <f t="shared" si="4"/>
        <v>0.25792955713604626</v>
      </c>
      <c r="I17" s="263">
        <f t="shared" si="5"/>
        <v>0.11677786974237508</v>
      </c>
      <c r="J17" s="273">
        <v>694</v>
      </c>
      <c r="K17" s="63">
        <f t="shared" si="6"/>
        <v>277.53659942363112</v>
      </c>
      <c r="L17" s="61">
        <v>9</v>
      </c>
      <c r="M17" s="28">
        <f t="shared" si="1"/>
        <v>1.2968299711815562E-2</v>
      </c>
      <c r="N17" s="46">
        <f t="shared" si="7"/>
        <v>9</v>
      </c>
      <c r="O17" s="172">
        <f t="shared" si="2"/>
        <v>1.2968299711815562E-2</v>
      </c>
      <c r="P17" s="260">
        <v>50499.4</v>
      </c>
      <c r="Q17" s="89">
        <f t="shared" si="8"/>
        <v>0.26218418112417607</v>
      </c>
      <c r="R17" s="260">
        <v>27714.5</v>
      </c>
      <c r="S17" s="89">
        <f t="shared" si="9"/>
        <v>0.14388890734872054</v>
      </c>
      <c r="T17" s="281">
        <v>5762</v>
      </c>
      <c r="U17" s="9"/>
    </row>
    <row r="18" spans="1:21" ht="16.2" customHeight="1" thickBot="1" x14ac:dyDescent="0.35">
      <c r="A18" s="199" t="s">
        <v>33</v>
      </c>
      <c r="B18" s="201">
        <v>160351.54999999999</v>
      </c>
      <c r="C18" s="131">
        <v>196899.77</v>
      </c>
      <c r="D18" s="131">
        <v>146169.4</v>
      </c>
      <c r="E18" s="146">
        <v>165936.79999999999</v>
      </c>
      <c r="F18" s="134">
        <f t="shared" si="3"/>
        <v>470919.79</v>
      </c>
      <c r="G18" s="289">
        <f t="shared" si="0"/>
        <v>-0.15725244371793834</v>
      </c>
      <c r="H18" s="156">
        <f t="shared" si="4"/>
        <v>0.13523623959597558</v>
      </c>
      <c r="I18" s="264">
        <f t="shared" si="5"/>
        <v>3.4831281643364222E-2</v>
      </c>
      <c r="J18" s="282">
        <v>631</v>
      </c>
      <c r="K18" s="132">
        <f t="shared" si="6"/>
        <v>262.97432646592711</v>
      </c>
      <c r="L18" s="133">
        <v>14</v>
      </c>
      <c r="M18" s="114">
        <f t="shared" si="1"/>
        <v>2.2187004754358162E-2</v>
      </c>
      <c r="N18" s="115">
        <f t="shared" si="7"/>
        <v>14</v>
      </c>
      <c r="O18" s="173">
        <f t="shared" si="2"/>
        <v>2.2187004754358162E-2</v>
      </c>
      <c r="P18" s="261">
        <v>23514.44</v>
      </c>
      <c r="Q18" s="116">
        <f t="shared" si="8"/>
        <v>0.14170720418858265</v>
      </c>
      <c r="R18" s="261">
        <v>29232.75</v>
      </c>
      <c r="S18" s="116">
        <f t="shared" si="9"/>
        <v>0.17616797479522325</v>
      </c>
      <c r="T18" s="283">
        <v>3162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5"/>
        <v>0</v>
      </c>
      <c r="J19" s="276"/>
      <c r="K19" s="209">
        <f t="shared" si="6"/>
        <v>0</v>
      </c>
      <c r="L19" s="210">
        <v>0</v>
      </c>
      <c r="M19" s="277">
        <f t="shared" si="1"/>
        <v>0</v>
      </c>
      <c r="N19" s="278">
        <f t="shared" si="7"/>
        <v>0</v>
      </c>
      <c r="O19" s="213">
        <f t="shared" si="2"/>
        <v>0</v>
      </c>
      <c r="P19" s="279">
        <v>0</v>
      </c>
      <c r="Q19" s="215" t="e">
        <f t="shared" si="8"/>
        <v>#DIV/0!</v>
      </c>
      <c r="R19" s="279">
        <v>0</v>
      </c>
      <c r="S19" s="215" t="e">
        <f t="shared" si="9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C19">
    <cfRule type="cellIs" dxfId="207" priority="19" operator="equal">
      <formula>0</formula>
    </cfRule>
  </conditionalFormatting>
  <conditionalFormatting sqref="D7:D19">
    <cfRule type="cellIs" dxfId="206" priority="8" operator="equal">
      <formula>0</formula>
    </cfRule>
  </conditionalFormatting>
  <conditionalFormatting sqref="E6:T19">
    <cfRule type="cellIs" dxfId="20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X41"/>
  <sheetViews>
    <sheetView zoomScale="70" zoomScaleNormal="70" workbookViewId="0">
      <pane xSplit="1" topLeftCell="B1" activePane="topRight" state="frozen"/>
      <selection pane="topRight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-5.4499342063562245E-2</v>
      </c>
      <c r="H2" s="413"/>
      <c r="I2" s="400">
        <f>(((E4-E19-B19)-B4)/E4)</f>
        <v>2.2554119370603299E-2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2202623.2399999998</v>
      </c>
      <c r="C4" s="135">
        <f>SUM(C6:C19)-C14-C19-C10-C9</f>
        <v>2383338.1300000004</v>
      </c>
      <c r="D4" s="142">
        <f>SUM(D6:D19)-D19-D10-D9</f>
        <v>1734594.9399999997</v>
      </c>
      <c r="E4" s="270">
        <f>SUM(E6:E19)-E19-E10-E9</f>
        <v>2253447.7699999996</v>
      </c>
      <c r="F4" s="142">
        <f>SUM(F6:F19)-F19-F10-F9</f>
        <v>6047016.8499999987</v>
      </c>
      <c r="G4" s="217">
        <f t="shared" ref="G4:G19" si="0">IFERROR((SUM(E4-C4)/C4),0)</f>
        <v>-5.4499342063562245E-2</v>
      </c>
      <c r="H4" s="217">
        <f>IFERROR((SUM(E4-D4)/D4),0)</f>
        <v>0.29912045632970652</v>
      </c>
      <c r="I4" s="217">
        <f>IFERROR((SUM(E4-B4)/E4),0)</f>
        <v>2.2554119370603299E-2</v>
      </c>
      <c r="J4" s="262">
        <f>SUM(J6:J18)</f>
        <v>8091</v>
      </c>
      <c r="K4" s="218">
        <f>AVERAGE(K5:K19)</f>
        <v>231.16802630855969</v>
      </c>
      <c r="L4" s="219">
        <f>SUM(L6:L19)</f>
        <v>75</v>
      </c>
      <c r="M4" s="220">
        <f t="shared" ref="M4:M19" si="1">IFERROR(L4/J4,0)</f>
        <v>9.2695587690025949E-3</v>
      </c>
      <c r="N4" s="221">
        <f>SUM(N6:N19)</f>
        <v>271</v>
      </c>
      <c r="O4" s="222">
        <f t="shared" ref="O4:O19" si="2">IFERROR(N4/SUM(J4),0)</f>
        <v>3.3494005685329377E-2</v>
      </c>
      <c r="P4" s="249">
        <f>SUM(P6:P19)</f>
        <v>351934.92</v>
      </c>
      <c r="Q4" s="222">
        <f>SUM(P4/E4)</f>
        <v>0.15617620460757342</v>
      </c>
      <c r="R4" s="244">
        <f>SUM(R6:R19)</f>
        <v>283146.78000000003</v>
      </c>
      <c r="S4" s="222">
        <f>SUM(R4/E4)</f>
        <v>0.12565047380707656</v>
      </c>
      <c r="T4" s="257">
        <f>SUM(T6:T19)</f>
        <v>75749.930000000008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254872.5</v>
      </c>
      <c r="C6" s="255">
        <v>302665.28999999998</v>
      </c>
      <c r="D6" s="197">
        <v>239554.84</v>
      </c>
      <c r="E6" s="144">
        <v>270844.26</v>
      </c>
      <c r="F6" s="129">
        <f t="shared" ref="F6:F18" si="3">144631.44+E6+B6</f>
        <v>670348.19999999995</v>
      </c>
      <c r="G6" s="287">
        <f t="shared" si="0"/>
        <v>-0.10513603988088616</v>
      </c>
      <c r="H6" s="154">
        <f t="shared" ref="H6:H18" si="4">IFERROR((SUM(E6-D6)/D6),0)</f>
        <v>0.13061485211486445</v>
      </c>
      <c r="I6" s="266">
        <f t="shared" ref="I6:I19" si="5">IFERROR((SUM(E6-B6)/B6),0)</f>
        <v>6.2665685784068545E-2</v>
      </c>
      <c r="J6" s="285">
        <v>847</v>
      </c>
      <c r="K6" s="124">
        <f t="shared" ref="K6:K19" si="6">IFERROR(E6/J6,0)</f>
        <v>319.76890200708385</v>
      </c>
      <c r="L6" s="125">
        <v>6</v>
      </c>
      <c r="M6" s="126">
        <f t="shared" si="1"/>
        <v>7.0838252656434475E-3</v>
      </c>
      <c r="N6" s="127">
        <v>27</v>
      </c>
      <c r="O6" s="171">
        <f t="shared" si="2"/>
        <v>3.1877213695395513E-2</v>
      </c>
      <c r="P6" s="259">
        <v>41579.65</v>
      </c>
      <c r="Q6" s="128">
        <f t="shared" ref="Q6:Q19" si="7">SUM(P6/E6)</f>
        <v>0.15351866788685128</v>
      </c>
      <c r="R6" s="259">
        <v>11255.17</v>
      </c>
      <c r="S6" s="128">
        <f t="shared" ref="S6:S19" si="8">SUM(R6/E6)</f>
        <v>4.1555874213468652E-2</v>
      </c>
      <c r="T6" s="286">
        <v>10159.1</v>
      </c>
      <c r="U6" s="26"/>
    </row>
    <row r="7" spans="1:24" ht="15.6" customHeight="1" x14ac:dyDescent="0.3">
      <c r="A7" s="409" t="s">
        <v>16</v>
      </c>
      <c r="B7" s="200">
        <v>261094.6</v>
      </c>
      <c r="C7" s="73">
        <v>258147.93</v>
      </c>
      <c r="D7" s="145">
        <v>207285.93</v>
      </c>
      <c r="E7" s="145">
        <v>262784.09000000003</v>
      </c>
      <c r="F7" s="130">
        <f t="shared" si="3"/>
        <v>668510.13</v>
      </c>
      <c r="G7" s="288">
        <f t="shared" si="0"/>
        <v>1.7959315033051138E-2</v>
      </c>
      <c r="H7" s="155">
        <f t="shared" si="4"/>
        <v>0.26773722654499527</v>
      </c>
      <c r="I7" s="263">
        <f t="shared" si="5"/>
        <v>6.4707964086580866E-3</v>
      </c>
      <c r="J7" s="273">
        <v>865</v>
      </c>
      <c r="K7" s="63">
        <f t="shared" si="6"/>
        <v>303.79663583815034</v>
      </c>
      <c r="L7" s="61">
        <v>6</v>
      </c>
      <c r="M7" s="28">
        <f t="shared" si="1"/>
        <v>6.9364161849710983E-3</v>
      </c>
      <c r="N7" s="46">
        <v>24</v>
      </c>
      <c r="O7" s="172">
        <f t="shared" si="2"/>
        <v>2.7745664739884393E-2</v>
      </c>
      <c r="P7" s="260">
        <v>60350.15</v>
      </c>
      <c r="Q7" s="89">
        <f t="shared" si="7"/>
        <v>0.22965678782151536</v>
      </c>
      <c r="R7" s="260">
        <v>41016.9</v>
      </c>
      <c r="S7" s="89">
        <f t="shared" si="8"/>
        <v>0.15608593351294592</v>
      </c>
      <c r="T7" s="281">
        <v>11363.73</v>
      </c>
      <c r="U7" s="26"/>
    </row>
    <row r="8" spans="1:24" ht="15.6" customHeight="1" x14ac:dyDescent="0.3">
      <c r="A8" s="409" t="s">
        <v>17</v>
      </c>
      <c r="B8" s="200">
        <v>127181.74</v>
      </c>
      <c r="C8" s="73">
        <v>136569.38</v>
      </c>
      <c r="D8" s="145">
        <v>106593.48</v>
      </c>
      <c r="E8" s="145">
        <v>141938.34</v>
      </c>
      <c r="F8" s="130">
        <f t="shared" si="3"/>
        <v>413751.52</v>
      </c>
      <c r="G8" s="288">
        <f t="shared" si="0"/>
        <v>3.9313058315121531E-2</v>
      </c>
      <c r="H8" s="155">
        <f t="shared" si="4"/>
        <v>0.33158557165034863</v>
      </c>
      <c r="I8" s="263">
        <f t="shared" si="5"/>
        <v>0.11602766246160802</v>
      </c>
      <c r="J8" s="273">
        <v>440</v>
      </c>
      <c r="K8" s="63">
        <f t="shared" si="6"/>
        <v>322.58713636363638</v>
      </c>
      <c r="L8" s="61">
        <v>0</v>
      </c>
      <c r="M8" s="28">
        <f t="shared" si="1"/>
        <v>0</v>
      </c>
      <c r="N8" s="46">
        <f>L8</f>
        <v>0</v>
      </c>
      <c r="O8" s="172">
        <f t="shared" si="2"/>
        <v>0</v>
      </c>
      <c r="P8" s="260">
        <v>0</v>
      </c>
      <c r="Q8" s="89">
        <f t="shared" si="7"/>
        <v>0</v>
      </c>
      <c r="R8" s="260">
        <v>0</v>
      </c>
      <c r="S8" s="89">
        <f t="shared" si="8"/>
        <v>0</v>
      </c>
      <c r="T8" s="281">
        <v>0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>
        <f t="shared" si="3"/>
        <v>144631.44</v>
      </c>
      <c r="G9" s="288">
        <f t="shared" si="0"/>
        <v>0</v>
      </c>
      <c r="H9" s="155">
        <f t="shared" si="4"/>
        <v>0</v>
      </c>
      <c r="I9" s="263">
        <f t="shared" si="5"/>
        <v>0</v>
      </c>
      <c r="J9" s="273">
        <v>0</v>
      </c>
      <c r="K9" s="63">
        <f t="shared" si="6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7"/>
        <v>#DIV/0!</v>
      </c>
      <c r="R9" s="260">
        <v>0</v>
      </c>
      <c r="S9" s="89" t="e">
        <f t="shared" si="8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148861.70000000001</v>
      </c>
      <c r="C10" s="73">
        <v>160533.82</v>
      </c>
      <c r="D10" s="145">
        <v>135888.34</v>
      </c>
      <c r="E10" s="145">
        <v>165461.23000000001</v>
      </c>
      <c r="F10" s="130">
        <f t="shared" si="3"/>
        <v>458954.37000000005</v>
      </c>
      <c r="G10" s="288">
        <f t="shared" si="0"/>
        <v>3.0693906118972335E-2</v>
      </c>
      <c r="H10" s="155">
        <f t="shared" si="4"/>
        <v>0.2176263982619849</v>
      </c>
      <c r="I10" s="263">
        <f t="shared" si="5"/>
        <v>0.11150974360765729</v>
      </c>
      <c r="J10" s="273">
        <v>600</v>
      </c>
      <c r="K10" s="63">
        <f t="shared" si="6"/>
        <v>275.76871666666671</v>
      </c>
      <c r="L10" s="61">
        <v>5</v>
      </c>
      <c r="M10" s="28">
        <f t="shared" si="1"/>
        <v>8.3333333333333332E-3</v>
      </c>
      <c r="N10" s="46">
        <v>16</v>
      </c>
      <c r="O10" s="172">
        <f t="shared" si="2"/>
        <v>2.6666666666666668E-2</v>
      </c>
      <c r="P10" s="260">
        <v>46174.720000000001</v>
      </c>
      <c r="Q10" s="89">
        <f t="shared" si="7"/>
        <v>0.27906670342049311</v>
      </c>
      <c r="R10" s="260">
        <v>21464.45</v>
      </c>
      <c r="S10" s="89">
        <f t="shared" si="8"/>
        <v>0.12972495127710582</v>
      </c>
      <c r="T10" s="281">
        <v>6894.5</v>
      </c>
      <c r="U10" s="26"/>
    </row>
    <row r="11" spans="1:24" ht="15.6" customHeight="1" x14ac:dyDescent="0.3">
      <c r="A11" s="409" t="s">
        <v>21</v>
      </c>
      <c r="B11" s="200">
        <v>226906.2</v>
      </c>
      <c r="C11" s="73">
        <v>390104.3</v>
      </c>
      <c r="D11" s="145">
        <v>269732.09999999998</v>
      </c>
      <c r="E11" s="145">
        <v>257339.41</v>
      </c>
      <c r="F11" s="130">
        <f t="shared" si="3"/>
        <v>628877.05000000005</v>
      </c>
      <c r="G11" s="288">
        <f t="shared" si="0"/>
        <v>-0.34033177793733621</v>
      </c>
      <c r="H11" s="155">
        <f t="shared" si="4"/>
        <v>-4.5944438945160676E-2</v>
      </c>
      <c r="I11" s="263">
        <f t="shared" si="5"/>
        <v>0.13412242591872761</v>
      </c>
      <c r="J11" s="273">
        <v>844</v>
      </c>
      <c r="K11" s="63">
        <f t="shared" si="6"/>
        <v>304.90451421800947</v>
      </c>
      <c r="L11" s="61">
        <v>8</v>
      </c>
      <c r="M11" s="28">
        <f t="shared" si="1"/>
        <v>9.4786729857819912E-3</v>
      </c>
      <c r="N11" s="46">
        <v>35</v>
      </c>
      <c r="O11" s="172">
        <f t="shared" si="2"/>
        <v>4.1469194312796206E-2</v>
      </c>
      <c r="P11" s="260">
        <v>54181.09</v>
      </c>
      <c r="Q11" s="89">
        <f t="shared" si="7"/>
        <v>0.21054330543463978</v>
      </c>
      <c r="R11" s="260">
        <v>26879.4</v>
      </c>
      <c r="S11" s="89">
        <f t="shared" si="8"/>
        <v>0.10445116043438508</v>
      </c>
      <c r="T11" s="281">
        <v>9507.7999999999993</v>
      </c>
      <c r="U11" s="26"/>
    </row>
    <row r="12" spans="1:24" ht="15.6" customHeight="1" x14ac:dyDescent="0.3">
      <c r="A12" s="198" t="s">
        <v>22</v>
      </c>
      <c r="B12" s="200">
        <v>138286.29999999999</v>
      </c>
      <c r="C12" s="73">
        <v>145176.81</v>
      </c>
      <c r="D12" s="145">
        <v>104694.16</v>
      </c>
      <c r="E12" s="145">
        <v>119135.14</v>
      </c>
      <c r="F12" s="130">
        <f t="shared" si="3"/>
        <v>402052.88</v>
      </c>
      <c r="G12" s="288">
        <f t="shared" si="0"/>
        <v>-0.17937899310502828</v>
      </c>
      <c r="H12" s="155">
        <f t="shared" si="4"/>
        <v>0.13793491442120551</v>
      </c>
      <c r="I12" s="263">
        <f t="shared" si="5"/>
        <v>-0.1384892068122438</v>
      </c>
      <c r="J12" s="273">
        <v>433</v>
      </c>
      <c r="K12" s="63">
        <f t="shared" si="6"/>
        <v>275.13889145496535</v>
      </c>
      <c r="L12" s="61">
        <v>2</v>
      </c>
      <c r="M12" s="28">
        <f t="shared" si="1"/>
        <v>4.6189376443418013E-3</v>
      </c>
      <c r="N12" s="46">
        <v>12</v>
      </c>
      <c r="O12" s="172">
        <f t="shared" si="2"/>
        <v>2.771362586605081E-2</v>
      </c>
      <c r="P12" s="260">
        <v>8994.75</v>
      </c>
      <c r="Q12" s="89">
        <f t="shared" si="7"/>
        <v>7.5500393922397713E-2</v>
      </c>
      <c r="R12" s="260">
        <v>22330.59</v>
      </c>
      <c r="S12" s="89">
        <f t="shared" si="8"/>
        <v>0.18743915523161345</v>
      </c>
      <c r="T12" s="281">
        <v>7870.4</v>
      </c>
      <c r="U12" s="26"/>
    </row>
    <row r="13" spans="1:24" ht="15.6" customHeight="1" x14ac:dyDescent="0.3">
      <c r="A13" s="198" t="s">
        <v>23</v>
      </c>
      <c r="B13" s="200">
        <v>229667.3</v>
      </c>
      <c r="C13" s="73">
        <v>248268.47</v>
      </c>
      <c r="D13" s="145">
        <v>186508.59</v>
      </c>
      <c r="E13" s="145">
        <v>243836.14</v>
      </c>
      <c r="F13" s="130">
        <f t="shared" si="3"/>
        <v>618134.88</v>
      </c>
      <c r="G13" s="288">
        <f t="shared" si="0"/>
        <v>-1.7852971825218028E-2</v>
      </c>
      <c r="H13" s="155">
        <f t="shared" si="4"/>
        <v>0.30737216982874632</v>
      </c>
      <c r="I13" s="263">
        <f t="shared" si="5"/>
        <v>6.1692892283751438E-2</v>
      </c>
      <c r="J13" s="273">
        <v>858</v>
      </c>
      <c r="K13" s="63">
        <f t="shared" si="6"/>
        <v>284.19130536130535</v>
      </c>
      <c r="L13" s="61">
        <v>21</v>
      </c>
      <c r="M13" s="28">
        <f t="shared" si="1"/>
        <v>2.4475524475524476E-2</v>
      </c>
      <c r="N13" s="46">
        <v>52</v>
      </c>
      <c r="O13" s="172">
        <f t="shared" si="2"/>
        <v>6.0606060606060608E-2</v>
      </c>
      <c r="P13" s="260">
        <v>43691.85</v>
      </c>
      <c r="Q13" s="89">
        <f t="shared" si="7"/>
        <v>0.17918529222124333</v>
      </c>
      <c r="R13" s="260">
        <v>36313.25</v>
      </c>
      <c r="S13" s="89">
        <f t="shared" si="8"/>
        <v>0.1489248066344882</v>
      </c>
      <c r="T13" s="281">
        <v>9434.5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>
        <f t="shared" si="3"/>
        <v>144631.44</v>
      </c>
      <c r="G14" s="288">
        <f t="shared" si="0"/>
        <v>0</v>
      </c>
      <c r="H14" s="155">
        <f t="shared" si="4"/>
        <v>0</v>
      </c>
      <c r="I14" s="263">
        <f t="shared" si="5"/>
        <v>0</v>
      </c>
      <c r="J14" s="273"/>
      <c r="K14" s="63">
        <f t="shared" si="6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7"/>
        <v>#DIV/0!</v>
      </c>
      <c r="R14" s="260"/>
      <c r="S14" s="89" t="e">
        <f t="shared" si="8"/>
        <v>#DIV/0!</v>
      </c>
      <c r="T14" s="281"/>
      <c r="U14" s="26"/>
    </row>
    <row r="15" spans="1:24" ht="15.6" customHeight="1" x14ac:dyDescent="0.3">
      <c r="A15" s="198" t="s">
        <v>26</v>
      </c>
      <c r="B15" s="200">
        <v>470107.2</v>
      </c>
      <c r="C15" s="73">
        <v>325247.42</v>
      </c>
      <c r="D15" s="145">
        <v>184312.76</v>
      </c>
      <c r="E15" s="145">
        <v>444323.67</v>
      </c>
      <c r="F15" s="130">
        <f t="shared" si="3"/>
        <v>1059062.31</v>
      </c>
      <c r="G15" s="288">
        <f t="shared" si="0"/>
        <v>0.36610974500581744</v>
      </c>
      <c r="H15" s="155">
        <f t="shared" si="4"/>
        <v>1.4107048801179036</v>
      </c>
      <c r="I15" s="263">
        <f t="shared" si="5"/>
        <v>-5.4846064897538321E-2</v>
      </c>
      <c r="J15" s="273">
        <v>1296</v>
      </c>
      <c r="K15" s="63">
        <f t="shared" si="6"/>
        <v>342.84233796296297</v>
      </c>
      <c r="L15" s="61">
        <v>0</v>
      </c>
      <c r="M15" s="28">
        <f t="shared" si="1"/>
        <v>0</v>
      </c>
      <c r="N15" s="46">
        <v>22</v>
      </c>
      <c r="O15" s="172">
        <f t="shared" si="2"/>
        <v>1.6975308641975308E-2</v>
      </c>
      <c r="P15" s="260">
        <v>0</v>
      </c>
      <c r="Q15" s="89">
        <f t="shared" si="7"/>
        <v>0</v>
      </c>
      <c r="R15" s="260">
        <v>37289.5</v>
      </c>
      <c r="S15" s="89">
        <f t="shared" si="8"/>
        <v>8.3924180766692003E-2</v>
      </c>
      <c r="T15" s="281">
        <v>2210.65</v>
      </c>
      <c r="U15" s="9"/>
    </row>
    <row r="16" spans="1:24" ht="15.6" customHeight="1" x14ac:dyDescent="0.3">
      <c r="A16" s="198" t="s">
        <v>27</v>
      </c>
      <c r="B16" s="200">
        <v>135960.20000000001</v>
      </c>
      <c r="C16" s="73">
        <v>163350.70000000001</v>
      </c>
      <c r="D16" s="145">
        <v>136626.65</v>
      </c>
      <c r="E16" s="145">
        <v>144449.49</v>
      </c>
      <c r="F16" s="130">
        <f t="shared" si="3"/>
        <v>425041.13</v>
      </c>
      <c r="G16" s="288">
        <f t="shared" si="0"/>
        <v>-0.11570939089945755</v>
      </c>
      <c r="H16" s="155">
        <f t="shared" si="4"/>
        <v>5.7257057828761788E-2</v>
      </c>
      <c r="I16" s="263">
        <f t="shared" si="5"/>
        <v>6.2439522742684835E-2</v>
      </c>
      <c r="J16" s="273">
        <v>529</v>
      </c>
      <c r="K16" s="63">
        <f t="shared" si="6"/>
        <v>273.06141776937619</v>
      </c>
      <c r="L16" s="61">
        <v>7</v>
      </c>
      <c r="M16" s="28">
        <f t="shared" si="1"/>
        <v>1.3232514177693762E-2</v>
      </c>
      <c r="N16" s="46">
        <v>27</v>
      </c>
      <c r="O16" s="172">
        <f t="shared" si="2"/>
        <v>5.1039697542533083E-2</v>
      </c>
      <c r="P16" s="260">
        <v>37610.53</v>
      </c>
      <c r="Q16" s="89">
        <f t="shared" si="7"/>
        <v>0.26037149733100479</v>
      </c>
      <c r="R16" s="260">
        <v>23583.75</v>
      </c>
      <c r="S16" s="89">
        <f t="shared" si="8"/>
        <v>0.16326641236324199</v>
      </c>
      <c r="T16" s="281">
        <v>7827.5</v>
      </c>
      <c r="U16" s="9"/>
      <c r="X16" s="238"/>
    </row>
    <row r="17" spans="1:21" ht="15.6" customHeight="1" x14ac:dyDescent="0.3">
      <c r="A17" s="198" t="s">
        <v>28</v>
      </c>
      <c r="B17" s="200">
        <v>192610.4</v>
      </c>
      <c r="C17" s="73">
        <v>228911.17</v>
      </c>
      <c r="D17" s="145">
        <v>153117.04</v>
      </c>
      <c r="E17" s="145">
        <v>197350.93</v>
      </c>
      <c r="F17" s="130">
        <f t="shared" si="3"/>
        <v>534592.77</v>
      </c>
      <c r="G17" s="288">
        <f t="shared" si="0"/>
        <v>-0.1378711226717334</v>
      </c>
      <c r="H17" s="155">
        <f t="shared" si="4"/>
        <v>0.28888940120577034</v>
      </c>
      <c r="I17" s="263">
        <f t="shared" si="5"/>
        <v>2.4612014719869742E-2</v>
      </c>
      <c r="J17" s="273">
        <v>722</v>
      </c>
      <c r="K17" s="63">
        <f t="shared" si="6"/>
        <v>273.33923822714678</v>
      </c>
      <c r="L17" s="61">
        <v>9</v>
      </c>
      <c r="M17" s="28">
        <f t="shared" si="1"/>
        <v>1.2465373961218837E-2</v>
      </c>
      <c r="N17" s="46">
        <v>22</v>
      </c>
      <c r="O17" s="172">
        <f t="shared" si="2"/>
        <v>3.0470914127423823E-2</v>
      </c>
      <c r="P17" s="260">
        <v>29658.95</v>
      </c>
      <c r="Q17" s="89">
        <f t="shared" si="7"/>
        <v>0.15028533181981965</v>
      </c>
      <c r="R17" s="260">
        <v>27983.15</v>
      </c>
      <c r="S17" s="89">
        <f t="shared" si="8"/>
        <v>0.14179385929420249</v>
      </c>
      <c r="T17" s="281">
        <v>5719</v>
      </c>
      <c r="U17" s="9"/>
    </row>
    <row r="18" spans="1:21" ht="16.2" customHeight="1" thickBot="1" x14ac:dyDescent="0.35">
      <c r="A18" s="199" t="s">
        <v>33</v>
      </c>
      <c r="B18" s="201">
        <v>165936.79999999999</v>
      </c>
      <c r="C18" s="131">
        <v>184896.66</v>
      </c>
      <c r="D18" s="131">
        <v>146169.39000000001</v>
      </c>
      <c r="E18" s="146">
        <v>171446.3</v>
      </c>
      <c r="F18" s="134">
        <f t="shared" si="3"/>
        <v>482014.54</v>
      </c>
      <c r="G18" s="289">
        <f t="shared" si="0"/>
        <v>-7.2745283770945426E-2</v>
      </c>
      <c r="H18" s="156">
        <f t="shared" si="4"/>
        <v>0.17292888750510604</v>
      </c>
      <c r="I18" s="264">
        <f t="shared" si="5"/>
        <v>3.3202399949860434E-2</v>
      </c>
      <c r="J18" s="282">
        <v>657</v>
      </c>
      <c r="K18" s="132">
        <f t="shared" si="6"/>
        <v>260.95327245053272</v>
      </c>
      <c r="L18" s="133">
        <v>11</v>
      </c>
      <c r="M18" s="114">
        <f t="shared" si="1"/>
        <v>1.6742770167427701E-2</v>
      </c>
      <c r="N18" s="115">
        <v>34</v>
      </c>
      <c r="O18" s="173">
        <f t="shared" si="2"/>
        <v>5.1750380517503802E-2</v>
      </c>
      <c r="P18" s="261">
        <v>29693.23</v>
      </c>
      <c r="Q18" s="116">
        <f t="shared" si="7"/>
        <v>0.17319259733222589</v>
      </c>
      <c r="R18" s="261">
        <v>35030.620000000003</v>
      </c>
      <c r="S18" s="116">
        <f t="shared" si="8"/>
        <v>0.20432415281053021</v>
      </c>
      <c r="T18" s="283">
        <v>4762.75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5"/>
        <v>0</v>
      </c>
      <c r="J19" s="276"/>
      <c r="K19" s="209">
        <f t="shared" si="6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7"/>
        <v>#DIV/0!</v>
      </c>
      <c r="R19" s="279">
        <v>0</v>
      </c>
      <c r="S19" s="215" t="e">
        <f t="shared" si="8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04" priority="1" operator="equal">
      <formula>0</formula>
    </cfRule>
  </conditionalFormatting>
  <conditionalFormatting sqref="D7:D19">
    <cfRule type="cellIs" dxfId="203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X41"/>
  <sheetViews>
    <sheetView zoomScale="70" zoomScaleNormal="70" workbookViewId="0">
      <pane xSplit="1" topLeftCell="B1" activePane="topRight" state="frozen"/>
      <selection pane="topRight" activeCell="F18" sqref="F1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-7.4724737266074828E-2</v>
      </c>
      <c r="H2" s="413"/>
      <c r="I2" s="400">
        <f>(((E4-E19-B19)-B4)/E4)</f>
        <v>-0.28869601482379581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2253447.7699999996</v>
      </c>
      <c r="C4" s="135">
        <f>SUM(C6:C19)-C14-C19-C10-C9</f>
        <v>1889844.4499999997</v>
      </c>
      <c r="D4" s="142">
        <f>SUM(D6:D19)-D19-D10-D9</f>
        <v>1692139.72</v>
      </c>
      <c r="E4" s="270">
        <f>SUM(E6:E19)-E19-E10-E9</f>
        <v>1748626.32</v>
      </c>
      <c r="F4" s="142">
        <f>SUM(F6:F19)-F19-F10-F9</f>
        <v>2890720</v>
      </c>
      <c r="G4" s="217">
        <f t="shared" ref="G4:G19" si="0">IFERROR((SUM(E4-C4)/C4),0)</f>
        <v>-7.4724737266074828E-2</v>
      </c>
      <c r="H4" s="217">
        <f>IFERROR((SUM(E4-D4)/D4),0)</f>
        <v>3.3381758806536432E-2</v>
      </c>
      <c r="I4" s="217">
        <f>IFERROR((SUM(E4-B4)/E4),0)</f>
        <v>-0.28869601482379581</v>
      </c>
      <c r="J4" s="262">
        <f>SUM(J6:J18)</f>
        <v>6679</v>
      </c>
      <c r="K4" s="218">
        <f>AVERAGE(K5:K19)</f>
        <v>221.73140084659425</v>
      </c>
      <c r="L4" s="219">
        <f>SUM(L6:L19)</f>
        <v>80</v>
      </c>
      <c r="M4" s="220">
        <f t="shared" ref="M4:M19" si="1">IFERROR(L4/J4,0)</f>
        <v>1.1977840994160802E-2</v>
      </c>
      <c r="N4" s="221">
        <f>SUM(N6:N19)</f>
        <v>80</v>
      </c>
      <c r="O4" s="222">
        <f t="shared" ref="O4:O19" si="2">IFERROR(N4/SUM(J4),0)</f>
        <v>1.1977840994160802E-2</v>
      </c>
      <c r="P4" s="249">
        <f>SUM(P6:P19)</f>
        <v>354965.85000000003</v>
      </c>
      <c r="Q4" s="222">
        <f>SUM(P4/E4)</f>
        <v>0.20299697307541387</v>
      </c>
      <c r="R4" s="244">
        <f>SUM(R6:R19)</f>
        <v>281529.56</v>
      </c>
      <c r="S4" s="222">
        <f>SUM(R4/E4)</f>
        <v>0.16100041317003622</v>
      </c>
      <c r="T4" s="257">
        <f>SUM(T6:T19)</f>
        <v>73944.679999999993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270844.26</v>
      </c>
      <c r="C6" s="255">
        <v>201679.88</v>
      </c>
      <c r="D6" s="197">
        <v>258207.16</v>
      </c>
      <c r="E6" s="144">
        <v>200784.01</v>
      </c>
      <c r="F6" s="129">
        <v>355871</v>
      </c>
      <c r="G6" s="287">
        <f t="shared" si="0"/>
        <v>-4.4420395331452762E-3</v>
      </c>
      <c r="H6" s="154">
        <f t="shared" ref="H6:H18" si="3">IFERROR((SUM(E6-D6)/D6),0)</f>
        <v>-0.22239178030539508</v>
      </c>
      <c r="I6" s="266">
        <f t="shared" ref="I6:I19" si="4">IFERROR((SUM(E6-B6)/B6),0)</f>
        <v>-0.25867356391455371</v>
      </c>
      <c r="J6" s="285">
        <v>636</v>
      </c>
      <c r="K6" s="124">
        <f t="shared" ref="K6:K19" si="5">IFERROR(E6/J6,0)</f>
        <v>315.69812893081763</v>
      </c>
      <c r="L6" s="125">
        <v>10</v>
      </c>
      <c r="M6" s="126">
        <f t="shared" si="1"/>
        <v>1.5723270440251572E-2</v>
      </c>
      <c r="N6" s="127">
        <v>10</v>
      </c>
      <c r="O6" s="171">
        <f t="shared" si="2"/>
        <v>1.5723270440251572E-2</v>
      </c>
      <c r="P6" s="259">
        <v>38271.9</v>
      </c>
      <c r="Q6" s="128">
        <f t="shared" ref="Q6:Q19" si="6">SUM(P6/E6)</f>
        <v>0.19061229029144303</v>
      </c>
      <c r="R6" s="259">
        <v>10240.75</v>
      </c>
      <c r="S6" s="128">
        <f t="shared" ref="S6:S19" si="7">SUM(R6/E6)</f>
        <v>5.1003812504790594E-2</v>
      </c>
      <c r="T6" s="286">
        <v>7348</v>
      </c>
      <c r="U6" s="26"/>
    </row>
    <row r="7" spans="1:24" ht="15.6" customHeight="1" x14ac:dyDescent="0.3">
      <c r="A7" s="409" t="s">
        <v>16</v>
      </c>
      <c r="B7" s="200">
        <v>262784.09000000003</v>
      </c>
      <c r="C7" s="73">
        <v>184805.59</v>
      </c>
      <c r="D7" s="145">
        <v>181224.09</v>
      </c>
      <c r="E7" s="145">
        <v>220316.34</v>
      </c>
      <c r="F7" s="130">
        <v>380725</v>
      </c>
      <c r="G7" s="288">
        <f t="shared" si="0"/>
        <v>0.19215192570744208</v>
      </c>
      <c r="H7" s="155">
        <f t="shared" si="3"/>
        <v>0.21571221574350297</v>
      </c>
      <c r="I7" s="263">
        <f t="shared" si="4"/>
        <v>-0.16160700596447838</v>
      </c>
      <c r="J7" s="273">
        <v>751</v>
      </c>
      <c r="K7" s="63">
        <f t="shared" si="5"/>
        <v>293.36396804260983</v>
      </c>
      <c r="L7" s="61">
        <v>8</v>
      </c>
      <c r="M7" s="28">
        <f t="shared" si="1"/>
        <v>1.0652463382157125E-2</v>
      </c>
      <c r="N7" s="46">
        <v>8</v>
      </c>
      <c r="O7" s="172">
        <f t="shared" si="2"/>
        <v>1.0652463382157125E-2</v>
      </c>
      <c r="P7" s="260">
        <v>54582.55</v>
      </c>
      <c r="Q7" s="89">
        <f t="shared" si="6"/>
        <v>0.24774626339562469</v>
      </c>
      <c r="R7" s="260">
        <v>24238.400000000001</v>
      </c>
      <c r="S7" s="89">
        <f t="shared" si="7"/>
        <v>0.1100163519419395</v>
      </c>
      <c r="T7" s="281">
        <v>10786.53</v>
      </c>
      <c r="U7" s="26"/>
    </row>
    <row r="8" spans="1:24" ht="15.6" customHeight="1" x14ac:dyDescent="0.3">
      <c r="A8" s="409" t="s">
        <v>17</v>
      </c>
      <c r="B8" s="200">
        <v>141938.34</v>
      </c>
      <c r="C8" s="73">
        <v>128771.64</v>
      </c>
      <c r="D8" s="145">
        <v>91734.23</v>
      </c>
      <c r="E8" s="145">
        <v>110426.79</v>
      </c>
      <c r="F8" s="130">
        <v>175383</v>
      </c>
      <c r="G8" s="288">
        <f t="shared" si="0"/>
        <v>-0.14246032744476972</v>
      </c>
      <c r="H8" s="155">
        <f t="shared" si="3"/>
        <v>0.20376864775558698</v>
      </c>
      <c r="I8" s="263">
        <f t="shared" si="4"/>
        <v>-0.22200872576077757</v>
      </c>
      <c r="J8" s="273">
        <v>465</v>
      </c>
      <c r="K8" s="63">
        <f t="shared" si="5"/>
        <v>237.47696774193548</v>
      </c>
      <c r="L8" s="61">
        <v>1</v>
      </c>
      <c r="M8" s="28">
        <f t="shared" si="1"/>
        <v>2.1505376344086021E-3</v>
      </c>
      <c r="N8" s="46">
        <v>1</v>
      </c>
      <c r="O8" s="172">
        <f t="shared" si="2"/>
        <v>2.1505376344086021E-3</v>
      </c>
      <c r="P8" s="260">
        <v>51679.3</v>
      </c>
      <c r="Q8" s="89">
        <f t="shared" si="6"/>
        <v>0.46799603610681795</v>
      </c>
      <c r="R8" s="260">
        <v>21150.15</v>
      </c>
      <c r="S8" s="89">
        <f t="shared" si="7"/>
        <v>0.19153096816451881</v>
      </c>
      <c r="T8" s="281">
        <v>4889.5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165461.23000000001</v>
      </c>
      <c r="C10" s="73">
        <v>139046.1</v>
      </c>
      <c r="D10" s="145">
        <v>140346.82999999999</v>
      </c>
      <c r="E10" s="145">
        <v>153079.94</v>
      </c>
      <c r="F10" s="130">
        <v>229808</v>
      </c>
      <c r="G10" s="288">
        <f t="shared" si="0"/>
        <v>0.1009294039890367</v>
      </c>
      <c r="H10" s="155">
        <f t="shared" si="3"/>
        <v>9.0726024948337036E-2</v>
      </c>
      <c r="I10" s="263">
        <f t="shared" si="4"/>
        <v>-7.4828949355688984E-2</v>
      </c>
      <c r="J10" s="273">
        <v>518</v>
      </c>
      <c r="K10" s="63">
        <f t="shared" si="5"/>
        <v>295.52111969111968</v>
      </c>
      <c r="L10" s="61">
        <v>2</v>
      </c>
      <c r="M10" s="28">
        <f t="shared" si="1"/>
        <v>3.8610038610038611E-3</v>
      </c>
      <c r="N10" s="46">
        <v>2</v>
      </c>
      <c r="O10" s="172">
        <f t="shared" si="2"/>
        <v>3.8610038610038611E-3</v>
      </c>
      <c r="P10" s="260">
        <v>43584.9</v>
      </c>
      <c r="Q10" s="89">
        <f t="shared" si="6"/>
        <v>0.28471986597329474</v>
      </c>
      <c r="R10" s="260">
        <v>32129.9</v>
      </c>
      <c r="S10" s="89">
        <f t="shared" si="7"/>
        <v>0.20988968247570519</v>
      </c>
      <c r="T10" s="281">
        <v>6343</v>
      </c>
      <c r="U10" s="26"/>
    </row>
    <row r="11" spans="1:24" ht="15.6" customHeight="1" x14ac:dyDescent="0.3">
      <c r="A11" s="409" t="s">
        <v>21</v>
      </c>
      <c r="B11" s="200">
        <v>257339.41</v>
      </c>
      <c r="C11" s="73">
        <v>339715.46</v>
      </c>
      <c r="D11" s="145">
        <v>234239.76</v>
      </c>
      <c r="E11" s="145">
        <v>209420.29</v>
      </c>
      <c r="F11" s="130">
        <v>356322</v>
      </c>
      <c r="G11" s="288">
        <f t="shared" si="0"/>
        <v>-0.38354206782346617</v>
      </c>
      <c r="H11" s="155">
        <f t="shared" si="3"/>
        <v>-0.10595754537999869</v>
      </c>
      <c r="I11" s="263">
        <f t="shared" si="4"/>
        <v>-0.18620979973491039</v>
      </c>
      <c r="J11" s="273">
        <v>704</v>
      </c>
      <c r="K11" s="63">
        <f t="shared" si="5"/>
        <v>297.47200284090911</v>
      </c>
      <c r="L11" s="61">
        <v>8</v>
      </c>
      <c r="M11" s="28">
        <f t="shared" si="1"/>
        <v>1.1363636363636364E-2</v>
      </c>
      <c r="N11" s="46">
        <v>8</v>
      </c>
      <c r="O11" s="172">
        <f t="shared" si="2"/>
        <v>1.1363636363636364E-2</v>
      </c>
      <c r="P11" s="260">
        <v>46271.82</v>
      </c>
      <c r="Q11" s="89">
        <f t="shared" si="6"/>
        <v>0.22095194309968721</v>
      </c>
      <c r="R11" s="260">
        <v>29974.7</v>
      </c>
      <c r="S11" s="89">
        <f t="shared" si="7"/>
        <v>0.14313178536807489</v>
      </c>
      <c r="T11" s="281">
        <v>10802.85</v>
      </c>
      <c r="U11" s="26"/>
    </row>
    <row r="12" spans="1:24" ht="15.6" customHeight="1" x14ac:dyDescent="0.3">
      <c r="A12" s="198" t="s">
        <v>22</v>
      </c>
      <c r="B12" s="200">
        <v>119135.14</v>
      </c>
      <c r="C12" s="73">
        <v>151603.94</v>
      </c>
      <c r="D12" s="145">
        <v>97582.09</v>
      </c>
      <c r="E12" s="145">
        <v>131821.94</v>
      </c>
      <c r="F12" s="130">
        <v>190055</v>
      </c>
      <c r="G12" s="288">
        <f t="shared" si="0"/>
        <v>-0.13048473542310313</v>
      </c>
      <c r="H12" s="155">
        <f t="shared" si="3"/>
        <v>0.35088252362703037</v>
      </c>
      <c r="I12" s="263">
        <f t="shared" si="4"/>
        <v>0.10649083049719842</v>
      </c>
      <c r="J12" s="273">
        <v>478</v>
      </c>
      <c r="K12" s="63">
        <f t="shared" si="5"/>
        <v>275.7781171548117</v>
      </c>
      <c r="L12" s="61">
        <v>7</v>
      </c>
      <c r="M12" s="28">
        <f t="shared" si="1"/>
        <v>1.4644351464435146E-2</v>
      </c>
      <c r="N12" s="46">
        <v>7</v>
      </c>
      <c r="O12" s="172">
        <f t="shared" si="2"/>
        <v>1.4644351464435146E-2</v>
      </c>
      <c r="P12" s="260">
        <v>16441.810000000001</v>
      </c>
      <c r="Q12" s="89">
        <f t="shared" si="6"/>
        <v>0.12472741639214231</v>
      </c>
      <c r="R12" s="260">
        <v>23259.1</v>
      </c>
      <c r="S12" s="89">
        <f t="shared" si="7"/>
        <v>0.17644331436785105</v>
      </c>
      <c r="T12" s="281">
        <v>8918.75</v>
      </c>
      <c r="U12" s="26"/>
    </row>
    <row r="13" spans="1:24" ht="15.6" customHeight="1" x14ac:dyDescent="0.3">
      <c r="A13" s="198" t="s">
        <v>23</v>
      </c>
      <c r="B13" s="200">
        <v>243836.14</v>
      </c>
      <c r="C13" s="73">
        <v>204317.08</v>
      </c>
      <c r="D13" s="145">
        <v>178649.13</v>
      </c>
      <c r="E13" s="145">
        <v>204104.97</v>
      </c>
      <c r="F13" s="130">
        <v>326890</v>
      </c>
      <c r="G13" s="288">
        <f t="shared" si="0"/>
        <v>-1.0381413046818505E-3</v>
      </c>
      <c r="H13" s="155">
        <f t="shared" si="3"/>
        <v>0.14249070230568711</v>
      </c>
      <c r="I13" s="263">
        <f t="shared" si="4"/>
        <v>-0.16294208889625636</v>
      </c>
      <c r="J13" s="273">
        <v>741</v>
      </c>
      <c r="K13" s="63">
        <f t="shared" si="5"/>
        <v>275.44530364372469</v>
      </c>
      <c r="L13" s="61">
        <v>15</v>
      </c>
      <c r="M13" s="28">
        <f t="shared" si="1"/>
        <v>2.0242914979757085E-2</v>
      </c>
      <c r="N13" s="46">
        <v>15</v>
      </c>
      <c r="O13" s="172">
        <f t="shared" si="2"/>
        <v>2.0242914979757085E-2</v>
      </c>
      <c r="P13" s="260">
        <v>31091.85</v>
      </c>
      <c r="Q13" s="89">
        <f t="shared" si="6"/>
        <v>0.15233264530501142</v>
      </c>
      <c r="R13" s="260">
        <v>33076.6</v>
      </c>
      <c r="S13" s="89">
        <f t="shared" si="7"/>
        <v>0.16205680831779842</v>
      </c>
      <c r="T13" s="281">
        <v>5161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444323.67</v>
      </c>
      <c r="C15" s="73">
        <v>170092.54</v>
      </c>
      <c r="D15" s="145">
        <v>241778.39</v>
      </c>
      <c r="E15" s="145">
        <v>239272.61</v>
      </c>
      <c r="F15" s="130">
        <v>411862</v>
      </c>
      <c r="G15" s="288">
        <f t="shared" si="0"/>
        <v>0.40672018890422812</v>
      </c>
      <c r="H15" s="155">
        <f t="shared" si="3"/>
        <v>-1.0363953536128798E-2</v>
      </c>
      <c r="I15" s="263">
        <f t="shared" si="4"/>
        <v>-0.46149029152554488</v>
      </c>
      <c r="J15" s="273">
        <v>748</v>
      </c>
      <c r="K15" s="63">
        <f t="shared" si="5"/>
        <v>319.88316844919785</v>
      </c>
      <c r="L15" s="61">
        <v>15</v>
      </c>
      <c r="M15" s="28">
        <f t="shared" si="1"/>
        <v>2.0053475935828877E-2</v>
      </c>
      <c r="N15" s="46">
        <v>15</v>
      </c>
      <c r="O15" s="172">
        <f t="shared" si="2"/>
        <v>2.0053475935828877E-2</v>
      </c>
      <c r="P15" s="260">
        <v>0</v>
      </c>
      <c r="Q15" s="89">
        <f t="shared" si="6"/>
        <v>0</v>
      </c>
      <c r="R15" s="260">
        <v>18971.5</v>
      </c>
      <c r="S15" s="89">
        <f t="shared" si="7"/>
        <v>7.9288222751446563E-2</v>
      </c>
      <c r="T15" s="281">
        <v>2821</v>
      </c>
      <c r="U15" s="9"/>
    </row>
    <row r="16" spans="1:24" ht="15.6" customHeight="1" x14ac:dyDescent="0.3">
      <c r="A16" s="198" t="s">
        <v>27</v>
      </c>
      <c r="B16" s="200">
        <v>144449.49</v>
      </c>
      <c r="C16" s="73">
        <v>112828.63</v>
      </c>
      <c r="D16" s="145">
        <v>119730.4</v>
      </c>
      <c r="E16" s="145">
        <v>113632.89</v>
      </c>
      <c r="F16" s="130">
        <v>197432</v>
      </c>
      <c r="G16" s="288">
        <f t="shared" si="0"/>
        <v>7.1281553272426927E-3</v>
      </c>
      <c r="H16" s="155">
        <f t="shared" si="3"/>
        <v>-5.0926999325150463E-2</v>
      </c>
      <c r="I16" s="263">
        <f t="shared" si="4"/>
        <v>-0.21333824023885439</v>
      </c>
      <c r="J16" s="273">
        <v>433</v>
      </c>
      <c r="K16" s="63">
        <f t="shared" si="5"/>
        <v>262.4316166281755</v>
      </c>
      <c r="L16" s="61">
        <v>5</v>
      </c>
      <c r="M16" s="28">
        <f t="shared" si="1"/>
        <v>1.1547344110854504E-2</v>
      </c>
      <c r="N16" s="46">
        <v>5</v>
      </c>
      <c r="O16" s="172">
        <f t="shared" si="2"/>
        <v>1.1547344110854504E-2</v>
      </c>
      <c r="P16" s="260">
        <v>25392.2</v>
      </c>
      <c r="Q16" s="89">
        <f t="shared" si="6"/>
        <v>0.22345819066997241</v>
      </c>
      <c r="R16" s="260">
        <v>28536.26</v>
      </c>
      <c r="S16" s="89">
        <f t="shared" si="7"/>
        <v>0.25112676444293547</v>
      </c>
      <c r="T16" s="281">
        <v>7304.05</v>
      </c>
      <c r="U16" s="9"/>
      <c r="X16" s="238"/>
    </row>
    <row r="17" spans="1:21" ht="15.6" customHeight="1" x14ac:dyDescent="0.3">
      <c r="A17" s="198" t="s">
        <v>28</v>
      </c>
      <c r="B17" s="200">
        <v>197350.93</v>
      </c>
      <c r="C17" s="73">
        <v>212238.52</v>
      </c>
      <c r="D17" s="145">
        <v>161232.97</v>
      </c>
      <c r="E17" s="145">
        <v>174425.79</v>
      </c>
      <c r="F17" s="130">
        <v>270050</v>
      </c>
      <c r="G17" s="288">
        <f t="shared" si="0"/>
        <v>-0.17816148548340793</v>
      </c>
      <c r="H17" s="155">
        <f t="shared" si="3"/>
        <v>8.1824579674988351E-2</v>
      </c>
      <c r="I17" s="263">
        <f t="shared" si="4"/>
        <v>-0.11616433730512436</v>
      </c>
      <c r="J17" s="273">
        <v>677</v>
      </c>
      <c r="K17" s="63">
        <f t="shared" si="5"/>
        <v>257.6451846381093</v>
      </c>
      <c r="L17" s="61">
        <v>4</v>
      </c>
      <c r="M17" s="28">
        <f t="shared" si="1"/>
        <v>5.9084194977843431E-3</v>
      </c>
      <c r="N17" s="46">
        <v>4</v>
      </c>
      <c r="O17" s="172">
        <f t="shared" si="2"/>
        <v>5.9084194977843431E-3</v>
      </c>
      <c r="P17" s="260">
        <v>31671.37</v>
      </c>
      <c r="Q17" s="89">
        <f t="shared" si="6"/>
        <v>0.18157504116793735</v>
      </c>
      <c r="R17" s="260">
        <v>32253.8</v>
      </c>
      <c r="S17" s="89">
        <f t="shared" si="7"/>
        <v>0.18491416894256291</v>
      </c>
      <c r="T17" s="281">
        <v>4948</v>
      </c>
      <c r="U17" s="9"/>
    </row>
    <row r="18" spans="1:21" ht="16.2" customHeight="1" thickBot="1" x14ac:dyDescent="0.35">
      <c r="A18" s="199" t="s">
        <v>33</v>
      </c>
      <c r="B18" s="201">
        <v>171446.3</v>
      </c>
      <c r="C18" s="131">
        <v>183791.17</v>
      </c>
      <c r="D18" s="131">
        <v>127761.5</v>
      </c>
      <c r="E18" s="146">
        <v>144420.69</v>
      </c>
      <c r="F18" s="134">
        <v>226130</v>
      </c>
      <c r="G18" s="289">
        <f t="shared" si="0"/>
        <v>-0.21421312024946579</v>
      </c>
      <c r="H18" s="156">
        <f t="shared" si="3"/>
        <v>0.13039288048433997</v>
      </c>
      <c r="I18" s="264">
        <f t="shared" si="4"/>
        <v>-0.15763308977796539</v>
      </c>
      <c r="J18" s="282">
        <v>528</v>
      </c>
      <c r="K18" s="132">
        <f t="shared" si="5"/>
        <v>273.52403409090908</v>
      </c>
      <c r="L18" s="133">
        <v>5</v>
      </c>
      <c r="M18" s="114">
        <f t="shared" si="1"/>
        <v>9.46969696969697E-3</v>
      </c>
      <c r="N18" s="115">
        <v>5</v>
      </c>
      <c r="O18" s="173">
        <f t="shared" si="2"/>
        <v>9.46969696969697E-3</v>
      </c>
      <c r="P18" s="261">
        <v>15978.15</v>
      </c>
      <c r="Q18" s="116">
        <f t="shared" si="6"/>
        <v>0.11063615607985254</v>
      </c>
      <c r="R18" s="261">
        <v>27698.400000000001</v>
      </c>
      <c r="S18" s="116">
        <f t="shared" si="7"/>
        <v>0.19178969439905044</v>
      </c>
      <c r="T18" s="283">
        <v>4622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02" priority="1" operator="equal">
      <formula>0</formula>
    </cfRule>
  </conditionalFormatting>
  <conditionalFormatting sqref="D7:D19">
    <cfRule type="cellIs" dxfId="201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X41"/>
  <sheetViews>
    <sheetView zoomScale="70" zoomScaleNormal="70" workbookViewId="0">
      <pane xSplit="1" topLeftCell="B1" activePane="topRight" state="frozen"/>
      <selection pane="topRight" activeCell="A13" sqref="A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-4.8382741561542063E-2</v>
      </c>
      <c r="H2" s="413"/>
      <c r="I2" s="400">
        <f>(((E4-E19-B19)-B4)/E4)</f>
        <v>5.7541735461778744E-2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1748626.32</v>
      </c>
      <c r="C4" s="135">
        <f>SUM(C6:C19)-C14-C19-C10-C9</f>
        <v>1949721.47</v>
      </c>
      <c r="D4" s="142">
        <f>SUM(D6:D19)-D19-D10-D9</f>
        <v>1595844.41</v>
      </c>
      <c r="E4" s="270">
        <f>SUM(E6:E19)-E19-E10-E9</f>
        <v>1855388.6</v>
      </c>
      <c r="F4" s="142">
        <f>SUM(F6:F19)-F19-F10-F9</f>
        <v>5045811</v>
      </c>
      <c r="G4" s="217">
        <f t="shared" ref="G4:G19" si="0">IFERROR((SUM(E4-C4)/C4),0)</f>
        <v>-4.8382741561542063E-2</v>
      </c>
      <c r="H4" s="217">
        <f>IFERROR((SUM(E4-D4)/D4),0)</f>
        <v>0.16263752805325188</v>
      </c>
      <c r="I4" s="217">
        <f>IFERROR((SUM(E4-B4)/E4),0)</f>
        <v>5.7541735461778744E-2</v>
      </c>
      <c r="J4" s="262">
        <f>SUM(J6:J18)</f>
        <v>6673</v>
      </c>
      <c r="K4" s="218">
        <f>AVERAGE(K5:K19)</f>
        <v>230.06355695431401</v>
      </c>
      <c r="L4" s="219">
        <f>SUM(L6:L19)</f>
        <v>97</v>
      </c>
      <c r="M4" s="220">
        <f t="shared" ref="M4:M19" si="1">IFERROR(L4/J4,0)</f>
        <v>1.4536190618912034E-2</v>
      </c>
      <c r="N4" s="221">
        <f>SUM(N6:N19)</f>
        <v>177</v>
      </c>
      <c r="O4" s="222">
        <f t="shared" ref="O4:O19" si="2">IFERROR(N4/SUM(J4),0)</f>
        <v>2.6524801438633297E-2</v>
      </c>
      <c r="P4" s="249">
        <f>SUM(P6:P19)</f>
        <v>346428.52999999997</v>
      </c>
      <c r="Q4" s="222">
        <f>SUM(P4/E4)</f>
        <v>0.1867148100403333</v>
      </c>
      <c r="R4" s="244">
        <f>SUM(R6:R19)</f>
        <v>287096.02999999997</v>
      </c>
      <c r="S4" s="222">
        <f>SUM(R4/E4)</f>
        <v>0.15473633394104069</v>
      </c>
      <c r="T4" s="257">
        <f>SUM(T6:T19)</f>
        <v>69330.929999999993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200784.01</v>
      </c>
      <c r="C6" s="255">
        <v>230488.04</v>
      </c>
      <c r="D6" s="197">
        <v>217480.61</v>
      </c>
      <c r="E6" s="144">
        <v>224068.72</v>
      </c>
      <c r="F6" s="129">
        <v>579940</v>
      </c>
      <c r="G6" s="287">
        <f t="shared" si="0"/>
        <v>-2.7850989578461455E-2</v>
      </c>
      <c r="H6" s="154">
        <f t="shared" ref="H6:H18" si="3">IFERROR((SUM(E6-D6)/D6),0)</f>
        <v>3.0292861510734292E-2</v>
      </c>
      <c r="I6" s="266">
        <f t="shared" ref="I6:I19" si="4">IFERROR((SUM(E6-B6)/B6),0)</f>
        <v>0.11596894593349337</v>
      </c>
      <c r="J6" s="285">
        <v>664</v>
      </c>
      <c r="K6" s="124">
        <f t="shared" ref="K6:K19" si="5">IFERROR(E6/J6,0)</f>
        <v>337.45289156626507</v>
      </c>
      <c r="L6" s="125">
        <v>18</v>
      </c>
      <c r="M6" s="126">
        <f t="shared" si="1"/>
        <v>2.710843373493976E-2</v>
      </c>
      <c r="N6" s="127">
        <v>28</v>
      </c>
      <c r="O6" s="171">
        <f t="shared" si="2"/>
        <v>4.2168674698795178E-2</v>
      </c>
      <c r="P6" s="259">
        <v>49221.3</v>
      </c>
      <c r="Q6" s="128">
        <f t="shared" ref="Q6:Q19" si="6">SUM(P6/E6)</f>
        <v>0.21967055464055849</v>
      </c>
      <c r="R6" s="259">
        <v>5612.25</v>
      </c>
      <c r="S6" s="128">
        <f t="shared" ref="S6:S19" si="7">SUM(R6/E6)</f>
        <v>2.5047003437159814E-2</v>
      </c>
      <c r="T6" s="286">
        <v>7406.15</v>
      </c>
      <c r="U6" s="26"/>
    </row>
    <row r="7" spans="1:24" ht="15.6" customHeight="1" x14ac:dyDescent="0.3">
      <c r="A7" s="409" t="s">
        <v>16</v>
      </c>
      <c r="B7" s="200">
        <v>220316.34</v>
      </c>
      <c r="C7" s="73">
        <v>184585.22</v>
      </c>
      <c r="D7" s="145">
        <v>179455.47</v>
      </c>
      <c r="E7" s="145">
        <v>217553.9</v>
      </c>
      <c r="F7" s="130">
        <v>598279</v>
      </c>
      <c r="G7" s="288">
        <f t="shared" si="0"/>
        <v>0.17860953330932994</v>
      </c>
      <c r="H7" s="155">
        <f t="shared" si="3"/>
        <v>0.21230018789619504</v>
      </c>
      <c r="I7" s="263">
        <f t="shared" si="4"/>
        <v>-1.2538516208103322E-2</v>
      </c>
      <c r="J7" s="273">
        <v>730</v>
      </c>
      <c r="K7" s="63">
        <f t="shared" si="5"/>
        <v>298.01904109589043</v>
      </c>
      <c r="L7" s="61">
        <v>4</v>
      </c>
      <c r="M7" s="28">
        <f t="shared" si="1"/>
        <v>5.4794520547945206E-3</v>
      </c>
      <c r="N7" s="46">
        <v>12</v>
      </c>
      <c r="O7" s="172">
        <f t="shared" si="2"/>
        <v>1.643835616438356E-2</v>
      </c>
      <c r="P7" s="260">
        <v>40640.699999999997</v>
      </c>
      <c r="Q7" s="89">
        <f t="shared" si="6"/>
        <v>0.18680749919904904</v>
      </c>
      <c r="R7" s="260">
        <v>26449.5</v>
      </c>
      <c r="S7" s="89">
        <f t="shared" si="7"/>
        <v>0.12157676787223765</v>
      </c>
      <c r="T7" s="281">
        <v>11888.65</v>
      </c>
      <c r="U7" s="26"/>
    </row>
    <row r="8" spans="1:24" ht="15.6" customHeight="1" x14ac:dyDescent="0.3">
      <c r="A8" s="409" t="s">
        <v>17</v>
      </c>
      <c r="B8" s="200">
        <v>110426.79</v>
      </c>
      <c r="C8" s="73">
        <v>114183.99</v>
      </c>
      <c r="D8" s="145">
        <v>87710.19</v>
      </c>
      <c r="E8" s="145">
        <v>114307.8</v>
      </c>
      <c r="F8" s="130">
        <v>289691</v>
      </c>
      <c r="G8" s="288">
        <f t="shared" si="0"/>
        <v>1.0843026242120079E-3</v>
      </c>
      <c r="H8" s="155">
        <f t="shared" si="3"/>
        <v>0.30324424106252651</v>
      </c>
      <c r="I8" s="263">
        <f t="shared" si="4"/>
        <v>3.5145547561420645E-2</v>
      </c>
      <c r="J8" s="273">
        <v>462</v>
      </c>
      <c r="K8" s="63">
        <f t="shared" si="5"/>
        <v>247.41948051948052</v>
      </c>
      <c r="L8" s="61">
        <v>4</v>
      </c>
      <c r="M8" s="28">
        <f t="shared" si="1"/>
        <v>8.658008658008658E-3</v>
      </c>
      <c r="N8" s="46">
        <v>5</v>
      </c>
      <c r="O8" s="172">
        <f t="shared" si="2"/>
        <v>1.0822510822510822E-2</v>
      </c>
      <c r="P8" s="260">
        <v>47648.15</v>
      </c>
      <c r="Q8" s="89">
        <f t="shared" si="6"/>
        <v>0.41684075802351195</v>
      </c>
      <c r="R8" s="260">
        <v>24556.7</v>
      </c>
      <c r="S8" s="89">
        <f t="shared" si="7"/>
        <v>0.21482960917802635</v>
      </c>
      <c r="T8" s="281">
        <v>4823.3999999999996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153079.94</v>
      </c>
      <c r="C10" s="73">
        <v>128193.73</v>
      </c>
      <c r="D10" s="145">
        <v>123492.34</v>
      </c>
      <c r="E10" s="145">
        <v>127675.73</v>
      </c>
      <c r="F10" s="130">
        <v>357483</v>
      </c>
      <c r="G10" s="288">
        <f t="shared" si="0"/>
        <v>-4.0407592477416801E-3</v>
      </c>
      <c r="H10" s="155">
        <f t="shared" si="3"/>
        <v>3.3875704355428034E-2</v>
      </c>
      <c r="I10" s="263">
        <f t="shared" si="4"/>
        <v>-0.16595388004463554</v>
      </c>
      <c r="J10" s="273">
        <v>429</v>
      </c>
      <c r="K10" s="63">
        <f t="shared" si="5"/>
        <v>297.61242424242425</v>
      </c>
      <c r="L10" s="61">
        <v>10</v>
      </c>
      <c r="M10" s="28">
        <f t="shared" si="1"/>
        <v>2.3310023310023312E-2</v>
      </c>
      <c r="N10" s="46">
        <v>12</v>
      </c>
      <c r="O10" s="172">
        <f t="shared" si="2"/>
        <v>2.7972027972027972E-2</v>
      </c>
      <c r="P10" s="260">
        <v>25660.85</v>
      </c>
      <c r="Q10" s="89">
        <f t="shared" si="6"/>
        <v>0.20098455673603746</v>
      </c>
      <c r="R10" s="260">
        <v>23086.85</v>
      </c>
      <c r="S10" s="89">
        <f t="shared" si="7"/>
        <v>0.18082410807441632</v>
      </c>
      <c r="T10" s="281">
        <v>4041</v>
      </c>
      <c r="U10" s="26"/>
    </row>
    <row r="11" spans="1:24" ht="15.6" customHeight="1" x14ac:dyDescent="0.3">
      <c r="A11" s="409" t="s">
        <v>21</v>
      </c>
      <c r="B11" s="200">
        <v>209420.29</v>
      </c>
      <c r="C11" s="73">
        <v>308450.45</v>
      </c>
      <c r="D11" s="145">
        <v>250526.02</v>
      </c>
      <c r="E11" s="145">
        <v>209516.9</v>
      </c>
      <c r="F11" s="130">
        <v>565839</v>
      </c>
      <c r="G11" s="288">
        <f t="shared" si="0"/>
        <v>-0.32074373696002068</v>
      </c>
      <c r="H11" s="155">
        <f t="shared" si="3"/>
        <v>-0.16369205881289295</v>
      </c>
      <c r="I11" s="263">
        <f t="shared" si="4"/>
        <v>4.6132110694711587E-4</v>
      </c>
      <c r="J11" s="273">
        <v>675</v>
      </c>
      <c r="K11" s="63">
        <f t="shared" si="5"/>
        <v>310.39540740740739</v>
      </c>
      <c r="L11" s="61">
        <v>10</v>
      </c>
      <c r="M11" s="28">
        <f t="shared" si="1"/>
        <v>1.4814814814814815E-2</v>
      </c>
      <c r="N11" s="46">
        <v>18</v>
      </c>
      <c r="O11" s="172">
        <f t="shared" si="2"/>
        <v>2.6666666666666668E-2</v>
      </c>
      <c r="P11" s="260">
        <v>54574.47</v>
      </c>
      <c r="Q11" s="89">
        <f t="shared" si="6"/>
        <v>0.26047765120617955</v>
      </c>
      <c r="R11" s="260">
        <v>21828.15</v>
      </c>
      <c r="S11" s="89">
        <f t="shared" si="7"/>
        <v>0.10418324249738328</v>
      </c>
      <c r="T11" s="281">
        <v>12278.85</v>
      </c>
      <c r="U11" s="26"/>
    </row>
    <row r="12" spans="1:24" ht="15.6" customHeight="1" x14ac:dyDescent="0.3">
      <c r="A12" s="198" t="s">
        <v>22</v>
      </c>
      <c r="B12" s="200">
        <v>131821.94</v>
      </c>
      <c r="C12" s="73">
        <v>140833.69</v>
      </c>
      <c r="D12" s="145">
        <v>95613.79</v>
      </c>
      <c r="E12" s="145">
        <v>116316.31</v>
      </c>
      <c r="F12" s="130">
        <v>306372</v>
      </c>
      <c r="G12" s="288">
        <f t="shared" si="0"/>
        <v>-0.17408746444121434</v>
      </c>
      <c r="H12" s="155">
        <f t="shared" si="3"/>
        <v>0.21652232381960809</v>
      </c>
      <c r="I12" s="263">
        <f t="shared" si="4"/>
        <v>-0.11762556369599783</v>
      </c>
      <c r="J12" s="273">
        <v>429</v>
      </c>
      <c r="K12" s="63">
        <f t="shared" si="5"/>
        <v>271.13358974358977</v>
      </c>
      <c r="L12" s="61">
        <v>6</v>
      </c>
      <c r="M12" s="28">
        <f t="shared" si="1"/>
        <v>1.3986013986013986E-2</v>
      </c>
      <c r="N12" s="46">
        <v>13</v>
      </c>
      <c r="O12" s="172">
        <f t="shared" si="2"/>
        <v>3.0303030303030304E-2</v>
      </c>
      <c r="P12" s="260">
        <v>16299.78</v>
      </c>
      <c r="Q12" s="89">
        <f t="shared" si="6"/>
        <v>0.14013322809157203</v>
      </c>
      <c r="R12" s="260">
        <v>27322.45</v>
      </c>
      <c r="S12" s="89">
        <f t="shared" si="7"/>
        <v>0.23489784020830787</v>
      </c>
      <c r="T12" s="281">
        <v>7334.5</v>
      </c>
      <c r="U12" s="26"/>
    </row>
    <row r="13" spans="1:24" ht="15.6" customHeight="1" x14ac:dyDescent="0.3">
      <c r="A13" s="198" t="s">
        <v>23</v>
      </c>
      <c r="B13" s="200">
        <v>204104.97</v>
      </c>
      <c r="C13" s="73">
        <v>194170.35</v>
      </c>
      <c r="D13" s="145">
        <v>181135.9</v>
      </c>
      <c r="E13" s="145">
        <v>182058.69</v>
      </c>
      <c r="F13" s="130">
        <v>508949</v>
      </c>
      <c r="G13" s="288">
        <f t="shared" si="0"/>
        <v>-6.2376464789809585E-2</v>
      </c>
      <c r="H13" s="155">
        <f t="shared" si="3"/>
        <v>5.0944622242195398E-3</v>
      </c>
      <c r="I13" s="263">
        <f t="shared" si="4"/>
        <v>-0.10801442022700378</v>
      </c>
      <c r="J13" s="273">
        <v>642</v>
      </c>
      <c r="K13" s="63">
        <f t="shared" si="5"/>
        <v>283.58051401869159</v>
      </c>
      <c r="L13" s="61">
        <v>14</v>
      </c>
      <c r="M13" s="28">
        <f t="shared" si="1"/>
        <v>2.1806853582554516E-2</v>
      </c>
      <c r="N13" s="46">
        <v>29</v>
      </c>
      <c r="O13" s="172">
        <f t="shared" si="2"/>
        <v>4.5171339563862926E-2</v>
      </c>
      <c r="P13" s="260">
        <v>30679.35</v>
      </c>
      <c r="Q13" s="89">
        <f t="shared" si="6"/>
        <v>0.16851351616338664</v>
      </c>
      <c r="R13" s="260">
        <v>32380.55</v>
      </c>
      <c r="S13" s="89">
        <f t="shared" si="7"/>
        <v>0.1778577556501148</v>
      </c>
      <c r="T13" s="281">
        <v>5209.6000000000004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239272.61</v>
      </c>
      <c r="C15" s="73">
        <v>269262.96999999997</v>
      </c>
      <c r="D15" s="145">
        <v>169093.03</v>
      </c>
      <c r="E15" s="145">
        <v>335112.24</v>
      </c>
      <c r="F15" s="130">
        <v>746674</v>
      </c>
      <c r="G15" s="288">
        <f t="shared" si="0"/>
        <v>0.24455375352949582</v>
      </c>
      <c r="H15" s="155">
        <f t="shared" si="3"/>
        <v>0.98182172263398437</v>
      </c>
      <c r="I15" s="263">
        <f t="shared" si="4"/>
        <v>0.40054576242554468</v>
      </c>
      <c r="J15" s="273">
        <v>1015</v>
      </c>
      <c r="K15" s="63">
        <f t="shared" si="5"/>
        <v>330.15984236453198</v>
      </c>
      <c r="L15" s="61">
        <v>6</v>
      </c>
      <c r="M15" s="28">
        <f t="shared" si="1"/>
        <v>5.9113300492610842E-3</v>
      </c>
      <c r="N15" s="46">
        <v>21</v>
      </c>
      <c r="O15" s="172">
        <f t="shared" si="2"/>
        <v>2.0689655172413793E-2</v>
      </c>
      <c r="P15" s="260">
        <v>0</v>
      </c>
      <c r="Q15" s="89">
        <f t="shared" si="6"/>
        <v>0</v>
      </c>
      <c r="R15" s="260">
        <v>29140.5</v>
      </c>
      <c r="S15" s="89">
        <f t="shared" si="7"/>
        <v>8.6957432530664958E-2</v>
      </c>
      <c r="T15" s="281">
        <v>3711.1</v>
      </c>
      <c r="U15" s="9"/>
    </row>
    <row r="16" spans="1:24" ht="15.6" customHeight="1" x14ac:dyDescent="0.3">
      <c r="A16" s="198" t="s">
        <v>27</v>
      </c>
      <c r="B16" s="200">
        <v>113632.89</v>
      </c>
      <c r="C16" s="73">
        <v>133685.73000000001</v>
      </c>
      <c r="D16" s="145">
        <v>112492.7</v>
      </c>
      <c r="E16" s="145">
        <v>141328.62</v>
      </c>
      <c r="F16" s="130">
        <v>338761</v>
      </c>
      <c r="G16" s="288">
        <f t="shared" si="0"/>
        <v>5.7170574600594874E-2</v>
      </c>
      <c r="H16" s="155">
        <f t="shared" si="3"/>
        <v>0.25633592224206547</v>
      </c>
      <c r="I16" s="263">
        <f t="shared" si="4"/>
        <v>0.24372987433479862</v>
      </c>
      <c r="J16" s="273">
        <v>470</v>
      </c>
      <c r="K16" s="63">
        <f t="shared" si="5"/>
        <v>300.69919148936168</v>
      </c>
      <c r="L16" s="61">
        <v>5</v>
      </c>
      <c r="M16" s="28">
        <f t="shared" si="1"/>
        <v>1.0638297872340425E-2</v>
      </c>
      <c r="N16" s="46">
        <v>10</v>
      </c>
      <c r="O16" s="172">
        <f t="shared" si="2"/>
        <v>2.1276595744680851E-2</v>
      </c>
      <c r="P16" s="260">
        <v>30569.85</v>
      </c>
      <c r="Q16" s="89">
        <f t="shared" si="6"/>
        <v>0.21630332200229507</v>
      </c>
      <c r="R16" s="260">
        <v>37677.53</v>
      </c>
      <c r="S16" s="89">
        <f t="shared" si="7"/>
        <v>0.26659518786782183</v>
      </c>
      <c r="T16" s="281">
        <v>4542.68</v>
      </c>
      <c r="U16" s="9"/>
      <c r="X16" s="238"/>
    </row>
    <row r="17" spans="1:21" ht="15.6" customHeight="1" x14ac:dyDescent="0.3">
      <c r="A17" s="198" t="s">
        <v>28</v>
      </c>
      <c r="B17" s="200">
        <v>174425.79</v>
      </c>
      <c r="C17" s="73">
        <v>201945.52</v>
      </c>
      <c r="D17" s="145">
        <v>159048.68</v>
      </c>
      <c r="E17" s="145">
        <v>168235.41</v>
      </c>
      <c r="F17" s="130">
        <v>438286</v>
      </c>
      <c r="G17" s="288">
        <f t="shared" si="0"/>
        <v>-0.16692675331445822</v>
      </c>
      <c r="H17" s="155">
        <f t="shared" si="3"/>
        <v>5.7760491944981944E-2</v>
      </c>
      <c r="I17" s="263">
        <f t="shared" si="4"/>
        <v>-3.5490049951902206E-2</v>
      </c>
      <c r="J17" s="273">
        <v>612</v>
      </c>
      <c r="K17" s="63">
        <f t="shared" si="5"/>
        <v>274.89446078431371</v>
      </c>
      <c r="L17" s="61">
        <v>4</v>
      </c>
      <c r="M17" s="28">
        <f t="shared" si="1"/>
        <v>6.5359477124183009E-3</v>
      </c>
      <c r="N17" s="46">
        <v>8</v>
      </c>
      <c r="O17" s="172">
        <f t="shared" si="2"/>
        <v>1.3071895424836602E-2</v>
      </c>
      <c r="P17" s="260">
        <v>37369.33</v>
      </c>
      <c r="Q17" s="89">
        <f t="shared" si="6"/>
        <v>0.22212523510954085</v>
      </c>
      <c r="R17" s="260">
        <v>24535.599999999999</v>
      </c>
      <c r="S17" s="89">
        <f t="shared" si="7"/>
        <v>0.14584087856415007</v>
      </c>
      <c r="T17" s="281">
        <v>4839</v>
      </c>
      <c r="U17" s="9"/>
    </row>
    <row r="18" spans="1:21" ht="16.2" customHeight="1" thickBot="1" x14ac:dyDescent="0.35">
      <c r="A18" s="199" t="s">
        <v>33</v>
      </c>
      <c r="B18" s="201">
        <v>144420.69</v>
      </c>
      <c r="C18" s="131">
        <v>172115.51</v>
      </c>
      <c r="D18" s="131">
        <v>143288.01999999999</v>
      </c>
      <c r="E18" s="146">
        <v>146890.01</v>
      </c>
      <c r="F18" s="134">
        <v>673020</v>
      </c>
      <c r="G18" s="289">
        <f t="shared" si="0"/>
        <v>-0.14656145747701643</v>
      </c>
      <c r="H18" s="156">
        <f t="shared" si="3"/>
        <v>2.5138109941082443E-2</v>
      </c>
      <c r="I18" s="264">
        <f t="shared" si="4"/>
        <v>1.7098104156682861E-2</v>
      </c>
      <c r="J18" s="282">
        <v>545</v>
      </c>
      <c r="K18" s="132">
        <f t="shared" si="5"/>
        <v>269.5229541284404</v>
      </c>
      <c r="L18" s="133">
        <v>16</v>
      </c>
      <c r="M18" s="114">
        <f t="shared" si="1"/>
        <v>2.9357798165137616E-2</v>
      </c>
      <c r="N18" s="115">
        <v>21</v>
      </c>
      <c r="O18" s="173">
        <f t="shared" si="2"/>
        <v>3.8532110091743121E-2</v>
      </c>
      <c r="P18" s="261">
        <v>13764.75</v>
      </c>
      <c r="Q18" s="116">
        <f t="shared" si="6"/>
        <v>9.3707870262926651E-2</v>
      </c>
      <c r="R18" s="261">
        <v>34505.949999999997</v>
      </c>
      <c r="S18" s="116">
        <f t="shared" si="7"/>
        <v>0.23491012084484161</v>
      </c>
      <c r="T18" s="283">
        <v>3256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200" priority="2" operator="equal">
      <formula>0</formula>
    </cfRule>
  </conditionalFormatting>
  <conditionalFormatting sqref="D7:D19">
    <cfRule type="cellIs" dxfId="19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X41"/>
  <sheetViews>
    <sheetView zoomScale="70" zoomScaleNormal="70" workbookViewId="0">
      <pane xSplit="1" topLeftCell="B1" activePane="topRight" state="frozen"/>
      <selection pane="topRight" activeCell="F13" sqref="F13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-5.97321153923068E-2</v>
      </c>
      <c r="H2" s="413"/>
      <c r="I2" s="400">
        <f>(((E4-E19-B19)-B4)/E4)</f>
        <v>9.7016515768685516E-2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1855388.6</v>
      </c>
      <c r="C4" s="135">
        <f>SUM(C6:C19)-C14-C19-C9</f>
        <v>2185261.7999999998</v>
      </c>
      <c r="D4" s="142">
        <f>SUM(D6:D19)-D19-D9</f>
        <v>1796115.7299999997</v>
      </c>
      <c r="E4" s="270">
        <f>SUM(E6:E19)-E19-E9</f>
        <v>2054731.4899999998</v>
      </c>
      <c r="F4" s="142">
        <f>SUM(F6:F19)-F19-F10-F9</f>
        <v>6648844.6600000001</v>
      </c>
      <c r="G4" s="217">
        <f t="shared" ref="G4:G19" si="0">IFERROR((SUM(E4-C4)/C4),0)</f>
        <v>-5.97321153923068E-2</v>
      </c>
      <c r="H4" s="217">
        <f>IFERROR((SUM(E4-D4)/D4),0)</f>
        <v>0.14398613390018028</v>
      </c>
      <c r="I4" s="217">
        <f>IFERROR((SUM(E4-B4)/E4),0)</f>
        <v>9.7016515768685516E-2</v>
      </c>
      <c r="J4" s="262">
        <f>SUM(J6:J18)</f>
        <v>7222</v>
      </c>
      <c r="K4" s="218">
        <f>AVERAGE(K5:K19)</f>
        <v>221.9820776923805</v>
      </c>
      <c r="L4" s="219">
        <f>SUM(L6:L19)</f>
        <v>97</v>
      </c>
      <c r="M4" s="220">
        <f t="shared" ref="M4:M19" si="1">IFERROR(L4/J4,0)</f>
        <v>1.3431182497923013E-2</v>
      </c>
      <c r="N4" s="221">
        <f>SUM(N6:N19)</f>
        <v>177</v>
      </c>
      <c r="O4" s="222">
        <f t="shared" ref="O4:O19" si="2">IFERROR(N4/SUM(J4),0)</f>
        <v>2.4508446413735806E-2</v>
      </c>
      <c r="P4" s="249">
        <f>SUM(P6:P19)</f>
        <v>346428.52999999997</v>
      </c>
      <c r="Q4" s="222">
        <f>SUM(P4/E4)</f>
        <v>0.16860038972780819</v>
      </c>
      <c r="R4" s="244">
        <f>SUM(R6:R19)</f>
        <v>287096.02999999997</v>
      </c>
      <c r="S4" s="222">
        <f>SUM(R4/E4)</f>
        <v>0.13972435395926111</v>
      </c>
      <c r="T4" s="257">
        <f>SUM(T6:T19)</f>
        <v>69330.929999999993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224068.72</v>
      </c>
      <c r="C6" s="255">
        <v>278639.59999999998</v>
      </c>
      <c r="D6" s="197">
        <v>229636.49</v>
      </c>
      <c r="E6" s="144">
        <v>232877.04</v>
      </c>
      <c r="F6" s="129">
        <v>812817.51</v>
      </c>
      <c r="G6" s="287">
        <f t="shared" si="0"/>
        <v>-0.16423566499521236</v>
      </c>
      <c r="H6" s="154">
        <f t="shared" ref="H6:H18" si="3">IFERROR((SUM(E6-D6)/D6),0)</f>
        <v>1.4111650983691736E-2</v>
      </c>
      <c r="I6" s="266">
        <f t="shared" ref="I6:I19" si="4">IFERROR((SUM(E6-B6)/B6),0)</f>
        <v>3.9310797151873793E-2</v>
      </c>
      <c r="J6" s="285">
        <v>720</v>
      </c>
      <c r="K6" s="124">
        <f t="shared" ref="K6:K19" si="5">IFERROR(E6/J6,0)</f>
        <v>323.44033333333334</v>
      </c>
      <c r="L6" s="125">
        <v>18</v>
      </c>
      <c r="M6" s="126">
        <f t="shared" si="1"/>
        <v>2.5000000000000001E-2</v>
      </c>
      <c r="N6" s="127">
        <v>28</v>
      </c>
      <c r="O6" s="171">
        <f t="shared" si="2"/>
        <v>3.888888888888889E-2</v>
      </c>
      <c r="P6" s="259">
        <v>49221.3</v>
      </c>
      <c r="Q6" s="128">
        <f t="shared" ref="Q6:Q19" si="6">SUM(P6/E6)</f>
        <v>0.21136175554275338</v>
      </c>
      <c r="R6" s="259">
        <v>5612.25</v>
      </c>
      <c r="S6" s="128">
        <f t="shared" ref="S6:S19" si="7">SUM(R6/E6)</f>
        <v>2.4099627855111865E-2</v>
      </c>
      <c r="T6" s="286">
        <v>7406.15</v>
      </c>
      <c r="U6" s="26"/>
    </row>
    <row r="7" spans="1:24" ht="15.6" customHeight="1" x14ac:dyDescent="0.3">
      <c r="A7" s="409" t="s">
        <v>16</v>
      </c>
      <c r="B7" s="200">
        <v>217553.9</v>
      </c>
      <c r="C7" s="73">
        <v>205425.5</v>
      </c>
      <c r="D7" s="145">
        <v>160664.57</v>
      </c>
      <c r="E7" s="145">
        <v>190088.51</v>
      </c>
      <c r="F7" s="130">
        <v>788367.75</v>
      </c>
      <c r="G7" s="288">
        <f t="shared" si="0"/>
        <v>-7.4659621127854098E-2</v>
      </c>
      <c r="H7" s="155">
        <f t="shared" si="3"/>
        <v>0.18313894594184643</v>
      </c>
      <c r="I7" s="263">
        <f t="shared" si="4"/>
        <v>-0.12624636929055275</v>
      </c>
      <c r="J7" s="273">
        <v>695</v>
      </c>
      <c r="K7" s="63">
        <f t="shared" si="5"/>
        <v>273.5086474820144</v>
      </c>
      <c r="L7" s="61">
        <v>4</v>
      </c>
      <c r="M7" s="28">
        <f t="shared" si="1"/>
        <v>5.7553956834532375E-3</v>
      </c>
      <c r="N7" s="46">
        <v>12</v>
      </c>
      <c r="O7" s="172">
        <f t="shared" si="2"/>
        <v>1.7266187050359712E-2</v>
      </c>
      <c r="P7" s="260">
        <v>40640.699999999997</v>
      </c>
      <c r="Q7" s="89">
        <f t="shared" si="6"/>
        <v>0.21379882455809662</v>
      </c>
      <c r="R7" s="260">
        <v>26449.5</v>
      </c>
      <c r="S7" s="89">
        <f t="shared" si="7"/>
        <v>0.13914307603336992</v>
      </c>
      <c r="T7" s="281">
        <v>11888.65</v>
      </c>
      <c r="U7" s="26"/>
    </row>
    <row r="8" spans="1:24" ht="15.6" customHeight="1" x14ac:dyDescent="0.3">
      <c r="A8" s="409" t="s">
        <v>17</v>
      </c>
      <c r="B8" s="200">
        <v>114307.8</v>
      </c>
      <c r="C8" s="73">
        <v>125462.39999999999</v>
      </c>
      <c r="D8" s="145">
        <v>89032.8</v>
      </c>
      <c r="E8" s="145">
        <v>129274.54</v>
      </c>
      <c r="F8" s="130">
        <v>418966.62</v>
      </c>
      <c r="G8" s="288">
        <f t="shared" si="0"/>
        <v>3.0384720840666204E-2</v>
      </c>
      <c r="H8" s="155">
        <f t="shared" si="3"/>
        <v>0.4519878067408864</v>
      </c>
      <c r="I8" s="263">
        <f t="shared" si="4"/>
        <v>0.13093367206787279</v>
      </c>
      <c r="J8" s="273">
        <v>542</v>
      </c>
      <c r="K8" s="63">
        <f t="shared" si="5"/>
        <v>238.51391143911437</v>
      </c>
      <c r="L8" s="61">
        <v>4</v>
      </c>
      <c r="M8" s="28">
        <f t="shared" si="1"/>
        <v>7.3800738007380072E-3</v>
      </c>
      <c r="N8" s="46">
        <v>5</v>
      </c>
      <c r="O8" s="172">
        <f t="shared" si="2"/>
        <v>9.2250922509225092E-3</v>
      </c>
      <c r="P8" s="260">
        <v>47648.15</v>
      </c>
      <c r="Q8" s="89">
        <f t="shared" si="6"/>
        <v>0.36858108332855027</v>
      </c>
      <c r="R8" s="260">
        <v>24556.7</v>
      </c>
      <c r="S8" s="89">
        <f t="shared" si="7"/>
        <v>0.1899577441930948</v>
      </c>
      <c r="T8" s="281">
        <v>4823.3999999999996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127675.73</v>
      </c>
      <c r="C10" s="73">
        <v>137627.20000000001</v>
      </c>
      <c r="D10" s="145">
        <v>135624.76</v>
      </c>
      <c r="E10" s="145">
        <v>151703.32</v>
      </c>
      <c r="F10" s="130">
        <v>509187.09</v>
      </c>
      <c r="G10" s="288">
        <f t="shared" si="0"/>
        <v>0.10227716614157663</v>
      </c>
      <c r="H10" s="155">
        <f t="shared" si="3"/>
        <v>0.11855180425757064</v>
      </c>
      <c r="I10" s="263">
        <f t="shared" si="4"/>
        <v>0.18819230561673711</v>
      </c>
      <c r="J10" s="273">
        <v>487</v>
      </c>
      <c r="K10" s="63">
        <f t="shared" si="5"/>
        <v>311.50579055441477</v>
      </c>
      <c r="L10" s="61">
        <v>10</v>
      </c>
      <c r="M10" s="28">
        <f t="shared" si="1"/>
        <v>2.0533880903490759E-2</v>
      </c>
      <c r="N10" s="46">
        <v>12</v>
      </c>
      <c r="O10" s="172">
        <f t="shared" si="2"/>
        <v>2.4640657084188913E-2</v>
      </c>
      <c r="P10" s="260">
        <v>25660.85</v>
      </c>
      <c r="Q10" s="89">
        <f t="shared" si="6"/>
        <v>0.16915153867430191</v>
      </c>
      <c r="R10" s="260">
        <v>23086.85</v>
      </c>
      <c r="S10" s="89">
        <f t="shared" si="7"/>
        <v>0.15218421060264203</v>
      </c>
      <c r="T10" s="281">
        <v>4041</v>
      </c>
      <c r="U10" s="26"/>
    </row>
    <row r="11" spans="1:24" ht="15.6" customHeight="1" x14ac:dyDescent="0.3">
      <c r="A11" s="409" t="s">
        <v>21</v>
      </c>
      <c r="B11" s="200">
        <v>209516.9</v>
      </c>
      <c r="C11" s="73">
        <v>342630.1</v>
      </c>
      <c r="D11" s="145">
        <v>230674.35</v>
      </c>
      <c r="E11" s="145">
        <v>227149.97</v>
      </c>
      <c r="F11" s="130">
        <v>792989.72</v>
      </c>
      <c r="G11" s="288">
        <f t="shared" si="0"/>
        <v>-0.33704023668673588</v>
      </c>
      <c r="H11" s="155">
        <f t="shared" si="3"/>
        <v>-1.5278595127720115E-2</v>
      </c>
      <c r="I11" s="263">
        <f t="shared" si="4"/>
        <v>8.4160609478280787E-2</v>
      </c>
      <c r="J11" s="273">
        <v>800</v>
      </c>
      <c r="K11" s="63">
        <f t="shared" si="5"/>
        <v>283.93746249999998</v>
      </c>
      <c r="L11" s="61">
        <v>10</v>
      </c>
      <c r="M11" s="28">
        <f t="shared" si="1"/>
        <v>1.2500000000000001E-2</v>
      </c>
      <c r="N11" s="46">
        <v>18</v>
      </c>
      <c r="O11" s="172">
        <f t="shared" si="2"/>
        <v>2.2499999999999999E-2</v>
      </c>
      <c r="P11" s="260">
        <v>54574.47</v>
      </c>
      <c r="Q11" s="89">
        <f t="shared" si="6"/>
        <v>0.24025743873089661</v>
      </c>
      <c r="R11" s="260">
        <v>21828.15</v>
      </c>
      <c r="S11" s="89">
        <f t="shared" si="7"/>
        <v>9.6095764397415517E-2</v>
      </c>
      <c r="T11" s="281">
        <v>12278.85</v>
      </c>
      <c r="U11" s="26"/>
    </row>
    <row r="12" spans="1:24" ht="15.6" customHeight="1" x14ac:dyDescent="0.3">
      <c r="A12" s="198" t="s">
        <v>22</v>
      </c>
      <c r="B12" s="200">
        <v>116316.31</v>
      </c>
      <c r="C12" s="73">
        <v>163242.4</v>
      </c>
      <c r="D12" s="145">
        <v>103180.73</v>
      </c>
      <c r="E12" s="145">
        <v>123322.3</v>
      </c>
      <c r="F12" s="130">
        <v>429694.37</v>
      </c>
      <c r="G12" s="288">
        <f t="shared" si="0"/>
        <v>-0.24454492215257795</v>
      </c>
      <c r="H12" s="155">
        <f t="shared" si="3"/>
        <v>0.19520670187156078</v>
      </c>
      <c r="I12" s="263">
        <f t="shared" si="4"/>
        <v>6.0232223666655219E-2</v>
      </c>
      <c r="J12" s="273">
        <v>453</v>
      </c>
      <c r="K12" s="63">
        <f t="shared" si="5"/>
        <v>272.2346578366446</v>
      </c>
      <c r="L12" s="61">
        <v>6</v>
      </c>
      <c r="M12" s="28">
        <f t="shared" si="1"/>
        <v>1.3245033112582781E-2</v>
      </c>
      <c r="N12" s="46">
        <v>13</v>
      </c>
      <c r="O12" s="172">
        <f t="shared" si="2"/>
        <v>2.8697571743929361E-2</v>
      </c>
      <c r="P12" s="260">
        <v>16299.78</v>
      </c>
      <c r="Q12" s="89">
        <f t="shared" si="6"/>
        <v>0.13217220243216352</v>
      </c>
      <c r="R12" s="260">
        <v>27322.45</v>
      </c>
      <c r="S12" s="89">
        <f t="shared" si="7"/>
        <v>0.22155319840774945</v>
      </c>
      <c r="T12" s="281">
        <v>7334.5</v>
      </c>
      <c r="U12" s="26"/>
    </row>
    <row r="13" spans="1:24" ht="15.6" customHeight="1" x14ac:dyDescent="0.3">
      <c r="A13" s="198" t="s">
        <v>23</v>
      </c>
      <c r="B13" s="200">
        <v>182058.69</v>
      </c>
      <c r="C13" s="73">
        <v>206365.4</v>
      </c>
      <c r="D13" s="145">
        <v>180607.58</v>
      </c>
      <c r="E13" s="145">
        <v>220376.4</v>
      </c>
      <c r="F13" s="130">
        <v>729325.76</v>
      </c>
      <c r="G13" s="288">
        <f t="shared" si="0"/>
        <v>6.789413341577609E-2</v>
      </c>
      <c r="H13" s="155">
        <f t="shared" si="3"/>
        <v>0.22019463413440349</v>
      </c>
      <c r="I13" s="263">
        <f t="shared" si="4"/>
        <v>0.21046899766223734</v>
      </c>
      <c r="J13" s="273">
        <v>741</v>
      </c>
      <c r="K13" s="63">
        <f t="shared" si="5"/>
        <v>297.40404858299593</v>
      </c>
      <c r="L13" s="61">
        <v>14</v>
      </c>
      <c r="M13" s="28">
        <f t="shared" si="1"/>
        <v>1.8893387314439947E-2</v>
      </c>
      <c r="N13" s="46">
        <v>29</v>
      </c>
      <c r="O13" s="172">
        <f t="shared" si="2"/>
        <v>3.9136302294197033E-2</v>
      </c>
      <c r="P13" s="260">
        <v>30679.35</v>
      </c>
      <c r="Q13" s="89">
        <f t="shared" si="6"/>
        <v>0.1392134094213355</v>
      </c>
      <c r="R13" s="260">
        <v>32380.55</v>
      </c>
      <c r="S13" s="89">
        <f t="shared" si="7"/>
        <v>0.14693292929732948</v>
      </c>
      <c r="T13" s="281">
        <v>5209.6000000000004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335112.24</v>
      </c>
      <c r="C15" s="73">
        <v>212160.1</v>
      </c>
      <c r="D15" s="145">
        <v>241634.12</v>
      </c>
      <c r="E15" s="145">
        <v>282976.74</v>
      </c>
      <c r="F15" s="130">
        <v>1029651.53</v>
      </c>
      <c r="G15" s="288">
        <f t="shared" si="0"/>
        <v>0.33378868128361544</v>
      </c>
      <c r="H15" s="155">
        <f t="shared" si="3"/>
        <v>0.17109595283977277</v>
      </c>
      <c r="I15" s="263">
        <f t="shared" si="4"/>
        <v>-0.15557623320473166</v>
      </c>
      <c r="J15" s="273">
        <v>926</v>
      </c>
      <c r="K15" s="63">
        <f t="shared" si="5"/>
        <v>305.59043196544275</v>
      </c>
      <c r="L15" s="61">
        <v>6</v>
      </c>
      <c r="M15" s="28">
        <f t="shared" si="1"/>
        <v>6.4794816414686825E-3</v>
      </c>
      <c r="N15" s="46">
        <v>21</v>
      </c>
      <c r="O15" s="172">
        <f t="shared" si="2"/>
        <v>2.267818574514039E-2</v>
      </c>
      <c r="P15" s="260">
        <v>0</v>
      </c>
      <c r="Q15" s="89">
        <f t="shared" si="6"/>
        <v>0</v>
      </c>
      <c r="R15" s="260">
        <v>29140.5</v>
      </c>
      <c r="S15" s="89">
        <f t="shared" si="7"/>
        <v>0.1029784285450458</v>
      </c>
      <c r="T15" s="281">
        <v>3711.1</v>
      </c>
      <c r="U15" s="9"/>
    </row>
    <row r="16" spans="1:24" ht="15.6" customHeight="1" x14ac:dyDescent="0.3">
      <c r="A16" s="198" t="s">
        <v>27</v>
      </c>
      <c r="B16" s="200">
        <v>141328.62</v>
      </c>
      <c r="C16" s="73">
        <v>122313.9</v>
      </c>
      <c r="D16" s="145">
        <v>130219.14</v>
      </c>
      <c r="E16" s="145">
        <v>133740.87</v>
      </c>
      <c r="F16" s="130">
        <v>472502.33</v>
      </c>
      <c r="G16" s="288">
        <f t="shared" si="0"/>
        <v>9.3423314929864901E-2</v>
      </c>
      <c r="H16" s="155">
        <f t="shared" si="3"/>
        <v>2.7044641824542814E-2</v>
      </c>
      <c r="I16" s="263">
        <f t="shared" si="4"/>
        <v>-5.3688700844881948E-2</v>
      </c>
      <c r="J16" s="273">
        <v>500</v>
      </c>
      <c r="K16" s="63">
        <f t="shared" si="5"/>
        <v>267.48174</v>
      </c>
      <c r="L16" s="61">
        <v>5</v>
      </c>
      <c r="M16" s="28">
        <f t="shared" si="1"/>
        <v>0.01</v>
      </c>
      <c r="N16" s="46">
        <v>10</v>
      </c>
      <c r="O16" s="172">
        <f t="shared" si="2"/>
        <v>0.02</v>
      </c>
      <c r="P16" s="260">
        <v>30569.85</v>
      </c>
      <c r="Q16" s="89">
        <f t="shared" si="6"/>
        <v>0.22857522909788158</v>
      </c>
      <c r="R16" s="260">
        <v>37677.53</v>
      </c>
      <c r="S16" s="89">
        <f t="shared" si="7"/>
        <v>0.28172038958621998</v>
      </c>
      <c r="T16" s="281">
        <v>4542.68</v>
      </c>
      <c r="U16" s="9"/>
      <c r="X16" s="238"/>
    </row>
    <row r="17" spans="1:21" ht="15.6" customHeight="1" x14ac:dyDescent="0.3">
      <c r="A17" s="198" t="s">
        <v>28</v>
      </c>
      <c r="B17" s="200">
        <v>168235.41</v>
      </c>
      <c r="C17" s="73">
        <v>213194.7</v>
      </c>
      <c r="D17" s="145">
        <v>149272.72</v>
      </c>
      <c r="E17" s="145">
        <v>205771.42</v>
      </c>
      <c r="F17" s="130">
        <v>644057.80000000005</v>
      </c>
      <c r="G17" s="288">
        <f t="shared" si="0"/>
        <v>-3.4819252073339524E-2</v>
      </c>
      <c r="H17" s="155">
        <f t="shared" si="3"/>
        <v>0.37849313658919065</v>
      </c>
      <c r="I17" s="263">
        <f t="shared" si="4"/>
        <v>0.22311598967185331</v>
      </c>
      <c r="J17" s="273">
        <v>761</v>
      </c>
      <c r="K17" s="63">
        <f t="shared" si="5"/>
        <v>270.39608409986863</v>
      </c>
      <c r="L17" s="61">
        <v>4</v>
      </c>
      <c r="M17" s="28">
        <f t="shared" si="1"/>
        <v>5.2562417871222077E-3</v>
      </c>
      <c r="N17" s="46">
        <v>8</v>
      </c>
      <c r="O17" s="172">
        <f t="shared" si="2"/>
        <v>1.0512483574244415E-2</v>
      </c>
      <c r="P17" s="260">
        <v>37369.33</v>
      </c>
      <c r="Q17" s="89">
        <f t="shared" si="6"/>
        <v>0.18160602672616052</v>
      </c>
      <c r="R17" s="260">
        <v>24535.599999999999</v>
      </c>
      <c r="S17" s="89">
        <f t="shared" si="7"/>
        <v>0.11923716131229496</v>
      </c>
      <c r="T17" s="281">
        <v>4839</v>
      </c>
      <c r="U17" s="9"/>
    </row>
    <row r="18" spans="1:21" ht="16.2" customHeight="1" thickBot="1" x14ac:dyDescent="0.35">
      <c r="A18" s="199" t="s">
        <v>33</v>
      </c>
      <c r="B18" s="201">
        <v>146890.01</v>
      </c>
      <c r="C18" s="131">
        <v>178200.5</v>
      </c>
      <c r="D18" s="131">
        <v>145568.47</v>
      </c>
      <c r="E18" s="146">
        <v>157450.38</v>
      </c>
      <c r="F18" s="134">
        <v>530471.27</v>
      </c>
      <c r="G18" s="289">
        <f t="shared" si="0"/>
        <v>-0.1164425464575015</v>
      </c>
      <c r="H18" s="156">
        <f t="shared" si="3"/>
        <v>8.1624200625314003E-2</v>
      </c>
      <c r="I18" s="264">
        <f t="shared" si="4"/>
        <v>7.189304432615938E-2</v>
      </c>
      <c r="J18" s="282">
        <v>597</v>
      </c>
      <c r="K18" s="132">
        <f t="shared" si="5"/>
        <v>263.73597989949752</v>
      </c>
      <c r="L18" s="133">
        <v>16</v>
      </c>
      <c r="M18" s="114">
        <f t="shared" si="1"/>
        <v>2.6800670016750419E-2</v>
      </c>
      <c r="N18" s="115">
        <v>21</v>
      </c>
      <c r="O18" s="173">
        <f t="shared" si="2"/>
        <v>3.5175879396984924E-2</v>
      </c>
      <c r="P18" s="261">
        <v>13764.75</v>
      </c>
      <c r="Q18" s="116">
        <f t="shared" si="6"/>
        <v>8.7422780434064373E-2</v>
      </c>
      <c r="R18" s="261">
        <v>34505.949999999997</v>
      </c>
      <c r="S18" s="116">
        <f t="shared" si="7"/>
        <v>0.21915444091020927</v>
      </c>
      <c r="T18" s="283">
        <v>3256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198" priority="2" operator="equal">
      <formula>0</formula>
    </cfRule>
  </conditionalFormatting>
  <conditionalFormatting sqref="D7:D19">
    <cfRule type="cellIs" dxfId="19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X41"/>
  <sheetViews>
    <sheetView zoomScale="70" zoomScaleNormal="70" workbookViewId="0">
      <pane xSplit="1" topLeftCell="B1" activePane="topRight" state="frozen"/>
      <selection pane="topRight" activeCell="I8" sqref="I8"/>
    </sheetView>
  </sheetViews>
  <sheetFormatPr defaultRowHeight="14.4" x14ac:dyDescent="0.3"/>
  <cols>
    <col min="1" max="1" width="18.5546875" bestFit="1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2.3267717552808965E-3</v>
      </c>
      <c r="H2" s="413"/>
      <c r="I2" s="400">
        <f>(((E4-E19-B19)-B4)/E4)</f>
        <v>0.16899297010773551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SUM(B6:B19)-B19-B10-B9</f>
        <v>1903028.1699999997</v>
      </c>
      <c r="C4" s="135">
        <f>SUM(C6:C19)-C14-C19-C9</f>
        <v>2284710.56</v>
      </c>
      <c r="D4" s="142">
        <f>SUM(D6:D19)-D19-D9</f>
        <v>2147456.0300000003</v>
      </c>
      <c r="E4" s="270">
        <f>SUM(E6:E19)-E19-E9</f>
        <v>2290026.56</v>
      </c>
      <c r="F4" s="142">
        <f>SUM(F6:F19)-F19-F10-F9</f>
        <v>8446965</v>
      </c>
      <c r="G4" s="217">
        <f t="shared" ref="G4:G19" si="0">IFERROR((SUM(E4-C4)/C4),0)</f>
        <v>2.3267717552808965E-3</v>
      </c>
      <c r="H4" s="217">
        <f>IFERROR((SUM(E4-D4)/D4),0)</f>
        <v>6.6390430354934804E-2</v>
      </c>
      <c r="I4" s="217">
        <f>IFERROR((SUM(E4-B4)/E4),0)</f>
        <v>0.16899297010773551</v>
      </c>
      <c r="J4" s="262">
        <f>SUM(J6:J18)</f>
        <v>7616</v>
      </c>
      <c r="K4" s="218">
        <f>AVERAGE(K5:K19)</f>
        <v>233.39342642114281</v>
      </c>
      <c r="L4" s="219">
        <f>SUM(L6:L19)</f>
        <v>96</v>
      </c>
      <c r="M4" s="220">
        <f t="shared" ref="M4:M19" si="1">IFERROR(L4/J4,0)</f>
        <v>1.2605042016806723E-2</v>
      </c>
      <c r="N4" s="221">
        <f>SUM(N6:N19)</f>
        <v>315</v>
      </c>
      <c r="O4" s="222">
        <f t="shared" ref="O4:O19" si="2">IFERROR(N4/SUM(J4),0)</f>
        <v>4.1360294117647058E-2</v>
      </c>
      <c r="P4" s="249">
        <f>SUM(P6:P19)</f>
        <v>443330.68000000005</v>
      </c>
      <c r="Q4" s="222">
        <f>SUM(P4/E4)</f>
        <v>0.19359193807778372</v>
      </c>
      <c r="R4" s="244">
        <f>SUM(R6:R19)</f>
        <v>313080.93000000005</v>
      </c>
      <c r="S4" s="222">
        <f>SUM(R4/E4)</f>
        <v>0.13671497766383986</v>
      </c>
      <c r="T4" s="257">
        <f>SUM(T6:T19)</f>
        <v>83795.930000000008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232877.04</v>
      </c>
      <c r="C6" s="255">
        <v>302080.39</v>
      </c>
      <c r="D6" s="197">
        <v>282442.31</v>
      </c>
      <c r="E6" s="144">
        <v>272852.78999999998</v>
      </c>
      <c r="F6" s="129">
        <v>1031764.58</v>
      </c>
      <c r="G6" s="287">
        <f t="shared" si="0"/>
        <v>-9.6754377204028477E-2</v>
      </c>
      <c r="H6" s="154">
        <f t="shared" ref="H6:H18" si="3">IFERROR((SUM(E6-D6)/D6),0)</f>
        <v>-3.3952136986841734E-2</v>
      </c>
      <c r="I6" s="266">
        <f t="shared" ref="I6:I19" si="4">IFERROR((SUM(E6-B6)/B6),0)</f>
        <v>0.17166033199322686</v>
      </c>
      <c r="J6" s="285">
        <v>817</v>
      </c>
      <c r="K6" s="124">
        <f t="shared" ref="K6:K19" si="5">IFERROR(E6/J6,0)</f>
        <v>333.96914320685431</v>
      </c>
      <c r="L6" s="125">
        <v>9</v>
      </c>
      <c r="M6" s="126">
        <f t="shared" si="1"/>
        <v>1.1015911872705019E-2</v>
      </c>
      <c r="N6" s="127">
        <v>43</v>
      </c>
      <c r="O6" s="171">
        <f t="shared" si="2"/>
        <v>5.2631578947368418E-2</v>
      </c>
      <c r="P6" s="259">
        <v>53748.55</v>
      </c>
      <c r="Q6" s="128">
        <f t="shared" ref="Q6:Q19" si="6">SUM(P6/E6)</f>
        <v>0.19698735717527391</v>
      </c>
      <c r="R6" s="259">
        <v>5226.55</v>
      </c>
      <c r="S6" s="128">
        <f t="shared" ref="S6:S19" si="7">SUM(R6/E6)</f>
        <v>1.9155200868570928E-2</v>
      </c>
      <c r="T6" s="286">
        <v>8564.9</v>
      </c>
      <c r="U6" s="26"/>
    </row>
    <row r="7" spans="1:24" ht="15.6" customHeight="1" x14ac:dyDescent="0.3">
      <c r="A7" s="409" t="s">
        <v>16</v>
      </c>
      <c r="B7" s="200">
        <v>190088.51</v>
      </c>
      <c r="C7" s="73">
        <v>255815.43</v>
      </c>
      <c r="D7" s="145">
        <v>187544.1</v>
      </c>
      <c r="E7" s="145">
        <v>271344.55</v>
      </c>
      <c r="F7" s="130">
        <v>1007064.29</v>
      </c>
      <c r="G7" s="288">
        <f t="shared" si="0"/>
        <v>6.0704391443471555E-2</v>
      </c>
      <c r="H7" s="155">
        <f t="shared" si="3"/>
        <v>0.44683063876709522</v>
      </c>
      <c r="I7" s="263">
        <f t="shared" si="4"/>
        <v>0.42746423758069318</v>
      </c>
      <c r="J7" s="273">
        <v>903</v>
      </c>
      <c r="K7" s="63">
        <f t="shared" si="5"/>
        <v>300.4923034330011</v>
      </c>
      <c r="L7" s="61">
        <v>0</v>
      </c>
      <c r="M7" s="28">
        <f t="shared" si="1"/>
        <v>0</v>
      </c>
      <c r="N7" s="46">
        <v>17</v>
      </c>
      <c r="O7" s="172">
        <f t="shared" si="2"/>
        <v>1.8826135105204873E-2</v>
      </c>
      <c r="P7" s="260">
        <v>54418.57</v>
      </c>
      <c r="Q7" s="89">
        <f t="shared" si="6"/>
        <v>0.20055154968102365</v>
      </c>
      <c r="R7" s="260">
        <v>34296.800000000003</v>
      </c>
      <c r="S7" s="89">
        <f t="shared" si="7"/>
        <v>0.12639575771836953</v>
      </c>
      <c r="T7" s="281">
        <v>13600.78</v>
      </c>
      <c r="U7" s="26"/>
    </row>
    <row r="8" spans="1:24" ht="15.6" customHeight="1" x14ac:dyDescent="0.3">
      <c r="A8" s="409" t="s">
        <v>17</v>
      </c>
      <c r="B8" s="200">
        <v>129274.54</v>
      </c>
      <c r="C8" s="73">
        <v>126931.31</v>
      </c>
      <c r="D8" s="145">
        <v>128042.35</v>
      </c>
      <c r="E8" s="145">
        <v>131075.06</v>
      </c>
      <c r="F8" s="130">
        <v>533568.56999999995</v>
      </c>
      <c r="G8" s="288">
        <f t="shared" si="0"/>
        <v>3.2645609660847272E-2</v>
      </c>
      <c r="H8" s="155">
        <f t="shared" si="3"/>
        <v>2.3685210401089889E-2</v>
      </c>
      <c r="I8" s="263">
        <f t="shared" si="4"/>
        <v>1.3927877832711717E-2</v>
      </c>
      <c r="J8" s="273">
        <v>537</v>
      </c>
      <c r="K8" s="63">
        <f t="shared" si="5"/>
        <v>244.08763500931099</v>
      </c>
      <c r="L8" s="61">
        <v>7</v>
      </c>
      <c r="M8" s="28">
        <f t="shared" si="1"/>
        <v>1.3035381750465549E-2</v>
      </c>
      <c r="N8" s="46">
        <v>17</v>
      </c>
      <c r="O8" s="172">
        <f t="shared" si="2"/>
        <v>3.165735567970205E-2</v>
      </c>
      <c r="P8" s="260">
        <v>62486.5</v>
      </c>
      <c r="Q8" s="89">
        <f t="shared" si="6"/>
        <v>0.4767230318261918</v>
      </c>
      <c r="R8" s="260">
        <v>19170.05</v>
      </c>
      <c r="S8" s="89">
        <f t="shared" si="7"/>
        <v>0.14625246023156502</v>
      </c>
      <c r="T8" s="281">
        <v>3744.6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151703.32</v>
      </c>
      <c r="C10" s="73">
        <v>140870.41</v>
      </c>
      <c r="D10" s="145">
        <v>128773.27</v>
      </c>
      <c r="E10" s="145">
        <v>170567.98</v>
      </c>
      <c r="F10" s="130">
        <v>655329.21</v>
      </c>
      <c r="G10" s="288">
        <f t="shared" si="0"/>
        <v>0.21081481909508182</v>
      </c>
      <c r="H10" s="155">
        <f t="shared" si="3"/>
        <v>0.32456044643426391</v>
      </c>
      <c r="I10" s="263">
        <f t="shared" si="4"/>
        <v>0.12435232135987533</v>
      </c>
      <c r="J10" s="273">
        <v>557</v>
      </c>
      <c r="K10" s="63">
        <f t="shared" si="5"/>
        <v>306.22617594254939</v>
      </c>
      <c r="L10" s="61">
        <v>22</v>
      </c>
      <c r="M10" s="28">
        <f t="shared" si="1"/>
        <v>3.949730700179533E-2</v>
      </c>
      <c r="N10" s="46">
        <v>34</v>
      </c>
      <c r="O10" s="172">
        <f t="shared" si="2"/>
        <v>6.1041292639138239E-2</v>
      </c>
      <c r="P10" s="260">
        <v>50158.32</v>
      </c>
      <c r="Q10" s="89">
        <f t="shared" si="6"/>
        <v>0.29406644787609021</v>
      </c>
      <c r="R10" s="260">
        <v>30405.200000000001</v>
      </c>
      <c r="S10" s="89">
        <f t="shared" si="7"/>
        <v>0.17825854536121022</v>
      </c>
      <c r="T10" s="281">
        <v>7280.6</v>
      </c>
      <c r="U10" s="26"/>
    </row>
    <row r="11" spans="1:24" ht="15.6" customHeight="1" x14ac:dyDescent="0.3">
      <c r="A11" s="409" t="s">
        <v>21</v>
      </c>
      <c r="B11" s="200">
        <v>227149.97</v>
      </c>
      <c r="C11" s="73">
        <v>390245.8</v>
      </c>
      <c r="D11" s="145">
        <v>297909.15000000002</v>
      </c>
      <c r="E11" s="145">
        <v>250178.98</v>
      </c>
      <c r="F11" s="130">
        <v>1008643.92</v>
      </c>
      <c r="G11" s="288">
        <f t="shared" si="0"/>
        <v>-0.3589194810040236</v>
      </c>
      <c r="H11" s="155">
        <f t="shared" si="3"/>
        <v>-0.16021720044516929</v>
      </c>
      <c r="I11" s="263">
        <f t="shared" si="4"/>
        <v>0.10138240388057286</v>
      </c>
      <c r="J11" s="273">
        <v>803</v>
      </c>
      <c r="K11" s="63">
        <f t="shared" si="5"/>
        <v>311.55539227895395</v>
      </c>
      <c r="L11" s="61">
        <v>14</v>
      </c>
      <c r="M11" s="28">
        <f t="shared" si="1"/>
        <v>1.7434620174346202E-2</v>
      </c>
      <c r="N11" s="46">
        <v>36</v>
      </c>
      <c r="O11" s="172">
        <f t="shared" si="2"/>
        <v>4.4831880448318803E-2</v>
      </c>
      <c r="P11" s="260">
        <v>59179.95</v>
      </c>
      <c r="Q11" s="89">
        <f t="shared" si="6"/>
        <v>0.23655044880269316</v>
      </c>
      <c r="R11" s="260">
        <v>32446.5</v>
      </c>
      <c r="S11" s="89">
        <f t="shared" si="7"/>
        <v>0.12969315007999471</v>
      </c>
      <c r="T11" s="281">
        <v>25567.85</v>
      </c>
      <c r="U11" s="26"/>
    </row>
    <row r="12" spans="1:24" ht="15.6" customHeight="1" x14ac:dyDescent="0.3">
      <c r="A12" s="198" t="s">
        <v>22</v>
      </c>
      <c r="B12" s="200">
        <v>123322.3</v>
      </c>
      <c r="C12" s="73">
        <v>136510.79999999999</v>
      </c>
      <c r="D12" s="145">
        <v>99879.81</v>
      </c>
      <c r="E12" s="145">
        <v>131218.39000000001</v>
      </c>
      <c r="F12" s="130">
        <v>544989.13</v>
      </c>
      <c r="G12" s="288">
        <f t="shared" si="0"/>
        <v>-3.8769166981659872E-2</v>
      </c>
      <c r="H12" s="155">
        <f t="shared" si="3"/>
        <v>0.31376291164350451</v>
      </c>
      <c r="I12" s="263">
        <f t="shared" si="4"/>
        <v>6.402807926871304E-2</v>
      </c>
      <c r="J12" s="273">
        <v>445</v>
      </c>
      <c r="K12" s="63">
        <f t="shared" si="5"/>
        <v>294.87278651685398</v>
      </c>
      <c r="L12" s="61">
        <v>3</v>
      </c>
      <c r="M12" s="28">
        <f t="shared" si="1"/>
        <v>6.7415730337078653E-3</v>
      </c>
      <c r="N12" s="46">
        <v>17</v>
      </c>
      <c r="O12" s="172">
        <f t="shared" si="2"/>
        <v>3.8202247191011236E-2</v>
      </c>
      <c r="P12" s="260">
        <v>15153.7</v>
      </c>
      <c r="Q12" s="89">
        <f t="shared" si="6"/>
        <v>0.11548457498983183</v>
      </c>
      <c r="R12" s="260">
        <v>30819.25</v>
      </c>
      <c r="S12" s="89">
        <f t="shared" si="7"/>
        <v>0.23486989895242577</v>
      </c>
      <c r="T12" s="281">
        <v>5844</v>
      </c>
      <c r="U12" s="26"/>
    </row>
    <row r="13" spans="1:24" ht="15.6" customHeight="1" x14ac:dyDescent="0.3">
      <c r="A13" s="198" t="s">
        <v>23</v>
      </c>
      <c r="B13" s="200">
        <v>220376.4</v>
      </c>
      <c r="C13" s="73">
        <v>233608.46</v>
      </c>
      <c r="D13" s="145">
        <v>192771.76</v>
      </c>
      <c r="E13" s="145">
        <v>249265.48</v>
      </c>
      <c r="F13" s="130">
        <v>948384.63</v>
      </c>
      <c r="G13" s="288">
        <f t="shared" si="0"/>
        <v>6.7022487113694504E-2</v>
      </c>
      <c r="H13" s="155">
        <f t="shared" si="3"/>
        <v>0.29306014532419061</v>
      </c>
      <c r="I13" s="263">
        <f t="shared" si="4"/>
        <v>0.13108971741075731</v>
      </c>
      <c r="J13" s="273">
        <v>789</v>
      </c>
      <c r="K13" s="63">
        <f t="shared" si="5"/>
        <v>315.92583016476556</v>
      </c>
      <c r="L13" s="61">
        <v>16</v>
      </c>
      <c r="M13" s="28">
        <f t="shared" si="1"/>
        <v>2.0278833967046894E-2</v>
      </c>
      <c r="N13" s="46">
        <v>56</v>
      </c>
      <c r="O13" s="172">
        <f t="shared" si="2"/>
        <v>7.0975918884664133E-2</v>
      </c>
      <c r="P13" s="260">
        <v>45478.9</v>
      </c>
      <c r="Q13" s="89">
        <f t="shared" si="6"/>
        <v>0.18245165756606169</v>
      </c>
      <c r="R13" s="260">
        <v>32933.629999999997</v>
      </c>
      <c r="S13" s="89">
        <f t="shared" si="7"/>
        <v>0.13212270708322707</v>
      </c>
      <c r="T13" s="281">
        <v>5629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282976.74</v>
      </c>
      <c r="C15" s="73">
        <v>157667.46</v>
      </c>
      <c r="D15" s="145">
        <v>335289.78000000003</v>
      </c>
      <c r="E15" s="145">
        <v>304217.65000000002</v>
      </c>
      <c r="F15" s="130">
        <v>1283022.2</v>
      </c>
      <c r="G15" s="288">
        <f t="shared" si="0"/>
        <v>0.92948912857478672</v>
      </c>
      <c r="H15" s="155">
        <f t="shared" si="3"/>
        <v>-9.2672463801312416E-2</v>
      </c>
      <c r="I15" s="263">
        <f t="shared" si="4"/>
        <v>7.5062388519989434E-2</v>
      </c>
      <c r="J15" s="273">
        <v>935</v>
      </c>
      <c r="K15" s="63">
        <f t="shared" si="5"/>
        <v>325.3664705882353</v>
      </c>
      <c r="L15" s="61">
        <v>8</v>
      </c>
      <c r="M15" s="28">
        <f t="shared" si="1"/>
        <v>8.5561497326203211E-3</v>
      </c>
      <c r="N15" s="46">
        <v>33</v>
      </c>
      <c r="O15" s="172">
        <f t="shared" si="2"/>
        <v>3.5294117647058823E-2</v>
      </c>
      <c r="P15" s="260">
        <v>0</v>
      </c>
      <c r="Q15" s="89">
        <f t="shared" si="6"/>
        <v>0</v>
      </c>
      <c r="R15" s="260">
        <v>36784.5</v>
      </c>
      <c r="S15" s="89">
        <f t="shared" si="7"/>
        <v>0.12091507511151965</v>
      </c>
      <c r="T15" s="281">
        <v>1016.1</v>
      </c>
      <c r="U15" s="9"/>
    </row>
    <row r="16" spans="1:24" ht="15.6" customHeight="1" x14ac:dyDescent="0.3">
      <c r="A16" s="198" t="s">
        <v>27</v>
      </c>
      <c r="B16" s="200">
        <v>133740.87</v>
      </c>
      <c r="C16" s="73">
        <v>127075.46</v>
      </c>
      <c r="D16" s="145">
        <v>147345.04999999999</v>
      </c>
      <c r="E16" s="145">
        <v>141716.53</v>
      </c>
      <c r="F16" s="130">
        <v>599243.5</v>
      </c>
      <c r="G16" s="288">
        <f t="shared" si="0"/>
        <v>0.11521555774812849</v>
      </c>
      <c r="H16" s="155">
        <f t="shared" si="3"/>
        <v>-3.819958661658461E-2</v>
      </c>
      <c r="I16" s="263">
        <f t="shared" si="4"/>
        <v>5.96351736010092E-2</v>
      </c>
      <c r="J16" s="273">
        <v>521</v>
      </c>
      <c r="K16" s="63">
        <f t="shared" si="5"/>
        <v>272.00869481765835</v>
      </c>
      <c r="L16" s="61">
        <v>6</v>
      </c>
      <c r="M16" s="28">
        <f t="shared" si="1"/>
        <v>1.1516314779270634E-2</v>
      </c>
      <c r="N16" s="46">
        <v>22</v>
      </c>
      <c r="O16" s="172">
        <f t="shared" si="2"/>
        <v>4.2226487523992322E-2</v>
      </c>
      <c r="P16" s="260">
        <v>32741.71</v>
      </c>
      <c r="Q16" s="89">
        <f t="shared" si="6"/>
        <v>0.23103663348234676</v>
      </c>
      <c r="R16" s="260">
        <v>26942.05</v>
      </c>
      <c r="S16" s="89">
        <f t="shared" si="7"/>
        <v>0.19011226142779533</v>
      </c>
      <c r="T16" s="281">
        <v>6902</v>
      </c>
      <c r="U16" s="9"/>
      <c r="X16" s="238"/>
    </row>
    <row r="17" spans="1:21" ht="15.6" customHeight="1" x14ac:dyDescent="0.3">
      <c r="A17" s="198" t="s">
        <v>28</v>
      </c>
      <c r="B17" s="200">
        <v>205771.42</v>
      </c>
      <c r="C17" s="73">
        <v>217907.37</v>
      </c>
      <c r="D17" s="145">
        <v>184045.59</v>
      </c>
      <c r="E17" s="145">
        <v>194877.73</v>
      </c>
      <c r="F17" s="130">
        <v>809893.7</v>
      </c>
      <c r="G17" s="288">
        <f t="shared" si="0"/>
        <v>-0.10568545708206191</v>
      </c>
      <c r="H17" s="155">
        <f t="shared" si="3"/>
        <v>5.8855743297082069E-2</v>
      </c>
      <c r="I17" s="263">
        <f t="shared" si="4"/>
        <v>-5.2940733946434358E-2</v>
      </c>
      <c r="J17" s="273">
        <v>712</v>
      </c>
      <c r="K17" s="63">
        <f t="shared" si="5"/>
        <v>273.70467696629214</v>
      </c>
      <c r="L17" s="61">
        <v>7</v>
      </c>
      <c r="M17" s="28">
        <f t="shared" si="1"/>
        <v>9.8314606741573031E-3</v>
      </c>
      <c r="N17" s="46">
        <v>18</v>
      </c>
      <c r="O17" s="172">
        <f t="shared" si="2"/>
        <v>2.5280898876404494E-2</v>
      </c>
      <c r="P17" s="260">
        <v>47825.23</v>
      </c>
      <c r="Q17" s="89">
        <f t="shared" si="6"/>
        <v>0.24541146902727162</v>
      </c>
      <c r="R17" s="260">
        <v>32552.75</v>
      </c>
      <c r="S17" s="89">
        <f t="shared" si="7"/>
        <v>0.16704191905355217</v>
      </c>
      <c r="T17" s="281">
        <v>648.6</v>
      </c>
      <c r="U17" s="9"/>
    </row>
    <row r="18" spans="1:21" ht="16.2" customHeight="1" thickBot="1" x14ac:dyDescent="0.35">
      <c r="A18" s="199" t="s">
        <v>33</v>
      </c>
      <c r="B18" s="201">
        <v>157450.38</v>
      </c>
      <c r="C18" s="131">
        <v>195997.67</v>
      </c>
      <c r="D18" s="131">
        <v>163412.85999999999</v>
      </c>
      <c r="E18" s="146">
        <v>172711.42</v>
      </c>
      <c r="F18" s="134">
        <v>680390.48</v>
      </c>
      <c r="G18" s="289">
        <f t="shared" si="0"/>
        <v>-0.11880881032922483</v>
      </c>
      <c r="H18" s="156">
        <f t="shared" si="3"/>
        <v>5.6902253592526486E-2</v>
      </c>
      <c r="I18" s="264">
        <f t="shared" si="4"/>
        <v>9.692602837795633E-2</v>
      </c>
      <c r="J18" s="282">
        <v>597</v>
      </c>
      <c r="K18" s="132">
        <f t="shared" si="5"/>
        <v>289.29886097152433</v>
      </c>
      <c r="L18" s="133">
        <v>4</v>
      </c>
      <c r="M18" s="114">
        <f t="shared" si="1"/>
        <v>6.7001675041876048E-3</v>
      </c>
      <c r="N18" s="115">
        <v>22</v>
      </c>
      <c r="O18" s="173">
        <f t="shared" si="2"/>
        <v>3.6850921273031828E-2</v>
      </c>
      <c r="P18" s="261">
        <v>22139.25</v>
      </c>
      <c r="Q18" s="116">
        <f t="shared" si="6"/>
        <v>0.12818637007327019</v>
      </c>
      <c r="R18" s="261">
        <v>31503.65</v>
      </c>
      <c r="S18" s="116">
        <f t="shared" si="7"/>
        <v>0.18240629368920711</v>
      </c>
      <c r="T18" s="283">
        <v>4997.5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196" priority="2" operator="equal">
      <formula>0</formula>
    </cfRule>
  </conditionalFormatting>
  <conditionalFormatting sqref="D7:D19">
    <cfRule type="cellIs" dxfId="19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X41"/>
  <sheetViews>
    <sheetView zoomScale="70" zoomScaleNormal="70" workbookViewId="0">
      <pane xSplit="1" topLeftCell="B1" activePane="topRight" state="frozen"/>
      <selection pane="topRight" activeCell="E10" sqref="E10"/>
    </sheetView>
  </sheetViews>
  <sheetFormatPr defaultRowHeight="14.4" x14ac:dyDescent="0.3"/>
  <cols>
    <col min="1" max="1" width="23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-1.9587426779132569E-2</v>
      </c>
      <c r="H2" s="413"/>
      <c r="I2" s="400">
        <f>(((E4-E19-B19)-B4)/E4)</f>
        <v>-9.5230911732268764E-3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SUM(B6:B19)-B19-B9</f>
        <v>2290026.56</v>
      </c>
      <c r="C4" s="135">
        <f>SUM(C6:C19)-C14-C19-C9</f>
        <v>2313744.4499999997</v>
      </c>
      <c r="D4" s="142">
        <f>SUM(D6:D19)-D19-D9</f>
        <v>1849032.09</v>
      </c>
      <c r="E4" s="270">
        <f>SUM(E6:E19)-E19-E9</f>
        <v>2268424.1500000004</v>
      </c>
      <c r="F4" s="142">
        <f>SUM(F6:F19)-F19-F10-F9</f>
        <v>2403032.0700000008</v>
      </c>
      <c r="G4" s="217">
        <f t="shared" ref="G4:G19" si="0">IFERROR((SUM(E4-C4)/C4),0)</f>
        <v>-1.9587426779132569E-2</v>
      </c>
      <c r="H4" s="217">
        <f>IFERROR((SUM(E4-D4)/D4),0)</f>
        <v>0.22681708028117581</v>
      </c>
      <c r="I4" s="217">
        <f>IFERROR((SUM(E4-B4)/E4),0)</f>
        <v>-9.5230911732268764E-3</v>
      </c>
      <c r="J4" s="262">
        <f>SUM(J6:J18)</f>
        <v>7373</v>
      </c>
      <c r="K4" s="218">
        <f>AVERAGE(K5:K19)</f>
        <v>240.87855117393957</v>
      </c>
      <c r="L4" s="219">
        <f>SUM(L6:L19)</f>
        <v>66</v>
      </c>
      <c r="M4" s="220">
        <f t="shared" ref="M4:M19" si="1">IFERROR(L4/J4,0)</f>
        <v>8.9515800895158017E-3</v>
      </c>
      <c r="N4" s="221">
        <f>SUM(N6:N19)</f>
        <v>66</v>
      </c>
      <c r="O4" s="222">
        <f t="shared" ref="O4:O19" si="2">IFERROR(N4/SUM(J4),0)</f>
        <v>8.9515800895158017E-3</v>
      </c>
      <c r="P4" s="249">
        <f>SUM(P6:P19)</f>
        <v>429139.12</v>
      </c>
      <c r="Q4" s="222">
        <f>SUM(P4/E4)</f>
        <v>0.18917940015759396</v>
      </c>
      <c r="R4" s="244">
        <f>SUM(R6:R19)</f>
        <v>314411.49</v>
      </c>
      <c r="S4" s="222">
        <f>SUM(R4/E4)</f>
        <v>0.13860348383259805</v>
      </c>
      <c r="T4" s="257">
        <f>SUM(T6:T19)</f>
        <v>72053.78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272852.78999999998</v>
      </c>
      <c r="C6" s="255">
        <v>277850.46999999997</v>
      </c>
      <c r="D6" s="197">
        <v>203627.09</v>
      </c>
      <c r="E6" s="144">
        <v>273957.15999999997</v>
      </c>
      <c r="F6" s="129">
        <v>327862.68</v>
      </c>
      <c r="G6" s="287">
        <f t="shared" si="0"/>
        <v>-1.4012249106506813E-2</v>
      </c>
      <c r="H6" s="154">
        <f t="shared" ref="H6:H18" si="3">IFERROR((SUM(E6-D6)/D6),0)</f>
        <v>0.34538660843210978</v>
      </c>
      <c r="I6" s="266">
        <f t="shared" ref="I6:I19" si="4">IFERROR((SUM(E6-B6)/B6),0)</f>
        <v>4.0474938885543205E-3</v>
      </c>
      <c r="J6" s="285">
        <v>775</v>
      </c>
      <c r="K6" s="124">
        <f t="shared" ref="K6:K19" si="5">IFERROR(E6/J6,0)</f>
        <v>353.49310967741934</v>
      </c>
      <c r="L6" s="125">
        <v>5</v>
      </c>
      <c r="M6" s="126">
        <f t="shared" si="1"/>
        <v>6.4516129032258064E-3</v>
      </c>
      <c r="N6" s="127">
        <v>5</v>
      </c>
      <c r="O6" s="171">
        <f t="shared" si="2"/>
        <v>6.4516129032258064E-3</v>
      </c>
      <c r="P6" s="259">
        <v>48980.9</v>
      </c>
      <c r="Q6" s="128">
        <f t="shared" ref="Q6:Q19" si="6">SUM(P6/E6)</f>
        <v>0.17879036269758383</v>
      </c>
      <c r="R6" s="259">
        <v>8768.35</v>
      </c>
      <c r="S6" s="128">
        <f t="shared" ref="S6:S19" si="7">SUM(R6/E6)</f>
        <v>3.200628156606676E-2</v>
      </c>
      <c r="T6" s="286">
        <v>8945.2999999999993</v>
      </c>
      <c r="U6" s="26"/>
    </row>
    <row r="7" spans="1:24" ht="15.6" customHeight="1" x14ac:dyDescent="0.3">
      <c r="A7" s="409" t="s">
        <v>16</v>
      </c>
      <c r="B7" s="200">
        <v>271344.55</v>
      </c>
      <c r="C7" s="73">
        <v>255721.48</v>
      </c>
      <c r="D7" s="145">
        <v>197591.81</v>
      </c>
      <c r="E7" s="145">
        <v>263550.87</v>
      </c>
      <c r="F7" s="130">
        <v>316198.88</v>
      </c>
      <c r="G7" s="288">
        <f t="shared" si="0"/>
        <v>3.061686487971204E-2</v>
      </c>
      <c r="H7" s="155">
        <f t="shared" si="3"/>
        <v>0.33381474667396388</v>
      </c>
      <c r="I7" s="263">
        <f t="shared" si="4"/>
        <v>-2.8722449004411524E-2</v>
      </c>
      <c r="J7" s="273">
        <v>846</v>
      </c>
      <c r="K7" s="63">
        <f t="shared" si="5"/>
        <v>311.5258510638298</v>
      </c>
      <c r="L7" s="61">
        <v>3</v>
      </c>
      <c r="M7" s="28">
        <f t="shared" si="1"/>
        <v>3.5460992907801418E-3</v>
      </c>
      <c r="N7" s="46">
        <v>3</v>
      </c>
      <c r="O7" s="172">
        <f t="shared" si="2"/>
        <v>3.5460992907801418E-3</v>
      </c>
      <c r="P7" s="260">
        <v>47194.75</v>
      </c>
      <c r="Q7" s="89">
        <f t="shared" si="6"/>
        <v>0.17907263975262158</v>
      </c>
      <c r="R7" s="260">
        <v>33128</v>
      </c>
      <c r="S7" s="89">
        <f t="shared" si="7"/>
        <v>0.12569869338697306</v>
      </c>
      <c r="T7" s="281">
        <v>10677.2</v>
      </c>
      <c r="U7" s="26"/>
    </row>
    <row r="8" spans="1:24" ht="15.6" customHeight="1" x14ac:dyDescent="0.3">
      <c r="A8" s="409" t="s">
        <v>17</v>
      </c>
      <c r="B8" s="200">
        <v>131075.06</v>
      </c>
      <c r="C8" s="73">
        <v>149467.35999999999</v>
      </c>
      <c r="D8" s="145">
        <v>101409.11</v>
      </c>
      <c r="E8" s="145">
        <v>137319.82</v>
      </c>
      <c r="F8" s="130">
        <v>153792.57</v>
      </c>
      <c r="G8" s="288">
        <f t="shared" si="0"/>
        <v>-8.1272192136129115E-2</v>
      </c>
      <c r="H8" s="155">
        <f t="shared" si="3"/>
        <v>0.35411719913526513</v>
      </c>
      <c r="I8" s="263">
        <f t="shared" si="4"/>
        <v>4.7642625530745587E-2</v>
      </c>
      <c r="J8" s="273">
        <v>537</v>
      </c>
      <c r="K8" s="63">
        <f t="shared" si="5"/>
        <v>255.71661080074489</v>
      </c>
      <c r="L8" s="61">
        <v>9</v>
      </c>
      <c r="M8" s="28">
        <f t="shared" si="1"/>
        <v>1.6759776536312849E-2</v>
      </c>
      <c r="N8" s="46">
        <v>9</v>
      </c>
      <c r="O8" s="172">
        <f t="shared" si="2"/>
        <v>1.6759776536312849E-2</v>
      </c>
      <c r="P8" s="260">
        <v>74449.45</v>
      </c>
      <c r="Q8" s="89">
        <f t="shared" si="6"/>
        <v>0.54216099322006095</v>
      </c>
      <c r="R8" s="260">
        <v>12773.85</v>
      </c>
      <c r="S8" s="89">
        <f t="shared" si="7"/>
        <v>9.3022624119373301E-2</v>
      </c>
      <c r="T8" s="281">
        <v>5041.5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170567.98</v>
      </c>
      <c r="C10" s="73">
        <v>146819.43</v>
      </c>
      <c r="D10" s="145">
        <v>148751.57</v>
      </c>
      <c r="E10" s="145">
        <v>186729.06</v>
      </c>
      <c r="F10" s="130">
        <v>211154.92</v>
      </c>
      <c r="G10" s="288">
        <f t="shared" si="0"/>
        <v>0.2718279862549528</v>
      </c>
      <c r="H10" s="155">
        <f t="shared" si="3"/>
        <v>0.25530816246174737</v>
      </c>
      <c r="I10" s="263">
        <f t="shared" si="4"/>
        <v>9.4748615771846428E-2</v>
      </c>
      <c r="J10" s="273">
        <v>552</v>
      </c>
      <c r="K10" s="63">
        <f t="shared" si="5"/>
        <v>338.27728260869566</v>
      </c>
      <c r="L10" s="61">
        <v>1</v>
      </c>
      <c r="M10" s="28">
        <f t="shared" si="1"/>
        <v>1.8115942028985507E-3</v>
      </c>
      <c r="N10" s="46">
        <v>1</v>
      </c>
      <c r="O10" s="172">
        <f t="shared" si="2"/>
        <v>1.8115942028985507E-3</v>
      </c>
      <c r="P10" s="260">
        <v>49059.25</v>
      </c>
      <c r="Q10" s="89">
        <f t="shared" si="6"/>
        <v>0.26272959334770923</v>
      </c>
      <c r="R10" s="260">
        <v>38523.85</v>
      </c>
      <c r="S10" s="89">
        <f t="shared" si="7"/>
        <v>0.20630880913768859</v>
      </c>
      <c r="T10" s="281">
        <v>6959.1</v>
      </c>
      <c r="U10" s="26"/>
    </row>
    <row r="11" spans="1:24" ht="15.6" customHeight="1" x14ac:dyDescent="0.3">
      <c r="A11" s="409" t="s">
        <v>21</v>
      </c>
      <c r="B11" s="200">
        <v>250178.98</v>
      </c>
      <c r="C11" s="73">
        <v>382519.05</v>
      </c>
      <c r="D11" s="145">
        <v>285169.07</v>
      </c>
      <c r="E11" s="145">
        <v>251631.67</v>
      </c>
      <c r="F11" s="130">
        <v>286156</v>
      </c>
      <c r="G11" s="288">
        <f t="shared" si="0"/>
        <v>-0.34217218724139353</v>
      </c>
      <c r="H11" s="155">
        <f t="shared" si="3"/>
        <v>-0.11760532094171361</v>
      </c>
      <c r="I11" s="263">
        <f t="shared" si="4"/>
        <v>5.8066029368254767E-3</v>
      </c>
      <c r="J11" s="273">
        <v>769</v>
      </c>
      <c r="K11" s="63">
        <f t="shared" si="5"/>
        <v>327.21933680104036</v>
      </c>
      <c r="L11" s="61">
        <v>7</v>
      </c>
      <c r="M11" s="28">
        <f t="shared" si="1"/>
        <v>9.1027308192457735E-3</v>
      </c>
      <c r="N11" s="46">
        <v>7</v>
      </c>
      <c r="O11" s="172">
        <f t="shared" si="2"/>
        <v>9.1027308192457735E-3</v>
      </c>
      <c r="P11" s="260">
        <v>54421.03</v>
      </c>
      <c r="Q11" s="89">
        <f t="shared" si="6"/>
        <v>0.21627257809003134</v>
      </c>
      <c r="R11" s="260">
        <v>26713.16</v>
      </c>
      <c r="S11" s="89">
        <f t="shared" si="7"/>
        <v>0.10615976915783294</v>
      </c>
      <c r="T11" s="281">
        <v>10642.25</v>
      </c>
      <c r="U11" s="26"/>
    </row>
    <row r="12" spans="1:24" ht="15.6" customHeight="1" x14ac:dyDescent="0.3">
      <c r="A12" s="198" t="s">
        <v>22</v>
      </c>
      <c r="B12" s="200">
        <v>131218.39000000001</v>
      </c>
      <c r="C12" s="73">
        <v>144817.99</v>
      </c>
      <c r="D12" s="145">
        <v>98245.55</v>
      </c>
      <c r="E12" s="145">
        <v>141874.21</v>
      </c>
      <c r="F12" s="130">
        <v>157797.59</v>
      </c>
      <c r="G12" s="288">
        <f t="shared" si="0"/>
        <v>-2.0327446886950987E-2</v>
      </c>
      <c r="H12" s="155">
        <f t="shared" si="3"/>
        <v>0.44407772158637199</v>
      </c>
      <c r="I12" s="263">
        <f t="shared" si="4"/>
        <v>8.1206757680840139E-2</v>
      </c>
      <c r="J12" s="273">
        <v>463</v>
      </c>
      <c r="K12" s="63">
        <f t="shared" si="5"/>
        <v>306.42377969762418</v>
      </c>
      <c r="L12" s="61">
        <v>5</v>
      </c>
      <c r="M12" s="28">
        <f t="shared" si="1"/>
        <v>1.079913606911447E-2</v>
      </c>
      <c r="N12" s="46">
        <v>5</v>
      </c>
      <c r="O12" s="172">
        <f t="shared" si="2"/>
        <v>1.079913606911447E-2</v>
      </c>
      <c r="P12" s="260">
        <v>13791.05</v>
      </c>
      <c r="Q12" s="89">
        <f t="shared" si="6"/>
        <v>9.7206180037936421E-2</v>
      </c>
      <c r="R12" s="260">
        <v>28969.72</v>
      </c>
      <c r="S12" s="89">
        <f t="shared" si="7"/>
        <v>0.20419299603500879</v>
      </c>
      <c r="T12" s="281">
        <v>8824</v>
      </c>
      <c r="U12" s="26"/>
    </row>
    <row r="13" spans="1:24" ht="15.6" customHeight="1" x14ac:dyDescent="0.3">
      <c r="A13" s="198" t="s">
        <v>23</v>
      </c>
      <c r="B13" s="200">
        <v>249265.48</v>
      </c>
      <c r="C13" s="73">
        <v>233865.68</v>
      </c>
      <c r="D13" s="145">
        <v>184334.64</v>
      </c>
      <c r="E13" s="145">
        <v>220292.82</v>
      </c>
      <c r="F13" s="130">
        <v>250499.43</v>
      </c>
      <c r="G13" s="288">
        <f t="shared" si="0"/>
        <v>-5.8036989437697681E-2</v>
      </c>
      <c r="H13" s="155">
        <f t="shared" si="3"/>
        <v>0.19507011812863817</v>
      </c>
      <c r="I13" s="263">
        <f t="shared" si="4"/>
        <v>-0.11623213932390479</v>
      </c>
      <c r="J13" s="273">
        <v>751</v>
      </c>
      <c r="K13" s="63">
        <f t="shared" si="5"/>
        <v>293.33264980026632</v>
      </c>
      <c r="L13" s="61">
        <v>10</v>
      </c>
      <c r="M13" s="28">
        <f t="shared" si="1"/>
        <v>1.3315579227696404E-2</v>
      </c>
      <c r="N13" s="46">
        <v>10</v>
      </c>
      <c r="O13" s="172">
        <f t="shared" si="2"/>
        <v>1.3315579227696404E-2</v>
      </c>
      <c r="P13" s="260">
        <v>35095.660000000003</v>
      </c>
      <c r="Q13" s="89">
        <f t="shared" si="6"/>
        <v>0.15931368076363089</v>
      </c>
      <c r="R13" s="260">
        <v>38009.61</v>
      </c>
      <c r="S13" s="89">
        <f t="shared" si="7"/>
        <v>0.17254130207239618</v>
      </c>
      <c r="T13" s="281">
        <v>5210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304217.65000000002</v>
      </c>
      <c r="C15" s="73">
        <v>163941.60999999999</v>
      </c>
      <c r="D15" s="145">
        <v>166850.45000000001</v>
      </c>
      <c r="E15" s="145">
        <v>229606.86</v>
      </c>
      <c r="F15" s="130">
        <v>280453.84000000003</v>
      </c>
      <c r="G15" s="288">
        <f t="shared" si="0"/>
        <v>0.40054047291593636</v>
      </c>
      <c r="H15" s="155">
        <f t="shared" si="3"/>
        <v>0.37612370838676173</v>
      </c>
      <c r="I15" s="263">
        <f t="shared" si="4"/>
        <v>-0.24525463923608651</v>
      </c>
      <c r="J15" s="273">
        <v>733</v>
      </c>
      <c r="K15" s="63">
        <f t="shared" si="5"/>
        <v>313.24264665757158</v>
      </c>
      <c r="L15" s="61">
        <v>10</v>
      </c>
      <c r="M15" s="28">
        <f t="shared" si="1"/>
        <v>1.3642564802182811E-2</v>
      </c>
      <c r="N15" s="46">
        <v>10</v>
      </c>
      <c r="O15" s="172">
        <f t="shared" si="2"/>
        <v>1.3642564802182811E-2</v>
      </c>
      <c r="P15" s="260">
        <v>0</v>
      </c>
      <c r="Q15" s="89">
        <f t="shared" si="6"/>
        <v>0</v>
      </c>
      <c r="R15" s="260">
        <v>23962.5</v>
      </c>
      <c r="S15" s="89">
        <f t="shared" si="7"/>
        <v>0.10436317103069134</v>
      </c>
      <c r="T15" s="281">
        <v>1756</v>
      </c>
      <c r="U15" s="9"/>
    </row>
    <row r="16" spans="1:24" ht="15.6" customHeight="1" x14ac:dyDescent="0.3">
      <c r="A16" s="198" t="s">
        <v>27</v>
      </c>
      <c r="B16" s="200">
        <v>141716.53</v>
      </c>
      <c r="C16" s="73">
        <v>156915.53</v>
      </c>
      <c r="D16" s="145">
        <v>119683.93</v>
      </c>
      <c r="E16" s="145">
        <v>163958.01999999999</v>
      </c>
      <c r="F16" s="130">
        <v>178933.38</v>
      </c>
      <c r="G16" s="288">
        <f t="shared" si="0"/>
        <v>4.488077120218751E-2</v>
      </c>
      <c r="H16" s="155">
        <f t="shared" si="3"/>
        <v>0.3699251018912898</v>
      </c>
      <c r="I16" s="263">
        <f t="shared" si="4"/>
        <v>0.15694351251755875</v>
      </c>
      <c r="J16" s="273">
        <v>538</v>
      </c>
      <c r="K16" s="63">
        <f t="shared" si="5"/>
        <v>304.75468401486989</v>
      </c>
      <c r="L16" s="61">
        <v>4</v>
      </c>
      <c r="M16" s="28">
        <f t="shared" si="1"/>
        <v>7.4349442379182153E-3</v>
      </c>
      <c r="N16" s="46">
        <v>4</v>
      </c>
      <c r="O16" s="172">
        <f t="shared" si="2"/>
        <v>7.4349442379182153E-3</v>
      </c>
      <c r="P16" s="260">
        <v>42599.98</v>
      </c>
      <c r="Q16" s="89">
        <f t="shared" si="6"/>
        <v>0.2598224838284825</v>
      </c>
      <c r="R16" s="260">
        <v>35679.300000000003</v>
      </c>
      <c r="S16" s="89">
        <f t="shared" si="7"/>
        <v>0.21761241078661481</v>
      </c>
      <c r="T16" s="281">
        <v>4594</v>
      </c>
      <c r="U16" s="9"/>
      <c r="X16" s="238"/>
    </row>
    <row r="17" spans="1:21" ht="15.6" customHeight="1" x14ac:dyDescent="0.3">
      <c r="A17" s="198" t="s">
        <v>55</v>
      </c>
      <c r="B17" s="200">
        <v>194877.73</v>
      </c>
      <c r="C17" s="73">
        <v>204319.37</v>
      </c>
      <c r="D17" s="145">
        <v>169209.44</v>
      </c>
      <c r="E17" s="145">
        <v>202700.94</v>
      </c>
      <c r="F17" s="130">
        <v>231742.77</v>
      </c>
      <c r="G17" s="288">
        <f t="shared" si="0"/>
        <v>-7.921079631363355E-3</v>
      </c>
      <c r="H17" s="155">
        <f t="shared" si="3"/>
        <v>0.19792926446656878</v>
      </c>
      <c r="I17" s="263">
        <f t="shared" si="4"/>
        <v>4.0144197081934355E-2</v>
      </c>
      <c r="J17" s="273">
        <v>743</v>
      </c>
      <c r="K17" s="63">
        <f t="shared" si="5"/>
        <v>272.81418573351277</v>
      </c>
      <c r="L17" s="61">
        <v>1</v>
      </c>
      <c r="M17" s="28">
        <f t="shared" si="1"/>
        <v>1.3458950201884253E-3</v>
      </c>
      <c r="N17" s="46">
        <v>1</v>
      </c>
      <c r="O17" s="172">
        <f t="shared" si="2"/>
        <v>1.3458950201884253E-3</v>
      </c>
      <c r="P17" s="260">
        <v>42397.83</v>
      </c>
      <c r="Q17" s="89">
        <f t="shared" si="6"/>
        <v>0.20916444689403019</v>
      </c>
      <c r="R17" s="260">
        <v>33472.78</v>
      </c>
      <c r="S17" s="89">
        <f t="shared" si="7"/>
        <v>0.16513381733700888</v>
      </c>
      <c r="T17" s="281">
        <v>4402.8999999999996</v>
      </c>
      <c r="U17" s="9"/>
    </row>
    <row r="18" spans="1:21" ht="16.2" customHeight="1" thickBot="1" x14ac:dyDescent="0.35">
      <c r="A18" s="199" t="s">
        <v>33</v>
      </c>
      <c r="B18" s="201">
        <v>172711.42</v>
      </c>
      <c r="C18" s="131">
        <v>197506.48</v>
      </c>
      <c r="D18" s="131">
        <v>174159.43</v>
      </c>
      <c r="E18" s="146">
        <v>196802.72</v>
      </c>
      <c r="F18" s="134">
        <v>219594.93</v>
      </c>
      <c r="G18" s="289">
        <f t="shared" si="0"/>
        <v>-3.5632248622931729E-3</v>
      </c>
      <c r="H18" s="156">
        <f t="shared" si="3"/>
        <v>0.13001472271699563</v>
      </c>
      <c r="I18" s="264">
        <f t="shared" si="4"/>
        <v>0.13948874949901974</v>
      </c>
      <c r="J18" s="282">
        <v>666</v>
      </c>
      <c r="K18" s="132">
        <f t="shared" si="5"/>
        <v>295.49957957957957</v>
      </c>
      <c r="L18" s="133">
        <v>11</v>
      </c>
      <c r="M18" s="114">
        <f t="shared" si="1"/>
        <v>1.6516516516516516E-2</v>
      </c>
      <c r="N18" s="115">
        <v>11</v>
      </c>
      <c r="O18" s="173">
        <f t="shared" si="2"/>
        <v>1.6516516516516516E-2</v>
      </c>
      <c r="P18" s="261">
        <v>21149.22</v>
      </c>
      <c r="Q18" s="116">
        <f t="shared" si="6"/>
        <v>0.10746406350481336</v>
      </c>
      <c r="R18" s="261">
        <v>34410.370000000003</v>
      </c>
      <c r="S18" s="116">
        <f t="shared" si="7"/>
        <v>0.1748470244720195</v>
      </c>
      <c r="T18" s="283">
        <v>5001.53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194" priority="2" operator="equal">
      <formula>0</formula>
    </cfRule>
  </conditionalFormatting>
  <conditionalFormatting sqref="D7:D19">
    <cfRule type="cellIs" dxfId="19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X41"/>
  <sheetViews>
    <sheetView zoomScale="70" zoomScaleNormal="70" workbookViewId="0">
      <pane xSplit="1" topLeftCell="B1" activePane="topRight" state="frozen"/>
      <selection pane="topRight" activeCell="B6" sqref="B6"/>
    </sheetView>
  </sheetViews>
  <sheetFormatPr defaultRowHeight="14.4" x14ac:dyDescent="0.3"/>
  <cols>
    <col min="1" max="1" width="23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1.3190235250126418E-2</v>
      </c>
      <c r="H2" s="413"/>
      <c r="I2" s="400">
        <f>(((E4-E19-B19)-B4)/E4)</f>
        <v>-0.18052086884349322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SUM(B6:B19)-B19-B9</f>
        <v>2268424.1500000004</v>
      </c>
      <c r="C4" s="135">
        <f>SUM(C6:C19)-C14-C19-C9</f>
        <v>1896529.48</v>
      </c>
      <c r="D4" s="142">
        <f>SUM(D6:D19)-D19-D9</f>
        <v>1690118.9599999997</v>
      </c>
      <c r="E4" s="270">
        <f>SUM(E6:E19)-E19-E9</f>
        <v>1921545.15</v>
      </c>
      <c r="F4" s="142">
        <f>SUM(F6:F19)-F19-F10-F9</f>
        <v>4159239.1499999994</v>
      </c>
      <c r="G4" s="217">
        <f t="shared" ref="G4:G19" si="0">IFERROR((SUM(E4-C4)/C4),0)</f>
        <v>1.3190235250126418E-2</v>
      </c>
      <c r="H4" s="217">
        <f>IFERROR((SUM(E4-D4)/D4),0)</f>
        <v>0.13692893546380913</v>
      </c>
      <c r="I4" s="217">
        <f>IFERROR((SUM(E4-B4)/E4),0)</f>
        <v>-0.18052086884349322</v>
      </c>
      <c r="J4" s="262">
        <f>SUM(J6:J18)</f>
        <v>6664</v>
      </c>
      <c r="K4" s="218">
        <f>AVERAGE(K5:K19)</f>
        <v>224.99720933631369</v>
      </c>
      <c r="L4" s="219">
        <f>SUM(L6:L19)</f>
        <v>101</v>
      </c>
      <c r="M4" s="220">
        <f t="shared" ref="M4:M19" si="1">IFERROR(L4/J4,0)</f>
        <v>1.5156062424969988E-2</v>
      </c>
      <c r="N4" s="221">
        <f>SUM(N6:N19)</f>
        <v>167</v>
      </c>
      <c r="O4" s="222">
        <f t="shared" ref="O4:O19" si="2">IFERROR(N4/SUM(J4),0)</f>
        <v>2.5060024009603842E-2</v>
      </c>
      <c r="P4" s="249">
        <f>SUM(P6:P19)</f>
        <v>393140.81999999995</v>
      </c>
      <c r="Q4" s="222">
        <f>SUM(P4/E4)</f>
        <v>0.20459619176785931</v>
      </c>
      <c r="R4" s="244">
        <f>SUM(R6:R19)</f>
        <v>265648.37</v>
      </c>
      <c r="S4" s="222">
        <f>SUM(R4/E4)</f>
        <v>0.13824726939151027</v>
      </c>
      <c r="T4" s="257">
        <f>SUM(T6:T19)</f>
        <v>74067.200000000012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273957.15999999997</v>
      </c>
      <c r="C6" s="255">
        <v>217085.03</v>
      </c>
      <c r="D6" s="197">
        <v>194847.13</v>
      </c>
      <c r="E6" s="144">
        <v>234970.62</v>
      </c>
      <c r="F6" s="129">
        <v>562833.30000000005</v>
      </c>
      <c r="G6" s="287">
        <f t="shared" si="0"/>
        <v>8.2389789844099323E-2</v>
      </c>
      <c r="H6" s="154">
        <f t="shared" ref="H6:H18" si="3">IFERROR((SUM(E6-D6)/D6),0)</f>
        <v>0.20592292018876537</v>
      </c>
      <c r="I6" s="266">
        <f t="shared" ref="I6:I19" si="4">IFERROR((SUM(E6-B6)/B6),0)</f>
        <v>-0.14230889238302799</v>
      </c>
      <c r="J6" s="285">
        <v>709</v>
      </c>
      <c r="K6" s="124">
        <f t="shared" ref="K6:K19" si="5">IFERROR(E6/J6,0)</f>
        <v>331.41131170662902</v>
      </c>
      <c r="L6" s="125">
        <v>10</v>
      </c>
      <c r="M6" s="126">
        <f t="shared" si="1"/>
        <v>1.4104372355430184E-2</v>
      </c>
      <c r="N6" s="127">
        <v>15</v>
      </c>
      <c r="O6" s="171">
        <f t="shared" si="2"/>
        <v>2.1156558533145273E-2</v>
      </c>
      <c r="P6" s="259">
        <v>47640.85</v>
      </c>
      <c r="Q6" s="128">
        <f t="shared" ref="Q6:Q19" si="6">SUM(P6/E6)</f>
        <v>0.20275236963668053</v>
      </c>
      <c r="R6" s="259">
        <v>7412.8</v>
      </c>
      <c r="S6" s="128">
        <f t="shared" ref="S6:S19" si="7">SUM(R6/E6)</f>
        <v>3.1547773930204553E-2</v>
      </c>
      <c r="T6" s="286">
        <v>6578.5</v>
      </c>
      <c r="U6" s="26"/>
    </row>
    <row r="7" spans="1:24" ht="15.6" customHeight="1" x14ac:dyDescent="0.3">
      <c r="A7" s="409" t="s">
        <v>16</v>
      </c>
      <c r="B7" s="200">
        <v>263550.87</v>
      </c>
      <c r="C7" s="73">
        <v>208131.03</v>
      </c>
      <c r="D7" s="145">
        <v>204578.06</v>
      </c>
      <c r="E7" s="145">
        <v>214788.28</v>
      </c>
      <c r="F7" s="130">
        <v>530987.16</v>
      </c>
      <c r="G7" s="288">
        <f t="shared" si="0"/>
        <v>3.1985860061327712E-2</v>
      </c>
      <c r="H7" s="155">
        <f t="shared" si="3"/>
        <v>4.9908675446428623E-2</v>
      </c>
      <c r="I7" s="263">
        <f t="shared" si="4"/>
        <v>-0.18502154821192582</v>
      </c>
      <c r="J7" s="273">
        <v>719</v>
      </c>
      <c r="K7" s="63">
        <f t="shared" si="5"/>
        <v>298.73196105702363</v>
      </c>
      <c r="L7" s="61">
        <v>9</v>
      </c>
      <c r="M7" s="28">
        <f t="shared" si="1"/>
        <v>1.2517385257301807E-2</v>
      </c>
      <c r="N7" s="46">
        <v>12</v>
      </c>
      <c r="O7" s="172">
        <f t="shared" si="2"/>
        <v>1.6689847009735744E-2</v>
      </c>
      <c r="P7" s="260">
        <v>50438.23</v>
      </c>
      <c r="Q7" s="89">
        <f t="shared" si="6"/>
        <v>0.23482766378128267</v>
      </c>
      <c r="R7" s="260">
        <v>26746</v>
      </c>
      <c r="S7" s="89">
        <f t="shared" si="7"/>
        <v>0.12452262292896056</v>
      </c>
      <c r="T7" s="281">
        <v>11205.33</v>
      </c>
      <c r="U7" s="26"/>
    </row>
    <row r="8" spans="1:24" ht="15.6" customHeight="1" x14ac:dyDescent="0.3">
      <c r="A8" s="409" t="s">
        <v>17</v>
      </c>
      <c r="B8" s="200">
        <v>137319.82</v>
      </c>
      <c r="C8" s="73">
        <v>98960.8</v>
      </c>
      <c r="D8" s="145">
        <v>100528.11</v>
      </c>
      <c r="E8" s="145">
        <v>117099.82</v>
      </c>
      <c r="F8" s="130">
        <v>270892.39</v>
      </c>
      <c r="G8" s="288">
        <f t="shared" si="0"/>
        <v>0.18329500165722187</v>
      </c>
      <c r="H8" s="155">
        <f t="shared" si="3"/>
        <v>0.16484652899572078</v>
      </c>
      <c r="I8" s="263">
        <f t="shared" si="4"/>
        <v>-0.14724749857668032</v>
      </c>
      <c r="J8" s="273">
        <v>451</v>
      </c>
      <c r="K8" s="63">
        <f t="shared" si="5"/>
        <v>259.64483370288252</v>
      </c>
      <c r="L8" s="61">
        <v>4</v>
      </c>
      <c r="M8" s="28">
        <f t="shared" si="1"/>
        <v>8.869179600886918E-3</v>
      </c>
      <c r="N8" s="46">
        <v>13</v>
      </c>
      <c r="O8" s="172">
        <f t="shared" si="2"/>
        <v>2.8824833702882482E-2</v>
      </c>
      <c r="P8" s="260">
        <v>59996.56</v>
      </c>
      <c r="Q8" s="89">
        <f t="shared" si="6"/>
        <v>0.5123539899548949</v>
      </c>
      <c r="R8" s="260">
        <v>21397.24</v>
      </c>
      <c r="S8" s="89">
        <f t="shared" si="7"/>
        <v>0.18272649778624767</v>
      </c>
      <c r="T8" s="281">
        <v>5645.9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186729.06</v>
      </c>
      <c r="C10" s="73">
        <v>130423.4</v>
      </c>
      <c r="D10" s="145">
        <v>120234.69</v>
      </c>
      <c r="E10" s="145">
        <v>165338.07</v>
      </c>
      <c r="F10" s="130">
        <v>376492.99</v>
      </c>
      <c r="G10" s="288">
        <f t="shared" si="0"/>
        <v>0.26770249817134051</v>
      </c>
      <c r="H10" s="155">
        <f t="shared" si="3"/>
        <v>0.37512784371964536</v>
      </c>
      <c r="I10" s="263">
        <f t="shared" si="4"/>
        <v>-0.11455629884282602</v>
      </c>
      <c r="J10" s="273">
        <v>496</v>
      </c>
      <c r="K10" s="63">
        <f t="shared" si="5"/>
        <v>333.34288306451612</v>
      </c>
      <c r="L10" s="61">
        <v>18</v>
      </c>
      <c r="M10" s="28">
        <f t="shared" si="1"/>
        <v>3.6290322580645164E-2</v>
      </c>
      <c r="N10" s="46">
        <v>19</v>
      </c>
      <c r="O10" s="172">
        <f t="shared" si="2"/>
        <v>3.8306451612903226E-2</v>
      </c>
      <c r="P10" s="260">
        <v>38378.300000000003</v>
      </c>
      <c r="Q10" s="89">
        <f t="shared" si="6"/>
        <v>0.23212016446061093</v>
      </c>
      <c r="R10" s="260">
        <v>29587.93</v>
      </c>
      <c r="S10" s="89">
        <f t="shared" si="7"/>
        <v>0.17895412714083331</v>
      </c>
      <c r="T10" s="281">
        <v>4808.8999999999996</v>
      </c>
      <c r="U10" s="26"/>
    </row>
    <row r="11" spans="1:24" ht="15.6" customHeight="1" x14ac:dyDescent="0.3">
      <c r="A11" s="409" t="s">
        <v>21</v>
      </c>
      <c r="B11" s="200">
        <v>251631.67</v>
      </c>
      <c r="C11" s="73">
        <v>321781.94</v>
      </c>
      <c r="D11" s="145">
        <v>250633.44</v>
      </c>
      <c r="E11" s="145">
        <v>226756.37</v>
      </c>
      <c r="F11" s="130">
        <v>512912.37</v>
      </c>
      <c r="G11" s="288">
        <f t="shared" si="0"/>
        <v>-0.29531045154367586</v>
      </c>
      <c r="H11" s="155">
        <f t="shared" si="3"/>
        <v>-9.5266896548202057E-2</v>
      </c>
      <c r="I11" s="263">
        <f t="shared" si="4"/>
        <v>-9.8855998531504466E-2</v>
      </c>
      <c r="J11" s="273">
        <v>749</v>
      </c>
      <c r="K11" s="63">
        <f t="shared" si="5"/>
        <v>302.74548731642187</v>
      </c>
      <c r="L11" s="61">
        <v>14</v>
      </c>
      <c r="M11" s="28">
        <f t="shared" si="1"/>
        <v>1.8691588785046728E-2</v>
      </c>
      <c r="N11" s="46">
        <v>21</v>
      </c>
      <c r="O11" s="172">
        <f t="shared" si="2"/>
        <v>2.8037383177570093E-2</v>
      </c>
      <c r="P11" s="260">
        <v>57481.64</v>
      </c>
      <c r="Q11" s="89">
        <f t="shared" si="6"/>
        <v>0.25349514988266925</v>
      </c>
      <c r="R11" s="260">
        <v>25671</v>
      </c>
      <c r="S11" s="89">
        <f t="shared" si="7"/>
        <v>0.11320960906191962</v>
      </c>
      <c r="T11" s="281">
        <v>12159.42</v>
      </c>
      <c r="U11" s="26"/>
    </row>
    <row r="12" spans="1:24" ht="15.6" customHeight="1" x14ac:dyDescent="0.3">
      <c r="A12" s="198" t="s">
        <v>22</v>
      </c>
      <c r="B12" s="200">
        <v>141874.21</v>
      </c>
      <c r="C12" s="73">
        <v>126268.32</v>
      </c>
      <c r="D12" s="145">
        <v>98898.65</v>
      </c>
      <c r="E12" s="145">
        <v>118733.3</v>
      </c>
      <c r="F12" s="130">
        <v>276530.89</v>
      </c>
      <c r="G12" s="288">
        <f t="shared" si="0"/>
        <v>-5.9674667406678122E-2</v>
      </c>
      <c r="H12" s="155">
        <f t="shared" si="3"/>
        <v>0.20055531597246282</v>
      </c>
      <c r="I12" s="263">
        <f t="shared" si="4"/>
        <v>-0.16310864391773522</v>
      </c>
      <c r="J12" s="273">
        <v>469</v>
      </c>
      <c r="K12" s="63">
        <f t="shared" si="5"/>
        <v>253.16268656716417</v>
      </c>
      <c r="L12" s="61">
        <v>4</v>
      </c>
      <c r="M12" s="28">
        <f t="shared" si="1"/>
        <v>8.5287846481876331E-3</v>
      </c>
      <c r="N12" s="46">
        <v>9</v>
      </c>
      <c r="O12" s="172">
        <f t="shared" si="2"/>
        <v>1.9189765458422176E-2</v>
      </c>
      <c r="P12" s="260">
        <v>17562.93</v>
      </c>
      <c r="Q12" s="89">
        <f t="shared" si="6"/>
        <v>0.14791915999976418</v>
      </c>
      <c r="R12" s="260">
        <v>23743.38</v>
      </c>
      <c r="S12" s="89">
        <f t="shared" si="7"/>
        <v>0.19997237506242985</v>
      </c>
      <c r="T12" s="281">
        <v>9352.25</v>
      </c>
      <c r="U12" s="26"/>
    </row>
    <row r="13" spans="1:24" ht="15.6" customHeight="1" x14ac:dyDescent="0.3">
      <c r="A13" s="198" t="s">
        <v>23</v>
      </c>
      <c r="B13" s="200">
        <v>220292.82</v>
      </c>
      <c r="C13" s="73">
        <v>195027.05</v>
      </c>
      <c r="D13" s="145">
        <v>169528.01</v>
      </c>
      <c r="E13" s="145">
        <v>208872.71</v>
      </c>
      <c r="F13" s="130">
        <v>459372.14</v>
      </c>
      <c r="G13" s="288">
        <f t="shared" si="0"/>
        <v>7.09935365376239E-2</v>
      </c>
      <c r="H13" s="155">
        <f t="shared" si="3"/>
        <v>0.23208377187934892</v>
      </c>
      <c r="I13" s="263">
        <f t="shared" si="4"/>
        <v>-5.1840591082360353E-2</v>
      </c>
      <c r="J13" s="273">
        <v>723</v>
      </c>
      <c r="K13" s="63">
        <f t="shared" si="5"/>
        <v>288.89724757952973</v>
      </c>
      <c r="L13" s="61">
        <v>13</v>
      </c>
      <c r="M13" s="28">
        <f t="shared" si="1"/>
        <v>1.7980636237897647E-2</v>
      </c>
      <c r="N13" s="46">
        <v>23</v>
      </c>
      <c r="O13" s="172">
        <f t="shared" si="2"/>
        <v>3.18118948824343E-2</v>
      </c>
      <c r="P13" s="260">
        <v>35710.75</v>
      </c>
      <c r="Q13" s="89">
        <f t="shared" si="6"/>
        <v>0.17096895999482173</v>
      </c>
      <c r="R13" s="260">
        <v>28081.46</v>
      </c>
      <c r="S13" s="89">
        <f t="shared" si="7"/>
        <v>0.13444293416789585</v>
      </c>
      <c r="T13" s="281">
        <v>7008.5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229606.86</v>
      </c>
      <c r="C15" s="73">
        <v>127940.31</v>
      </c>
      <c r="D15" s="145">
        <v>135471.54</v>
      </c>
      <c r="E15" s="145">
        <v>189611.28</v>
      </c>
      <c r="F15" s="130">
        <v>470065.12</v>
      </c>
      <c r="G15" s="288">
        <f t="shared" si="0"/>
        <v>0.48202923691524591</v>
      </c>
      <c r="H15" s="155">
        <f t="shared" si="3"/>
        <v>0.39963921573490629</v>
      </c>
      <c r="I15" s="263">
        <f t="shared" si="4"/>
        <v>-0.17419157249918399</v>
      </c>
      <c r="J15" s="273">
        <v>612</v>
      </c>
      <c r="K15" s="63">
        <f t="shared" si="5"/>
        <v>309.82235294117646</v>
      </c>
      <c r="L15" s="61">
        <v>10</v>
      </c>
      <c r="M15" s="28">
        <f t="shared" si="1"/>
        <v>1.6339869281045753E-2</v>
      </c>
      <c r="N15" s="46">
        <v>20</v>
      </c>
      <c r="O15" s="172">
        <f t="shared" si="2"/>
        <v>3.2679738562091505E-2</v>
      </c>
      <c r="P15" s="260">
        <v>0</v>
      </c>
      <c r="Q15" s="89">
        <f t="shared" si="6"/>
        <v>0</v>
      </c>
      <c r="R15" s="260">
        <v>19565.5</v>
      </c>
      <c r="S15" s="89">
        <f t="shared" si="7"/>
        <v>0.10318742640205794</v>
      </c>
      <c r="T15" s="281">
        <v>1889.6</v>
      </c>
      <c r="U15" s="9"/>
    </row>
    <row r="16" spans="1:24" ht="15.6" customHeight="1" x14ac:dyDescent="0.3">
      <c r="A16" s="198" t="s">
        <v>27</v>
      </c>
      <c r="B16" s="200">
        <v>163958.01999999999</v>
      </c>
      <c r="C16" s="73">
        <v>125341.75</v>
      </c>
      <c r="D16" s="145">
        <v>114724.17</v>
      </c>
      <c r="E16" s="145">
        <v>133107.01999999999</v>
      </c>
      <c r="F16" s="130">
        <v>312040.40000000002</v>
      </c>
      <c r="G16" s="288">
        <f t="shared" si="0"/>
        <v>6.1952781096482133E-2</v>
      </c>
      <c r="H16" s="155">
        <f t="shared" si="3"/>
        <v>0.16023519716900103</v>
      </c>
      <c r="I16" s="263">
        <f t="shared" si="4"/>
        <v>-0.18816401905804914</v>
      </c>
      <c r="J16" s="273">
        <v>486</v>
      </c>
      <c r="K16" s="63">
        <f t="shared" si="5"/>
        <v>273.88275720164609</v>
      </c>
      <c r="L16" s="61">
        <v>3</v>
      </c>
      <c r="M16" s="28">
        <f t="shared" si="1"/>
        <v>6.1728395061728392E-3</v>
      </c>
      <c r="N16" s="46">
        <v>7</v>
      </c>
      <c r="O16" s="172">
        <f t="shared" si="2"/>
        <v>1.4403292181069959E-2</v>
      </c>
      <c r="P16" s="260">
        <v>34164.559999999998</v>
      </c>
      <c r="Q16" s="89">
        <f t="shared" si="6"/>
        <v>0.25666985858446834</v>
      </c>
      <c r="R16" s="260">
        <v>25818.14</v>
      </c>
      <c r="S16" s="89">
        <f t="shared" si="7"/>
        <v>0.1939652769628529</v>
      </c>
      <c r="T16" s="281">
        <v>4427.8</v>
      </c>
      <c r="U16" s="9"/>
      <c r="X16" s="238"/>
    </row>
    <row r="17" spans="1:21" ht="15.6" customHeight="1" x14ac:dyDescent="0.3">
      <c r="A17" s="198" t="s">
        <v>55</v>
      </c>
      <c r="B17" s="200">
        <v>202700.94</v>
      </c>
      <c r="C17" s="73">
        <v>194146.4</v>
      </c>
      <c r="D17" s="145">
        <v>156416.17000000001</v>
      </c>
      <c r="E17" s="145">
        <v>173899.05</v>
      </c>
      <c r="F17" s="130">
        <v>405641.82</v>
      </c>
      <c r="G17" s="288">
        <f t="shared" si="0"/>
        <v>-0.10428908287766349</v>
      </c>
      <c r="H17" s="155">
        <f t="shared" si="3"/>
        <v>0.11177156428264401</v>
      </c>
      <c r="I17" s="263">
        <f t="shared" si="4"/>
        <v>-0.14209055961950651</v>
      </c>
      <c r="J17" s="273">
        <v>645</v>
      </c>
      <c r="K17" s="63">
        <f t="shared" si="5"/>
        <v>269.61093023255813</v>
      </c>
      <c r="L17" s="61">
        <v>4</v>
      </c>
      <c r="M17" s="28">
        <f t="shared" si="1"/>
        <v>6.2015503875968991E-3</v>
      </c>
      <c r="N17" s="46">
        <v>5</v>
      </c>
      <c r="O17" s="172">
        <f t="shared" si="2"/>
        <v>7.7519379844961239E-3</v>
      </c>
      <c r="P17" s="260">
        <v>36804.28</v>
      </c>
      <c r="Q17" s="89">
        <f t="shared" si="6"/>
        <v>0.21164163921539539</v>
      </c>
      <c r="R17" s="260">
        <v>29598</v>
      </c>
      <c r="S17" s="89">
        <f t="shared" si="7"/>
        <v>0.17020219489410668</v>
      </c>
      <c r="T17" s="281">
        <v>6925</v>
      </c>
      <c r="U17" s="9"/>
    </row>
    <row r="18" spans="1:21" ht="16.2" customHeight="1" thickBot="1" x14ac:dyDescent="0.35">
      <c r="A18" s="199" t="s">
        <v>33</v>
      </c>
      <c r="B18" s="201">
        <v>196802.72</v>
      </c>
      <c r="C18" s="131">
        <v>151423.45000000001</v>
      </c>
      <c r="D18" s="131">
        <v>144258.99</v>
      </c>
      <c r="E18" s="146">
        <v>138368.63</v>
      </c>
      <c r="F18" s="134">
        <v>357963.56</v>
      </c>
      <c r="G18" s="289">
        <f t="shared" si="0"/>
        <v>-8.6213991293950881E-2</v>
      </c>
      <c r="H18" s="156">
        <f t="shared" si="3"/>
        <v>-4.0831840012189091E-2</v>
      </c>
      <c r="I18" s="264">
        <f t="shared" si="4"/>
        <v>-0.29691708529231708</v>
      </c>
      <c r="J18" s="282">
        <v>605</v>
      </c>
      <c r="K18" s="132">
        <f t="shared" si="5"/>
        <v>228.70847933884298</v>
      </c>
      <c r="L18" s="133">
        <v>12</v>
      </c>
      <c r="M18" s="114">
        <f t="shared" si="1"/>
        <v>1.9834710743801654E-2</v>
      </c>
      <c r="N18" s="115">
        <v>23</v>
      </c>
      <c r="O18" s="173">
        <f t="shared" si="2"/>
        <v>3.8016528925619832E-2</v>
      </c>
      <c r="P18" s="261">
        <v>14962.72</v>
      </c>
      <c r="Q18" s="116">
        <f t="shared" si="6"/>
        <v>0.10813664918124866</v>
      </c>
      <c r="R18" s="261">
        <v>28026.92</v>
      </c>
      <c r="S18" s="116">
        <f t="shared" si="7"/>
        <v>0.20255255833638014</v>
      </c>
      <c r="T18" s="283">
        <v>4066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192" priority="2" operator="equal">
      <formula>0</formula>
    </cfRule>
  </conditionalFormatting>
  <conditionalFormatting sqref="D7:D19">
    <cfRule type="cellIs" dxfId="19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X41"/>
  <sheetViews>
    <sheetView zoomScale="70" zoomScaleNormal="70" workbookViewId="0">
      <pane xSplit="1" topLeftCell="B1" activePane="topRight" state="frozen"/>
      <selection pane="topRight" activeCell="B17" sqref="B17"/>
    </sheetView>
  </sheetViews>
  <sheetFormatPr defaultRowHeight="14.4" x14ac:dyDescent="0.3"/>
  <cols>
    <col min="1" max="1" width="23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(((E4-E19-C19)-C4)/C4)</f>
        <v>-5.5953653368791989E-2</v>
      </c>
      <c r="H2" s="413"/>
      <c r="I2" s="400">
        <f>(((E4-E19-B19)-B4)/E4)</f>
        <v>-1.9840405493665891E-2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SUM(B6:B19)-B19-B9</f>
        <v>1921545.15</v>
      </c>
      <c r="C4" s="135">
        <f>SUM(C6:C19)-C14-C19-C9</f>
        <v>1995836.9700000002</v>
      </c>
      <c r="D4" s="142">
        <f>SUM(D6:D19)-D19-D9</f>
        <v>1653394.4100000001</v>
      </c>
      <c r="E4" s="270">
        <f>SUM(E6:E19)-E19-E9</f>
        <v>1884162.6</v>
      </c>
      <c r="F4" s="142">
        <f>SUM(F6:F19)-F19-F10-F9</f>
        <v>4159239.1499999994</v>
      </c>
      <c r="G4" s="217">
        <f t="shared" ref="G4:G19" si="0">IFERROR((SUM(E4-C4)/C4),0)</f>
        <v>-5.5953653368791989E-2</v>
      </c>
      <c r="H4" s="217">
        <f>IFERROR((SUM(E4-D4)/D4),0)</f>
        <v>0.13957237825667979</v>
      </c>
      <c r="I4" s="217">
        <f>IFERROR((SUM(E4-B4)/E4),0)</f>
        <v>-1.9840405493665891E-2</v>
      </c>
      <c r="J4" s="262">
        <f>SUM(J6:J18)</f>
        <v>6664</v>
      </c>
      <c r="K4" s="218">
        <f>AVERAGE(K5:K19)</f>
        <v>221.98795998167887</v>
      </c>
      <c r="L4" s="219">
        <f>SUM(L6:L19)</f>
        <v>101</v>
      </c>
      <c r="M4" s="220">
        <f t="shared" ref="M4:M19" si="1">IFERROR(L4/J4,0)</f>
        <v>1.5156062424969988E-2</v>
      </c>
      <c r="N4" s="221">
        <f>SUM(N6:N19)</f>
        <v>167</v>
      </c>
      <c r="O4" s="222">
        <f t="shared" ref="O4:O19" si="2">IFERROR(N4/SUM(J4),0)</f>
        <v>2.5060024009603842E-2</v>
      </c>
      <c r="P4" s="249">
        <f>SUM(P6:P19)</f>
        <v>393140.81999999995</v>
      </c>
      <c r="Q4" s="222">
        <f>SUM(P4/E4)</f>
        <v>0.20865546317499345</v>
      </c>
      <c r="R4" s="244">
        <f>SUM(R6:R19)</f>
        <v>265648.37</v>
      </c>
      <c r="S4" s="222">
        <f>SUM(R4/E4)</f>
        <v>0.14099015127462991</v>
      </c>
      <c r="T4" s="257">
        <f>SUM(T6:T19)</f>
        <v>74067.200000000012</v>
      </c>
      <c r="U4" s="24"/>
    </row>
    <row r="5" spans="1:24" ht="16.2" hidden="1" customHeight="1" thickBot="1" x14ac:dyDescent="0.35">
      <c r="A5" s="403" t="s">
        <v>25</v>
      </c>
      <c r="B5" s="404"/>
      <c r="C5" s="117"/>
      <c r="D5" s="252"/>
      <c r="E5" s="143"/>
      <c r="F5" s="252"/>
      <c r="G5" s="153">
        <f t="shared" si="0"/>
        <v>0</v>
      </c>
      <c r="H5" s="153">
        <f>IFERROR((SUM(F5-D5)/D5),0)</f>
        <v>0</v>
      </c>
      <c r="I5" s="153">
        <f>IFERROR((SUM(G5-E5)/E5),0)</f>
        <v>0</v>
      </c>
      <c r="J5" s="148"/>
      <c r="K5" s="119"/>
      <c r="L5" s="118"/>
      <c r="M5" s="120">
        <f t="shared" si="1"/>
        <v>0</v>
      </c>
      <c r="N5" s="121" t="e">
        <f>L5+'Nov 19 - Nov 25'!J5+'Nov 26 - Dec 2'!J5+'Dec 3 - Dec 9'!J5+'Dec 10 - Dec 16'!J5+'Dec 17 - Dec 23'!J5+'Dec 24 - Dec 30'!J5</f>
        <v>#DIV/0!</v>
      </c>
      <c r="O5" s="122">
        <f t="shared" si="2"/>
        <v>0</v>
      </c>
      <c r="P5" s="245"/>
      <c r="Q5" s="122">
        <f>IFERROR(P5/SUM(J5),0)</f>
        <v>0</v>
      </c>
      <c r="R5" s="245"/>
      <c r="S5" s="122"/>
      <c r="T5" s="280"/>
      <c r="U5" s="25"/>
    </row>
    <row r="6" spans="1:24" ht="16.5" customHeight="1" x14ac:dyDescent="0.3">
      <c r="A6" s="408" t="s">
        <v>15</v>
      </c>
      <c r="B6" s="284">
        <v>234970.62</v>
      </c>
      <c r="C6" s="255">
        <v>221316.49</v>
      </c>
      <c r="D6" s="197">
        <v>171452.75</v>
      </c>
      <c r="E6" s="144">
        <v>215349.4</v>
      </c>
      <c r="F6" s="129">
        <v>562833.30000000005</v>
      </c>
      <c r="G6" s="287">
        <f t="shared" si="0"/>
        <v>-2.6961795752318305E-2</v>
      </c>
      <c r="H6" s="154">
        <f t="shared" ref="H6:H18" si="3">IFERROR((SUM(E6-D6)/D6),0)</f>
        <v>0.25602768109581209</v>
      </c>
      <c r="I6" s="266">
        <f t="shared" ref="I6:I19" si="4">IFERROR((SUM(E6-B6)/B6),0)</f>
        <v>-8.3504993092327895E-2</v>
      </c>
      <c r="J6" s="285">
        <v>709</v>
      </c>
      <c r="K6" s="124">
        <f t="shared" ref="K6:K19" si="5">IFERROR(E6/J6,0)</f>
        <v>303.73681241184767</v>
      </c>
      <c r="L6" s="125">
        <v>10</v>
      </c>
      <c r="M6" s="126">
        <f t="shared" si="1"/>
        <v>1.4104372355430184E-2</v>
      </c>
      <c r="N6" s="127">
        <v>15</v>
      </c>
      <c r="O6" s="171">
        <f t="shared" si="2"/>
        <v>2.1156558533145273E-2</v>
      </c>
      <c r="P6" s="259">
        <v>47640.85</v>
      </c>
      <c r="Q6" s="128">
        <f t="shared" ref="Q6:Q19" si="6">SUM(P6/E6)</f>
        <v>0.22122583113767672</v>
      </c>
      <c r="R6" s="259">
        <v>7412.8</v>
      </c>
      <c r="S6" s="128">
        <f t="shared" ref="S6:S19" si="7">SUM(R6/E6)</f>
        <v>3.4422199458182846E-2</v>
      </c>
      <c r="T6" s="286">
        <v>6578.5</v>
      </c>
      <c r="U6" s="26"/>
    </row>
    <row r="7" spans="1:24" ht="15.6" customHeight="1" x14ac:dyDescent="0.3">
      <c r="A7" s="409" t="s">
        <v>16</v>
      </c>
      <c r="B7" s="200">
        <v>214788.28</v>
      </c>
      <c r="C7" s="73">
        <v>230507.03</v>
      </c>
      <c r="D7" s="145">
        <v>153733.9</v>
      </c>
      <c r="E7" s="145">
        <v>196341.91</v>
      </c>
      <c r="F7" s="130">
        <v>530987.16</v>
      </c>
      <c r="G7" s="288">
        <f t="shared" si="0"/>
        <v>-0.14821725827624432</v>
      </c>
      <c r="H7" s="155">
        <f t="shared" si="3"/>
        <v>0.27715429062815689</v>
      </c>
      <c r="I7" s="263">
        <f t="shared" si="4"/>
        <v>-8.5881641214315768E-2</v>
      </c>
      <c r="J7" s="273">
        <v>719</v>
      </c>
      <c r="K7" s="63">
        <f t="shared" si="5"/>
        <v>273.07636995827539</v>
      </c>
      <c r="L7" s="61">
        <v>9</v>
      </c>
      <c r="M7" s="28">
        <f t="shared" si="1"/>
        <v>1.2517385257301807E-2</v>
      </c>
      <c r="N7" s="46">
        <v>12</v>
      </c>
      <c r="O7" s="172">
        <f t="shared" si="2"/>
        <v>1.6689847009735744E-2</v>
      </c>
      <c r="P7" s="260">
        <v>50438.23</v>
      </c>
      <c r="Q7" s="89">
        <f t="shared" si="6"/>
        <v>0.25688977967057569</v>
      </c>
      <c r="R7" s="260">
        <v>26746</v>
      </c>
      <c r="S7" s="89">
        <f t="shared" si="7"/>
        <v>0.13622155351346027</v>
      </c>
      <c r="T7" s="281">
        <v>11205.33</v>
      </c>
      <c r="U7" s="26"/>
    </row>
    <row r="8" spans="1:24" ht="15.6" customHeight="1" x14ac:dyDescent="0.3">
      <c r="A8" s="409" t="s">
        <v>17</v>
      </c>
      <c r="B8" s="200">
        <v>117099.82</v>
      </c>
      <c r="C8" s="73">
        <v>105221.78</v>
      </c>
      <c r="D8" s="145">
        <v>98667.17</v>
      </c>
      <c r="E8" s="145">
        <v>108311.73</v>
      </c>
      <c r="F8" s="130">
        <v>270892.39</v>
      </c>
      <c r="G8" s="288">
        <f t="shared" si="0"/>
        <v>2.9366068507869731E-2</v>
      </c>
      <c r="H8" s="155">
        <f t="shared" si="3"/>
        <v>9.7748420269883063E-2</v>
      </c>
      <c r="I8" s="263">
        <f t="shared" si="4"/>
        <v>-7.5047852336579263E-2</v>
      </c>
      <c r="J8" s="273">
        <v>451</v>
      </c>
      <c r="K8" s="63">
        <f t="shared" si="5"/>
        <v>240.1590465631929</v>
      </c>
      <c r="L8" s="61">
        <v>4</v>
      </c>
      <c r="M8" s="28">
        <f t="shared" si="1"/>
        <v>8.869179600886918E-3</v>
      </c>
      <c r="N8" s="46">
        <v>13</v>
      </c>
      <c r="O8" s="172">
        <f t="shared" si="2"/>
        <v>2.8824833702882482E-2</v>
      </c>
      <c r="P8" s="260">
        <v>59996.56</v>
      </c>
      <c r="Q8" s="89">
        <f t="shared" si="6"/>
        <v>0.55392486113923212</v>
      </c>
      <c r="R8" s="260">
        <v>21397.24</v>
      </c>
      <c r="S8" s="89">
        <f t="shared" si="7"/>
        <v>0.1975523795991441</v>
      </c>
      <c r="T8" s="281">
        <v>5645.9</v>
      </c>
      <c r="U8" s="26"/>
    </row>
    <row r="9" spans="1:24" ht="15.6" hidden="1" customHeight="1" x14ac:dyDescent="0.3">
      <c r="A9" s="409" t="s">
        <v>18</v>
      </c>
      <c r="B9" s="200"/>
      <c r="C9" s="73">
        <v>0</v>
      </c>
      <c r="D9" s="145">
        <v>0</v>
      </c>
      <c r="E9" s="145"/>
      <c r="F9" s="130"/>
      <c r="G9" s="288">
        <f t="shared" si="0"/>
        <v>0</v>
      </c>
      <c r="H9" s="155">
        <f t="shared" si="3"/>
        <v>0</v>
      </c>
      <c r="I9" s="263">
        <f t="shared" si="4"/>
        <v>0</v>
      </c>
      <c r="J9" s="273">
        <v>0</v>
      </c>
      <c r="K9" s="63">
        <f t="shared" si="5"/>
        <v>0</v>
      </c>
      <c r="L9" s="61">
        <v>0</v>
      </c>
      <c r="M9" s="28">
        <f t="shared" si="1"/>
        <v>0</v>
      </c>
      <c r="N9" s="46">
        <f>L9</f>
        <v>0</v>
      </c>
      <c r="O9" s="172">
        <f t="shared" si="2"/>
        <v>0</v>
      </c>
      <c r="P9" s="260">
        <v>0</v>
      </c>
      <c r="Q9" s="89" t="e">
        <f t="shared" si="6"/>
        <v>#DIV/0!</v>
      </c>
      <c r="R9" s="260">
        <v>0</v>
      </c>
      <c r="S9" s="89" t="e">
        <f t="shared" si="7"/>
        <v>#DIV/0!</v>
      </c>
      <c r="T9" s="281">
        <v>0</v>
      </c>
      <c r="U9" s="26"/>
    </row>
    <row r="10" spans="1:24" ht="15.6" customHeight="1" x14ac:dyDescent="0.3">
      <c r="A10" s="409" t="s">
        <v>20</v>
      </c>
      <c r="B10" s="200">
        <v>165338.07</v>
      </c>
      <c r="C10" s="73">
        <v>144417.04</v>
      </c>
      <c r="D10" s="145">
        <v>130654.18</v>
      </c>
      <c r="E10" s="145">
        <v>173410.07</v>
      </c>
      <c r="F10" s="130">
        <v>376492.99</v>
      </c>
      <c r="G10" s="288">
        <f t="shared" si="0"/>
        <v>0.20075906555071338</v>
      </c>
      <c r="H10" s="155">
        <f t="shared" si="3"/>
        <v>0.32724471578329922</v>
      </c>
      <c r="I10" s="263">
        <f t="shared" si="4"/>
        <v>4.8821181957670122E-2</v>
      </c>
      <c r="J10" s="273">
        <v>496</v>
      </c>
      <c r="K10" s="63">
        <f t="shared" si="5"/>
        <v>349.61707661290325</v>
      </c>
      <c r="L10" s="61">
        <v>18</v>
      </c>
      <c r="M10" s="28">
        <f t="shared" si="1"/>
        <v>3.6290322580645164E-2</v>
      </c>
      <c r="N10" s="46">
        <v>19</v>
      </c>
      <c r="O10" s="172">
        <f t="shared" si="2"/>
        <v>3.8306451612903226E-2</v>
      </c>
      <c r="P10" s="260">
        <v>38378.300000000003</v>
      </c>
      <c r="Q10" s="89">
        <f t="shared" si="6"/>
        <v>0.22131529039807205</v>
      </c>
      <c r="R10" s="260">
        <v>29587.93</v>
      </c>
      <c r="S10" s="89">
        <f t="shared" si="7"/>
        <v>0.17062405891422569</v>
      </c>
      <c r="T10" s="281">
        <v>4808.8999999999996</v>
      </c>
      <c r="U10" s="26"/>
    </row>
    <row r="11" spans="1:24" ht="15.6" customHeight="1" x14ac:dyDescent="0.3">
      <c r="A11" s="409" t="s">
        <v>21</v>
      </c>
      <c r="B11" s="200">
        <v>226756.37</v>
      </c>
      <c r="C11" s="73">
        <v>330106.03000000003</v>
      </c>
      <c r="D11" s="145">
        <v>260839.29</v>
      </c>
      <c r="E11" s="145">
        <v>226149.13</v>
      </c>
      <c r="F11" s="130">
        <v>512912.37</v>
      </c>
      <c r="G11" s="288">
        <f t="shared" si="0"/>
        <v>-0.31491972442914784</v>
      </c>
      <c r="H11" s="155">
        <f t="shared" si="3"/>
        <v>-0.13299438132959188</v>
      </c>
      <c r="I11" s="263">
        <f t="shared" si="4"/>
        <v>-2.6779402051637655E-3</v>
      </c>
      <c r="J11" s="273">
        <v>749</v>
      </c>
      <c r="K11" s="63">
        <f t="shared" si="5"/>
        <v>301.93475300400536</v>
      </c>
      <c r="L11" s="61">
        <v>14</v>
      </c>
      <c r="M11" s="28">
        <f t="shared" si="1"/>
        <v>1.8691588785046728E-2</v>
      </c>
      <c r="N11" s="46">
        <v>21</v>
      </c>
      <c r="O11" s="172">
        <f t="shared" si="2"/>
        <v>2.8037383177570093E-2</v>
      </c>
      <c r="P11" s="260">
        <v>57481.64</v>
      </c>
      <c r="Q11" s="89">
        <f t="shared" si="6"/>
        <v>0.25417581752359603</v>
      </c>
      <c r="R11" s="260">
        <v>25671</v>
      </c>
      <c r="S11" s="89">
        <f t="shared" si="7"/>
        <v>0.11351359167289302</v>
      </c>
      <c r="T11" s="281">
        <v>12159.42</v>
      </c>
      <c r="U11" s="26"/>
    </row>
    <row r="12" spans="1:24" ht="15.6" customHeight="1" x14ac:dyDescent="0.3">
      <c r="A12" s="198" t="s">
        <v>22</v>
      </c>
      <c r="B12" s="200">
        <v>118733.3</v>
      </c>
      <c r="C12" s="73">
        <v>129133.4</v>
      </c>
      <c r="D12" s="145">
        <v>110940.29</v>
      </c>
      <c r="E12" s="145">
        <v>136993</v>
      </c>
      <c r="F12" s="130">
        <v>276530.89</v>
      </c>
      <c r="G12" s="288">
        <f t="shared" si="0"/>
        <v>6.0864191603411714E-2</v>
      </c>
      <c r="H12" s="155">
        <f t="shared" si="3"/>
        <v>0.23483542363193757</v>
      </c>
      <c r="I12" s="263">
        <f t="shared" si="4"/>
        <v>0.15378752211890007</v>
      </c>
      <c r="J12" s="273">
        <v>469</v>
      </c>
      <c r="K12" s="63">
        <f t="shared" si="5"/>
        <v>292.09594882729209</v>
      </c>
      <c r="L12" s="61">
        <v>4</v>
      </c>
      <c r="M12" s="28">
        <f t="shared" si="1"/>
        <v>8.5287846481876331E-3</v>
      </c>
      <c r="N12" s="46">
        <v>9</v>
      </c>
      <c r="O12" s="172">
        <f t="shared" si="2"/>
        <v>1.9189765458422176E-2</v>
      </c>
      <c r="P12" s="260">
        <v>17562.93</v>
      </c>
      <c r="Q12" s="89">
        <f t="shared" si="6"/>
        <v>0.12820311986743849</v>
      </c>
      <c r="R12" s="260">
        <v>23743.38</v>
      </c>
      <c r="S12" s="89">
        <f t="shared" si="7"/>
        <v>0.17331819874008161</v>
      </c>
      <c r="T12" s="281">
        <v>9352.25</v>
      </c>
      <c r="U12" s="26"/>
    </row>
    <row r="13" spans="1:24" ht="15.6" customHeight="1" x14ac:dyDescent="0.3">
      <c r="A13" s="198" t="s">
        <v>23</v>
      </c>
      <c r="B13" s="200">
        <v>208872.71</v>
      </c>
      <c r="C13" s="73">
        <v>222565.67</v>
      </c>
      <c r="D13" s="145">
        <v>169683.54</v>
      </c>
      <c r="E13" s="145">
        <v>207602.03</v>
      </c>
      <c r="F13" s="130">
        <v>459372.14</v>
      </c>
      <c r="G13" s="288">
        <f t="shared" si="0"/>
        <v>-6.7232471207262168E-2</v>
      </c>
      <c r="H13" s="155">
        <f t="shared" si="3"/>
        <v>0.22346592957690528</v>
      </c>
      <c r="I13" s="263">
        <f t="shared" si="4"/>
        <v>-6.0835137342738219E-3</v>
      </c>
      <c r="J13" s="273">
        <v>723</v>
      </c>
      <c r="K13" s="63">
        <f t="shared" si="5"/>
        <v>287.13973720608573</v>
      </c>
      <c r="L13" s="61">
        <v>13</v>
      </c>
      <c r="M13" s="28">
        <f t="shared" si="1"/>
        <v>1.7980636237897647E-2</v>
      </c>
      <c r="N13" s="46">
        <v>23</v>
      </c>
      <c r="O13" s="172">
        <f t="shared" si="2"/>
        <v>3.18118948824343E-2</v>
      </c>
      <c r="P13" s="260">
        <v>35710.75</v>
      </c>
      <c r="Q13" s="89">
        <f t="shared" si="6"/>
        <v>0.17201541815366642</v>
      </c>
      <c r="R13" s="260">
        <v>28081.46</v>
      </c>
      <c r="S13" s="89">
        <f t="shared" si="7"/>
        <v>0.13526582567617473</v>
      </c>
      <c r="T13" s="281">
        <v>7008.5</v>
      </c>
      <c r="U13" s="26"/>
    </row>
    <row r="14" spans="1:24" ht="15.6" hidden="1" customHeight="1" x14ac:dyDescent="0.3">
      <c r="A14" s="198" t="s">
        <v>24</v>
      </c>
      <c r="B14" s="200"/>
      <c r="C14" s="73"/>
      <c r="D14" s="145"/>
      <c r="E14" s="145"/>
      <c r="F14" s="130"/>
      <c r="G14" s="288">
        <f t="shared" si="0"/>
        <v>0</v>
      </c>
      <c r="H14" s="155">
        <f t="shared" si="3"/>
        <v>0</v>
      </c>
      <c r="I14" s="263">
        <f t="shared" si="4"/>
        <v>0</v>
      </c>
      <c r="J14" s="273"/>
      <c r="K14" s="63">
        <f t="shared" si="5"/>
        <v>0</v>
      </c>
      <c r="L14" s="61"/>
      <c r="M14" s="28">
        <f t="shared" si="1"/>
        <v>0</v>
      </c>
      <c r="N14" s="46">
        <f>L14</f>
        <v>0</v>
      </c>
      <c r="O14" s="172">
        <f t="shared" si="2"/>
        <v>0</v>
      </c>
      <c r="P14" s="260"/>
      <c r="Q14" s="89" t="e">
        <f t="shared" si="6"/>
        <v>#DIV/0!</v>
      </c>
      <c r="R14" s="260"/>
      <c r="S14" s="89" t="e">
        <f t="shared" si="7"/>
        <v>#DIV/0!</v>
      </c>
      <c r="T14" s="281"/>
      <c r="U14" s="26"/>
    </row>
    <row r="15" spans="1:24" ht="15.6" customHeight="1" x14ac:dyDescent="0.3">
      <c r="A15" s="198" t="s">
        <v>26</v>
      </c>
      <c r="B15" s="200">
        <v>189611.28</v>
      </c>
      <c r="C15" s="73">
        <v>119331.58</v>
      </c>
      <c r="D15" s="145">
        <v>162458.28</v>
      </c>
      <c r="E15" s="145">
        <v>177237.64</v>
      </c>
      <c r="F15" s="130">
        <v>470065.12</v>
      </c>
      <c r="G15" s="288">
        <f t="shared" si="0"/>
        <v>0.48525344255058056</v>
      </c>
      <c r="H15" s="155">
        <f t="shared" si="3"/>
        <v>9.0973264028155504E-2</v>
      </c>
      <c r="I15" s="263">
        <f t="shared" si="4"/>
        <v>-6.5257931912067593E-2</v>
      </c>
      <c r="J15" s="273">
        <v>612</v>
      </c>
      <c r="K15" s="63">
        <f t="shared" si="5"/>
        <v>289.60398692810458</v>
      </c>
      <c r="L15" s="61">
        <v>10</v>
      </c>
      <c r="M15" s="28">
        <f t="shared" si="1"/>
        <v>1.6339869281045753E-2</v>
      </c>
      <c r="N15" s="46">
        <v>20</v>
      </c>
      <c r="O15" s="172">
        <f t="shared" si="2"/>
        <v>3.2679738562091505E-2</v>
      </c>
      <c r="P15" s="260">
        <v>0</v>
      </c>
      <c r="Q15" s="89">
        <f t="shared" si="6"/>
        <v>0</v>
      </c>
      <c r="R15" s="260">
        <v>19565.5</v>
      </c>
      <c r="S15" s="89">
        <f t="shared" si="7"/>
        <v>0.11039133673862955</v>
      </c>
      <c r="T15" s="281">
        <v>1889.6</v>
      </c>
      <c r="U15" s="9"/>
    </row>
    <row r="16" spans="1:24" ht="15.6" customHeight="1" x14ac:dyDescent="0.3">
      <c r="A16" s="198" t="s">
        <v>27</v>
      </c>
      <c r="B16" s="200">
        <v>133107.01999999999</v>
      </c>
      <c r="C16" s="73">
        <v>120194.62</v>
      </c>
      <c r="D16" s="145">
        <v>108250.42</v>
      </c>
      <c r="E16" s="145">
        <v>136813.79</v>
      </c>
      <c r="F16" s="130">
        <v>312040.40000000002</v>
      </c>
      <c r="G16" s="288">
        <f t="shared" si="0"/>
        <v>0.13826883432885775</v>
      </c>
      <c r="H16" s="155">
        <f t="shared" si="3"/>
        <v>0.26386382611725673</v>
      </c>
      <c r="I16" s="263">
        <f t="shared" si="4"/>
        <v>2.7848042875574998E-2</v>
      </c>
      <c r="J16" s="273">
        <v>486</v>
      </c>
      <c r="K16" s="63">
        <f t="shared" si="5"/>
        <v>281.50985596707818</v>
      </c>
      <c r="L16" s="61">
        <v>3</v>
      </c>
      <c r="M16" s="28">
        <f t="shared" si="1"/>
        <v>6.1728395061728392E-3</v>
      </c>
      <c r="N16" s="46">
        <v>7</v>
      </c>
      <c r="O16" s="172">
        <f t="shared" si="2"/>
        <v>1.4403292181069959E-2</v>
      </c>
      <c r="P16" s="260">
        <v>34164.559999999998</v>
      </c>
      <c r="Q16" s="89">
        <f t="shared" si="6"/>
        <v>0.24971576330134554</v>
      </c>
      <c r="R16" s="260">
        <v>25818.14</v>
      </c>
      <c r="S16" s="89">
        <f t="shared" si="7"/>
        <v>0.18871007081961547</v>
      </c>
      <c r="T16" s="281">
        <v>4427.8</v>
      </c>
      <c r="U16" s="9"/>
      <c r="X16" s="238"/>
    </row>
    <row r="17" spans="1:21" ht="15.6" customHeight="1" x14ac:dyDescent="0.3">
      <c r="A17" s="198" t="s">
        <v>55</v>
      </c>
      <c r="B17" s="200">
        <v>173899.05</v>
      </c>
      <c r="C17" s="73">
        <v>199724.82</v>
      </c>
      <c r="D17" s="145">
        <v>156591.71</v>
      </c>
      <c r="E17" s="145">
        <v>163417.19</v>
      </c>
      <c r="F17" s="130">
        <v>405641.82</v>
      </c>
      <c r="G17" s="288">
        <f t="shared" si="0"/>
        <v>-0.18178827248411092</v>
      </c>
      <c r="H17" s="155">
        <f t="shared" si="3"/>
        <v>4.3587748035959314E-2</v>
      </c>
      <c r="I17" s="263">
        <f t="shared" si="4"/>
        <v>-6.0275544921033132E-2</v>
      </c>
      <c r="J17" s="273">
        <v>645</v>
      </c>
      <c r="K17" s="63">
        <f t="shared" si="5"/>
        <v>253.35998449612404</v>
      </c>
      <c r="L17" s="61">
        <v>4</v>
      </c>
      <c r="M17" s="28">
        <f t="shared" si="1"/>
        <v>6.2015503875968991E-3</v>
      </c>
      <c r="N17" s="46">
        <v>5</v>
      </c>
      <c r="O17" s="172">
        <f t="shared" si="2"/>
        <v>7.7519379844961239E-3</v>
      </c>
      <c r="P17" s="260">
        <v>36804.28</v>
      </c>
      <c r="Q17" s="89">
        <f t="shared" si="6"/>
        <v>0.22521669843912992</v>
      </c>
      <c r="R17" s="260">
        <v>29598</v>
      </c>
      <c r="S17" s="89">
        <f t="shared" si="7"/>
        <v>0.18111925679299712</v>
      </c>
      <c r="T17" s="281">
        <v>6925</v>
      </c>
      <c r="U17" s="9"/>
    </row>
    <row r="18" spans="1:21" ht="16.2" customHeight="1" thickBot="1" x14ac:dyDescent="0.35">
      <c r="A18" s="199" t="s">
        <v>33</v>
      </c>
      <c r="B18" s="201">
        <v>138368.63</v>
      </c>
      <c r="C18" s="131">
        <v>173318.51</v>
      </c>
      <c r="D18" s="131">
        <v>130122.88</v>
      </c>
      <c r="E18" s="146">
        <v>142536.71</v>
      </c>
      <c r="F18" s="134">
        <v>357963.56</v>
      </c>
      <c r="G18" s="289">
        <f t="shared" si="0"/>
        <v>-0.17760249612115875</v>
      </c>
      <c r="H18" s="156">
        <f t="shared" si="3"/>
        <v>9.5400824205550835E-2</v>
      </c>
      <c r="I18" s="264">
        <f t="shared" si="4"/>
        <v>3.0123012708877635E-2</v>
      </c>
      <c r="J18" s="282">
        <v>605</v>
      </c>
      <c r="K18" s="132">
        <f t="shared" si="5"/>
        <v>235.59786776859502</v>
      </c>
      <c r="L18" s="133">
        <v>12</v>
      </c>
      <c r="M18" s="114">
        <f t="shared" si="1"/>
        <v>1.9834710743801654E-2</v>
      </c>
      <c r="N18" s="115">
        <v>23</v>
      </c>
      <c r="O18" s="173">
        <f t="shared" si="2"/>
        <v>3.8016528925619832E-2</v>
      </c>
      <c r="P18" s="261">
        <v>14962.72</v>
      </c>
      <c r="Q18" s="116">
        <f t="shared" si="6"/>
        <v>0.10497450095487681</v>
      </c>
      <c r="R18" s="261">
        <v>28026.92</v>
      </c>
      <c r="S18" s="116">
        <f t="shared" si="7"/>
        <v>0.19662948583561385</v>
      </c>
      <c r="T18" s="283">
        <v>4066</v>
      </c>
      <c r="U18" s="9"/>
    </row>
    <row r="19" spans="1:21" ht="16.2" hidden="1" customHeight="1" thickBot="1" x14ac:dyDescent="0.35">
      <c r="A19" s="203" t="s">
        <v>37</v>
      </c>
      <c r="B19" s="274">
        <f>'17 - 23 Jan 2022'!E19</f>
        <v>0</v>
      </c>
      <c r="C19" s="206">
        <v>0</v>
      </c>
      <c r="D19" s="205">
        <v>0</v>
      </c>
      <c r="E19" s="267">
        <v>0</v>
      </c>
      <c r="F19" s="216">
        <v>0</v>
      </c>
      <c r="G19" s="207">
        <f t="shared" si="0"/>
        <v>0</v>
      </c>
      <c r="H19" s="265">
        <f>IFERROR((SUM(D19-A19)/A19),0)</f>
        <v>0</v>
      </c>
      <c r="I19" s="275">
        <f t="shared" si="4"/>
        <v>0</v>
      </c>
      <c r="J19" s="276"/>
      <c r="K19" s="209">
        <f t="shared" si="5"/>
        <v>0</v>
      </c>
      <c r="L19" s="210">
        <v>0</v>
      </c>
      <c r="M19" s="277">
        <f t="shared" si="1"/>
        <v>0</v>
      </c>
      <c r="N19" s="278">
        <f>L19</f>
        <v>0</v>
      </c>
      <c r="O19" s="213">
        <f t="shared" si="2"/>
        <v>0</v>
      </c>
      <c r="P19" s="279">
        <v>0</v>
      </c>
      <c r="Q19" s="215" t="e">
        <f t="shared" si="6"/>
        <v>#DIV/0!</v>
      </c>
      <c r="R19" s="279">
        <v>0</v>
      </c>
      <c r="S19" s="215" t="e">
        <f t="shared" si="7"/>
        <v>#DIV/0!</v>
      </c>
      <c r="T19" s="216">
        <v>0</v>
      </c>
      <c r="U19" s="9"/>
    </row>
    <row r="20" spans="1:21" x14ac:dyDescent="0.3">
      <c r="A20" s="81"/>
      <c r="B20" s="81"/>
      <c r="C20" s="81"/>
      <c r="D20" s="83"/>
      <c r="E20" s="395"/>
      <c r="F20" s="83"/>
      <c r="G20" s="81"/>
      <c r="H20" s="81"/>
      <c r="I20" s="81"/>
      <c r="J20" s="396"/>
      <c r="K20" s="397"/>
      <c r="L20" s="91"/>
      <c r="M20" s="397"/>
      <c r="N20" s="397"/>
      <c r="O20" s="397"/>
      <c r="P20" s="397"/>
      <c r="Q20" s="397"/>
      <c r="R20" s="397"/>
      <c r="S20" s="397"/>
      <c r="T20" s="397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ht="15" customHeight="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27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3"/>
      <c r="E25" s="83"/>
      <c r="F25" s="83"/>
      <c r="G25" s="81"/>
      <c r="H25" s="81"/>
      <c r="I25" s="81"/>
      <c r="J25" s="8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3"/>
      <c r="E26" s="83"/>
      <c r="F26" s="83"/>
      <c r="G26" s="81"/>
      <c r="H26" s="81"/>
      <c r="I26" s="81"/>
      <c r="J26" s="8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3"/>
      <c r="E27" s="83"/>
      <c r="F27" s="83"/>
      <c r="G27" s="81"/>
      <c r="H27" s="81"/>
      <c r="I27" s="81"/>
      <c r="J27" s="8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3"/>
      <c r="E28" s="83"/>
      <c r="F28" s="83"/>
      <c r="G28" s="81"/>
      <c r="H28" s="81"/>
      <c r="I28" s="81"/>
      <c r="J28" s="8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8" spans="1:21" x14ac:dyDescent="0.3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9"/>
    </row>
    <row r="39" spans="1:21" x14ac:dyDescent="0.3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9"/>
    </row>
    <row r="40" spans="1:21" x14ac:dyDescent="0.3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9"/>
    </row>
    <row r="41" spans="1:21" x14ac:dyDescent="0.3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9"/>
    </row>
  </sheetData>
  <conditionalFormatting sqref="C6:T19">
    <cfRule type="cellIs" dxfId="190" priority="2" operator="equal">
      <formula>0</formula>
    </cfRule>
  </conditionalFormatting>
  <conditionalFormatting sqref="D7:D19">
    <cfRule type="cellIs" dxfId="18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X37"/>
  <sheetViews>
    <sheetView zoomScale="70" zoomScaleNormal="70" workbookViewId="0">
      <pane xSplit="1" topLeftCell="B1" activePane="topRight" state="frozen"/>
      <selection pane="topRight" activeCell="C3" sqref="C3"/>
    </sheetView>
  </sheetViews>
  <sheetFormatPr defaultRowHeight="14.4" x14ac:dyDescent="0.3"/>
  <cols>
    <col min="1" max="1" width="23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-1.2452342276148085E-2</v>
      </c>
      <c r="H2" s="413"/>
      <c r="I2" s="400">
        <f>((E4-B4)/E4)</f>
        <v>0.12222518515536931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1884162.6</v>
      </c>
      <c r="C4" s="135">
        <f>SUM(C5:C15)</f>
        <v>2173587.86</v>
      </c>
      <c r="D4" s="135">
        <f>SUM(D5:D15)</f>
        <v>1790263.92</v>
      </c>
      <c r="E4" s="135">
        <f>SUM(E5:E15)</f>
        <v>2146521.5999999996</v>
      </c>
      <c r="F4" s="135">
        <f>SUM(F5:F15)</f>
        <v>8566618.9700000007</v>
      </c>
      <c r="G4" s="217">
        <f t="shared" ref="G4:G15" si="0">IFERROR((SUM(E4-C4)/C4),0)</f>
        <v>-1.2452342276148085E-2</v>
      </c>
      <c r="H4" s="217">
        <f t="shared" ref="H4:H15" si="1">IFERROR((SUM(E4-D4)/D4),0)</f>
        <v>0.1989972964433086</v>
      </c>
      <c r="I4" s="217">
        <f>IFERROR((SUM(E4-B4)/E4),0)</f>
        <v>0.12222518515536931</v>
      </c>
      <c r="J4" s="262">
        <f>SUM(J5:J15)</f>
        <v>7313</v>
      </c>
      <c r="K4" s="218">
        <f>AVERAGE(K5:K15)</f>
        <v>292.18361151488637</v>
      </c>
      <c r="L4" s="219">
        <f>SUM(L5:L15)</f>
        <v>91</v>
      </c>
      <c r="M4" s="220">
        <f t="shared" ref="M4:M15" si="2">IFERROR(L4/J4,0)</f>
        <v>1.2443593600437577E-2</v>
      </c>
      <c r="N4" s="221">
        <f>SUM(N5:N15)</f>
        <v>340</v>
      </c>
      <c r="O4" s="222">
        <f t="shared" ref="O4:O15" si="3">IFERROR(N4/SUM(J4),0)</f>
        <v>4.6492547518118418E-2</v>
      </c>
      <c r="P4" s="249">
        <f>SUM(P5:P15)</f>
        <v>368615.78260869568</v>
      </c>
      <c r="Q4" s="222">
        <f t="shared" ref="Q4:Q15" si="4">SUM(P4/E4)</f>
        <v>0.17172703158854574</v>
      </c>
      <c r="R4" s="244">
        <f>SUM(R5:R15)</f>
        <v>271362.37391304353</v>
      </c>
      <c r="S4" s="222">
        <f t="shared" ref="S4:S15" si="5">SUM(R4/E4)</f>
        <v>0.12641958688561233</v>
      </c>
      <c r="T4" s="257">
        <f>SUM(T5:T15)</f>
        <v>80329.45</v>
      </c>
      <c r="U4" s="24"/>
    </row>
    <row r="5" spans="1:24" ht="16.5" customHeight="1" x14ac:dyDescent="0.3">
      <c r="A5" s="408" t="s">
        <v>15</v>
      </c>
      <c r="B5" s="284">
        <v>215349.4</v>
      </c>
      <c r="C5" s="255">
        <v>228906.34</v>
      </c>
      <c r="D5" s="197">
        <v>214205.06</v>
      </c>
      <c r="E5" s="144">
        <v>255083.6</v>
      </c>
      <c r="F5" s="129">
        <v>1033266.28</v>
      </c>
      <c r="G5" s="287">
        <f t="shared" si="0"/>
        <v>0.11435795094185687</v>
      </c>
      <c r="H5" s="154">
        <f t="shared" si="1"/>
        <v>0.19083834901005611</v>
      </c>
      <c r="I5" s="266">
        <f t="shared" ref="I5:I15" si="6">IFERROR((SUM(E5-B5)/B5),0)</f>
        <v>0.1845103817331277</v>
      </c>
      <c r="J5" s="285">
        <v>796</v>
      </c>
      <c r="K5" s="124">
        <f t="shared" ref="K5:K15" si="7">IFERROR(E5/J5,0)</f>
        <v>320.45678391959802</v>
      </c>
      <c r="L5" s="125">
        <v>4</v>
      </c>
      <c r="M5" s="126">
        <f t="shared" si="2"/>
        <v>5.0251256281407036E-3</v>
      </c>
      <c r="N5" s="127">
        <v>24</v>
      </c>
      <c r="O5" s="171">
        <f t="shared" si="3"/>
        <v>3.015075376884422E-2</v>
      </c>
      <c r="P5" s="259">
        <f>SUM(51723.72/1.15)</f>
        <v>44977.147826086963</v>
      </c>
      <c r="Q5" s="128">
        <f t="shared" si="4"/>
        <v>0.17632316552725052</v>
      </c>
      <c r="R5" s="259">
        <f>SUM(3304.95/1.15)</f>
        <v>2873.8695652173915</v>
      </c>
      <c r="S5" s="128">
        <f t="shared" si="5"/>
        <v>1.126638311995515E-2</v>
      </c>
      <c r="T5" s="286">
        <v>8223.5</v>
      </c>
      <c r="U5" s="26"/>
    </row>
    <row r="6" spans="1:24" ht="15.6" customHeight="1" x14ac:dyDescent="0.3">
      <c r="A6" s="409" t="s">
        <v>16</v>
      </c>
      <c r="B6" s="200">
        <v>196341.91</v>
      </c>
      <c r="C6" s="73">
        <v>291098.71999999997</v>
      </c>
      <c r="D6" s="145">
        <v>173233.87</v>
      </c>
      <c r="E6" s="145">
        <v>280559.7</v>
      </c>
      <c r="F6" s="130">
        <v>1007888.78</v>
      </c>
      <c r="G6" s="288">
        <f t="shared" si="0"/>
        <v>-3.6204281489111187E-2</v>
      </c>
      <c r="H6" s="155">
        <f t="shared" si="1"/>
        <v>0.61954299121759515</v>
      </c>
      <c r="I6" s="263">
        <f t="shared" si="6"/>
        <v>0.42893435232447319</v>
      </c>
      <c r="J6" s="273">
        <v>924</v>
      </c>
      <c r="K6" s="63">
        <f t="shared" si="7"/>
        <v>303.63603896103899</v>
      </c>
      <c r="L6" s="61">
        <v>1</v>
      </c>
      <c r="M6" s="28">
        <f t="shared" si="2"/>
        <v>1.0822510822510823E-3</v>
      </c>
      <c r="N6" s="46">
        <v>15</v>
      </c>
      <c r="O6" s="172">
        <f t="shared" si="3"/>
        <v>1.6233766233766232E-2</v>
      </c>
      <c r="P6" s="260">
        <f>SUM(43341.26/1.15)</f>
        <v>37688.052173913049</v>
      </c>
      <c r="Q6" s="89">
        <f t="shared" si="4"/>
        <v>0.13433166692833307</v>
      </c>
      <c r="R6" s="260">
        <f>SUM(41180.54/1.15)</f>
        <v>35809.16521739131</v>
      </c>
      <c r="S6" s="89">
        <f t="shared" si="5"/>
        <v>0.12763474304182429</v>
      </c>
      <c r="T6" s="281">
        <v>13820.65</v>
      </c>
      <c r="U6" s="26"/>
    </row>
    <row r="7" spans="1:24" ht="15.6" customHeight="1" x14ac:dyDescent="0.3">
      <c r="A7" s="409" t="s">
        <v>17</v>
      </c>
      <c r="B7" s="200">
        <v>108311.73</v>
      </c>
      <c r="C7" s="73">
        <v>129833.28</v>
      </c>
      <c r="D7" s="145">
        <v>129250.82</v>
      </c>
      <c r="E7" s="145">
        <v>142495.70000000001</v>
      </c>
      <c r="F7" s="130">
        <v>521699.85</v>
      </c>
      <c r="G7" s="288">
        <f t="shared" si="0"/>
        <v>9.7528307071961931E-2</v>
      </c>
      <c r="H7" s="155">
        <f t="shared" si="1"/>
        <v>0.10247424349029279</v>
      </c>
      <c r="I7" s="263">
        <f t="shared" si="6"/>
        <v>0.31560727540775146</v>
      </c>
      <c r="J7" s="273">
        <v>553</v>
      </c>
      <c r="K7" s="63">
        <f t="shared" si="7"/>
        <v>257.67757685352626</v>
      </c>
      <c r="L7" s="61">
        <v>3</v>
      </c>
      <c r="M7" s="28">
        <f t="shared" si="2"/>
        <v>5.4249547920433997E-3</v>
      </c>
      <c r="N7" s="46">
        <v>22</v>
      </c>
      <c r="O7" s="172">
        <f t="shared" si="3"/>
        <v>3.9783001808318265E-2</v>
      </c>
      <c r="P7" s="260">
        <f>SUM(62781.77/1.15)</f>
        <v>54592.843478260867</v>
      </c>
      <c r="Q7" s="89">
        <f t="shared" si="4"/>
        <v>0.3831192343225856</v>
      </c>
      <c r="R7" s="260">
        <f>SUM(29710.52/1.15)</f>
        <v>25835.234782608699</v>
      </c>
      <c r="S7" s="89">
        <f t="shared" si="5"/>
        <v>0.18130536418017312</v>
      </c>
      <c r="T7" s="281">
        <v>3477.5</v>
      </c>
      <c r="U7" s="26"/>
    </row>
    <row r="8" spans="1:24" ht="15.6" customHeight="1" x14ac:dyDescent="0.3">
      <c r="A8" s="409" t="s">
        <v>20</v>
      </c>
      <c r="B8" s="200">
        <v>173410.07</v>
      </c>
      <c r="C8" s="73">
        <v>163214.69</v>
      </c>
      <c r="D8" s="145">
        <v>112263.55</v>
      </c>
      <c r="E8" s="145">
        <v>168921.1</v>
      </c>
      <c r="F8" s="130">
        <v>718824.13</v>
      </c>
      <c r="G8" s="288">
        <f t="shared" si="0"/>
        <v>3.4962600486512604E-2</v>
      </c>
      <c r="H8" s="155">
        <f t="shared" si="1"/>
        <v>0.50468339901953929</v>
      </c>
      <c r="I8" s="263">
        <f t="shared" si="6"/>
        <v>-2.5886443618874041E-2</v>
      </c>
      <c r="J8" s="273">
        <v>562</v>
      </c>
      <c r="K8" s="63">
        <f t="shared" si="7"/>
        <v>300.57135231316727</v>
      </c>
      <c r="L8" s="61">
        <v>11</v>
      </c>
      <c r="M8" s="28">
        <f t="shared" si="2"/>
        <v>1.9572953736654804E-2</v>
      </c>
      <c r="N8" s="46">
        <v>41</v>
      </c>
      <c r="O8" s="172">
        <f t="shared" si="3"/>
        <v>7.2953736654804271E-2</v>
      </c>
      <c r="P8" s="260">
        <f>SUM(42030.15/1.15)</f>
        <v>36547.956521739135</v>
      </c>
      <c r="Q8" s="89">
        <f t="shared" si="4"/>
        <v>0.21636110895405686</v>
      </c>
      <c r="R8" s="260">
        <f>SUM(31860.98/1.15)</f>
        <v>27705.200000000001</v>
      </c>
      <c r="S8" s="89">
        <f t="shared" si="5"/>
        <v>0.16401266626845315</v>
      </c>
      <c r="T8" s="281">
        <v>6469.1</v>
      </c>
      <c r="U8" s="26"/>
    </row>
    <row r="9" spans="1:24" ht="15.6" customHeight="1" x14ac:dyDescent="0.3">
      <c r="A9" s="409" t="s">
        <v>21</v>
      </c>
      <c r="B9" s="200">
        <v>226149.13</v>
      </c>
      <c r="C9" s="73">
        <v>346283.66</v>
      </c>
      <c r="D9" s="145">
        <v>258592</v>
      </c>
      <c r="E9" s="145">
        <v>227402.9</v>
      </c>
      <c r="F9" s="130">
        <v>966464.41</v>
      </c>
      <c r="G9" s="288">
        <f t="shared" si="0"/>
        <v>-0.34330456135296705</v>
      </c>
      <c r="H9" s="155">
        <f t="shared" si="1"/>
        <v>-0.12061123313946297</v>
      </c>
      <c r="I9" s="263">
        <f t="shared" si="6"/>
        <v>5.5439965654521398E-3</v>
      </c>
      <c r="J9" s="273">
        <v>767</v>
      </c>
      <c r="K9" s="63">
        <f t="shared" si="7"/>
        <v>296.48357235984355</v>
      </c>
      <c r="L9" s="61">
        <v>10</v>
      </c>
      <c r="M9" s="28">
        <f t="shared" si="2"/>
        <v>1.303780964797914E-2</v>
      </c>
      <c r="N9" s="46">
        <v>42</v>
      </c>
      <c r="O9" s="172">
        <f t="shared" si="3"/>
        <v>5.4758800521512385E-2</v>
      </c>
      <c r="P9" s="260">
        <f>SUM(47558.87/1.15)</f>
        <v>41355.539130434787</v>
      </c>
      <c r="Q9" s="89">
        <f t="shared" si="4"/>
        <v>0.18186020992007923</v>
      </c>
      <c r="R9" s="260">
        <f>SUM(30554.52/1.15)</f>
        <v>26569.147826086959</v>
      </c>
      <c r="S9" s="89">
        <f t="shared" si="5"/>
        <v>0.11683733068525934</v>
      </c>
      <c r="T9" s="281">
        <v>10857.1</v>
      </c>
      <c r="U9" s="26"/>
    </row>
    <row r="10" spans="1:24" ht="15.6" customHeight="1" x14ac:dyDescent="0.3">
      <c r="A10" s="198" t="s">
        <v>22</v>
      </c>
      <c r="B10" s="200">
        <v>136993</v>
      </c>
      <c r="C10" s="73">
        <v>146968.32999999999</v>
      </c>
      <c r="D10" s="145">
        <v>110629.59</v>
      </c>
      <c r="E10" s="145">
        <v>120419.2</v>
      </c>
      <c r="F10" s="130">
        <v>533943.77</v>
      </c>
      <c r="G10" s="288">
        <f t="shared" si="0"/>
        <v>-0.18064524513546554</v>
      </c>
      <c r="H10" s="155">
        <f t="shared" si="1"/>
        <v>8.8489978133336672E-2</v>
      </c>
      <c r="I10" s="263">
        <f t="shared" si="6"/>
        <v>-0.12098282393990936</v>
      </c>
      <c r="J10" s="273">
        <v>420</v>
      </c>
      <c r="K10" s="63">
        <f t="shared" si="7"/>
        <v>286.71238095238095</v>
      </c>
      <c r="L10" s="61">
        <v>6</v>
      </c>
      <c r="M10" s="28">
        <f t="shared" si="2"/>
        <v>1.4285714285714285E-2</v>
      </c>
      <c r="N10" s="46">
        <v>27</v>
      </c>
      <c r="O10" s="172">
        <f t="shared" si="3"/>
        <v>6.4285714285714279E-2</v>
      </c>
      <c r="P10" s="260">
        <f>SUM(22283.54/1.15)</f>
        <v>19376.99130434783</v>
      </c>
      <c r="Q10" s="89">
        <f t="shared" si="4"/>
        <v>0.16091280546912645</v>
      </c>
      <c r="R10" s="260">
        <f>SUM(18687.98/1.15)</f>
        <v>16250.417391304349</v>
      </c>
      <c r="S10" s="89">
        <f t="shared" si="5"/>
        <v>0.13494872405151628</v>
      </c>
      <c r="T10" s="281">
        <v>7705.5</v>
      </c>
      <c r="U10" s="26"/>
    </row>
    <row r="11" spans="1:24" ht="15.6" customHeight="1" x14ac:dyDescent="0.3">
      <c r="A11" s="198" t="s">
        <v>23</v>
      </c>
      <c r="B11" s="200">
        <v>207602.03</v>
      </c>
      <c r="C11" s="73">
        <v>236376.68</v>
      </c>
      <c r="D11" s="145">
        <v>201178.29</v>
      </c>
      <c r="E11" s="145">
        <v>240192.1</v>
      </c>
      <c r="F11" s="130">
        <v>907368.23</v>
      </c>
      <c r="G11" s="288">
        <f t="shared" si="0"/>
        <v>1.6141270788641304E-2</v>
      </c>
      <c r="H11" s="155">
        <f t="shared" si="1"/>
        <v>0.19392654147721405</v>
      </c>
      <c r="I11" s="263">
        <f t="shared" si="6"/>
        <v>0.15698338787920332</v>
      </c>
      <c r="J11" s="273">
        <v>807</v>
      </c>
      <c r="K11" s="63">
        <f t="shared" si="7"/>
        <v>297.63581164807931</v>
      </c>
      <c r="L11" s="61">
        <v>15</v>
      </c>
      <c r="M11" s="28">
        <f t="shared" si="2"/>
        <v>1.858736059479554E-2</v>
      </c>
      <c r="N11" s="46">
        <v>48</v>
      </c>
      <c r="O11" s="172">
        <f t="shared" si="3"/>
        <v>5.9479553903345722E-2</v>
      </c>
      <c r="P11" s="260">
        <f>SUM(44382.64/1.15)</f>
        <v>38593.600000000006</v>
      </c>
      <c r="Q11" s="89">
        <f t="shared" si="4"/>
        <v>0.16067805727165882</v>
      </c>
      <c r="R11" s="260">
        <f>SUM(39044.3/1.15)</f>
        <v>33951.565217391311</v>
      </c>
      <c r="S11" s="89">
        <f t="shared" si="5"/>
        <v>0.14135171480407269</v>
      </c>
      <c r="T11" s="281">
        <v>9025.65</v>
      </c>
      <c r="U11" s="26"/>
    </row>
    <row r="12" spans="1:24" ht="15.6" customHeight="1" x14ac:dyDescent="0.3">
      <c r="A12" s="198" t="s">
        <v>26</v>
      </c>
      <c r="B12" s="200">
        <v>177237.64</v>
      </c>
      <c r="C12" s="73">
        <v>132890.64000000001</v>
      </c>
      <c r="D12" s="145">
        <v>139836.46</v>
      </c>
      <c r="E12" s="145">
        <v>189110.9</v>
      </c>
      <c r="F12" s="130">
        <v>836413.67</v>
      </c>
      <c r="G12" s="288">
        <f t="shared" si="0"/>
        <v>0.42305658246510042</v>
      </c>
      <c r="H12" s="155">
        <f t="shared" si="1"/>
        <v>0.35237190643985128</v>
      </c>
      <c r="I12" s="263">
        <f t="shared" si="6"/>
        <v>6.6990623436421176E-2</v>
      </c>
      <c r="J12" s="273">
        <v>588</v>
      </c>
      <c r="K12" s="63">
        <f t="shared" si="7"/>
        <v>321.61717687074827</v>
      </c>
      <c r="L12" s="61">
        <v>10</v>
      </c>
      <c r="M12" s="28">
        <f t="shared" si="2"/>
        <v>1.7006802721088437E-2</v>
      </c>
      <c r="N12" s="46">
        <v>42</v>
      </c>
      <c r="O12" s="172">
        <f t="shared" si="3"/>
        <v>7.1428571428571425E-2</v>
      </c>
      <c r="P12" s="260">
        <v>0</v>
      </c>
      <c r="Q12" s="89">
        <f t="shared" si="4"/>
        <v>0</v>
      </c>
      <c r="R12" s="260">
        <f>SUM(20462.5/1.15)</f>
        <v>17793.478260869568</v>
      </c>
      <c r="S12" s="89">
        <f t="shared" si="5"/>
        <v>9.4090178095866325E-2</v>
      </c>
      <c r="T12" s="281">
        <v>2103</v>
      </c>
      <c r="U12" s="9"/>
    </row>
    <row r="13" spans="1:24" ht="15.6" customHeight="1" x14ac:dyDescent="0.3">
      <c r="A13" s="198" t="s">
        <v>27</v>
      </c>
      <c r="B13" s="200">
        <v>136813.79</v>
      </c>
      <c r="C13" s="73">
        <v>132344.62</v>
      </c>
      <c r="D13" s="145">
        <v>131494.71</v>
      </c>
      <c r="E13" s="145">
        <v>146091</v>
      </c>
      <c r="F13" s="130">
        <v>594945.16</v>
      </c>
      <c r="G13" s="288">
        <f t="shared" si="0"/>
        <v>0.10386806807862689</v>
      </c>
      <c r="H13" s="155">
        <f t="shared" si="1"/>
        <v>0.1110028684804127</v>
      </c>
      <c r="I13" s="263">
        <f t="shared" si="6"/>
        <v>6.7809027145582262E-2</v>
      </c>
      <c r="J13" s="273">
        <v>506</v>
      </c>
      <c r="K13" s="63">
        <f t="shared" si="7"/>
        <v>288.71739130434781</v>
      </c>
      <c r="L13" s="61">
        <v>11</v>
      </c>
      <c r="M13" s="28">
        <f t="shared" si="2"/>
        <v>2.1739130434782608E-2</v>
      </c>
      <c r="N13" s="46">
        <v>25</v>
      </c>
      <c r="O13" s="172">
        <f t="shared" si="3"/>
        <v>4.9407114624505928E-2</v>
      </c>
      <c r="P13" s="260">
        <f>SUM(31327.28/1.15)</f>
        <v>27241.113043478261</v>
      </c>
      <c r="Q13" s="89">
        <f t="shared" si="4"/>
        <v>0.18646674362882218</v>
      </c>
      <c r="R13" s="260">
        <f>SUM(29379.25/1.15)</f>
        <v>25547.17391304348</v>
      </c>
      <c r="S13" s="89">
        <f t="shared" si="5"/>
        <v>0.17487164789784093</v>
      </c>
      <c r="T13" s="281">
        <v>6087.2</v>
      </c>
      <c r="U13" s="9"/>
      <c r="X13" s="238"/>
    </row>
    <row r="14" spans="1:24" ht="15.6" customHeight="1" x14ac:dyDescent="0.3">
      <c r="A14" s="198" t="s">
        <v>55</v>
      </c>
      <c r="B14" s="200">
        <v>163417.19</v>
      </c>
      <c r="C14" s="73">
        <v>191675.07</v>
      </c>
      <c r="D14" s="145">
        <v>160723.01</v>
      </c>
      <c r="E14" s="145">
        <v>204056.9</v>
      </c>
      <c r="F14" s="130">
        <v>773115.95</v>
      </c>
      <c r="G14" s="288">
        <f t="shared" si="0"/>
        <v>6.4598019972028631E-2</v>
      </c>
      <c r="H14" s="155">
        <f t="shared" si="1"/>
        <v>0.2696184572451697</v>
      </c>
      <c r="I14" s="263">
        <f t="shared" si="6"/>
        <v>0.24868687314963617</v>
      </c>
      <c r="J14" s="273">
        <v>735</v>
      </c>
      <c r="K14" s="63">
        <f t="shared" si="7"/>
        <v>277.62843537414966</v>
      </c>
      <c r="L14" s="61">
        <v>7</v>
      </c>
      <c r="M14" s="28">
        <f t="shared" si="2"/>
        <v>9.5238095238095247E-3</v>
      </c>
      <c r="N14" s="46">
        <v>17</v>
      </c>
      <c r="O14" s="172">
        <f t="shared" si="3"/>
        <v>2.3129251700680271E-2</v>
      </c>
      <c r="P14" s="260">
        <f>SUM(51942.72/1.15)</f>
        <v>45167.582608695659</v>
      </c>
      <c r="Q14" s="89">
        <f t="shared" si="4"/>
        <v>0.2213479799442982</v>
      </c>
      <c r="R14" s="260">
        <f>SUM(31938.47/1.15)</f>
        <v>27772.582608695655</v>
      </c>
      <c r="S14" s="89">
        <f t="shared" si="5"/>
        <v>0.13610214900204626</v>
      </c>
      <c r="T14" s="281">
        <v>7059.25</v>
      </c>
      <c r="U14" s="9"/>
    </row>
    <row r="15" spans="1:24" ht="16.2" customHeight="1" thickBot="1" x14ac:dyDescent="0.35">
      <c r="A15" s="199" t="s">
        <v>33</v>
      </c>
      <c r="B15" s="201">
        <v>142536.71</v>
      </c>
      <c r="C15" s="131">
        <v>173995.83</v>
      </c>
      <c r="D15" s="131">
        <v>158856.56</v>
      </c>
      <c r="E15" s="146">
        <v>172188.5</v>
      </c>
      <c r="F15" s="134">
        <v>672688.74</v>
      </c>
      <c r="G15" s="289">
        <f t="shared" si="0"/>
        <v>-1.0387202957680005E-2</v>
      </c>
      <c r="H15" s="156">
        <f t="shared" si="1"/>
        <v>8.3924390657836245E-2</v>
      </c>
      <c r="I15" s="264">
        <f t="shared" si="6"/>
        <v>0.20802914561448774</v>
      </c>
      <c r="J15" s="282">
        <v>655</v>
      </c>
      <c r="K15" s="132">
        <f t="shared" si="7"/>
        <v>262.8832061068702</v>
      </c>
      <c r="L15" s="133">
        <v>13</v>
      </c>
      <c r="M15" s="114">
        <f t="shared" si="2"/>
        <v>1.984732824427481E-2</v>
      </c>
      <c r="N15" s="115">
        <v>37</v>
      </c>
      <c r="O15" s="173">
        <f t="shared" si="3"/>
        <v>5.6488549618320609E-2</v>
      </c>
      <c r="P15" s="261">
        <f>SUM(26536.2/1.15)</f>
        <v>23074.956521739132</v>
      </c>
      <c r="Q15" s="116">
        <f t="shared" si="4"/>
        <v>0.13400985850819963</v>
      </c>
      <c r="R15" s="261">
        <f>SUM(35942.72/1.15)</f>
        <v>31254.539130434787</v>
      </c>
      <c r="S15" s="116">
        <f t="shared" si="5"/>
        <v>0.18151351066090238</v>
      </c>
      <c r="T15" s="283">
        <v>5501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15">
    <cfRule type="cellIs" dxfId="188" priority="27" operator="equal">
      <formula>0</formula>
    </cfRule>
  </conditionalFormatting>
  <conditionalFormatting sqref="D6:D15">
    <cfRule type="cellIs" dxfId="187" priority="1" operator="equal">
      <formula>0</formula>
    </cfRule>
  </conditionalFormatting>
  <conditionalFormatting sqref="E13:E15">
    <cfRule type="cellIs" dxfId="186" priority="25" operator="equal">
      <formula>0</formula>
    </cfRule>
  </conditionalFormatting>
  <conditionalFormatting sqref="E5:T15">
    <cfRule type="cellIs" dxfId="185" priority="2" operator="equal">
      <formula>0</formula>
    </cfRule>
  </conditionalFormatting>
  <conditionalFormatting sqref="T13:T15">
    <cfRule type="cellIs" dxfId="184" priority="23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X37"/>
  <sheetViews>
    <sheetView zoomScale="70" zoomScaleNormal="70" workbookViewId="0">
      <pane xSplit="1" topLeftCell="B1" activePane="topRight" state="frozen"/>
      <selection pane="topRight" activeCell="L7" sqref="L7"/>
    </sheetView>
  </sheetViews>
  <sheetFormatPr defaultRowHeight="14.4" x14ac:dyDescent="0.3"/>
  <cols>
    <col min="1" max="1" width="23" customWidth="1"/>
    <col min="2" max="3" width="15.6640625" bestFit="1" customWidth="1"/>
    <col min="4" max="4" width="14.6640625" customWidth="1"/>
    <col min="5" max="5" width="14.6640625" bestFit="1" customWidth="1"/>
    <col min="6" max="6" width="14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-1.4486475930501393E-3</v>
      </c>
      <c r="H2" s="413"/>
      <c r="I2" s="400">
        <f>((E4-B4)/E4)</f>
        <v>-7.5179721632284424E-2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2146521.5999999996</v>
      </c>
      <c r="C4" s="135">
        <f>SUM(C5:C15)</f>
        <v>1999326.83</v>
      </c>
      <c r="D4" s="135">
        <f>SUM(D5:D15)</f>
        <v>1624284.8699999999</v>
      </c>
      <c r="E4" s="135">
        <f>SUM(E5:E15)</f>
        <v>1996430.51</v>
      </c>
      <c r="F4" s="135">
        <f>SUM(F5:F15)</f>
        <v>1678027.77</v>
      </c>
      <c r="G4" s="217">
        <f t="shared" ref="G4:G15" si="0">IFERROR((SUM(E4-C4)/C4),0)</f>
        <v>-1.4486475930501393E-3</v>
      </c>
      <c r="H4" s="217">
        <f t="shared" ref="H4:H15" si="1">IFERROR((SUM(E4-D4)/D4),0)</f>
        <v>0.2291135298206651</v>
      </c>
      <c r="I4" s="217">
        <f>IFERROR((SUM(E4-B4)/E4),0)</f>
        <v>-7.5179721632284424E-2</v>
      </c>
      <c r="J4" s="262">
        <f>SUM(J5:J15)</f>
        <v>6713</v>
      </c>
      <c r="K4" s="218">
        <f>AVERAGE(K5:K15)</f>
        <v>294.66696142640808</v>
      </c>
      <c r="L4" s="219">
        <f>SUM(L5:L15)</f>
        <v>91</v>
      </c>
      <c r="M4" s="220">
        <f t="shared" ref="M4:M15" si="2">IFERROR(L4/J4,0)</f>
        <v>1.3555787278415016E-2</v>
      </c>
      <c r="N4" s="221">
        <f>SUM(N5:N15)</f>
        <v>340</v>
      </c>
      <c r="O4" s="222">
        <f t="shared" ref="O4:O15" si="3">IFERROR(N4/SUM(J4),0)</f>
        <v>5.0647996424847311E-2</v>
      </c>
      <c r="P4" s="249">
        <f>SUM(P5:P15)</f>
        <v>368146.46956521738</v>
      </c>
      <c r="Q4" s="222">
        <f t="shared" ref="Q4:Q15" si="4">SUM(P4/E4)</f>
        <v>0.1844023459475268</v>
      </c>
      <c r="R4" s="244">
        <f>SUM(R5:R15)</f>
        <v>260136.9391304348</v>
      </c>
      <c r="S4" s="222">
        <f t="shared" ref="S4:S15" si="5">SUM(R4/E4)</f>
        <v>0.13030102366569965</v>
      </c>
      <c r="T4" s="257">
        <f>SUM(T5:T15)</f>
        <v>81315</v>
      </c>
      <c r="U4" s="24"/>
    </row>
    <row r="5" spans="1:24" ht="16.5" customHeight="1" x14ac:dyDescent="0.3">
      <c r="A5" s="408" t="s">
        <v>15</v>
      </c>
      <c r="B5" s="284">
        <v>255083.6</v>
      </c>
      <c r="C5" s="255">
        <v>245133.38</v>
      </c>
      <c r="D5" s="197">
        <v>181872.52</v>
      </c>
      <c r="E5" s="144">
        <v>251460.54</v>
      </c>
      <c r="F5" s="129">
        <v>220901.97</v>
      </c>
      <c r="G5" s="287">
        <f t="shared" si="0"/>
        <v>2.5811091088451532E-2</v>
      </c>
      <c r="H5" s="154">
        <f t="shared" si="1"/>
        <v>0.38261976025844929</v>
      </c>
      <c r="I5" s="266">
        <f t="shared" ref="I5:I15" si="6">IFERROR((SUM(E5-B5)/B5),0)</f>
        <v>-1.420342193696497E-2</v>
      </c>
      <c r="J5" s="285">
        <v>719</v>
      </c>
      <c r="K5" s="124">
        <f t="shared" ref="K5:K15" si="7">IFERROR(E5/J5,0)</f>
        <v>349.73649513212797</v>
      </c>
      <c r="L5" s="125">
        <v>4</v>
      </c>
      <c r="M5" s="126">
        <f t="shared" si="2"/>
        <v>5.5632823365785811E-3</v>
      </c>
      <c r="N5" s="127">
        <v>24</v>
      </c>
      <c r="O5" s="171">
        <f t="shared" si="3"/>
        <v>3.3379694019471488E-2</v>
      </c>
      <c r="P5" s="259">
        <f>SUM(53958.71/1.15)</f>
        <v>46920.617391304353</v>
      </c>
      <c r="Q5" s="128">
        <f t="shared" si="4"/>
        <v>0.18659236710182978</v>
      </c>
      <c r="R5" s="259">
        <f>SUM(14416.3/1.15)</f>
        <v>12535.913043478262</v>
      </c>
      <c r="S5" s="128">
        <f t="shared" si="5"/>
        <v>4.9852406439110729E-2</v>
      </c>
      <c r="T5" s="286">
        <v>16874.3</v>
      </c>
      <c r="U5" s="26"/>
    </row>
    <row r="6" spans="1:24" ht="15.6" customHeight="1" x14ac:dyDescent="0.3">
      <c r="A6" s="409" t="s">
        <v>16</v>
      </c>
      <c r="B6" s="200">
        <v>280559.7</v>
      </c>
      <c r="C6" s="73">
        <v>262809.12</v>
      </c>
      <c r="D6" s="145">
        <v>137349.18</v>
      </c>
      <c r="E6" s="145">
        <v>239082.84</v>
      </c>
      <c r="F6" s="130">
        <v>198404.39</v>
      </c>
      <c r="G6" s="288">
        <f t="shared" si="0"/>
        <v>-9.0279515414076958E-2</v>
      </c>
      <c r="H6" s="155">
        <f t="shared" si="1"/>
        <v>0.74069361025671943</v>
      </c>
      <c r="I6" s="263">
        <f t="shared" si="6"/>
        <v>-0.14783612899500539</v>
      </c>
      <c r="J6" s="273">
        <v>704</v>
      </c>
      <c r="K6" s="63">
        <f t="shared" si="7"/>
        <v>339.60630681818179</v>
      </c>
      <c r="L6" s="61">
        <v>1</v>
      </c>
      <c r="M6" s="28">
        <f t="shared" si="2"/>
        <v>1.4204545454545455E-3</v>
      </c>
      <c r="N6" s="46">
        <v>15</v>
      </c>
      <c r="O6" s="172">
        <f t="shared" si="3"/>
        <v>2.130681818181818E-2</v>
      </c>
      <c r="P6" s="260">
        <f>SUM(35453.75/1.15)</f>
        <v>30829.34782608696</v>
      </c>
      <c r="Q6" s="89">
        <f t="shared" si="4"/>
        <v>0.12894839222290885</v>
      </c>
      <c r="R6" s="260">
        <f>SUM(25747.95/1.15)</f>
        <v>22389.521739130436</v>
      </c>
      <c r="S6" s="89">
        <f t="shared" si="5"/>
        <v>9.3647548017793486E-2</v>
      </c>
      <c r="T6" s="281">
        <v>12267.65</v>
      </c>
      <c r="U6" s="26"/>
    </row>
    <row r="7" spans="1:24" ht="15.6" customHeight="1" x14ac:dyDescent="0.3">
      <c r="A7" s="409" t="s">
        <v>17</v>
      </c>
      <c r="B7" s="200">
        <v>142495.70000000001</v>
      </c>
      <c r="C7" s="73">
        <v>109274.66</v>
      </c>
      <c r="D7" s="145">
        <v>101572.01</v>
      </c>
      <c r="E7" s="145">
        <v>149569.37</v>
      </c>
      <c r="F7" s="130">
        <v>123082.3</v>
      </c>
      <c r="G7" s="288">
        <f t="shared" si="0"/>
        <v>0.36874706359187015</v>
      </c>
      <c r="H7" s="155">
        <f t="shared" si="1"/>
        <v>0.47254514309601636</v>
      </c>
      <c r="I7" s="263">
        <f t="shared" si="6"/>
        <v>4.9641287421304525E-2</v>
      </c>
      <c r="J7" s="273">
        <v>564</v>
      </c>
      <c r="K7" s="63">
        <f t="shared" si="7"/>
        <v>265.1939184397163</v>
      </c>
      <c r="L7" s="61">
        <v>3</v>
      </c>
      <c r="M7" s="28">
        <f t="shared" si="2"/>
        <v>5.3191489361702126E-3</v>
      </c>
      <c r="N7" s="46">
        <v>22</v>
      </c>
      <c r="O7" s="172">
        <f t="shared" si="3"/>
        <v>3.9007092198581561E-2</v>
      </c>
      <c r="P7" s="260">
        <f>SUM(79191.41/1.15)</f>
        <v>68862.095652173928</v>
      </c>
      <c r="Q7" s="89">
        <f t="shared" si="4"/>
        <v>0.46040239156034374</v>
      </c>
      <c r="R7" s="260">
        <f>SUM(21598.6/1.15)</f>
        <v>18781.391304347828</v>
      </c>
      <c r="S7" s="89">
        <f t="shared" si="5"/>
        <v>0.12556976942770989</v>
      </c>
      <c r="T7" s="281">
        <v>4428.04</v>
      </c>
      <c r="U7" s="26"/>
    </row>
    <row r="8" spans="1:24" ht="15.6" customHeight="1" x14ac:dyDescent="0.3">
      <c r="A8" s="409" t="s">
        <v>20</v>
      </c>
      <c r="B8" s="200">
        <v>168921.1</v>
      </c>
      <c r="C8" s="73">
        <v>137777</v>
      </c>
      <c r="D8" s="145">
        <v>135817.28</v>
      </c>
      <c r="E8" s="145">
        <v>158760.85999999999</v>
      </c>
      <c r="F8" s="130">
        <v>130632.26</v>
      </c>
      <c r="G8" s="288">
        <f t="shared" si="0"/>
        <v>0.15230306945281133</v>
      </c>
      <c r="H8" s="155">
        <f t="shared" si="1"/>
        <v>0.16892975621364223</v>
      </c>
      <c r="I8" s="263">
        <f t="shared" si="6"/>
        <v>-6.0147844171036177E-2</v>
      </c>
      <c r="J8" s="273">
        <v>516</v>
      </c>
      <c r="K8" s="63">
        <f t="shared" si="7"/>
        <v>307.67608527131779</v>
      </c>
      <c r="L8" s="61">
        <v>11</v>
      </c>
      <c r="M8" s="28">
        <f t="shared" si="2"/>
        <v>2.1317829457364341E-2</v>
      </c>
      <c r="N8" s="46">
        <v>41</v>
      </c>
      <c r="O8" s="172">
        <f t="shared" si="3"/>
        <v>7.9457364341085274E-2</v>
      </c>
      <c r="P8" s="260">
        <f>SUM(46333.06/1.15)</f>
        <v>40289.617391304346</v>
      </c>
      <c r="Q8" s="89">
        <f t="shared" si="4"/>
        <v>0.25377550481462718</v>
      </c>
      <c r="R8" s="260">
        <f>SUM(31869.4/1.15)</f>
        <v>27712.52173913044</v>
      </c>
      <c r="S8" s="89">
        <f t="shared" si="5"/>
        <v>0.1745551248533829</v>
      </c>
      <c r="T8" s="281">
        <v>4562.71</v>
      </c>
      <c r="U8" s="26"/>
    </row>
    <row r="9" spans="1:24" ht="15.6" customHeight="1" x14ac:dyDescent="0.3">
      <c r="A9" s="409" t="s">
        <v>21</v>
      </c>
      <c r="B9" s="200">
        <v>227402.9</v>
      </c>
      <c r="C9" s="73">
        <v>317888.62</v>
      </c>
      <c r="D9" s="145">
        <v>266240.07</v>
      </c>
      <c r="E9" s="145">
        <v>231306.95</v>
      </c>
      <c r="F9" s="130">
        <v>195571.99</v>
      </c>
      <c r="G9" s="288">
        <f t="shared" si="0"/>
        <v>-0.27236479871471958</v>
      </c>
      <c r="H9" s="155">
        <f t="shared" si="1"/>
        <v>-0.13120910011779968</v>
      </c>
      <c r="I9" s="263">
        <f t="shared" si="6"/>
        <v>1.716798686384394E-2</v>
      </c>
      <c r="J9" s="273">
        <v>735</v>
      </c>
      <c r="K9" s="63">
        <f t="shared" si="7"/>
        <v>314.70333333333338</v>
      </c>
      <c r="L9" s="61">
        <v>10</v>
      </c>
      <c r="M9" s="28">
        <f t="shared" si="2"/>
        <v>1.3605442176870748E-2</v>
      </c>
      <c r="N9" s="46">
        <v>42</v>
      </c>
      <c r="O9" s="172">
        <f t="shared" si="3"/>
        <v>5.7142857142857141E-2</v>
      </c>
      <c r="P9" s="260">
        <f>SUM(41637.61/1.15)</f>
        <v>36206.617391304353</v>
      </c>
      <c r="Q9" s="89">
        <f t="shared" si="4"/>
        <v>0.15653060745171882</v>
      </c>
      <c r="R9" s="260">
        <f>SUM(37672.71/1.15)</f>
        <v>32758.878260869566</v>
      </c>
      <c r="S9" s="89">
        <f t="shared" si="5"/>
        <v>0.14162513604052782</v>
      </c>
      <c r="T9" s="281">
        <v>8424.2999999999993</v>
      </c>
      <c r="U9" s="26"/>
    </row>
    <row r="10" spans="1:24" ht="15.6" customHeight="1" x14ac:dyDescent="0.3">
      <c r="A10" s="198" t="s">
        <v>22</v>
      </c>
      <c r="B10" s="200">
        <v>120419.2</v>
      </c>
      <c r="C10" s="73">
        <v>132072.19</v>
      </c>
      <c r="D10" s="145">
        <v>113857</v>
      </c>
      <c r="E10" s="145">
        <v>114469.5</v>
      </c>
      <c r="F10" s="130">
        <v>93155.16</v>
      </c>
      <c r="G10" s="288">
        <f t="shared" si="0"/>
        <v>-0.13328082164761562</v>
      </c>
      <c r="H10" s="155">
        <f t="shared" si="1"/>
        <v>5.3795550559034575E-3</v>
      </c>
      <c r="I10" s="263">
        <f t="shared" si="6"/>
        <v>-4.9408233902899182E-2</v>
      </c>
      <c r="J10" s="273">
        <v>426</v>
      </c>
      <c r="K10" s="63">
        <f t="shared" si="7"/>
        <v>268.70774647887322</v>
      </c>
      <c r="L10" s="61">
        <v>6</v>
      </c>
      <c r="M10" s="28">
        <f t="shared" si="2"/>
        <v>1.4084507042253521E-2</v>
      </c>
      <c r="N10" s="46">
        <v>27</v>
      </c>
      <c r="O10" s="172">
        <f t="shared" si="3"/>
        <v>6.3380281690140844E-2</v>
      </c>
      <c r="P10" s="260">
        <f>SUM(12022.07/1.15)</f>
        <v>10453.973913043479</v>
      </c>
      <c r="Q10" s="89">
        <f t="shared" si="4"/>
        <v>9.1325409065676696E-2</v>
      </c>
      <c r="R10" s="260">
        <f>SUM(22410.43/1.15)</f>
        <v>19487.330434782609</v>
      </c>
      <c r="S10" s="89">
        <f t="shared" si="5"/>
        <v>0.17024037350370719</v>
      </c>
      <c r="T10" s="281">
        <v>10440.5</v>
      </c>
      <c r="U10" s="26"/>
    </row>
    <row r="11" spans="1:24" ht="15.6" customHeight="1" x14ac:dyDescent="0.3">
      <c r="A11" s="198" t="s">
        <v>23</v>
      </c>
      <c r="B11" s="200">
        <v>240192.1</v>
      </c>
      <c r="C11" s="73">
        <v>205934.81</v>
      </c>
      <c r="D11" s="145">
        <v>173078.97</v>
      </c>
      <c r="E11" s="145">
        <v>219193.09</v>
      </c>
      <c r="F11" s="130">
        <v>179130.75</v>
      </c>
      <c r="G11" s="288">
        <f t="shared" si="0"/>
        <v>6.4380956284175561E-2</v>
      </c>
      <c r="H11" s="155">
        <f t="shared" si="1"/>
        <v>0.26643398675182778</v>
      </c>
      <c r="I11" s="263">
        <f t="shared" si="6"/>
        <v>-8.7425897854259194E-2</v>
      </c>
      <c r="J11" s="273">
        <v>763</v>
      </c>
      <c r="K11" s="63">
        <f t="shared" si="7"/>
        <v>287.27796854521625</v>
      </c>
      <c r="L11" s="61">
        <v>15</v>
      </c>
      <c r="M11" s="28">
        <f t="shared" si="2"/>
        <v>1.9659239842726082E-2</v>
      </c>
      <c r="N11" s="46">
        <v>48</v>
      </c>
      <c r="O11" s="172">
        <f t="shared" si="3"/>
        <v>6.2909567496723454E-2</v>
      </c>
      <c r="P11" s="260">
        <f>SUM(50279.47/1.15)</f>
        <v>43721.278260869571</v>
      </c>
      <c r="Q11" s="89">
        <f t="shared" si="4"/>
        <v>0.19946467409565499</v>
      </c>
      <c r="R11" s="260">
        <f>SUM(36598/1.15)</f>
        <v>31824.34782608696</v>
      </c>
      <c r="S11" s="89">
        <f t="shared" si="5"/>
        <v>0.14518864543625423</v>
      </c>
      <c r="T11" s="281">
        <v>7633.5</v>
      </c>
      <c r="U11" s="26"/>
    </row>
    <row r="12" spans="1:24" ht="15.6" customHeight="1" x14ac:dyDescent="0.3">
      <c r="A12" s="198" t="s">
        <v>26</v>
      </c>
      <c r="B12" s="200">
        <v>189110.9</v>
      </c>
      <c r="C12" s="73">
        <v>129751.08</v>
      </c>
      <c r="D12" s="145">
        <v>119262.39</v>
      </c>
      <c r="E12" s="145">
        <v>179551.44</v>
      </c>
      <c r="F12" s="130">
        <v>152583.94</v>
      </c>
      <c r="G12" s="288">
        <f t="shared" si="0"/>
        <v>0.38381460871077144</v>
      </c>
      <c r="H12" s="155">
        <f t="shared" si="1"/>
        <v>0.50551603066146844</v>
      </c>
      <c r="I12" s="263">
        <f t="shared" si="6"/>
        <v>-5.0549492387799919E-2</v>
      </c>
      <c r="J12" s="273">
        <v>590</v>
      </c>
      <c r="K12" s="63">
        <f t="shared" si="7"/>
        <v>304.3244745762712</v>
      </c>
      <c r="L12" s="61">
        <v>10</v>
      </c>
      <c r="M12" s="28">
        <f t="shared" si="2"/>
        <v>1.6949152542372881E-2</v>
      </c>
      <c r="N12" s="46">
        <v>42</v>
      </c>
      <c r="O12" s="172">
        <f t="shared" si="3"/>
        <v>7.1186440677966104E-2</v>
      </c>
      <c r="P12" s="260">
        <v>0</v>
      </c>
      <c r="Q12" s="89">
        <f t="shared" si="4"/>
        <v>0</v>
      </c>
      <c r="R12" s="260">
        <f>SUM(19931.5/1.15)</f>
        <v>17331.739130434784</v>
      </c>
      <c r="S12" s="89">
        <f t="shared" si="5"/>
        <v>9.6527987358022774E-2</v>
      </c>
      <c r="T12" s="281">
        <v>806</v>
      </c>
      <c r="U12" s="9"/>
    </row>
    <row r="13" spans="1:24" ht="15.6" customHeight="1" x14ac:dyDescent="0.3">
      <c r="A13" s="198" t="s">
        <v>27</v>
      </c>
      <c r="B13" s="200">
        <v>146091</v>
      </c>
      <c r="C13" s="73">
        <v>113756.77</v>
      </c>
      <c r="D13" s="145">
        <v>110387.7</v>
      </c>
      <c r="E13" s="145">
        <v>116941.95</v>
      </c>
      <c r="F13" s="130">
        <v>113840.51</v>
      </c>
      <c r="G13" s="288">
        <f t="shared" si="0"/>
        <v>2.7999915961045597E-2</v>
      </c>
      <c r="H13" s="155">
        <f t="shared" si="1"/>
        <v>5.9374821651325287E-2</v>
      </c>
      <c r="I13" s="263">
        <f t="shared" si="6"/>
        <v>-0.19952666488695403</v>
      </c>
      <c r="J13" s="273">
        <v>426</v>
      </c>
      <c r="K13" s="63">
        <f t="shared" si="7"/>
        <v>274.51161971830987</v>
      </c>
      <c r="L13" s="61">
        <v>11</v>
      </c>
      <c r="M13" s="28">
        <f t="shared" si="2"/>
        <v>2.5821596244131457E-2</v>
      </c>
      <c r="N13" s="46">
        <v>25</v>
      </c>
      <c r="O13" s="172">
        <f t="shared" si="3"/>
        <v>5.8685446009389672E-2</v>
      </c>
      <c r="P13" s="260">
        <f>SUM(38735.84/1.15)</f>
        <v>33683.339130434782</v>
      </c>
      <c r="Q13" s="89">
        <f t="shared" si="4"/>
        <v>0.28803469696233713</v>
      </c>
      <c r="R13" s="260">
        <f>SUM(26322.21/1.15)</f>
        <v>22888.878260869566</v>
      </c>
      <c r="S13" s="89">
        <f t="shared" si="5"/>
        <v>0.19572854959977634</v>
      </c>
      <c r="T13" s="281">
        <v>6397.5</v>
      </c>
      <c r="U13" s="9"/>
      <c r="X13" s="238"/>
    </row>
    <row r="14" spans="1:24" ht="15.6" customHeight="1" x14ac:dyDescent="0.3">
      <c r="A14" s="198" t="s">
        <v>55</v>
      </c>
      <c r="B14" s="200">
        <v>204056.9</v>
      </c>
      <c r="C14" s="73">
        <v>192169.17</v>
      </c>
      <c r="D14" s="145">
        <v>165603.89000000001</v>
      </c>
      <c r="E14" s="145">
        <v>185670.54</v>
      </c>
      <c r="F14" s="130">
        <v>149047.79999999999</v>
      </c>
      <c r="G14" s="288">
        <f t="shared" si="0"/>
        <v>-3.3817235095515083E-2</v>
      </c>
      <c r="H14" s="155">
        <f t="shared" si="1"/>
        <v>0.12117257632051996</v>
      </c>
      <c r="I14" s="263">
        <f t="shared" si="6"/>
        <v>-9.0104083713905228E-2</v>
      </c>
      <c r="J14" s="273">
        <v>705</v>
      </c>
      <c r="K14" s="63">
        <f t="shared" si="7"/>
        <v>263.3624680851064</v>
      </c>
      <c r="L14" s="61">
        <v>7</v>
      </c>
      <c r="M14" s="28">
        <f t="shared" si="2"/>
        <v>9.9290780141843976E-3</v>
      </c>
      <c r="N14" s="46">
        <v>17</v>
      </c>
      <c r="O14" s="172">
        <f t="shared" si="3"/>
        <v>2.4113475177304965E-2</v>
      </c>
      <c r="P14" s="260">
        <f>SUM(41118.29/1.15)</f>
        <v>35755.034782608702</v>
      </c>
      <c r="Q14" s="89">
        <f t="shared" si="4"/>
        <v>0.19257247155423096</v>
      </c>
      <c r="R14" s="260">
        <f>SUM(32585.07/1.15)</f>
        <v>28334.843478260871</v>
      </c>
      <c r="S14" s="89">
        <f t="shared" si="5"/>
        <v>0.15260818155783287</v>
      </c>
      <c r="T14" s="281">
        <v>5166.5</v>
      </c>
      <c r="U14" s="9"/>
    </row>
    <row r="15" spans="1:24" ht="16.2" customHeight="1" thickBot="1" x14ac:dyDescent="0.35">
      <c r="A15" s="199" t="s">
        <v>33</v>
      </c>
      <c r="B15" s="201">
        <v>172188.5</v>
      </c>
      <c r="C15" s="131">
        <v>152760.03</v>
      </c>
      <c r="D15" s="131">
        <v>119243.86</v>
      </c>
      <c r="E15" s="146">
        <v>150423.43</v>
      </c>
      <c r="F15" s="134">
        <v>121676.7</v>
      </c>
      <c r="G15" s="289">
        <f t="shared" si="0"/>
        <v>-1.5295885972266474E-2</v>
      </c>
      <c r="H15" s="156">
        <f t="shared" si="1"/>
        <v>0.26147736244029668</v>
      </c>
      <c r="I15" s="264">
        <f t="shared" si="6"/>
        <v>-0.12640257624638118</v>
      </c>
      <c r="J15" s="282">
        <v>565</v>
      </c>
      <c r="K15" s="132">
        <f t="shared" si="7"/>
        <v>266.23615929203538</v>
      </c>
      <c r="L15" s="133">
        <v>13</v>
      </c>
      <c r="M15" s="114">
        <f t="shared" si="2"/>
        <v>2.3008849557522124E-2</v>
      </c>
      <c r="N15" s="115">
        <v>37</v>
      </c>
      <c r="O15" s="173">
        <f t="shared" si="3"/>
        <v>6.5486725663716813E-2</v>
      </c>
      <c r="P15" s="261">
        <f>SUM(24638.23/1.15)</f>
        <v>21424.547826086957</v>
      </c>
      <c r="Q15" s="116">
        <f t="shared" si="4"/>
        <v>0.14242826284500332</v>
      </c>
      <c r="R15" s="261">
        <f>SUM(30005.31/1.15)</f>
        <v>26091.573913043481</v>
      </c>
      <c r="S15" s="116">
        <f t="shared" si="5"/>
        <v>0.17345418804134091</v>
      </c>
      <c r="T15" s="283">
        <v>4314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15">
    <cfRule type="cellIs" dxfId="183" priority="7" operator="equal">
      <formula>0</formula>
    </cfRule>
  </conditionalFormatting>
  <conditionalFormatting sqref="D6:D15">
    <cfRule type="cellIs" dxfId="182" priority="1" operator="equal">
      <formula>0</formula>
    </cfRule>
  </conditionalFormatting>
  <conditionalFormatting sqref="E13:E15">
    <cfRule type="cellIs" dxfId="181" priority="6" operator="equal">
      <formula>0</formula>
    </cfRule>
  </conditionalFormatting>
  <conditionalFormatting sqref="E5:T15">
    <cfRule type="cellIs" dxfId="180" priority="2" operator="equal">
      <formula>0</formula>
    </cfRule>
  </conditionalFormatting>
  <conditionalFormatting sqref="T13:T15">
    <cfRule type="cellIs" dxfId="179" priority="5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X37"/>
  <sheetViews>
    <sheetView zoomScale="70" zoomScaleNormal="70" workbookViewId="0">
      <pane xSplit="1" topLeftCell="B1" activePane="topRight" state="frozen"/>
      <selection pane="topRight" activeCell="E5" sqref="E5:E15"/>
    </sheetView>
  </sheetViews>
  <sheetFormatPr defaultRowHeight="14.4" x14ac:dyDescent="0.3"/>
  <cols>
    <col min="1" max="1" width="23" customWidth="1"/>
    <col min="2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-0.15464064168960587</v>
      </c>
      <c r="H2" s="413"/>
      <c r="I2" s="400">
        <f>((E4-B4)/E4)</f>
        <v>-0.15697674334371703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1996430.51</v>
      </c>
      <c r="C4" s="135">
        <f>SUM(C5:C15)</f>
        <v>2041212.4299999997</v>
      </c>
      <c r="D4" s="135">
        <f>SUM(D5:D15)</f>
        <v>1392988.4</v>
      </c>
      <c r="E4" s="135">
        <f>SUM(E5:E15)</f>
        <v>1725558.03</v>
      </c>
      <c r="F4" s="135">
        <f>SUM(F5:F15)</f>
        <v>3403586.58</v>
      </c>
      <c r="G4" s="217">
        <f t="shared" ref="G4:G15" si="0">IFERROR((SUM(E4-C4)/C4),0)</f>
        <v>-0.15464064168960587</v>
      </c>
      <c r="H4" s="217">
        <f t="shared" ref="H4:H15" si="1">IFERROR((SUM(E4-D4)/D4),0)</f>
        <v>0.23874544109627915</v>
      </c>
      <c r="I4" s="217">
        <f>IFERROR((SUM(E4-B4)/E4),0)</f>
        <v>-0.15697674334371703</v>
      </c>
      <c r="J4" s="262">
        <f>SUM(J5:J15)</f>
        <v>5899</v>
      </c>
      <c r="K4" s="218">
        <f>AVERAGE(K5:K15)</f>
        <v>290.35415981392157</v>
      </c>
      <c r="L4" s="219">
        <f>SUM(L5:L15)</f>
        <v>91</v>
      </c>
      <c r="M4" s="220">
        <f t="shared" ref="M4:M15" si="2">IFERROR(L4/J4,0)</f>
        <v>1.5426343448042041E-2</v>
      </c>
      <c r="N4" s="221">
        <f>SUM(N5:N15)</f>
        <v>340</v>
      </c>
      <c r="O4" s="222">
        <f t="shared" ref="O4:O15" si="3">IFERROR(N4/SUM(J4),0)</f>
        <v>5.7636887608069162E-2</v>
      </c>
      <c r="P4" s="249">
        <f>SUM(P5:P15)</f>
        <v>368146.46956521738</v>
      </c>
      <c r="Q4" s="222">
        <f t="shared" ref="Q4:Q15" si="4">SUM(P4/E4)</f>
        <v>0.21334922567931106</v>
      </c>
      <c r="R4" s="244">
        <f>SUM(R5:R15)</f>
        <v>260136.9391304348</v>
      </c>
      <c r="S4" s="222">
        <f t="shared" ref="S4:S15" si="5">SUM(R4/E4)</f>
        <v>0.15075525401509376</v>
      </c>
      <c r="T4" s="257">
        <f>SUM(T5:T15)</f>
        <v>81315</v>
      </c>
      <c r="U4" s="24"/>
    </row>
    <row r="5" spans="1:24" ht="16.5" customHeight="1" x14ac:dyDescent="0.3">
      <c r="A5" s="408" t="s">
        <v>15</v>
      </c>
      <c r="B5" s="144">
        <v>251460.54</v>
      </c>
      <c r="C5" s="255">
        <v>236155.67</v>
      </c>
      <c r="D5" s="197">
        <v>159835.79999999999</v>
      </c>
      <c r="E5" s="144">
        <v>235189.99</v>
      </c>
      <c r="F5" s="129">
        <v>456091.96</v>
      </c>
      <c r="G5" s="287">
        <f t="shared" si="0"/>
        <v>-4.0891671159113902E-3</v>
      </c>
      <c r="H5" s="154">
        <f t="shared" si="1"/>
        <v>0.47144751050765854</v>
      </c>
      <c r="I5" s="266">
        <f t="shared" ref="I5:I15" si="6">IFERROR((SUM(E5-B5)/B5),0)</f>
        <v>-6.4704187782305786E-2</v>
      </c>
      <c r="J5" s="285">
        <v>679</v>
      </c>
      <c r="K5" s="124">
        <f t="shared" ref="K5:K15" si="7">IFERROR(E5/J5,0)</f>
        <v>346.37701030927832</v>
      </c>
      <c r="L5" s="125">
        <v>4</v>
      </c>
      <c r="M5" s="126">
        <f t="shared" si="2"/>
        <v>5.8910162002945507E-3</v>
      </c>
      <c r="N5" s="127">
        <v>24</v>
      </c>
      <c r="O5" s="171">
        <f t="shared" si="3"/>
        <v>3.5346097201767304E-2</v>
      </c>
      <c r="P5" s="259">
        <f>SUM(53958.71/1.15)</f>
        <v>46920.617391304353</v>
      </c>
      <c r="Q5" s="128">
        <f t="shared" si="4"/>
        <v>0.19950091154519101</v>
      </c>
      <c r="R5" s="259">
        <f>SUM(14416.3/1.15)</f>
        <v>12535.913043478262</v>
      </c>
      <c r="S5" s="128">
        <f t="shared" si="5"/>
        <v>5.3301218489265903E-2</v>
      </c>
      <c r="T5" s="286">
        <v>16874.3</v>
      </c>
      <c r="U5" s="26"/>
    </row>
    <row r="6" spans="1:24" ht="15.6" customHeight="1" x14ac:dyDescent="0.3">
      <c r="A6" s="409" t="s">
        <v>16</v>
      </c>
      <c r="B6" s="145">
        <v>239082.84</v>
      </c>
      <c r="C6" s="73">
        <v>218653.28</v>
      </c>
      <c r="D6" s="145">
        <v>119124.17</v>
      </c>
      <c r="E6" s="145">
        <v>187075.01</v>
      </c>
      <c r="F6" s="130">
        <v>385479.4</v>
      </c>
      <c r="G6" s="288">
        <f t="shared" si="0"/>
        <v>-0.14442166154562142</v>
      </c>
      <c r="H6" s="155">
        <f t="shared" si="1"/>
        <v>0.57042025980118072</v>
      </c>
      <c r="I6" s="263">
        <f t="shared" si="6"/>
        <v>-0.21753058479646631</v>
      </c>
      <c r="J6" s="273">
        <v>601</v>
      </c>
      <c r="K6" s="63">
        <f t="shared" si="7"/>
        <v>311.27289517470882</v>
      </c>
      <c r="L6" s="61">
        <v>1</v>
      </c>
      <c r="M6" s="28">
        <f t="shared" si="2"/>
        <v>1.6638935108153079E-3</v>
      </c>
      <c r="N6" s="46">
        <v>15</v>
      </c>
      <c r="O6" s="172">
        <f t="shared" si="3"/>
        <v>2.4958402662229616E-2</v>
      </c>
      <c r="P6" s="260">
        <f>SUM(35453.75/1.15)</f>
        <v>30829.34782608696</v>
      </c>
      <c r="Q6" s="89">
        <f t="shared" si="4"/>
        <v>0.16479671884602309</v>
      </c>
      <c r="R6" s="260">
        <f>SUM(25747.95/1.15)</f>
        <v>22389.521739130436</v>
      </c>
      <c r="S6" s="89">
        <f t="shared" si="5"/>
        <v>0.11968205555156958</v>
      </c>
      <c r="T6" s="281">
        <v>12267.65</v>
      </c>
      <c r="U6" s="26"/>
    </row>
    <row r="7" spans="1:24" ht="15.6" customHeight="1" x14ac:dyDescent="0.3">
      <c r="A7" s="409" t="s">
        <v>17</v>
      </c>
      <c r="B7" s="145">
        <v>149569.37</v>
      </c>
      <c r="C7" s="73">
        <v>110836.84</v>
      </c>
      <c r="D7" s="145">
        <v>96926.07</v>
      </c>
      <c r="E7" s="145">
        <v>124465.16</v>
      </c>
      <c r="F7" s="130">
        <v>247547.46</v>
      </c>
      <c r="G7" s="288">
        <f t="shared" si="0"/>
        <v>0.12295839542159455</v>
      </c>
      <c r="H7" s="155">
        <f t="shared" si="1"/>
        <v>0.28412469421281594</v>
      </c>
      <c r="I7" s="263">
        <f t="shared" si="6"/>
        <v>-0.16784325560774904</v>
      </c>
      <c r="J7" s="273">
        <v>512</v>
      </c>
      <c r="K7" s="63">
        <f t="shared" si="7"/>
        <v>243.09601562500001</v>
      </c>
      <c r="L7" s="61">
        <v>3</v>
      </c>
      <c r="M7" s="28">
        <f t="shared" si="2"/>
        <v>5.859375E-3</v>
      </c>
      <c r="N7" s="46">
        <v>22</v>
      </c>
      <c r="O7" s="172">
        <f t="shared" si="3"/>
        <v>4.296875E-2</v>
      </c>
      <c r="P7" s="260">
        <f>SUM(79191.41/1.15)</f>
        <v>68862.095652173928</v>
      </c>
      <c r="Q7" s="89">
        <f t="shared" si="4"/>
        <v>0.55326402707531908</v>
      </c>
      <c r="R7" s="260">
        <f>SUM(21598.6/1.15)</f>
        <v>18781.391304347828</v>
      </c>
      <c r="S7" s="89">
        <f t="shared" si="5"/>
        <v>0.15089677548599004</v>
      </c>
      <c r="T7" s="281">
        <v>4428.04</v>
      </c>
      <c r="U7" s="26"/>
    </row>
    <row r="8" spans="1:24" ht="15.6" customHeight="1" x14ac:dyDescent="0.3">
      <c r="A8" s="409" t="s">
        <v>20</v>
      </c>
      <c r="B8" s="145">
        <v>158760.85999999999</v>
      </c>
      <c r="C8" s="73">
        <v>143400.20000000001</v>
      </c>
      <c r="D8" s="145">
        <v>23848.77</v>
      </c>
      <c r="E8" s="145">
        <v>135600.74</v>
      </c>
      <c r="F8" s="130">
        <v>266233</v>
      </c>
      <c r="G8" s="288">
        <f t="shared" si="0"/>
        <v>-5.438946389196124E-2</v>
      </c>
      <c r="H8" s="155">
        <f t="shared" si="1"/>
        <v>4.6858588514208481</v>
      </c>
      <c r="I8" s="263">
        <f t="shared" si="6"/>
        <v>-0.14588054007769924</v>
      </c>
      <c r="J8" s="273">
        <v>433</v>
      </c>
      <c r="K8" s="63">
        <f t="shared" si="7"/>
        <v>313.1656812933025</v>
      </c>
      <c r="L8" s="61">
        <v>11</v>
      </c>
      <c r="M8" s="28">
        <f t="shared" si="2"/>
        <v>2.5404157043879907E-2</v>
      </c>
      <c r="N8" s="46">
        <v>41</v>
      </c>
      <c r="O8" s="172">
        <f t="shared" si="3"/>
        <v>9.4688221709006926E-2</v>
      </c>
      <c r="P8" s="260">
        <f>SUM(46333.06/1.15)</f>
        <v>40289.617391304346</v>
      </c>
      <c r="Q8" s="89">
        <f t="shared" si="4"/>
        <v>0.29711945075892909</v>
      </c>
      <c r="R8" s="260">
        <f>SUM(31869.4/1.15)</f>
        <v>27712.52173913044</v>
      </c>
      <c r="S8" s="89">
        <f t="shared" si="5"/>
        <v>0.20436851405921858</v>
      </c>
      <c r="T8" s="281">
        <v>4562.71</v>
      </c>
      <c r="U8" s="26"/>
    </row>
    <row r="9" spans="1:24" ht="15.6" customHeight="1" x14ac:dyDescent="0.3">
      <c r="A9" s="409" t="s">
        <v>21</v>
      </c>
      <c r="B9" s="145">
        <v>231306.95</v>
      </c>
      <c r="C9" s="73">
        <v>345738.87</v>
      </c>
      <c r="D9" s="145">
        <v>222935.03</v>
      </c>
      <c r="E9" s="145">
        <v>171418.89</v>
      </c>
      <c r="F9" s="130">
        <v>366990.88</v>
      </c>
      <c r="G9" s="288">
        <f t="shared" si="0"/>
        <v>-0.50419549297422062</v>
      </c>
      <c r="H9" s="155">
        <f t="shared" si="1"/>
        <v>-0.23108140519684137</v>
      </c>
      <c r="I9" s="263">
        <f t="shared" si="6"/>
        <v>-0.25891163235691794</v>
      </c>
      <c r="J9" s="273">
        <v>556</v>
      </c>
      <c r="K9" s="63">
        <f t="shared" si="7"/>
        <v>308.30735611510795</v>
      </c>
      <c r="L9" s="61">
        <v>10</v>
      </c>
      <c r="M9" s="28">
        <f t="shared" si="2"/>
        <v>1.7985611510791366E-2</v>
      </c>
      <c r="N9" s="46">
        <v>42</v>
      </c>
      <c r="O9" s="172">
        <f t="shared" si="3"/>
        <v>7.5539568345323743E-2</v>
      </c>
      <c r="P9" s="260">
        <f>SUM(41637.61/1.15)</f>
        <v>36206.617391304353</v>
      </c>
      <c r="Q9" s="89">
        <f t="shared" si="4"/>
        <v>0.21121719660712043</v>
      </c>
      <c r="R9" s="260">
        <f>SUM(37672.71/1.15)</f>
        <v>32758.878260869566</v>
      </c>
      <c r="S9" s="89">
        <f t="shared" si="5"/>
        <v>0.19110424913420898</v>
      </c>
      <c r="T9" s="281">
        <v>8424.2999999999993</v>
      </c>
      <c r="U9" s="26"/>
    </row>
    <row r="10" spans="1:24" ht="15.6" customHeight="1" x14ac:dyDescent="0.3">
      <c r="A10" s="198" t="s">
        <v>22</v>
      </c>
      <c r="B10" s="145">
        <v>114469.5</v>
      </c>
      <c r="C10" s="73">
        <v>139419.04999999999</v>
      </c>
      <c r="D10" s="145">
        <v>95672.93</v>
      </c>
      <c r="E10" s="145">
        <v>120010.86</v>
      </c>
      <c r="F10" s="130">
        <v>213166.02</v>
      </c>
      <c r="G10" s="288">
        <f t="shared" si="0"/>
        <v>-0.13920759035440272</v>
      </c>
      <c r="H10" s="155">
        <f t="shared" si="1"/>
        <v>0.2543867946764044</v>
      </c>
      <c r="I10" s="263">
        <f t="shared" si="6"/>
        <v>4.8409052192942233E-2</v>
      </c>
      <c r="J10" s="273">
        <v>439</v>
      </c>
      <c r="K10" s="63">
        <f t="shared" si="7"/>
        <v>273.37325740318909</v>
      </c>
      <c r="L10" s="61">
        <v>6</v>
      </c>
      <c r="M10" s="28">
        <f t="shared" si="2"/>
        <v>1.366742596810934E-2</v>
      </c>
      <c r="N10" s="46">
        <v>27</v>
      </c>
      <c r="O10" s="172">
        <f t="shared" si="3"/>
        <v>6.1503416856492028E-2</v>
      </c>
      <c r="P10" s="260">
        <f>SUM(12022.07/1.15)</f>
        <v>10453.973913043479</v>
      </c>
      <c r="Q10" s="89">
        <f t="shared" si="4"/>
        <v>8.7108565950143838E-2</v>
      </c>
      <c r="R10" s="260">
        <f>SUM(22410.43/1.15)</f>
        <v>19487.330434782609</v>
      </c>
      <c r="S10" s="89">
        <f t="shared" si="5"/>
        <v>0.16237972492474939</v>
      </c>
      <c r="T10" s="281">
        <v>10440.5</v>
      </c>
      <c r="U10" s="26"/>
    </row>
    <row r="11" spans="1:24" ht="15.6" customHeight="1" x14ac:dyDescent="0.3">
      <c r="A11" s="198" t="s">
        <v>23</v>
      </c>
      <c r="B11" s="145">
        <v>219193.09</v>
      </c>
      <c r="C11" s="73">
        <v>208358.17</v>
      </c>
      <c r="D11" s="145">
        <v>159408.99</v>
      </c>
      <c r="E11" s="145">
        <v>166400</v>
      </c>
      <c r="F11" s="130">
        <v>345531.53</v>
      </c>
      <c r="G11" s="288">
        <f t="shared" si="0"/>
        <v>-0.20137520885310142</v>
      </c>
      <c r="H11" s="155">
        <f t="shared" si="1"/>
        <v>4.3855807630422912E-2</v>
      </c>
      <c r="I11" s="263">
        <f t="shared" si="6"/>
        <v>-0.24085198123718224</v>
      </c>
      <c r="J11" s="273">
        <v>592</v>
      </c>
      <c r="K11" s="63">
        <f t="shared" si="7"/>
        <v>281.08108108108109</v>
      </c>
      <c r="L11" s="61">
        <v>15</v>
      </c>
      <c r="M11" s="28">
        <f t="shared" si="2"/>
        <v>2.5337837837837839E-2</v>
      </c>
      <c r="N11" s="46">
        <v>48</v>
      </c>
      <c r="O11" s="172">
        <f t="shared" si="3"/>
        <v>8.1081081081081086E-2</v>
      </c>
      <c r="P11" s="260">
        <f>SUM(50279.47/1.15)</f>
        <v>43721.278260869571</v>
      </c>
      <c r="Q11" s="89">
        <f t="shared" si="4"/>
        <v>0.26274806647157195</v>
      </c>
      <c r="R11" s="260">
        <f>SUM(36598/1.15)</f>
        <v>31824.34782608696</v>
      </c>
      <c r="S11" s="89">
        <f t="shared" si="5"/>
        <v>0.19125209030100337</v>
      </c>
      <c r="T11" s="281">
        <v>7633.5</v>
      </c>
      <c r="U11" s="26"/>
    </row>
    <row r="12" spans="1:24" ht="15.6" customHeight="1" x14ac:dyDescent="0.3">
      <c r="A12" s="198" t="s">
        <v>26</v>
      </c>
      <c r="B12" s="145">
        <v>179551.44</v>
      </c>
      <c r="C12" s="73">
        <v>170108.44</v>
      </c>
      <c r="D12" s="145">
        <v>140724.15</v>
      </c>
      <c r="E12" s="145">
        <v>184907.55</v>
      </c>
      <c r="F12" s="130">
        <v>337491.49</v>
      </c>
      <c r="G12" s="288">
        <f t="shared" si="0"/>
        <v>8.6998093686591838E-2</v>
      </c>
      <c r="H12" s="155">
        <f t="shared" si="1"/>
        <v>0.31397169568975897</v>
      </c>
      <c r="I12" s="263">
        <f t="shared" si="6"/>
        <v>2.9830504283340675E-2</v>
      </c>
      <c r="J12" s="273">
        <v>599</v>
      </c>
      <c r="K12" s="63">
        <f t="shared" si="7"/>
        <v>308.69373956594325</v>
      </c>
      <c r="L12" s="61">
        <v>10</v>
      </c>
      <c r="M12" s="28">
        <f t="shared" si="2"/>
        <v>1.6694490818030049E-2</v>
      </c>
      <c r="N12" s="46">
        <v>42</v>
      </c>
      <c r="O12" s="172">
        <f t="shared" si="3"/>
        <v>7.0116861435726208E-2</v>
      </c>
      <c r="P12" s="260">
        <v>0</v>
      </c>
      <c r="Q12" s="89">
        <f t="shared" si="4"/>
        <v>0</v>
      </c>
      <c r="R12" s="260">
        <f>SUM(19931.5/1.15)</f>
        <v>17331.739130434784</v>
      </c>
      <c r="S12" s="89">
        <f t="shared" si="5"/>
        <v>9.3731917006281168E-2</v>
      </c>
      <c r="T12" s="281">
        <v>806</v>
      </c>
      <c r="U12" s="9"/>
    </row>
    <row r="13" spans="1:24" ht="15.6" customHeight="1" x14ac:dyDescent="0.3">
      <c r="A13" s="198" t="s">
        <v>27</v>
      </c>
      <c r="B13" s="145">
        <v>116941.95</v>
      </c>
      <c r="C13" s="73">
        <v>115659.7</v>
      </c>
      <c r="D13" s="145">
        <v>118382</v>
      </c>
      <c r="E13" s="145">
        <v>114619.6</v>
      </c>
      <c r="F13" s="130">
        <v>228460.11</v>
      </c>
      <c r="G13" s="288">
        <f t="shared" si="0"/>
        <v>-8.9927606590713208E-3</v>
      </c>
      <c r="H13" s="155">
        <f t="shared" si="1"/>
        <v>-3.178185872852287E-2</v>
      </c>
      <c r="I13" s="263">
        <f t="shared" si="6"/>
        <v>-1.9858998417590874E-2</v>
      </c>
      <c r="J13" s="273">
        <v>420</v>
      </c>
      <c r="K13" s="63">
        <f t="shared" si="7"/>
        <v>272.90380952380951</v>
      </c>
      <c r="L13" s="61">
        <v>11</v>
      </c>
      <c r="M13" s="28">
        <f t="shared" si="2"/>
        <v>2.6190476190476191E-2</v>
      </c>
      <c r="N13" s="46">
        <v>25</v>
      </c>
      <c r="O13" s="172">
        <f t="shared" si="3"/>
        <v>5.9523809523809521E-2</v>
      </c>
      <c r="P13" s="260">
        <f>SUM(38735.84/1.15)</f>
        <v>33683.339130434782</v>
      </c>
      <c r="Q13" s="89">
        <f t="shared" si="4"/>
        <v>0.29387067421658059</v>
      </c>
      <c r="R13" s="260">
        <f>SUM(26322.21/1.15)</f>
        <v>22888.878260869566</v>
      </c>
      <c r="S13" s="89">
        <f t="shared" si="5"/>
        <v>0.199694277949579</v>
      </c>
      <c r="T13" s="281">
        <v>6397.5</v>
      </c>
      <c r="U13" s="9"/>
      <c r="X13" s="238"/>
    </row>
    <row r="14" spans="1:24" ht="15.6" customHeight="1" x14ac:dyDescent="0.3">
      <c r="A14" s="198" t="s">
        <v>55</v>
      </c>
      <c r="B14" s="145">
        <v>185670.54</v>
      </c>
      <c r="C14" s="73">
        <v>183813.79</v>
      </c>
      <c r="D14" s="145">
        <v>134885.60999999999</v>
      </c>
      <c r="E14" s="145">
        <v>152915.98000000001</v>
      </c>
      <c r="F14" s="130">
        <v>301963.78000000003</v>
      </c>
      <c r="G14" s="288">
        <f t="shared" si="0"/>
        <v>-0.16809299237015893</v>
      </c>
      <c r="H14" s="155">
        <f t="shared" si="1"/>
        <v>0.13367156066536695</v>
      </c>
      <c r="I14" s="263">
        <f t="shared" si="6"/>
        <v>-0.17641226227919624</v>
      </c>
      <c r="J14" s="273">
        <v>575</v>
      </c>
      <c r="K14" s="63">
        <f t="shared" si="7"/>
        <v>265.9408347826087</v>
      </c>
      <c r="L14" s="61">
        <v>7</v>
      </c>
      <c r="M14" s="28">
        <f t="shared" si="2"/>
        <v>1.2173913043478261E-2</v>
      </c>
      <c r="N14" s="46">
        <v>17</v>
      </c>
      <c r="O14" s="172">
        <f t="shared" si="3"/>
        <v>2.9565217391304348E-2</v>
      </c>
      <c r="P14" s="260">
        <f>SUM(41118.29/1.15)</f>
        <v>35755.034782608702</v>
      </c>
      <c r="Q14" s="89">
        <f t="shared" si="4"/>
        <v>0.2338214409155191</v>
      </c>
      <c r="R14" s="260">
        <f>SUM(32585.07/1.15)</f>
        <v>28334.843478260871</v>
      </c>
      <c r="S14" s="89">
        <f t="shared" si="5"/>
        <v>0.18529681121790456</v>
      </c>
      <c r="T14" s="281">
        <v>5166.5</v>
      </c>
      <c r="U14" s="9"/>
    </row>
    <row r="15" spans="1:24" ht="16.2" customHeight="1" thickBot="1" x14ac:dyDescent="0.35">
      <c r="A15" s="199" t="s">
        <v>33</v>
      </c>
      <c r="B15" s="146">
        <v>150423.43</v>
      </c>
      <c r="C15" s="131">
        <v>169068.42</v>
      </c>
      <c r="D15" s="131">
        <v>121244.88</v>
      </c>
      <c r="E15" s="146">
        <v>132954.25</v>
      </c>
      <c r="F15" s="134">
        <v>254630.95</v>
      </c>
      <c r="G15" s="289">
        <f t="shared" si="0"/>
        <v>-0.2136068344401634</v>
      </c>
      <c r="H15" s="156">
        <f t="shared" si="1"/>
        <v>9.6576201815697246E-2</v>
      </c>
      <c r="I15" s="264">
        <f t="shared" si="6"/>
        <v>-0.11613337097817802</v>
      </c>
      <c r="J15" s="282">
        <v>493</v>
      </c>
      <c r="K15" s="132">
        <f t="shared" si="7"/>
        <v>269.68407707910751</v>
      </c>
      <c r="L15" s="133">
        <v>13</v>
      </c>
      <c r="M15" s="114">
        <f t="shared" si="2"/>
        <v>2.6369168356997971E-2</v>
      </c>
      <c r="N15" s="115">
        <v>37</v>
      </c>
      <c r="O15" s="173">
        <f t="shared" si="3"/>
        <v>7.5050709939148072E-2</v>
      </c>
      <c r="P15" s="261">
        <f>SUM(24638.23/1.15)</f>
        <v>21424.547826086957</v>
      </c>
      <c r="Q15" s="116">
        <f t="shared" si="4"/>
        <v>0.1611422562730184</v>
      </c>
      <c r="R15" s="261">
        <f>SUM(30005.31/1.15)</f>
        <v>26091.573913043481</v>
      </c>
      <c r="S15" s="116">
        <f t="shared" si="5"/>
        <v>0.19624475271037581</v>
      </c>
      <c r="T15" s="283">
        <v>4314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15">
    <cfRule type="cellIs" dxfId="178" priority="1" operator="equal">
      <formula>0</formula>
    </cfRule>
  </conditionalFormatting>
  <conditionalFormatting sqref="D6:D15">
    <cfRule type="cellIs" dxfId="177" priority="3" operator="equal">
      <formula>0</formula>
    </cfRule>
  </conditionalFormatting>
  <conditionalFormatting sqref="E13:E15">
    <cfRule type="cellIs" dxfId="176" priority="8" operator="equal">
      <formula>0</formula>
    </cfRule>
  </conditionalFormatting>
  <conditionalFormatting sqref="E5:T15">
    <cfRule type="cellIs" dxfId="175" priority="4" operator="equal">
      <formula>0</formula>
    </cfRule>
  </conditionalFormatting>
  <conditionalFormatting sqref="T13:T15">
    <cfRule type="cellIs" dxfId="174" priority="7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X37"/>
  <sheetViews>
    <sheetView zoomScale="70" zoomScaleNormal="70" workbookViewId="0">
      <pane xSplit="1" topLeftCell="B1" activePane="topRight" state="frozen"/>
      <selection pane="topRight" activeCell="D10" sqref="D10"/>
    </sheetView>
  </sheetViews>
  <sheetFormatPr defaultRowHeight="14.4" x14ac:dyDescent="0.3"/>
  <cols>
    <col min="1" max="1" width="23" customWidth="1"/>
    <col min="2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-6.7947541663898187E-2</v>
      </c>
      <c r="H2" s="413"/>
      <c r="I2" s="400">
        <f>((E4-B4)/E4)</f>
        <v>0.11822739589092875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1725558.03</v>
      </c>
      <c r="C4" s="135">
        <f>SUM(C5:C15)</f>
        <v>2099580.8899999997</v>
      </c>
      <c r="D4" s="135">
        <f>SUM(D5:D15)</f>
        <v>1326843.28</v>
      </c>
      <c r="E4" s="135">
        <f>SUM(E5:E15)</f>
        <v>1956919.5300000003</v>
      </c>
      <c r="F4" s="135">
        <f>SUM(F5:F15)</f>
        <v>5001304.4899999993</v>
      </c>
      <c r="G4" s="217">
        <f t="shared" ref="G4:G15" si="0">IFERROR((SUM(E4-C4)/C4),0)</f>
        <v>-6.7947541663898187E-2</v>
      </c>
      <c r="H4" s="217">
        <f t="shared" ref="H4:H15" si="1">IFERROR((SUM(E4-D4)/D4),0)</f>
        <v>0.47486862954907549</v>
      </c>
      <c r="I4" s="217">
        <f>IFERROR((SUM(E4-B4)/E4),0)</f>
        <v>0.11822739589092875</v>
      </c>
      <c r="J4" s="262">
        <f>SUM(J5:J15)</f>
        <v>5899</v>
      </c>
      <c r="K4" s="218">
        <f>AVERAGE(K5:K15)</f>
        <v>326.27957691149504</v>
      </c>
      <c r="L4" s="219">
        <f>SUM(L5:L15)</f>
        <v>91</v>
      </c>
      <c r="M4" s="220">
        <f t="shared" ref="M4:M15" si="2">IFERROR(L4/J4,0)</f>
        <v>1.5426343448042041E-2</v>
      </c>
      <c r="N4" s="221">
        <f>SUM(N5:N15)</f>
        <v>340</v>
      </c>
      <c r="O4" s="222">
        <f t="shared" ref="O4:O15" si="3">IFERROR(N4/SUM(J4),0)</f>
        <v>5.7636887608069162E-2</v>
      </c>
      <c r="P4" s="249">
        <f>SUM(P5:P15)</f>
        <v>383410.97000000003</v>
      </c>
      <c r="Q4" s="222">
        <f t="shared" ref="Q4:Q15" si="4">SUM(P4/E4)</f>
        <v>0.19592577217521048</v>
      </c>
      <c r="R4" s="244">
        <f>SUM(R5:R15)</f>
        <v>264400.55913043476</v>
      </c>
      <c r="S4" s="222">
        <f t="shared" ref="S4:S15" si="5">SUM(R4/E4)</f>
        <v>0.13511059350020116</v>
      </c>
      <c r="T4" s="257">
        <f>SUM(T5:T15)</f>
        <v>69637.079999999987</v>
      </c>
      <c r="U4" s="24"/>
    </row>
    <row r="5" spans="1:24" ht="16.5" customHeight="1" x14ac:dyDescent="0.3">
      <c r="A5" s="408" t="s">
        <v>15</v>
      </c>
      <c r="B5" s="144">
        <v>235189.99</v>
      </c>
      <c r="C5" s="255">
        <v>250573.07</v>
      </c>
      <c r="D5" s="197">
        <v>172041.05</v>
      </c>
      <c r="E5" s="144">
        <v>279205.43</v>
      </c>
      <c r="F5" s="129">
        <v>735297.39</v>
      </c>
      <c r="G5" s="287">
        <f t="shared" si="0"/>
        <v>0.11426750687933059</v>
      </c>
      <c r="H5" s="154">
        <f t="shared" si="1"/>
        <v>0.62290005786409708</v>
      </c>
      <c r="I5" s="266">
        <f t="shared" ref="I5:I15" si="6">IFERROR((SUM(E5-B5)/B5),0)</f>
        <v>0.18714844113901277</v>
      </c>
      <c r="J5" s="285">
        <v>679</v>
      </c>
      <c r="K5" s="124">
        <f t="shared" ref="K5:K15" si="7">IFERROR(E5/J5,0)</f>
        <v>411.20092783505152</v>
      </c>
      <c r="L5" s="125">
        <v>4</v>
      </c>
      <c r="M5" s="126">
        <f t="shared" si="2"/>
        <v>5.8910162002945507E-3</v>
      </c>
      <c r="N5" s="127">
        <v>24</v>
      </c>
      <c r="O5" s="171">
        <f t="shared" si="3"/>
        <v>3.5346097201767304E-2</v>
      </c>
      <c r="P5" s="259">
        <v>46734.82</v>
      </c>
      <c r="Q5" s="128">
        <f t="shared" si="4"/>
        <v>0.16738506840644182</v>
      </c>
      <c r="R5" s="259">
        <v>9338.07</v>
      </c>
      <c r="S5" s="128">
        <f t="shared" si="5"/>
        <v>3.3445158999952117E-2</v>
      </c>
      <c r="T5" s="286">
        <v>9293.3799999999992</v>
      </c>
      <c r="U5" s="26"/>
    </row>
    <row r="6" spans="1:24" ht="15.6" customHeight="1" x14ac:dyDescent="0.3">
      <c r="A6" s="409" t="s">
        <v>16</v>
      </c>
      <c r="B6" s="145">
        <v>187075.01</v>
      </c>
      <c r="C6" s="73">
        <v>248168.49</v>
      </c>
      <c r="D6" s="145">
        <v>112438.92</v>
      </c>
      <c r="E6" s="145">
        <v>221679.83</v>
      </c>
      <c r="F6" s="130">
        <v>636782.73</v>
      </c>
      <c r="G6" s="288">
        <f t="shared" si="0"/>
        <v>-0.1067365965759795</v>
      </c>
      <c r="H6" s="155">
        <f t="shared" si="1"/>
        <v>0.97155780222720023</v>
      </c>
      <c r="I6" s="263">
        <f t="shared" si="6"/>
        <v>0.18497831431360059</v>
      </c>
      <c r="J6" s="273">
        <v>601</v>
      </c>
      <c r="K6" s="63">
        <f t="shared" si="7"/>
        <v>368.8516306156406</v>
      </c>
      <c r="L6" s="61">
        <v>1</v>
      </c>
      <c r="M6" s="28">
        <f t="shared" si="2"/>
        <v>1.6638935108153079E-3</v>
      </c>
      <c r="N6" s="46">
        <v>15</v>
      </c>
      <c r="O6" s="172">
        <f t="shared" si="3"/>
        <v>2.4958402662229616E-2</v>
      </c>
      <c r="P6" s="260">
        <v>44251.85</v>
      </c>
      <c r="Q6" s="89">
        <f t="shared" si="4"/>
        <v>0.19962055185625144</v>
      </c>
      <c r="R6" s="260">
        <v>31527.9</v>
      </c>
      <c r="S6" s="89">
        <f t="shared" si="5"/>
        <v>0.14222268214478512</v>
      </c>
      <c r="T6" s="281">
        <v>9798.15</v>
      </c>
      <c r="U6" s="26"/>
    </row>
    <row r="7" spans="1:24" ht="15.6" customHeight="1" x14ac:dyDescent="0.3">
      <c r="A7" s="409" t="s">
        <v>17</v>
      </c>
      <c r="B7" s="145">
        <v>124465.16</v>
      </c>
      <c r="C7" s="73">
        <v>99413.99</v>
      </c>
      <c r="D7" s="145">
        <v>93597.64</v>
      </c>
      <c r="E7" s="145">
        <v>113165.51</v>
      </c>
      <c r="F7" s="130">
        <v>360712.97</v>
      </c>
      <c r="G7" s="288">
        <f t="shared" si="0"/>
        <v>0.13832580303838513</v>
      </c>
      <c r="H7" s="155">
        <f t="shared" si="1"/>
        <v>0.20906371143545921</v>
      </c>
      <c r="I7" s="263">
        <f t="shared" si="6"/>
        <v>-9.0785646360796932E-2</v>
      </c>
      <c r="J7" s="273">
        <v>512</v>
      </c>
      <c r="K7" s="63">
        <f t="shared" si="7"/>
        <v>221.02638671874999</v>
      </c>
      <c r="L7" s="61">
        <v>3</v>
      </c>
      <c r="M7" s="28">
        <f t="shared" si="2"/>
        <v>5.859375E-3</v>
      </c>
      <c r="N7" s="46">
        <v>22</v>
      </c>
      <c r="O7" s="172">
        <f t="shared" si="3"/>
        <v>4.296875E-2</v>
      </c>
      <c r="P7" s="260">
        <v>48963.91</v>
      </c>
      <c r="Q7" s="89">
        <f t="shared" si="4"/>
        <v>0.43267520289529915</v>
      </c>
      <c r="R7" s="260">
        <v>24361.759999999998</v>
      </c>
      <c r="S7" s="89">
        <f t="shared" si="5"/>
        <v>0.21527548455355347</v>
      </c>
      <c r="T7" s="281">
        <v>4520</v>
      </c>
      <c r="U7" s="26"/>
    </row>
    <row r="8" spans="1:24" ht="15.6" customHeight="1" x14ac:dyDescent="0.3">
      <c r="A8" s="409" t="s">
        <v>20</v>
      </c>
      <c r="B8" s="145">
        <v>135600.74</v>
      </c>
      <c r="C8" s="73">
        <v>148386.35999999999</v>
      </c>
      <c r="D8" s="145"/>
      <c r="E8" s="145">
        <v>146503.88</v>
      </c>
      <c r="F8" s="130">
        <v>430926.79</v>
      </c>
      <c r="G8" s="288">
        <f t="shared" si="0"/>
        <v>-1.2686341251311654E-2</v>
      </c>
      <c r="H8" s="155">
        <f t="shared" si="1"/>
        <v>0</v>
      </c>
      <c r="I8" s="263">
        <f t="shared" si="6"/>
        <v>8.0406198373253829E-2</v>
      </c>
      <c r="J8" s="273">
        <v>433</v>
      </c>
      <c r="K8" s="63">
        <f t="shared" si="7"/>
        <v>338.34614318706696</v>
      </c>
      <c r="L8" s="61">
        <v>11</v>
      </c>
      <c r="M8" s="28">
        <f t="shared" si="2"/>
        <v>2.5404157043879907E-2</v>
      </c>
      <c r="N8" s="46">
        <v>41</v>
      </c>
      <c r="O8" s="172">
        <f t="shared" si="3"/>
        <v>9.4688221709006926E-2</v>
      </c>
      <c r="P8" s="260">
        <v>35947.49</v>
      </c>
      <c r="Q8" s="89">
        <f t="shared" si="4"/>
        <v>0.24536885985545226</v>
      </c>
      <c r="R8" s="260">
        <v>27557.07</v>
      </c>
      <c r="S8" s="89">
        <f t="shared" si="5"/>
        <v>0.1880978851891158</v>
      </c>
      <c r="T8" s="281">
        <v>6165</v>
      </c>
      <c r="U8" s="26"/>
    </row>
    <row r="9" spans="1:24" ht="15.6" customHeight="1" x14ac:dyDescent="0.3">
      <c r="A9" s="409" t="s">
        <v>21</v>
      </c>
      <c r="B9" s="145">
        <v>171418.89</v>
      </c>
      <c r="C9" s="73">
        <v>350406.82</v>
      </c>
      <c r="D9" s="145">
        <v>198333.11</v>
      </c>
      <c r="E9" s="145">
        <v>228284.19</v>
      </c>
      <c r="F9" s="130">
        <v>627809.38</v>
      </c>
      <c r="G9" s="288">
        <f t="shared" si="0"/>
        <v>-0.34851670409839625</v>
      </c>
      <c r="H9" s="155">
        <f t="shared" si="1"/>
        <v>0.1510140187888952</v>
      </c>
      <c r="I9" s="263">
        <f t="shared" si="6"/>
        <v>0.33173298462030631</v>
      </c>
      <c r="J9" s="273">
        <v>556</v>
      </c>
      <c r="K9" s="63">
        <f t="shared" si="7"/>
        <v>410.58307553956837</v>
      </c>
      <c r="L9" s="61">
        <v>10</v>
      </c>
      <c r="M9" s="28">
        <f t="shared" si="2"/>
        <v>1.7985611510791366E-2</v>
      </c>
      <c r="N9" s="46">
        <v>42</v>
      </c>
      <c r="O9" s="172">
        <f t="shared" si="3"/>
        <v>7.5539568345323743E-2</v>
      </c>
      <c r="P9" s="260">
        <v>39440.15</v>
      </c>
      <c r="Q9" s="89">
        <f t="shared" si="4"/>
        <v>0.17276776810518504</v>
      </c>
      <c r="R9" s="260">
        <v>31709.15</v>
      </c>
      <c r="S9" s="89">
        <f t="shared" si="5"/>
        <v>0.13890208515973007</v>
      </c>
      <c r="T9" s="281">
        <v>10811.35</v>
      </c>
      <c r="U9" s="26"/>
    </row>
    <row r="10" spans="1:24" ht="15.6" customHeight="1" x14ac:dyDescent="0.3">
      <c r="A10" s="198" t="s">
        <v>22</v>
      </c>
      <c r="B10" s="145">
        <v>120010.86</v>
      </c>
      <c r="C10" s="73">
        <v>137174.82</v>
      </c>
      <c r="D10" s="145">
        <v>90987.89</v>
      </c>
      <c r="E10" s="145">
        <v>103901.14</v>
      </c>
      <c r="F10" s="130">
        <v>317067.15999999997</v>
      </c>
      <c r="G10" s="288">
        <f t="shared" si="0"/>
        <v>-0.24256405074925563</v>
      </c>
      <c r="H10" s="155">
        <f t="shared" si="1"/>
        <v>0.14192273279444112</v>
      </c>
      <c r="I10" s="263">
        <f t="shared" si="6"/>
        <v>-0.13423551835225581</v>
      </c>
      <c r="J10" s="273">
        <v>439</v>
      </c>
      <c r="K10" s="63">
        <f t="shared" si="7"/>
        <v>236.67685649202733</v>
      </c>
      <c r="L10" s="61">
        <v>6</v>
      </c>
      <c r="M10" s="28">
        <f t="shared" si="2"/>
        <v>1.366742596810934E-2</v>
      </c>
      <c r="N10" s="46">
        <v>27</v>
      </c>
      <c r="O10" s="172">
        <f t="shared" si="3"/>
        <v>6.1503416856492028E-2</v>
      </c>
      <c r="P10" s="260">
        <v>13383.54</v>
      </c>
      <c r="Q10" s="89">
        <f t="shared" si="4"/>
        <v>0.1288103287413401</v>
      </c>
      <c r="R10" s="260">
        <v>16870.75</v>
      </c>
      <c r="S10" s="89">
        <f t="shared" si="5"/>
        <v>0.16237309812000139</v>
      </c>
      <c r="T10" s="281">
        <v>6360</v>
      </c>
      <c r="U10" s="26"/>
    </row>
    <row r="11" spans="1:24" ht="15.6" customHeight="1" x14ac:dyDescent="0.3">
      <c r="A11" s="198" t="s">
        <v>23</v>
      </c>
      <c r="B11" s="145">
        <v>166400</v>
      </c>
      <c r="C11" s="73">
        <v>203275.18</v>
      </c>
      <c r="D11" s="145">
        <v>152470.51</v>
      </c>
      <c r="E11" s="145">
        <v>204276.87</v>
      </c>
      <c r="F11" s="130">
        <v>57060.04</v>
      </c>
      <c r="G11" s="288">
        <f t="shared" si="0"/>
        <v>4.9277535998246431E-3</v>
      </c>
      <c r="H11" s="155">
        <f t="shared" si="1"/>
        <v>0.33977954163070606</v>
      </c>
      <c r="I11" s="263">
        <f t="shared" si="6"/>
        <v>0.22762542067307689</v>
      </c>
      <c r="J11" s="273">
        <v>592</v>
      </c>
      <c r="K11" s="63">
        <f t="shared" si="7"/>
        <v>345.06228040540537</v>
      </c>
      <c r="L11" s="61">
        <v>15</v>
      </c>
      <c r="M11" s="28">
        <f t="shared" si="2"/>
        <v>2.5337837837837839E-2</v>
      </c>
      <c r="N11" s="46">
        <v>48</v>
      </c>
      <c r="O11" s="172">
        <f t="shared" si="3"/>
        <v>8.1081081081081086E-2</v>
      </c>
      <c r="P11" s="260">
        <v>38755.1</v>
      </c>
      <c r="Q11" s="89">
        <f t="shared" si="4"/>
        <v>0.18971849333700874</v>
      </c>
      <c r="R11" s="260">
        <v>31304.57</v>
      </c>
      <c r="S11" s="89">
        <f t="shared" si="5"/>
        <v>0.15324578842430864</v>
      </c>
      <c r="T11" s="281">
        <v>6226.5</v>
      </c>
      <c r="U11" s="26"/>
    </row>
    <row r="12" spans="1:24" ht="15.6" customHeight="1" x14ac:dyDescent="0.3">
      <c r="A12" s="198" t="s">
        <v>26</v>
      </c>
      <c r="B12" s="145">
        <v>184907.55</v>
      </c>
      <c r="C12" s="73">
        <v>204166.38</v>
      </c>
      <c r="D12" s="145">
        <v>151189.84</v>
      </c>
      <c r="E12" s="145">
        <v>216553.12</v>
      </c>
      <c r="F12" s="130">
        <v>554044.61</v>
      </c>
      <c r="G12" s="288">
        <f t="shared" si="0"/>
        <v>6.0669832124172401E-2</v>
      </c>
      <c r="H12" s="155">
        <f t="shared" si="1"/>
        <v>0.43232587586573279</v>
      </c>
      <c r="I12" s="263">
        <f t="shared" si="6"/>
        <v>0.1711426602104674</v>
      </c>
      <c r="J12" s="273">
        <v>599</v>
      </c>
      <c r="K12" s="63">
        <f t="shared" si="7"/>
        <v>361.52440734557598</v>
      </c>
      <c r="L12" s="61">
        <v>10</v>
      </c>
      <c r="M12" s="28">
        <f t="shared" si="2"/>
        <v>1.6694490818030049E-2</v>
      </c>
      <c r="N12" s="46">
        <v>42</v>
      </c>
      <c r="O12" s="172">
        <f t="shared" si="3"/>
        <v>7.0116861435726208E-2</v>
      </c>
      <c r="P12" s="260">
        <v>23471</v>
      </c>
      <c r="Q12" s="89">
        <f t="shared" si="4"/>
        <v>0.10838449245155184</v>
      </c>
      <c r="R12" s="260">
        <f>SUM(19931.5/1.15)</f>
        <v>17331.739130434784</v>
      </c>
      <c r="S12" s="89">
        <f t="shared" si="5"/>
        <v>8.0034585188312149E-2</v>
      </c>
      <c r="T12" s="281">
        <v>2107.1999999999998</v>
      </c>
      <c r="U12" s="9"/>
    </row>
    <row r="13" spans="1:24" ht="15.6" customHeight="1" x14ac:dyDescent="0.3">
      <c r="A13" s="198" t="s">
        <v>27</v>
      </c>
      <c r="B13" s="145">
        <v>114619.6</v>
      </c>
      <c r="C13" s="73">
        <v>119243.42</v>
      </c>
      <c r="D13" s="145">
        <v>104993.53</v>
      </c>
      <c r="E13" s="145">
        <v>128209.03</v>
      </c>
      <c r="F13" s="130">
        <v>368859.21</v>
      </c>
      <c r="G13" s="288">
        <f t="shared" si="0"/>
        <v>7.5187461077516907E-2</v>
      </c>
      <c r="H13" s="155">
        <f t="shared" si="1"/>
        <v>0.22111362481097646</v>
      </c>
      <c r="I13" s="263">
        <f t="shared" si="6"/>
        <v>0.11856113614076469</v>
      </c>
      <c r="J13" s="273">
        <v>420</v>
      </c>
      <c r="K13" s="63">
        <f t="shared" si="7"/>
        <v>305.25959523809524</v>
      </c>
      <c r="L13" s="61">
        <v>11</v>
      </c>
      <c r="M13" s="28">
        <f t="shared" si="2"/>
        <v>2.6190476190476191E-2</v>
      </c>
      <c r="N13" s="46">
        <v>25</v>
      </c>
      <c r="O13" s="172">
        <f t="shared" si="3"/>
        <v>5.9523809523809521E-2</v>
      </c>
      <c r="P13" s="260">
        <v>34304.910000000003</v>
      </c>
      <c r="Q13" s="89">
        <f t="shared" si="4"/>
        <v>0.26757015476990975</v>
      </c>
      <c r="R13" s="260">
        <v>18754.18</v>
      </c>
      <c r="S13" s="89">
        <f t="shared" si="5"/>
        <v>0.14627815217071685</v>
      </c>
      <c r="T13" s="281">
        <v>5353.5</v>
      </c>
      <c r="U13" s="9"/>
      <c r="X13" s="238"/>
    </row>
    <row r="14" spans="1:24" ht="15.6" customHeight="1" x14ac:dyDescent="0.3">
      <c r="A14" s="198" t="s">
        <v>55</v>
      </c>
      <c r="B14" s="145">
        <v>152915.98000000001</v>
      </c>
      <c r="C14" s="73">
        <v>193070.24</v>
      </c>
      <c r="D14" s="145">
        <v>116056.04</v>
      </c>
      <c r="E14" s="145">
        <v>168308.93</v>
      </c>
      <c r="F14" s="130">
        <v>490249.9</v>
      </c>
      <c r="G14" s="288">
        <f t="shared" si="0"/>
        <v>-0.12825026788178229</v>
      </c>
      <c r="H14" s="155">
        <f t="shared" si="1"/>
        <v>0.45023843653462586</v>
      </c>
      <c r="I14" s="263">
        <f t="shared" si="6"/>
        <v>0.10066279534683022</v>
      </c>
      <c r="J14" s="273">
        <v>575</v>
      </c>
      <c r="K14" s="63">
        <f t="shared" si="7"/>
        <v>292.71118260869565</v>
      </c>
      <c r="L14" s="61">
        <v>7</v>
      </c>
      <c r="M14" s="28">
        <f t="shared" si="2"/>
        <v>1.2173913043478261E-2</v>
      </c>
      <c r="N14" s="46">
        <v>17</v>
      </c>
      <c r="O14" s="172">
        <f t="shared" si="3"/>
        <v>2.9565217391304348E-2</v>
      </c>
      <c r="P14" s="260">
        <v>35480.82</v>
      </c>
      <c r="Q14" s="89">
        <f t="shared" si="4"/>
        <v>0.21080770937109516</v>
      </c>
      <c r="R14" s="260">
        <v>28476.99</v>
      </c>
      <c r="S14" s="89">
        <f t="shared" si="5"/>
        <v>0.16919476583922197</v>
      </c>
      <c r="T14" s="281">
        <v>4152</v>
      </c>
      <c r="U14" s="9"/>
    </row>
    <row r="15" spans="1:24" ht="16.2" customHeight="1" thickBot="1" x14ac:dyDescent="0.35">
      <c r="A15" s="199" t="s">
        <v>33</v>
      </c>
      <c r="B15" s="146">
        <v>132954.25</v>
      </c>
      <c r="C15" s="131">
        <v>145702.12</v>
      </c>
      <c r="D15" s="131">
        <v>134734.75</v>
      </c>
      <c r="E15" s="146">
        <v>146831.6</v>
      </c>
      <c r="F15" s="134">
        <v>422494.31</v>
      </c>
      <c r="G15" s="289">
        <f t="shared" si="0"/>
        <v>7.7519805477093296E-3</v>
      </c>
      <c r="H15" s="156">
        <f t="shared" si="1"/>
        <v>8.9782702680637372E-2</v>
      </c>
      <c r="I15" s="264">
        <f t="shared" si="6"/>
        <v>0.10437688152127522</v>
      </c>
      <c r="J15" s="282">
        <v>493</v>
      </c>
      <c r="K15" s="132">
        <f t="shared" si="7"/>
        <v>297.83286004056794</v>
      </c>
      <c r="L15" s="133">
        <v>13</v>
      </c>
      <c r="M15" s="114">
        <f t="shared" si="2"/>
        <v>2.6369168356997971E-2</v>
      </c>
      <c r="N15" s="115">
        <v>37</v>
      </c>
      <c r="O15" s="173">
        <f t="shared" si="3"/>
        <v>7.5050709939148072E-2</v>
      </c>
      <c r="P15" s="261">
        <v>22677.38</v>
      </c>
      <c r="Q15" s="116">
        <f t="shared" si="4"/>
        <v>0.15444481977993837</v>
      </c>
      <c r="R15" s="261">
        <v>27168.38</v>
      </c>
      <c r="S15" s="116">
        <f t="shared" si="5"/>
        <v>0.18503087891162392</v>
      </c>
      <c r="T15" s="283">
        <v>4850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15">
    <cfRule type="cellIs" dxfId="173" priority="1" operator="equal">
      <formula>0</formula>
    </cfRule>
  </conditionalFormatting>
  <conditionalFormatting sqref="D6:D15">
    <cfRule type="cellIs" dxfId="172" priority="5" operator="equal">
      <formula>0</formula>
    </cfRule>
  </conditionalFormatting>
  <conditionalFormatting sqref="E13:E15">
    <cfRule type="cellIs" dxfId="171" priority="10" operator="equal">
      <formula>0</formula>
    </cfRule>
  </conditionalFormatting>
  <conditionalFormatting sqref="E5:T15">
    <cfRule type="cellIs" dxfId="170" priority="6" operator="equal">
      <formula>0</formula>
    </cfRule>
  </conditionalFormatting>
  <conditionalFormatting sqref="T13:T15">
    <cfRule type="cellIs" dxfId="169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X37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defaultRowHeight="14.4" x14ac:dyDescent="0.3"/>
  <cols>
    <col min="1" max="1" width="23" customWidth="1"/>
    <col min="2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-9.8858877497213157E-2</v>
      </c>
      <c r="H2" s="413"/>
      <c r="I2" s="400">
        <f>((E4-B4)/E4)</f>
        <v>-3.4302436168336524E-2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1956919.5300000003</v>
      </c>
      <c r="C4" s="135">
        <f>SUM(C5:C15)</f>
        <v>2099580.8899999997</v>
      </c>
      <c r="D4" s="135">
        <f>SUM(D5:D15)</f>
        <v>1184640.24</v>
      </c>
      <c r="E4" s="135">
        <f>SUM(E5:E15)</f>
        <v>1892018.68</v>
      </c>
      <c r="F4" s="135">
        <f>SUM(F5:F15)</f>
        <v>7406869.1700000009</v>
      </c>
      <c r="G4" s="217">
        <f t="shared" ref="G4:G15" si="0">IFERROR((SUM(E4-C4)/C4),0)</f>
        <v>-9.8858877497213157E-2</v>
      </c>
      <c r="H4" s="217">
        <f t="shared" ref="H4:H15" si="1">IFERROR((SUM(E4-D4)/D4),0)</f>
        <v>0.59712511538524127</v>
      </c>
      <c r="I4" s="217">
        <f>IFERROR((SUM(E4-B4)/E4),0)</f>
        <v>-3.4302436168336524E-2</v>
      </c>
      <c r="J4" s="262">
        <f>SUM(J5:J15)</f>
        <v>5899</v>
      </c>
      <c r="K4" s="218">
        <f>AVERAGE(K5:K15)</f>
        <v>322.04350016477616</v>
      </c>
      <c r="L4" s="219">
        <f>SUM(L5:L15)</f>
        <v>91</v>
      </c>
      <c r="M4" s="220">
        <f t="shared" ref="M4:M15" si="2">IFERROR(L4/J4,0)</f>
        <v>1.5426343448042041E-2</v>
      </c>
      <c r="N4" s="221">
        <f>SUM(N5:N15)</f>
        <v>340</v>
      </c>
      <c r="O4" s="222">
        <f t="shared" ref="O4:O15" si="3">IFERROR(N4/SUM(J4),0)</f>
        <v>5.7636887608069162E-2</v>
      </c>
      <c r="P4" s="249">
        <f>SUM(P5:P15)</f>
        <v>383410.97000000003</v>
      </c>
      <c r="Q4" s="222">
        <f t="shared" ref="Q4:Q15" si="4">SUM(P4/E4)</f>
        <v>0.20264650346898269</v>
      </c>
      <c r="R4" s="244">
        <f>SUM(R5:R15)</f>
        <v>264400.55913043476</v>
      </c>
      <c r="S4" s="222">
        <f t="shared" ref="S4:S15" si="5">SUM(R4/E4)</f>
        <v>0.1397452160094079</v>
      </c>
      <c r="T4" s="257">
        <f>SUM(T5:T15)</f>
        <v>69637.079999999987</v>
      </c>
      <c r="U4" s="24"/>
    </row>
    <row r="5" spans="1:24" ht="16.5" customHeight="1" x14ac:dyDescent="0.3">
      <c r="A5" s="408" t="s">
        <v>15</v>
      </c>
      <c r="B5" s="144">
        <v>279205.43</v>
      </c>
      <c r="C5" s="255">
        <v>250573.07</v>
      </c>
      <c r="D5" s="197">
        <v>132613.41</v>
      </c>
      <c r="E5" s="144">
        <v>191035.01</v>
      </c>
      <c r="F5" s="129">
        <v>926332.4</v>
      </c>
      <c r="G5" s="287">
        <f t="shared" si="0"/>
        <v>-0.23760757690361536</v>
      </c>
      <c r="H5" s="154">
        <f t="shared" si="1"/>
        <v>0.44054066628706706</v>
      </c>
      <c r="I5" s="266">
        <f t="shared" ref="I5:I15" si="6">IFERROR((SUM(E5-B5)/B5),0)</f>
        <v>-0.31579049161042455</v>
      </c>
      <c r="J5" s="285">
        <v>679</v>
      </c>
      <c r="K5" s="124">
        <f t="shared" ref="K5:K15" si="7">IFERROR(E5/J5,0)</f>
        <v>281.34758468335787</v>
      </c>
      <c r="L5" s="125">
        <v>4</v>
      </c>
      <c r="M5" s="126">
        <f t="shared" si="2"/>
        <v>5.8910162002945507E-3</v>
      </c>
      <c r="N5" s="127">
        <v>24</v>
      </c>
      <c r="O5" s="171">
        <f t="shared" si="3"/>
        <v>3.5346097201767304E-2</v>
      </c>
      <c r="P5" s="259">
        <v>46734.82</v>
      </c>
      <c r="Q5" s="128">
        <f t="shared" si="4"/>
        <v>0.24464007932367998</v>
      </c>
      <c r="R5" s="259">
        <v>9338.07</v>
      </c>
      <c r="S5" s="128">
        <f t="shared" si="5"/>
        <v>4.8881458953518517E-2</v>
      </c>
      <c r="T5" s="286">
        <v>9293.3799999999992</v>
      </c>
      <c r="U5" s="26"/>
    </row>
    <row r="6" spans="1:24" ht="15.6" customHeight="1" x14ac:dyDescent="0.3">
      <c r="A6" s="409" t="s">
        <v>16</v>
      </c>
      <c r="B6" s="145">
        <v>221679.83</v>
      </c>
      <c r="C6" s="73">
        <v>248168.49</v>
      </c>
      <c r="D6" s="145">
        <v>110299.53</v>
      </c>
      <c r="E6" s="145">
        <v>210378.92</v>
      </c>
      <c r="F6" s="130">
        <v>847161.65</v>
      </c>
      <c r="G6" s="288">
        <f t="shared" si="0"/>
        <v>-0.15227384427410579</v>
      </c>
      <c r="H6" s="155">
        <f t="shared" si="1"/>
        <v>0.90734194424944525</v>
      </c>
      <c r="I6" s="263">
        <f t="shared" si="6"/>
        <v>-5.097852159125156E-2</v>
      </c>
      <c r="J6" s="273">
        <v>601</v>
      </c>
      <c r="K6" s="63">
        <f t="shared" si="7"/>
        <v>350.04811980033281</v>
      </c>
      <c r="L6" s="61">
        <v>1</v>
      </c>
      <c r="M6" s="28">
        <f t="shared" si="2"/>
        <v>1.6638935108153079E-3</v>
      </c>
      <c r="N6" s="46">
        <v>15</v>
      </c>
      <c r="O6" s="172">
        <f t="shared" si="3"/>
        <v>2.4958402662229616E-2</v>
      </c>
      <c r="P6" s="260">
        <v>44251.85</v>
      </c>
      <c r="Q6" s="89">
        <f t="shared" si="4"/>
        <v>0.21034355533339555</v>
      </c>
      <c r="R6" s="260">
        <v>31527.9</v>
      </c>
      <c r="S6" s="89">
        <f t="shared" si="5"/>
        <v>0.14986244819585537</v>
      </c>
      <c r="T6" s="281">
        <v>9798.15</v>
      </c>
      <c r="U6" s="26"/>
    </row>
    <row r="7" spans="1:24" ht="15.6" customHeight="1" x14ac:dyDescent="0.3">
      <c r="A7" s="409" t="s">
        <v>17</v>
      </c>
      <c r="B7" s="145">
        <v>113165.51</v>
      </c>
      <c r="C7" s="73">
        <v>99413.99</v>
      </c>
      <c r="D7" s="145">
        <v>88716.479999999996</v>
      </c>
      <c r="E7" s="145">
        <v>133572.35</v>
      </c>
      <c r="F7" s="130">
        <v>494285.32</v>
      </c>
      <c r="G7" s="288">
        <f t="shared" si="0"/>
        <v>0.34359711344449606</v>
      </c>
      <c r="H7" s="155">
        <f t="shared" si="1"/>
        <v>0.50560921713756013</v>
      </c>
      <c r="I7" s="263">
        <f t="shared" si="6"/>
        <v>0.18032738066571707</v>
      </c>
      <c r="J7" s="273">
        <v>512</v>
      </c>
      <c r="K7" s="63">
        <f t="shared" si="7"/>
        <v>260.88349609375001</v>
      </c>
      <c r="L7" s="61">
        <v>3</v>
      </c>
      <c r="M7" s="28">
        <f t="shared" si="2"/>
        <v>5.859375E-3</v>
      </c>
      <c r="N7" s="46">
        <v>22</v>
      </c>
      <c r="O7" s="172">
        <f t="shared" si="3"/>
        <v>4.296875E-2</v>
      </c>
      <c r="P7" s="260">
        <v>48963.91</v>
      </c>
      <c r="Q7" s="89">
        <f t="shared" si="4"/>
        <v>0.36657219851264128</v>
      </c>
      <c r="R7" s="260">
        <v>24361.759999999998</v>
      </c>
      <c r="S7" s="89">
        <f t="shared" si="5"/>
        <v>0.18238624984886465</v>
      </c>
      <c r="T7" s="281">
        <v>4520</v>
      </c>
      <c r="U7" s="26"/>
    </row>
    <row r="8" spans="1:24" ht="15.6" customHeight="1" x14ac:dyDescent="0.3">
      <c r="A8" s="409" t="s">
        <v>20</v>
      </c>
      <c r="B8" s="145">
        <v>146503.88</v>
      </c>
      <c r="C8" s="73">
        <v>148386.35999999999</v>
      </c>
      <c r="D8" s="145"/>
      <c r="E8" s="145">
        <v>179262.21</v>
      </c>
      <c r="F8" s="130">
        <v>610189</v>
      </c>
      <c r="G8" s="288">
        <f t="shared" si="0"/>
        <v>0.20807741358437534</v>
      </c>
      <c r="H8" s="155">
        <f t="shared" si="1"/>
        <v>0</v>
      </c>
      <c r="I8" s="263">
        <f t="shared" si="6"/>
        <v>0.22360042614571018</v>
      </c>
      <c r="J8" s="273">
        <v>433</v>
      </c>
      <c r="K8" s="63">
        <f t="shared" si="7"/>
        <v>414.00048498845263</v>
      </c>
      <c r="L8" s="61">
        <v>11</v>
      </c>
      <c r="M8" s="28">
        <f t="shared" si="2"/>
        <v>2.5404157043879907E-2</v>
      </c>
      <c r="N8" s="46">
        <v>41</v>
      </c>
      <c r="O8" s="172">
        <f t="shared" si="3"/>
        <v>9.4688221709006926E-2</v>
      </c>
      <c r="P8" s="260">
        <v>35947.49</v>
      </c>
      <c r="Q8" s="89">
        <f t="shared" si="4"/>
        <v>0.20053021771850296</v>
      </c>
      <c r="R8" s="260">
        <v>27557.07</v>
      </c>
      <c r="S8" s="89">
        <f t="shared" si="5"/>
        <v>0.1537249261849444</v>
      </c>
      <c r="T8" s="281">
        <v>6165</v>
      </c>
      <c r="U8" s="26"/>
    </row>
    <row r="9" spans="1:24" ht="15.6" customHeight="1" x14ac:dyDescent="0.3">
      <c r="A9" s="409" t="s">
        <v>21</v>
      </c>
      <c r="B9" s="145">
        <v>228284.19</v>
      </c>
      <c r="C9" s="73">
        <v>350406.82</v>
      </c>
      <c r="D9" s="145">
        <v>177064.58</v>
      </c>
      <c r="E9" s="145">
        <v>216386.55</v>
      </c>
      <c r="F9" s="130">
        <v>844195.93</v>
      </c>
      <c r="G9" s="288">
        <f t="shared" si="0"/>
        <v>-0.38247049529458366</v>
      </c>
      <c r="H9" s="155">
        <f t="shared" si="1"/>
        <v>0.22207699586218771</v>
      </c>
      <c r="I9" s="263">
        <f t="shared" si="6"/>
        <v>-5.2117669646767978E-2</v>
      </c>
      <c r="J9" s="273">
        <v>556</v>
      </c>
      <c r="K9" s="63">
        <f t="shared" si="7"/>
        <v>389.18444244604314</v>
      </c>
      <c r="L9" s="61">
        <v>10</v>
      </c>
      <c r="M9" s="28">
        <f t="shared" si="2"/>
        <v>1.7985611510791366E-2</v>
      </c>
      <c r="N9" s="46">
        <v>42</v>
      </c>
      <c r="O9" s="172">
        <f t="shared" si="3"/>
        <v>7.5539568345323743E-2</v>
      </c>
      <c r="P9" s="260">
        <v>39440.15</v>
      </c>
      <c r="Q9" s="89">
        <f t="shared" si="4"/>
        <v>0.18226710486395759</v>
      </c>
      <c r="R9" s="260">
        <v>31709.15</v>
      </c>
      <c r="S9" s="89">
        <f t="shared" si="5"/>
        <v>0.14653937594550126</v>
      </c>
      <c r="T9" s="281">
        <v>10811.35</v>
      </c>
      <c r="U9" s="26"/>
    </row>
    <row r="10" spans="1:24" ht="15.6" customHeight="1" x14ac:dyDescent="0.3">
      <c r="A10" s="198" t="s">
        <v>22</v>
      </c>
      <c r="B10" s="145">
        <v>103901.14</v>
      </c>
      <c r="C10" s="73">
        <v>137174.82</v>
      </c>
      <c r="D10" s="145">
        <v>93610.01</v>
      </c>
      <c r="E10" s="145">
        <v>140792.72</v>
      </c>
      <c r="F10" s="130">
        <v>457859.88</v>
      </c>
      <c r="G10" s="288">
        <f t="shared" si="0"/>
        <v>2.6374373955803214E-2</v>
      </c>
      <c r="H10" s="155">
        <f t="shared" si="1"/>
        <v>0.5040348783212395</v>
      </c>
      <c r="I10" s="263">
        <f t="shared" si="6"/>
        <v>0.35506424664830438</v>
      </c>
      <c r="J10" s="273">
        <v>439</v>
      </c>
      <c r="K10" s="63">
        <f t="shared" si="7"/>
        <v>320.71234624145785</v>
      </c>
      <c r="L10" s="61">
        <v>6</v>
      </c>
      <c r="M10" s="28">
        <f t="shared" si="2"/>
        <v>1.366742596810934E-2</v>
      </c>
      <c r="N10" s="46">
        <v>27</v>
      </c>
      <c r="O10" s="172">
        <f t="shared" si="3"/>
        <v>6.1503416856492028E-2</v>
      </c>
      <c r="P10" s="260">
        <v>13383.54</v>
      </c>
      <c r="Q10" s="89">
        <f t="shared" si="4"/>
        <v>9.5058466091144489E-2</v>
      </c>
      <c r="R10" s="260">
        <v>16870.75</v>
      </c>
      <c r="S10" s="89">
        <f t="shared" si="5"/>
        <v>0.11982686320713173</v>
      </c>
      <c r="T10" s="281">
        <v>6360</v>
      </c>
      <c r="U10" s="26"/>
    </row>
    <row r="11" spans="1:24" ht="15.6" customHeight="1" x14ac:dyDescent="0.3">
      <c r="A11" s="198" t="s">
        <v>23</v>
      </c>
      <c r="B11" s="145">
        <v>204276.87</v>
      </c>
      <c r="C11" s="73">
        <v>203275.18</v>
      </c>
      <c r="D11" s="145">
        <v>151392.85999999999</v>
      </c>
      <c r="E11" s="145">
        <v>183536.57</v>
      </c>
      <c r="F11" s="130">
        <v>754142.61</v>
      </c>
      <c r="G11" s="288">
        <f t="shared" si="0"/>
        <v>-9.7102902577678132E-2</v>
      </c>
      <c r="H11" s="155">
        <f t="shared" si="1"/>
        <v>0.21231985445020343</v>
      </c>
      <c r="I11" s="263">
        <f t="shared" si="6"/>
        <v>-0.10153033968065003</v>
      </c>
      <c r="J11" s="273">
        <v>592</v>
      </c>
      <c r="K11" s="63">
        <f t="shared" si="7"/>
        <v>310.02798986486488</v>
      </c>
      <c r="L11" s="61">
        <v>15</v>
      </c>
      <c r="M11" s="28">
        <f t="shared" si="2"/>
        <v>2.5337837837837839E-2</v>
      </c>
      <c r="N11" s="46">
        <v>48</v>
      </c>
      <c r="O11" s="172">
        <f t="shared" si="3"/>
        <v>8.1081081081081086E-2</v>
      </c>
      <c r="P11" s="260">
        <v>38755.1</v>
      </c>
      <c r="Q11" s="89">
        <f t="shared" si="4"/>
        <v>0.21115737316001926</v>
      </c>
      <c r="R11" s="260">
        <v>31304.57</v>
      </c>
      <c r="S11" s="89">
        <f t="shared" si="5"/>
        <v>0.17056311992754358</v>
      </c>
      <c r="T11" s="281">
        <v>6226.5</v>
      </c>
      <c r="U11" s="26"/>
    </row>
    <row r="12" spans="1:24" ht="15.6" customHeight="1" x14ac:dyDescent="0.3">
      <c r="A12" s="198" t="s">
        <v>26</v>
      </c>
      <c r="B12" s="145">
        <v>216553.12</v>
      </c>
      <c r="C12" s="73">
        <v>204166.38</v>
      </c>
      <c r="D12" s="145">
        <v>108896.3</v>
      </c>
      <c r="E12" s="145">
        <v>201252.54</v>
      </c>
      <c r="F12" s="130">
        <v>755297.15</v>
      </c>
      <c r="G12" s="288">
        <f t="shared" si="0"/>
        <v>-1.4271889426652891E-2</v>
      </c>
      <c r="H12" s="155">
        <f t="shared" si="1"/>
        <v>0.84811182749092484</v>
      </c>
      <c r="I12" s="263">
        <f t="shared" si="6"/>
        <v>-7.0655089153183234E-2</v>
      </c>
      <c r="J12" s="273">
        <v>599</v>
      </c>
      <c r="K12" s="63">
        <f t="shared" si="7"/>
        <v>335.98086811352255</v>
      </c>
      <c r="L12" s="61">
        <v>10</v>
      </c>
      <c r="M12" s="28">
        <f t="shared" si="2"/>
        <v>1.6694490818030049E-2</v>
      </c>
      <c r="N12" s="46">
        <v>42</v>
      </c>
      <c r="O12" s="172">
        <f t="shared" si="3"/>
        <v>7.0116861435726208E-2</v>
      </c>
      <c r="P12" s="260">
        <v>23471</v>
      </c>
      <c r="Q12" s="89">
        <f t="shared" si="4"/>
        <v>0.11662461502349238</v>
      </c>
      <c r="R12" s="260">
        <f>SUM(19931.5/1.15)</f>
        <v>17331.739130434784</v>
      </c>
      <c r="S12" s="89">
        <f t="shared" si="5"/>
        <v>8.6119355961593244E-2</v>
      </c>
      <c r="T12" s="281">
        <v>2107.1999999999998</v>
      </c>
      <c r="U12" s="9"/>
    </row>
    <row r="13" spans="1:24" ht="15.6" customHeight="1" x14ac:dyDescent="0.3">
      <c r="A13" s="198" t="s">
        <v>27</v>
      </c>
      <c r="B13" s="145">
        <v>128209.03</v>
      </c>
      <c r="C13" s="73">
        <v>119243.42</v>
      </c>
      <c r="D13" s="145">
        <v>87193.5</v>
      </c>
      <c r="E13" s="145">
        <v>131200.66</v>
      </c>
      <c r="F13" s="130">
        <v>500059.87</v>
      </c>
      <c r="G13" s="288">
        <f t="shared" si="0"/>
        <v>0.10027588943691824</v>
      </c>
      <c r="H13" s="155">
        <f t="shared" si="1"/>
        <v>0.50470688755469162</v>
      </c>
      <c r="I13" s="263">
        <f t="shared" si="6"/>
        <v>2.3334003852926777E-2</v>
      </c>
      <c r="J13" s="273">
        <v>420</v>
      </c>
      <c r="K13" s="63">
        <f t="shared" si="7"/>
        <v>312.38252380952383</v>
      </c>
      <c r="L13" s="61">
        <v>11</v>
      </c>
      <c r="M13" s="28">
        <f t="shared" si="2"/>
        <v>2.6190476190476191E-2</v>
      </c>
      <c r="N13" s="46">
        <v>25</v>
      </c>
      <c r="O13" s="172">
        <f t="shared" si="3"/>
        <v>5.9523809523809521E-2</v>
      </c>
      <c r="P13" s="260">
        <v>34304.910000000003</v>
      </c>
      <c r="Q13" s="89">
        <f t="shared" si="4"/>
        <v>0.26146903529296273</v>
      </c>
      <c r="R13" s="260">
        <v>18754.18</v>
      </c>
      <c r="S13" s="89">
        <f t="shared" si="5"/>
        <v>0.14294272605031103</v>
      </c>
      <c r="T13" s="281">
        <v>5353.5</v>
      </c>
      <c r="U13" s="9"/>
      <c r="X13" s="238"/>
    </row>
    <row r="14" spans="1:24" ht="15.6" customHeight="1" x14ac:dyDescent="0.3">
      <c r="A14" s="198" t="s">
        <v>55</v>
      </c>
      <c r="B14" s="145">
        <v>168308.93</v>
      </c>
      <c r="C14" s="73">
        <v>193070.24</v>
      </c>
      <c r="D14" s="145">
        <v>114871.66</v>
      </c>
      <c r="E14" s="145">
        <v>172648.67</v>
      </c>
      <c r="F14" s="130">
        <v>662898.56999999995</v>
      </c>
      <c r="G14" s="288">
        <f t="shared" si="0"/>
        <v>-0.10577274881928971</v>
      </c>
      <c r="H14" s="155">
        <f t="shared" si="1"/>
        <v>0.50297009723721242</v>
      </c>
      <c r="I14" s="263">
        <f t="shared" si="6"/>
        <v>2.578437163138058E-2</v>
      </c>
      <c r="J14" s="273">
        <v>575</v>
      </c>
      <c r="K14" s="63">
        <f t="shared" si="7"/>
        <v>300.25855652173914</v>
      </c>
      <c r="L14" s="61">
        <v>7</v>
      </c>
      <c r="M14" s="28">
        <f t="shared" si="2"/>
        <v>1.2173913043478261E-2</v>
      </c>
      <c r="N14" s="46">
        <v>17</v>
      </c>
      <c r="O14" s="172">
        <f t="shared" si="3"/>
        <v>2.9565217391304348E-2</v>
      </c>
      <c r="P14" s="260">
        <v>35480.82</v>
      </c>
      <c r="Q14" s="89">
        <f t="shared" si="4"/>
        <v>0.20550879424672081</v>
      </c>
      <c r="R14" s="260">
        <v>28476.99</v>
      </c>
      <c r="S14" s="89">
        <f t="shared" si="5"/>
        <v>0.16494184403505685</v>
      </c>
      <c r="T14" s="281">
        <v>4152</v>
      </c>
      <c r="U14" s="9"/>
    </row>
    <row r="15" spans="1:24" ht="16.2" customHeight="1" thickBot="1" x14ac:dyDescent="0.35">
      <c r="A15" s="199" t="s">
        <v>33</v>
      </c>
      <c r="B15" s="146">
        <v>146831.6</v>
      </c>
      <c r="C15" s="131">
        <v>145702.12</v>
      </c>
      <c r="D15" s="131">
        <v>119981.91</v>
      </c>
      <c r="E15" s="146">
        <v>131952.48000000001</v>
      </c>
      <c r="F15" s="134">
        <v>554446.79</v>
      </c>
      <c r="G15" s="289">
        <f t="shared" si="0"/>
        <v>-9.4368153325428514E-2</v>
      </c>
      <c r="H15" s="156">
        <f t="shared" si="1"/>
        <v>9.9769790295887159E-2</v>
      </c>
      <c r="I15" s="264">
        <f t="shared" si="6"/>
        <v>-0.10133459010185815</v>
      </c>
      <c r="J15" s="282">
        <v>493</v>
      </c>
      <c r="K15" s="132">
        <f t="shared" si="7"/>
        <v>267.65208924949292</v>
      </c>
      <c r="L15" s="133">
        <v>13</v>
      </c>
      <c r="M15" s="114">
        <f t="shared" si="2"/>
        <v>2.6369168356997971E-2</v>
      </c>
      <c r="N15" s="115">
        <v>37</v>
      </c>
      <c r="O15" s="173">
        <f t="shared" si="3"/>
        <v>7.5050709939148072E-2</v>
      </c>
      <c r="P15" s="261">
        <v>22677.38</v>
      </c>
      <c r="Q15" s="116">
        <f t="shared" si="4"/>
        <v>0.17186020300641563</v>
      </c>
      <c r="R15" s="261">
        <v>27168.38</v>
      </c>
      <c r="S15" s="116">
        <f t="shared" si="5"/>
        <v>0.20589518287189448</v>
      </c>
      <c r="T15" s="283">
        <v>4850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15">
    <cfRule type="cellIs" dxfId="168" priority="1" operator="equal">
      <formula>0</formula>
    </cfRule>
  </conditionalFormatting>
  <conditionalFormatting sqref="D6:D15">
    <cfRule type="cellIs" dxfId="167" priority="5" operator="equal">
      <formula>0</formula>
    </cfRule>
  </conditionalFormatting>
  <conditionalFormatting sqref="E13:E15">
    <cfRule type="cellIs" dxfId="166" priority="10" operator="equal">
      <formula>0</formula>
    </cfRule>
  </conditionalFormatting>
  <conditionalFormatting sqref="E5:T15">
    <cfRule type="cellIs" dxfId="165" priority="6" operator="equal">
      <formula>0</formula>
    </cfRule>
  </conditionalFormatting>
  <conditionalFormatting sqref="T13:T15">
    <cfRule type="cellIs" dxfId="164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X37"/>
  <sheetViews>
    <sheetView zoomScale="70" zoomScaleNormal="70" workbookViewId="0">
      <pane xSplit="1" topLeftCell="B1" activePane="topRight" state="frozen"/>
      <selection pane="topRight" activeCell="D7" sqref="D7"/>
    </sheetView>
  </sheetViews>
  <sheetFormatPr defaultRowHeight="14.4" x14ac:dyDescent="0.3"/>
  <cols>
    <col min="1" max="1" width="23" customWidth="1"/>
    <col min="2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6.3198945368901097E-2</v>
      </c>
      <c r="H2" s="413"/>
      <c r="I2" s="400">
        <f>((E4-B4)/E4)</f>
        <v>0.22092809902765875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1892018.68</v>
      </c>
      <c r="C4" s="135">
        <f>SUM(C5:C15)</f>
        <v>2284195.8700000006</v>
      </c>
      <c r="D4" s="135">
        <f>SUM(D5:D15)</f>
        <v>671237.55</v>
      </c>
      <c r="E4" s="135">
        <f>SUM(E5:E15)</f>
        <v>2428554.64</v>
      </c>
      <c r="F4" s="135">
        <f>SUM(F5:F15)</f>
        <v>8830513.0199999996</v>
      </c>
      <c r="G4" s="217">
        <f t="shared" ref="G4:G15" si="0">IFERROR((SUM(E4-C4)/C4),0)</f>
        <v>6.3198945368901097E-2</v>
      </c>
      <c r="H4" s="217">
        <f t="shared" ref="H4:H15" si="1">IFERROR((SUM(E4-D4)/D4),0)</f>
        <v>2.618025600623803</v>
      </c>
      <c r="I4" s="217">
        <f>IFERROR((SUM(E4-B4)/E4),0)</f>
        <v>0.22092809902765875</v>
      </c>
      <c r="J4" s="262">
        <f>SUM(J5:J15)</f>
        <v>5899</v>
      </c>
      <c r="K4" s="218">
        <f>AVERAGE(K5:K15)</f>
        <v>408.34567016024516</v>
      </c>
      <c r="L4" s="219">
        <f>SUM(L5:L15)</f>
        <v>91</v>
      </c>
      <c r="M4" s="220">
        <f t="shared" ref="M4:M15" si="2">IFERROR(L4/J4,0)</f>
        <v>1.5426343448042041E-2</v>
      </c>
      <c r="N4" s="221">
        <f>SUM(N5:N15)</f>
        <v>340</v>
      </c>
      <c r="O4" s="222">
        <f t="shared" ref="O4:O15" si="3">IFERROR(N4/SUM(J4),0)</f>
        <v>5.7636887608069162E-2</v>
      </c>
      <c r="P4" s="249">
        <f>SUM(P5:P15)</f>
        <v>383410.97000000003</v>
      </c>
      <c r="Q4" s="222">
        <f t="shared" ref="Q4:Q15" si="4">SUM(P4/E4)</f>
        <v>0.15787619668297848</v>
      </c>
      <c r="R4" s="244">
        <f>SUM(R5:R15)</f>
        <v>264400.55913043476</v>
      </c>
      <c r="S4" s="222">
        <f t="shared" ref="S4:S15" si="5">SUM(R4/E4)</f>
        <v>0.10887157108823986</v>
      </c>
      <c r="T4" s="257">
        <f>SUM(T5:T15)</f>
        <v>69637.079999999987</v>
      </c>
      <c r="U4" s="24"/>
    </row>
    <row r="5" spans="1:24" ht="16.5" customHeight="1" x14ac:dyDescent="0.3">
      <c r="A5" s="408" t="s">
        <v>15</v>
      </c>
      <c r="B5" s="144">
        <v>191035.01</v>
      </c>
      <c r="C5" s="255">
        <v>271223.01</v>
      </c>
      <c r="D5" s="197">
        <v>76505.179999999993</v>
      </c>
      <c r="E5" s="144">
        <v>268572.24</v>
      </c>
      <c r="F5" s="129">
        <v>1089848.1599999999</v>
      </c>
      <c r="G5" s="287">
        <f t="shared" si="0"/>
        <v>-9.7733964385986957E-3</v>
      </c>
      <c r="H5" s="154">
        <f t="shared" si="1"/>
        <v>2.5105105301366524</v>
      </c>
      <c r="I5" s="266">
        <f t="shared" ref="I5:I15" si="6">IFERROR((SUM(E5-B5)/B5),0)</f>
        <v>0.40587968666057589</v>
      </c>
      <c r="J5" s="285">
        <v>679</v>
      </c>
      <c r="K5" s="124">
        <f t="shared" ref="K5:K15" si="7">IFERROR(E5/J5,0)</f>
        <v>395.54085419734901</v>
      </c>
      <c r="L5" s="125">
        <v>4</v>
      </c>
      <c r="M5" s="126">
        <f t="shared" si="2"/>
        <v>5.8910162002945507E-3</v>
      </c>
      <c r="N5" s="127">
        <v>24</v>
      </c>
      <c r="O5" s="171">
        <f t="shared" si="3"/>
        <v>3.5346097201767304E-2</v>
      </c>
      <c r="P5" s="259">
        <v>46734.82</v>
      </c>
      <c r="Q5" s="128">
        <f t="shared" si="4"/>
        <v>0.17401210192088357</v>
      </c>
      <c r="R5" s="259">
        <v>9338.07</v>
      </c>
      <c r="S5" s="128">
        <f t="shared" si="5"/>
        <v>3.476930452678207E-2</v>
      </c>
      <c r="T5" s="286">
        <v>9293.3799999999992</v>
      </c>
      <c r="U5" s="26"/>
    </row>
    <row r="6" spans="1:24" ht="15.6" customHeight="1" x14ac:dyDescent="0.3">
      <c r="A6" s="409" t="s">
        <v>16</v>
      </c>
      <c r="B6" s="145">
        <v>210378.92</v>
      </c>
      <c r="C6" s="73">
        <v>268311.86</v>
      </c>
      <c r="D6" s="145">
        <v>45573.7</v>
      </c>
      <c r="E6" s="145">
        <v>321979.3</v>
      </c>
      <c r="F6" s="130">
        <v>1039401.58</v>
      </c>
      <c r="G6" s="288">
        <f t="shared" si="0"/>
        <v>0.20001888846806848</v>
      </c>
      <c r="H6" s="155">
        <f t="shared" si="1"/>
        <v>6.0650243451815413</v>
      </c>
      <c r="I6" s="263">
        <f t="shared" si="6"/>
        <v>0.53047320520516017</v>
      </c>
      <c r="J6" s="273">
        <v>601</v>
      </c>
      <c r="K6" s="63">
        <f t="shared" si="7"/>
        <v>535.73926788685526</v>
      </c>
      <c r="L6" s="61">
        <v>1</v>
      </c>
      <c r="M6" s="28">
        <f t="shared" si="2"/>
        <v>1.6638935108153079E-3</v>
      </c>
      <c r="N6" s="46">
        <v>15</v>
      </c>
      <c r="O6" s="172">
        <f t="shared" si="3"/>
        <v>2.4958402662229616E-2</v>
      </c>
      <c r="P6" s="260">
        <v>44251.85</v>
      </c>
      <c r="Q6" s="89">
        <f t="shared" si="4"/>
        <v>0.13743694082197211</v>
      </c>
      <c r="R6" s="260">
        <v>31527.9</v>
      </c>
      <c r="S6" s="89">
        <f t="shared" si="5"/>
        <v>9.7919027713893422E-2</v>
      </c>
      <c r="T6" s="281">
        <v>9798.15</v>
      </c>
      <c r="U6" s="26"/>
    </row>
    <row r="7" spans="1:24" ht="15.6" customHeight="1" x14ac:dyDescent="0.3">
      <c r="A7" s="409" t="s">
        <v>17</v>
      </c>
      <c r="B7" s="145">
        <v>133572.35</v>
      </c>
      <c r="C7" s="73">
        <v>110389.7</v>
      </c>
      <c r="D7" s="145">
        <v>61668.56</v>
      </c>
      <c r="E7" s="145">
        <v>150343.1</v>
      </c>
      <c r="F7" s="130">
        <v>567372.21</v>
      </c>
      <c r="G7" s="288">
        <f t="shared" si="0"/>
        <v>0.36193050619758915</v>
      </c>
      <c r="H7" s="155">
        <f t="shared" si="1"/>
        <v>1.4379213654413208</v>
      </c>
      <c r="I7" s="263">
        <f t="shared" si="6"/>
        <v>0.1255555509804237</v>
      </c>
      <c r="J7" s="273">
        <v>512</v>
      </c>
      <c r="K7" s="63">
        <f t="shared" si="7"/>
        <v>293.63886718750001</v>
      </c>
      <c r="L7" s="61">
        <v>3</v>
      </c>
      <c r="M7" s="28">
        <f t="shared" si="2"/>
        <v>5.859375E-3</v>
      </c>
      <c r="N7" s="46">
        <v>22</v>
      </c>
      <c r="O7" s="172">
        <f t="shared" si="3"/>
        <v>4.296875E-2</v>
      </c>
      <c r="P7" s="260">
        <v>48963.91</v>
      </c>
      <c r="Q7" s="89">
        <f t="shared" si="4"/>
        <v>0.3256811253725645</v>
      </c>
      <c r="R7" s="260">
        <v>24361.759999999998</v>
      </c>
      <c r="S7" s="89">
        <f t="shared" si="5"/>
        <v>0.1620410913437331</v>
      </c>
      <c r="T7" s="281">
        <v>4520</v>
      </c>
      <c r="U7" s="26"/>
    </row>
    <row r="8" spans="1:24" ht="15.6" customHeight="1" x14ac:dyDescent="0.3">
      <c r="A8" s="409" t="s">
        <v>20</v>
      </c>
      <c r="B8" s="145">
        <v>179262.21</v>
      </c>
      <c r="C8" s="73">
        <v>153229.93</v>
      </c>
      <c r="D8" s="145">
        <v>38908.65</v>
      </c>
      <c r="E8" s="145">
        <v>177308.39</v>
      </c>
      <c r="F8" s="130">
        <v>695106.88</v>
      </c>
      <c r="G8" s="288">
        <f t="shared" si="0"/>
        <v>0.15713940481471225</v>
      </c>
      <c r="H8" s="155">
        <f t="shared" si="1"/>
        <v>3.5570429711645102</v>
      </c>
      <c r="I8" s="263">
        <f t="shared" si="6"/>
        <v>-1.0899229681481546E-2</v>
      </c>
      <c r="J8" s="273">
        <v>433</v>
      </c>
      <c r="K8" s="63">
        <f t="shared" si="7"/>
        <v>409.48819861431872</v>
      </c>
      <c r="L8" s="61">
        <v>11</v>
      </c>
      <c r="M8" s="28">
        <f t="shared" si="2"/>
        <v>2.5404157043879907E-2</v>
      </c>
      <c r="N8" s="46">
        <v>41</v>
      </c>
      <c r="O8" s="172">
        <f t="shared" si="3"/>
        <v>9.4688221709006926E-2</v>
      </c>
      <c r="P8" s="260">
        <v>35947.49</v>
      </c>
      <c r="Q8" s="89">
        <f t="shared" si="4"/>
        <v>0.20273992674571123</v>
      </c>
      <c r="R8" s="260">
        <v>27557.07</v>
      </c>
      <c r="S8" s="89">
        <f t="shared" si="5"/>
        <v>0.15541887216955722</v>
      </c>
      <c r="T8" s="281">
        <v>6165</v>
      </c>
      <c r="U8" s="26"/>
    </row>
    <row r="9" spans="1:24" ht="15.6" customHeight="1" x14ac:dyDescent="0.3">
      <c r="A9" s="409" t="s">
        <v>21</v>
      </c>
      <c r="B9" s="145">
        <v>216386.55</v>
      </c>
      <c r="C9" s="73">
        <v>385707.8</v>
      </c>
      <c r="D9" s="145">
        <v>87544.53</v>
      </c>
      <c r="E9" s="145">
        <v>244557.62</v>
      </c>
      <c r="F9" s="130">
        <v>998699.36</v>
      </c>
      <c r="G9" s="288">
        <f t="shared" si="0"/>
        <v>-0.36595106451049214</v>
      </c>
      <c r="H9" s="155">
        <f t="shared" si="1"/>
        <v>1.7935225650306192</v>
      </c>
      <c r="I9" s="263">
        <f t="shared" si="6"/>
        <v>0.13018863695548549</v>
      </c>
      <c r="J9" s="273">
        <v>556</v>
      </c>
      <c r="K9" s="63">
        <f t="shared" si="7"/>
        <v>439.85183453237408</v>
      </c>
      <c r="L9" s="61">
        <v>10</v>
      </c>
      <c r="M9" s="28">
        <f t="shared" si="2"/>
        <v>1.7985611510791366E-2</v>
      </c>
      <c r="N9" s="46">
        <v>42</v>
      </c>
      <c r="O9" s="172">
        <f t="shared" si="3"/>
        <v>7.5539568345323743E-2</v>
      </c>
      <c r="P9" s="260">
        <v>39440.15</v>
      </c>
      <c r="Q9" s="89">
        <f t="shared" si="4"/>
        <v>0.16127140098926382</v>
      </c>
      <c r="R9" s="260">
        <v>31709.15</v>
      </c>
      <c r="S9" s="89">
        <f t="shared" si="5"/>
        <v>0.12965921896034155</v>
      </c>
      <c r="T9" s="281">
        <v>10811.35</v>
      </c>
      <c r="U9" s="26"/>
    </row>
    <row r="10" spans="1:24" ht="15.6" customHeight="1" x14ac:dyDescent="0.3">
      <c r="A10" s="198" t="s">
        <v>22</v>
      </c>
      <c r="B10" s="145">
        <v>140792.72</v>
      </c>
      <c r="C10" s="73">
        <v>124310.04</v>
      </c>
      <c r="D10" s="145">
        <v>49395.18</v>
      </c>
      <c r="E10" s="145">
        <v>141566.34</v>
      </c>
      <c r="F10" s="130">
        <v>536226.72</v>
      </c>
      <c r="G10" s="288">
        <f t="shared" si="0"/>
        <v>0.13881662333951469</v>
      </c>
      <c r="H10" s="155">
        <f t="shared" si="1"/>
        <v>1.8659950221863753</v>
      </c>
      <c r="I10" s="263">
        <f t="shared" si="6"/>
        <v>5.4947443305306933E-3</v>
      </c>
      <c r="J10" s="273">
        <v>439</v>
      </c>
      <c r="K10" s="63">
        <f t="shared" si="7"/>
        <v>322.47457858769928</v>
      </c>
      <c r="L10" s="61">
        <v>6</v>
      </c>
      <c r="M10" s="28">
        <f t="shared" si="2"/>
        <v>1.366742596810934E-2</v>
      </c>
      <c r="N10" s="46">
        <v>27</v>
      </c>
      <c r="O10" s="172">
        <f t="shared" si="3"/>
        <v>6.1503416856492028E-2</v>
      </c>
      <c r="P10" s="260">
        <v>13383.54</v>
      </c>
      <c r="Q10" s="89">
        <f t="shared" si="4"/>
        <v>9.4538998465313162E-2</v>
      </c>
      <c r="R10" s="260">
        <v>16870.75</v>
      </c>
      <c r="S10" s="89">
        <f t="shared" si="5"/>
        <v>0.11917204329786305</v>
      </c>
      <c r="T10" s="281">
        <v>6360</v>
      </c>
      <c r="U10" s="26"/>
    </row>
    <row r="11" spans="1:24" ht="15.6" customHeight="1" x14ac:dyDescent="0.3">
      <c r="A11" s="198" t="s">
        <v>23</v>
      </c>
      <c r="B11" s="145">
        <v>183536.57</v>
      </c>
      <c r="C11" s="73">
        <v>223653.62</v>
      </c>
      <c r="D11" s="145">
        <v>94163.55</v>
      </c>
      <c r="E11" s="145">
        <v>237796.93</v>
      </c>
      <c r="F11" s="130">
        <v>912662.28</v>
      </c>
      <c r="G11" s="288">
        <f t="shared" si="0"/>
        <v>6.3237563514509612E-2</v>
      </c>
      <c r="H11" s="155">
        <f t="shared" si="1"/>
        <v>1.5253607154785478</v>
      </c>
      <c r="I11" s="263">
        <f t="shared" si="6"/>
        <v>0.29563786661154223</v>
      </c>
      <c r="J11" s="273">
        <v>592</v>
      </c>
      <c r="K11" s="63">
        <f t="shared" si="7"/>
        <v>401.68400337837835</v>
      </c>
      <c r="L11" s="61">
        <v>15</v>
      </c>
      <c r="M11" s="28">
        <f t="shared" si="2"/>
        <v>2.5337837837837839E-2</v>
      </c>
      <c r="N11" s="46">
        <v>48</v>
      </c>
      <c r="O11" s="172">
        <f t="shared" si="3"/>
        <v>8.1081081081081086E-2</v>
      </c>
      <c r="P11" s="260">
        <v>38755.1</v>
      </c>
      <c r="Q11" s="89">
        <f t="shared" si="4"/>
        <v>0.16297561116537543</v>
      </c>
      <c r="R11" s="260">
        <v>31304.57</v>
      </c>
      <c r="S11" s="89">
        <f t="shared" si="5"/>
        <v>0.13164413014078863</v>
      </c>
      <c r="T11" s="281">
        <v>6226.5</v>
      </c>
      <c r="U11" s="26"/>
    </row>
    <row r="12" spans="1:24" ht="15.6" customHeight="1" x14ac:dyDescent="0.3">
      <c r="A12" s="198" t="s">
        <v>26</v>
      </c>
      <c r="B12" s="145">
        <v>201252.54</v>
      </c>
      <c r="C12" s="73">
        <v>233344.84</v>
      </c>
      <c r="D12" s="145">
        <v>34859.870000000003</v>
      </c>
      <c r="E12" s="145">
        <v>301643.55</v>
      </c>
      <c r="F12" s="130">
        <v>905840.42</v>
      </c>
      <c r="G12" s="288">
        <f t="shared" si="0"/>
        <v>0.29269432313137927</v>
      </c>
      <c r="H12" s="155">
        <f t="shared" si="1"/>
        <v>7.6530314083213726</v>
      </c>
      <c r="I12" s="263">
        <f t="shared" si="6"/>
        <v>0.49883102096500237</v>
      </c>
      <c r="J12" s="273">
        <v>599</v>
      </c>
      <c r="K12" s="63">
        <f t="shared" si="7"/>
        <v>503.5785475792988</v>
      </c>
      <c r="L12" s="61">
        <v>10</v>
      </c>
      <c r="M12" s="28">
        <f t="shared" si="2"/>
        <v>1.6694490818030049E-2</v>
      </c>
      <c r="N12" s="46">
        <v>42</v>
      </c>
      <c r="O12" s="172">
        <f t="shared" si="3"/>
        <v>7.0116861435726208E-2</v>
      </c>
      <c r="P12" s="260">
        <v>23471</v>
      </c>
      <c r="Q12" s="89">
        <f t="shared" si="4"/>
        <v>7.781038248621594E-2</v>
      </c>
      <c r="R12" s="260">
        <f>SUM(19931.5/1.15)</f>
        <v>17331.739130434784</v>
      </c>
      <c r="S12" s="89">
        <f t="shared" si="5"/>
        <v>5.7457681858056588E-2</v>
      </c>
      <c r="T12" s="281">
        <v>2107.1999999999998</v>
      </c>
      <c r="U12" s="9"/>
    </row>
    <row r="13" spans="1:24" ht="15.6" customHeight="1" x14ac:dyDescent="0.3">
      <c r="A13" s="198" t="s">
        <v>27</v>
      </c>
      <c r="B13" s="145">
        <v>131200.66</v>
      </c>
      <c r="C13" s="73">
        <v>126934.85</v>
      </c>
      <c r="D13" s="145">
        <v>58655.79</v>
      </c>
      <c r="E13" s="145">
        <v>190587.81</v>
      </c>
      <c r="F13" s="130">
        <v>622051.42000000004</v>
      </c>
      <c r="G13" s="288">
        <f t="shared" si="0"/>
        <v>0.50146165532948583</v>
      </c>
      <c r="H13" s="155">
        <f t="shared" si="1"/>
        <v>2.2492582573689655</v>
      </c>
      <c r="I13" s="263">
        <f t="shared" si="6"/>
        <v>0.45264368334732458</v>
      </c>
      <c r="J13" s="273">
        <v>420</v>
      </c>
      <c r="K13" s="63">
        <f t="shared" si="7"/>
        <v>453.78050000000002</v>
      </c>
      <c r="L13" s="61">
        <v>11</v>
      </c>
      <c r="M13" s="28">
        <f t="shared" si="2"/>
        <v>2.6190476190476191E-2</v>
      </c>
      <c r="N13" s="46">
        <v>25</v>
      </c>
      <c r="O13" s="172">
        <f t="shared" si="3"/>
        <v>5.9523809523809521E-2</v>
      </c>
      <c r="P13" s="260">
        <v>34304.910000000003</v>
      </c>
      <c r="Q13" s="89">
        <f t="shared" si="4"/>
        <v>0.17999529980432644</v>
      </c>
      <c r="R13" s="260">
        <v>18754.18</v>
      </c>
      <c r="S13" s="89">
        <f t="shared" si="5"/>
        <v>9.8401781310147804E-2</v>
      </c>
      <c r="T13" s="281">
        <v>5353.5</v>
      </c>
      <c r="U13" s="9"/>
      <c r="X13" s="238"/>
    </row>
    <row r="14" spans="1:24" ht="15.6" customHeight="1" x14ac:dyDescent="0.3">
      <c r="A14" s="198" t="s">
        <v>55</v>
      </c>
      <c r="B14" s="145">
        <v>172648.67</v>
      </c>
      <c r="C14" s="73">
        <v>212563</v>
      </c>
      <c r="D14" s="145">
        <v>63036.160000000003</v>
      </c>
      <c r="E14" s="145">
        <v>219752.94</v>
      </c>
      <c r="F14" s="130">
        <v>793744.12</v>
      </c>
      <c r="G14" s="288">
        <f t="shared" si="0"/>
        <v>3.382498365190556E-2</v>
      </c>
      <c r="H14" s="155">
        <f t="shared" si="1"/>
        <v>2.4861409705159705</v>
      </c>
      <c r="I14" s="263">
        <f t="shared" si="6"/>
        <v>0.27283308930210692</v>
      </c>
      <c r="J14" s="273">
        <v>575</v>
      </c>
      <c r="K14" s="63">
        <f t="shared" si="7"/>
        <v>382.17902608695653</v>
      </c>
      <c r="L14" s="61">
        <v>7</v>
      </c>
      <c r="M14" s="28">
        <f t="shared" si="2"/>
        <v>1.2173913043478261E-2</v>
      </c>
      <c r="N14" s="46">
        <v>17</v>
      </c>
      <c r="O14" s="172">
        <f t="shared" si="3"/>
        <v>2.9565217391304348E-2</v>
      </c>
      <c r="P14" s="260">
        <v>35480.82</v>
      </c>
      <c r="Q14" s="89">
        <f t="shared" si="4"/>
        <v>0.16145777162298716</v>
      </c>
      <c r="R14" s="260">
        <v>28476.99</v>
      </c>
      <c r="S14" s="89">
        <f t="shared" si="5"/>
        <v>0.12958638915138065</v>
      </c>
      <c r="T14" s="281">
        <v>4152</v>
      </c>
      <c r="U14" s="9"/>
    </row>
    <row r="15" spans="1:24" ht="16.2" customHeight="1" thickBot="1" x14ac:dyDescent="0.35">
      <c r="A15" s="199" t="s">
        <v>33</v>
      </c>
      <c r="B15" s="146">
        <v>131952.48000000001</v>
      </c>
      <c r="C15" s="131">
        <v>174527.22</v>
      </c>
      <c r="D15" s="131">
        <v>60926.38</v>
      </c>
      <c r="E15" s="146">
        <v>174446.42</v>
      </c>
      <c r="F15" s="134">
        <v>669559.87</v>
      </c>
      <c r="G15" s="289">
        <f t="shared" si="0"/>
        <v>-4.6296503204479138E-4</v>
      </c>
      <c r="H15" s="156">
        <f t="shared" si="1"/>
        <v>1.8632329706770698</v>
      </c>
      <c r="I15" s="264">
        <f t="shared" si="6"/>
        <v>0.32203972217877225</v>
      </c>
      <c r="J15" s="282">
        <v>493</v>
      </c>
      <c r="K15" s="132">
        <f t="shared" si="7"/>
        <v>353.84669371196759</v>
      </c>
      <c r="L15" s="133">
        <v>13</v>
      </c>
      <c r="M15" s="114">
        <f t="shared" si="2"/>
        <v>2.6369168356997971E-2</v>
      </c>
      <c r="N15" s="115">
        <v>37</v>
      </c>
      <c r="O15" s="173">
        <f t="shared" si="3"/>
        <v>7.5050709939148072E-2</v>
      </c>
      <c r="P15" s="261">
        <v>22677.38</v>
      </c>
      <c r="Q15" s="116">
        <f t="shared" si="4"/>
        <v>0.12999624755841938</v>
      </c>
      <c r="R15" s="261">
        <v>27168.38</v>
      </c>
      <c r="S15" s="116">
        <f t="shared" si="5"/>
        <v>0.15574054199564541</v>
      </c>
      <c r="T15" s="283">
        <v>4850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15">
    <cfRule type="cellIs" dxfId="163" priority="1" operator="equal">
      <formula>0</formula>
    </cfRule>
  </conditionalFormatting>
  <conditionalFormatting sqref="D6:D15">
    <cfRule type="cellIs" dxfId="162" priority="5" operator="equal">
      <formula>0</formula>
    </cfRule>
  </conditionalFormatting>
  <conditionalFormatting sqref="E13:E15">
    <cfRule type="cellIs" dxfId="161" priority="10" operator="equal">
      <formula>0</formula>
    </cfRule>
  </conditionalFormatting>
  <conditionalFormatting sqref="E5:T15">
    <cfRule type="cellIs" dxfId="160" priority="6" operator="equal">
      <formula>0</formula>
    </cfRule>
  </conditionalFormatting>
  <conditionalFormatting sqref="T13:T15">
    <cfRule type="cellIs" dxfId="159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X37"/>
  <sheetViews>
    <sheetView zoomScale="70" zoomScaleNormal="70" workbookViewId="0">
      <pane xSplit="1" topLeftCell="D1" activePane="topRight" state="frozen"/>
      <selection pane="topRight" activeCell="A15" sqref="A15"/>
    </sheetView>
  </sheetViews>
  <sheetFormatPr defaultRowHeight="14.4" x14ac:dyDescent="0.3"/>
  <cols>
    <col min="1" max="1" width="23" customWidth="1"/>
    <col min="2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</cols>
  <sheetData>
    <row r="1" spans="1:24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4" ht="16.5" customHeight="1" thickBot="1" x14ac:dyDescent="0.35">
      <c r="A2" s="1"/>
      <c r="B2" s="1"/>
      <c r="C2" s="1"/>
      <c r="D2" s="1"/>
      <c r="E2" s="1"/>
      <c r="F2" s="1"/>
      <c r="G2" s="400">
        <f>((E4-C4)/C4)</f>
        <v>-5.9001517415438867E-2</v>
      </c>
      <c r="H2" s="413"/>
      <c r="I2" s="400">
        <f>((E4-B4)/E4)</f>
        <v>-0.16528223040432258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4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4" ht="16.2" customHeight="1" thickBot="1" x14ac:dyDescent="0.35">
      <c r="A4" s="398" t="s">
        <v>13</v>
      </c>
      <c r="B4" s="135">
        <f>SUM(B5:B15)</f>
        <v>2428554.64</v>
      </c>
      <c r="C4" s="135">
        <f>SUM(C5:C15)</f>
        <v>2214765.9200000004</v>
      </c>
      <c r="D4" s="135">
        <f>SUM(D5:D15)</f>
        <v>648606.56000000006</v>
      </c>
      <c r="E4" s="135">
        <f>SUM(E5:E15)</f>
        <v>2084091.3699999999</v>
      </c>
      <c r="F4" s="135">
        <f>SUM(F5:F15)</f>
        <v>3320991.45</v>
      </c>
      <c r="G4" s="217">
        <f t="shared" ref="G4:G15" si="0">IFERROR((SUM(E4-C4)/C4),0)</f>
        <v>-5.9001517415438867E-2</v>
      </c>
      <c r="H4" s="217">
        <f t="shared" ref="H4:H15" si="1">IFERROR((SUM(E4-D4)/D4),0)</f>
        <v>2.21318268813069</v>
      </c>
      <c r="I4" s="217">
        <f>IFERROR((SUM(E4-B4)/E4),0)</f>
        <v>-0.16528223040432258</v>
      </c>
      <c r="J4" s="262">
        <f>SUM(J5:J15)</f>
        <v>6978</v>
      </c>
      <c r="K4" s="218">
        <f>AVERAGE(K5:K15)</f>
        <v>295.83441928197738</v>
      </c>
      <c r="L4" s="219">
        <f>SUM(L5:L15)</f>
        <v>91</v>
      </c>
      <c r="M4" s="220">
        <f t="shared" ref="M4:M15" si="2">IFERROR(L4/J4,0)</f>
        <v>1.3040985955861279E-2</v>
      </c>
      <c r="N4" s="221">
        <f>SUM(N5:N15)</f>
        <v>340</v>
      </c>
      <c r="O4" s="222">
        <f t="shared" ref="O4:O15" si="3">IFERROR(N4/SUM(J4),0)</f>
        <v>4.8724562912009169E-2</v>
      </c>
      <c r="P4" s="249">
        <f>SUM(P5:P15)</f>
        <v>306173.25000000006</v>
      </c>
      <c r="Q4" s="222">
        <f t="shared" ref="Q4:Q15" si="4">SUM(P4/E4)</f>
        <v>0.14690970578703566</v>
      </c>
      <c r="R4" s="244">
        <f>SUM(R5:R15)</f>
        <v>252283.39</v>
      </c>
      <c r="S4" s="222">
        <f t="shared" ref="S4:S15" si="5">SUM(R4/E4)</f>
        <v>0.12105198151653017</v>
      </c>
      <c r="T4" s="257">
        <f>SUM(T5:T15)</f>
        <v>85067.21</v>
      </c>
      <c r="U4" s="24"/>
    </row>
    <row r="5" spans="1:24" ht="16.5" customHeight="1" x14ac:dyDescent="0.3">
      <c r="A5" s="408" t="s">
        <v>15</v>
      </c>
      <c r="B5" s="144">
        <v>268572.24</v>
      </c>
      <c r="C5" s="255">
        <v>289905.34999999998</v>
      </c>
      <c r="D5" s="197">
        <v>67895.53</v>
      </c>
      <c r="E5" s="144">
        <v>233049.25</v>
      </c>
      <c r="F5" s="129">
        <v>391707.4</v>
      </c>
      <c r="G5" s="287">
        <f t="shared" si="0"/>
        <v>-0.19611952659721521</v>
      </c>
      <c r="H5" s="154">
        <f t="shared" si="1"/>
        <v>2.4324682346540341</v>
      </c>
      <c r="I5" s="266">
        <f t="shared" ref="I5:I15" si="6">IFERROR((SUM(E5-B5)/B5),0)</f>
        <v>-0.13226605251533066</v>
      </c>
      <c r="J5" s="285">
        <v>682</v>
      </c>
      <c r="K5" s="124">
        <f t="shared" ref="K5:K15" si="7">IFERROR(E5/J5,0)</f>
        <v>341.71444281524924</v>
      </c>
      <c r="L5" s="125">
        <v>4</v>
      </c>
      <c r="M5" s="126">
        <f t="shared" si="2"/>
        <v>5.8651026392961877E-3</v>
      </c>
      <c r="N5" s="127">
        <v>24</v>
      </c>
      <c r="O5" s="171">
        <f t="shared" si="3"/>
        <v>3.519061583577713E-2</v>
      </c>
      <c r="P5" s="259">
        <v>36751.050000000003</v>
      </c>
      <c r="Q5" s="128">
        <f t="shared" si="4"/>
        <v>0.15769649548325088</v>
      </c>
      <c r="R5" s="259">
        <v>7146.08</v>
      </c>
      <c r="S5" s="128">
        <f t="shared" si="5"/>
        <v>3.0663389819962947E-2</v>
      </c>
      <c r="T5" s="286">
        <v>10880.5</v>
      </c>
      <c r="U5" s="26"/>
    </row>
    <row r="6" spans="1:24" ht="15.6" customHeight="1" x14ac:dyDescent="0.3">
      <c r="A6" s="409" t="s">
        <v>16</v>
      </c>
      <c r="B6" s="145">
        <v>321979.3</v>
      </c>
      <c r="C6" s="73">
        <v>262280.90999999997</v>
      </c>
      <c r="D6" s="145">
        <v>12625.24</v>
      </c>
      <c r="E6" s="145">
        <v>252570.75</v>
      </c>
      <c r="F6" s="130">
        <v>429224.11</v>
      </c>
      <c r="G6" s="288">
        <f t="shared" si="0"/>
        <v>-3.7021985321005542E-2</v>
      </c>
      <c r="H6" s="155">
        <f t="shared" si="1"/>
        <v>19.005223663074922</v>
      </c>
      <c r="I6" s="263">
        <f t="shared" si="6"/>
        <v>-0.21556836107165891</v>
      </c>
      <c r="J6" s="273">
        <v>905</v>
      </c>
      <c r="K6" s="63">
        <f t="shared" si="7"/>
        <v>279.08370165745856</v>
      </c>
      <c r="L6" s="61">
        <v>1</v>
      </c>
      <c r="M6" s="28">
        <f t="shared" si="2"/>
        <v>1.1049723756906078E-3</v>
      </c>
      <c r="N6" s="46">
        <v>15</v>
      </c>
      <c r="O6" s="172">
        <f t="shared" si="3"/>
        <v>1.6574585635359115E-2</v>
      </c>
      <c r="P6" s="260">
        <v>40903.47</v>
      </c>
      <c r="Q6" s="89">
        <f t="shared" si="4"/>
        <v>0.16194856292741738</v>
      </c>
      <c r="R6" s="260">
        <v>30267.79</v>
      </c>
      <c r="S6" s="89">
        <f t="shared" si="5"/>
        <v>0.11983885703312834</v>
      </c>
      <c r="T6" s="281">
        <v>15266.18</v>
      </c>
      <c r="U6" s="26"/>
    </row>
    <row r="7" spans="1:24" ht="15.6" customHeight="1" x14ac:dyDescent="0.3">
      <c r="A7" s="409" t="s">
        <v>17</v>
      </c>
      <c r="B7" s="145">
        <v>150343.1</v>
      </c>
      <c r="C7" s="73">
        <v>99818.07</v>
      </c>
      <c r="D7" s="145">
        <v>49051.79</v>
      </c>
      <c r="E7" s="145">
        <v>126008.3</v>
      </c>
      <c r="F7" s="130">
        <v>203264.51</v>
      </c>
      <c r="G7" s="288">
        <f t="shared" si="0"/>
        <v>0.26237964729231883</v>
      </c>
      <c r="H7" s="155">
        <f t="shared" si="1"/>
        <v>1.56888280733486</v>
      </c>
      <c r="I7" s="263">
        <f t="shared" si="6"/>
        <v>-0.16186176818224449</v>
      </c>
      <c r="J7" s="273">
        <v>437</v>
      </c>
      <c r="K7" s="63">
        <f t="shared" si="7"/>
        <v>288.34851258581239</v>
      </c>
      <c r="L7" s="61">
        <v>3</v>
      </c>
      <c r="M7" s="28">
        <f t="shared" si="2"/>
        <v>6.8649885583524023E-3</v>
      </c>
      <c r="N7" s="46">
        <v>22</v>
      </c>
      <c r="O7" s="172">
        <f t="shared" si="3"/>
        <v>5.0343249427917618E-2</v>
      </c>
      <c r="P7" s="260">
        <v>39564.339999999997</v>
      </c>
      <c r="Q7" s="89">
        <f t="shared" si="4"/>
        <v>0.31398201547040944</v>
      </c>
      <c r="R7" s="260">
        <v>19292.169999999998</v>
      </c>
      <c r="S7" s="89">
        <f t="shared" si="5"/>
        <v>0.15310237500228158</v>
      </c>
      <c r="T7" s="281">
        <v>4306.5</v>
      </c>
      <c r="U7" s="26"/>
    </row>
    <row r="8" spans="1:24" ht="15.6" customHeight="1" x14ac:dyDescent="0.3">
      <c r="A8" s="409" t="s">
        <v>20</v>
      </c>
      <c r="B8" s="145">
        <v>177308.39</v>
      </c>
      <c r="C8" s="73">
        <v>151033.79</v>
      </c>
      <c r="D8" s="145">
        <v>56369.37</v>
      </c>
      <c r="E8" s="145">
        <v>142436.23000000001</v>
      </c>
      <c r="F8" s="130">
        <v>234526.74</v>
      </c>
      <c r="G8" s="288">
        <f t="shared" si="0"/>
        <v>-5.6924745118294373E-2</v>
      </c>
      <c r="H8" s="155">
        <f t="shared" si="1"/>
        <v>1.5268373586577251</v>
      </c>
      <c r="I8" s="263">
        <f t="shared" si="6"/>
        <v>-0.19667518271414003</v>
      </c>
      <c r="J8" s="273">
        <v>489</v>
      </c>
      <c r="K8" s="63">
        <f t="shared" si="7"/>
        <v>291.28063394683028</v>
      </c>
      <c r="L8" s="61">
        <v>11</v>
      </c>
      <c r="M8" s="28">
        <f t="shared" si="2"/>
        <v>2.2494887525562373E-2</v>
      </c>
      <c r="N8" s="46">
        <v>41</v>
      </c>
      <c r="O8" s="172">
        <f t="shared" si="3"/>
        <v>8.3844580777096112E-2</v>
      </c>
      <c r="P8" s="260">
        <v>33804.339999999997</v>
      </c>
      <c r="Q8" s="89">
        <f t="shared" si="4"/>
        <v>0.2373296456947786</v>
      </c>
      <c r="R8" s="260">
        <v>24497</v>
      </c>
      <c r="S8" s="89">
        <f t="shared" si="5"/>
        <v>0.17198573705580383</v>
      </c>
      <c r="T8" s="281">
        <v>5407.8</v>
      </c>
      <c r="U8" s="26"/>
    </row>
    <row r="9" spans="1:24" ht="15.6" customHeight="1" x14ac:dyDescent="0.3">
      <c r="A9" s="409" t="s">
        <v>21</v>
      </c>
      <c r="B9" s="145">
        <v>244557.62</v>
      </c>
      <c r="C9" s="73">
        <v>338755.04</v>
      </c>
      <c r="D9" s="145">
        <v>98911.55</v>
      </c>
      <c r="E9" s="145">
        <v>244802.01</v>
      </c>
      <c r="F9" s="130">
        <v>373480.71</v>
      </c>
      <c r="G9" s="288">
        <f t="shared" si="0"/>
        <v>-0.2773479916343089</v>
      </c>
      <c r="H9" s="155">
        <f t="shared" si="1"/>
        <v>1.4749587889381979</v>
      </c>
      <c r="I9" s="263">
        <f t="shared" si="6"/>
        <v>9.9931459915260042E-4</v>
      </c>
      <c r="J9" s="273">
        <v>745</v>
      </c>
      <c r="K9" s="63">
        <f t="shared" si="7"/>
        <v>328.59330201342283</v>
      </c>
      <c r="L9" s="61">
        <v>10</v>
      </c>
      <c r="M9" s="28">
        <f t="shared" si="2"/>
        <v>1.3422818791946308E-2</v>
      </c>
      <c r="N9" s="46">
        <v>42</v>
      </c>
      <c r="O9" s="172">
        <f t="shared" si="3"/>
        <v>5.6375838926174496E-2</v>
      </c>
      <c r="P9" s="260">
        <v>37333.910000000003</v>
      </c>
      <c r="Q9" s="89">
        <f t="shared" si="4"/>
        <v>0.15250655008919251</v>
      </c>
      <c r="R9" s="260">
        <v>25801.74</v>
      </c>
      <c r="S9" s="89">
        <f t="shared" si="5"/>
        <v>0.10539839930235867</v>
      </c>
      <c r="T9" s="281">
        <v>10335.58</v>
      </c>
      <c r="U9" s="26"/>
    </row>
    <row r="10" spans="1:24" ht="15.6" customHeight="1" x14ac:dyDescent="0.3">
      <c r="A10" s="198" t="s">
        <v>22</v>
      </c>
      <c r="B10" s="145">
        <v>141566.34</v>
      </c>
      <c r="C10" s="73">
        <v>130753.32</v>
      </c>
      <c r="D10" s="145">
        <v>45614.879999999997</v>
      </c>
      <c r="E10" s="145">
        <v>128388.49</v>
      </c>
      <c r="F10" s="130">
        <v>191587.99</v>
      </c>
      <c r="G10" s="288">
        <f t="shared" si="0"/>
        <v>-1.808619467559219E-2</v>
      </c>
      <c r="H10" s="155">
        <f t="shared" si="1"/>
        <v>1.8146186069107277</v>
      </c>
      <c r="I10" s="263">
        <f t="shared" si="6"/>
        <v>-9.3086040085517449E-2</v>
      </c>
      <c r="J10" s="273">
        <v>448</v>
      </c>
      <c r="K10" s="63">
        <f t="shared" si="7"/>
        <v>286.58145089285716</v>
      </c>
      <c r="L10" s="61">
        <v>6</v>
      </c>
      <c r="M10" s="28">
        <f t="shared" si="2"/>
        <v>1.3392857142857142E-2</v>
      </c>
      <c r="N10" s="46">
        <v>27</v>
      </c>
      <c r="O10" s="172">
        <f t="shared" si="3"/>
        <v>6.0267857142857144E-2</v>
      </c>
      <c r="P10" s="260">
        <v>10769.56</v>
      </c>
      <c r="Q10" s="89">
        <f t="shared" si="4"/>
        <v>8.3882597263975914E-2</v>
      </c>
      <c r="R10" s="260">
        <v>17462.87</v>
      </c>
      <c r="S10" s="89">
        <f t="shared" si="5"/>
        <v>0.13601585313449827</v>
      </c>
      <c r="T10" s="281">
        <v>9694.5</v>
      </c>
      <c r="U10" s="26"/>
    </row>
    <row r="11" spans="1:24" ht="15.6" customHeight="1" x14ac:dyDescent="0.3">
      <c r="A11" s="198" t="s">
        <v>23</v>
      </c>
      <c r="B11" s="145">
        <v>237796.93</v>
      </c>
      <c r="C11" s="73">
        <v>216356.41</v>
      </c>
      <c r="D11" s="145">
        <v>84170.91</v>
      </c>
      <c r="E11" s="145">
        <v>189648.62</v>
      </c>
      <c r="F11" s="130">
        <v>298606.18</v>
      </c>
      <c r="G11" s="288">
        <f t="shared" si="0"/>
        <v>-0.12344348845499889</v>
      </c>
      <c r="H11" s="155">
        <f t="shared" si="1"/>
        <v>1.2531373368780259</v>
      </c>
      <c r="I11" s="263">
        <f t="shared" si="6"/>
        <v>-0.20247658369685428</v>
      </c>
      <c r="J11" s="273">
        <v>594</v>
      </c>
      <c r="K11" s="63">
        <f t="shared" si="7"/>
        <v>319.27377104377103</v>
      </c>
      <c r="L11" s="61">
        <v>15</v>
      </c>
      <c r="M11" s="28">
        <f t="shared" si="2"/>
        <v>2.5252525252525252E-2</v>
      </c>
      <c r="N11" s="46">
        <v>48</v>
      </c>
      <c r="O11" s="172">
        <f t="shared" si="3"/>
        <v>8.0808080808080815E-2</v>
      </c>
      <c r="P11" s="260">
        <v>29114.7</v>
      </c>
      <c r="Q11" s="89">
        <f t="shared" si="4"/>
        <v>0.15351917667526399</v>
      </c>
      <c r="R11" s="260">
        <v>29889.599999999999</v>
      </c>
      <c r="S11" s="89">
        <f t="shared" si="5"/>
        <v>0.15760515420570947</v>
      </c>
      <c r="T11" s="281">
        <v>6971.03</v>
      </c>
      <c r="U11" s="26"/>
    </row>
    <row r="12" spans="1:24" ht="15.6" customHeight="1" x14ac:dyDescent="0.3">
      <c r="A12" s="198" t="s">
        <v>26</v>
      </c>
      <c r="B12" s="145">
        <v>301643.55</v>
      </c>
      <c r="C12" s="73">
        <v>216202.84</v>
      </c>
      <c r="D12" s="145">
        <v>53639.31</v>
      </c>
      <c r="E12" s="145">
        <v>313858.58</v>
      </c>
      <c r="F12" s="130">
        <v>464958.86</v>
      </c>
      <c r="G12" s="288">
        <f t="shared" si="0"/>
        <v>0.45168574103836945</v>
      </c>
      <c r="H12" s="155">
        <f t="shared" si="1"/>
        <v>4.8512792204075712</v>
      </c>
      <c r="I12" s="263">
        <f t="shared" si="6"/>
        <v>4.0494915273341758E-2</v>
      </c>
      <c r="J12" s="273">
        <v>911</v>
      </c>
      <c r="K12" s="63">
        <f t="shared" si="7"/>
        <v>344.52094401756312</v>
      </c>
      <c r="L12" s="61">
        <v>10</v>
      </c>
      <c r="M12" s="28">
        <f t="shared" si="2"/>
        <v>1.0976948408342482E-2</v>
      </c>
      <c r="N12" s="46">
        <v>42</v>
      </c>
      <c r="O12" s="172">
        <f t="shared" si="3"/>
        <v>4.6103183315038418E-2</v>
      </c>
      <c r="P12" s="260"/>
      <c r="Q12" s="89">
        <f t="shared" si="4"/>
        <v>0</v>
      </c>
      <c r="R12" s="260">
        <v>28207.39</v>
      </c>
      <c r="S12" s="89">
        <f t="shared" si="5"/>
        <v>8.9872929393869039E-2</v>
      </c>
      <c r="T12" s="281">
        <v>2178.62</v>
      </c>
      <c r="U12" s="9"/>
    </row>
    <row r="13" spans="1:24" ht="15.6" customHeight="1" x14ac:dyDescent="0.3">
      <c r="A13" s="198" t="s">
        <v>27</v>
      </c>
      <c r="B13" s="145">
        <v>190587.81</v>
      </c>
      <c r="C13" s="73">
        <v>133866.99</v>
      </c>
      <c r="D13" s="145">
        <v>53928.76</v>
      </c>
      <c r="E13" s="145">
        <v>151762.26999999999</v>
      </c>
      <c r="F13" s="130">
        <v>227873.08</v>
      </c>
      <c r="G13" s="288">
        <f t="shared" si="0"/>
        <v>0.13367955759668609</v>
      </c>
      <c r="H13" s="155">
        <f t="shared" si="1"/>
        <v>1.8141249678279265</v>
      </c>
      <c r="I13" s="263">
        <f t="shared" si="6"/>
        <v>-0.20371470767201746</v>
      </c>
      <c r="J13" s="273">
        <v>551</v>
      </c>
      <c r="K13" s="63">
        <f t="shared" si="7"/>
        <v>275.43061705989106</v>
      </c>
      <c r="L13" s="61">
        <v>11</v>
      </c>
      <c r="M13" s="28">
        <f t="shared" si="2"/>
        <v>1.9963702359346643E-2</v>
      </c>
      <c r="N13" s="46">
        <v>25</v>
      </c>
      <c r="O13" s="172">
        <f t="shared" si="3"/>
        <v>4.5372050816696916E-2</v>
      </c>
      <c r="P13" s="260">
        <v>30499.71</v>
      </c>
      <c r="Q13" s="89">
        <f t="shared" si="4"/>
        <v>0.2009703070466724</v>
      </c>
      <c r="R13" s="260">
        <v>18594.78</v>
      </c>
      <c r="S13" s="89">
        <f t="shared" si="5"/>
        <v>0.12252571077119498</v>
      </c>
      <c r="T13" s="281">
        <v>7358.5</v>
      </c>
      <c r="U13" s="9"/>
      <c r="X13" s="238"/>
    </row>
    <row r="14" spans="1:24" ht="15.6" customHeight="1" x14ac:dyDescent="0.3">
      <c r="A14" s="198" t="s">
        <v>55</v>
      </c>
      <c r="B14" s="145">
        <v>219752.94</v>
      </c>
      <c r="C14" s="73">
        <v>204115.87</v>
      </c>
      <c r="D14" s="145">
        <v>67366.8</v>
      </c>
      <c r="E14" s="145">
        <v>168612.7</v>
      </c>
      <c r="F14" s="130">
        <v>288104.53999999998</v>
      </c>
      <c r="G14" s="288">
        <f t="shared" si="0"/>
        <v>-0.17393635291562573</v>
      </c>
      <c r="H14" s="155">
        <f t="shared" si="1"/>
        <v>1.5029049917763646</v>
      </c>
      <c r="I14" s="263">
        <f t="shared" si="6"/>
        <v>-0.23271697752940185</v>
      </c>
      <c r="J14" s="273">
        <v>705</v>
      </c>
      <c r="K14" s="63">
        <f t="shared" si="7"/>
        <v>239.16695035460995</v>
      </c>
      <c r="L14" s="61">
        <v>7</v>
      </c>
      <c r="M14" s="28">
        <f t="shared" si="2"/>
        <v>9.9290780141843976E-3</v>
      </c>
      <c r="N14" s="46">
        <v>17</v>
      </c>
      <c r="O14" s="172">
        <f t="shared" si="3"/>
        <v>2.4113475177304965E-2</v>
      </c>
      <c r="P14" s="260">
        <v>32956.519999999997</v>
      </c>
      <c r="Q14" s="89">
        <f t="shared" si="4"/>
        <v>0.19545692584247804</v>
      </c>
      <c r="R14" s="260">
        <v>27581.37</v>
      </c>
      <c r="S14" s="89">
        <f t="shared" si="5"/>
        <v>0.16357824766461837</v>
      </c>
      <c r="T14" s="281">
        <v>6495</v>
      </c>
      <c r="U14" s="9"/>
    </row>
    <row r="15" spans="1:24" ht="16.2" customHeight="1" thickBot="1" x14ac:dyDescent="0.35">
      <c r="A15" s="199" t="s">
        <v>33</v>
      </c>
      <c r="B15" s="146">
        <v>174446.42</v>
      </c>
      <c r="C15" s="131">
        <v>171677.33</v>
      </c>
      <c r="D15" s="131">
        <v>59032.42</v>
      </c>
      <c r="E15" s="146">
        <v>132954.17000000001</v>
      </c>
      <c r="F15" s="134">
        <v>217657.33</v>
      </c>
      <c r="G15" s="289">
        <f t="shared" si="0"/>
        <v>-0.2255577949633768</v>
      </c>
      <c r="H15" s="156">
        <f t="shared" si="1"/>
        <v>1.2522229310605937</v>
      </c>
      <c r="I15" s="264">
        <f t="shared" si="6"/>
        <v>-0.2378509687960349</v>
      </c>
      <c r="J15" s="282">
        <v>511</v>
      </c>
      <c r="K15" s="132">
        <f t="shared" si="7"/>
        <v>260.18428571428575</v>
      </c>
      <c r="L15" s="133">
        <v>13</v>
      </c>
      <c r="M15" s="114">
        <f t="shared" si="2"/>
        <v>2.5440313111545987E-2</v>
      </c>
      <c r="N15" s="115">
        <v>37</v>
      </c>
      <c r="O15" s="173">
        <f t="shared" si="3"/>
        <v>7.2407045009784732E-2</v>
      </c>
      <c r="P15" s="261">
        <v>14475.65</v>
      </c>
      <c r="Q15" s="116">
        <f t="shared" si="4"/>
        <v>0.10887699122186238</v>
      </c>
      <c r="R15" s="261">
        <v>23542.6</v>
      </c>
      <c r="S15" s="116">
        <f t="shared" si="5"/>
        <v>0.1770730470507243</v>
      </c>
      <c r="T15" s="283">
        <v>6173</v>
      </c>
      <c r="U15" s="9"/>
    </row>
    <row r="16" spans="1:24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15">
    <cfRule type="cellIs" dxfId="158" priority="1" operator="equal">
      <formula>0</formula>
    </cfRule>
  </conditionalFormatting>
  <conditionalFormatting sqref="D6:D15">
    <cfRule type="cellIs" dxfId="157" priority="5" operator="equal">
      <formula>0</formula>
    </cfRule>
  </conditionalFormatting>
  <conditionalFormatting sqref="E13:E15">
    <cfRule type="cellIs" dxfId="156" priority="10" operator="equal">
      <formula>0</formula>
    </cfRule>
  </conditionalFormatting>
  <conditionalFormatting sqref="E5:T15">
    <cfRule type="cellIs" dxfId="155" priority="6" operator="equal">
      <formula>0</formula>
    </cfRule>
  </conditionalFormatting>
  <conditionalFormatting sqref="T13:T15">
    <cfRule type="cellIs" dxfId="154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defaultRowHeight="14.4" x14ac:dyDescent="0.3"/>
  <cols>
    <col min="1" max="1" width="23" customWidth="1"/>
    <col min="2" max="2" width="19" customWidth="1"/>
    <col min="3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</cols>
  <sheetData>
    <row r="1" spans="1:21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1" ht="16.5" customHeight="1" thickBot="1" x14ac:dyDescent="0.35">
      <c r="A2" s="1"/>
      <c r="B2" s="1"/>
      <c r="C2" s="1"/>
      <c r="D2" s="1"/>
      <c r="E2" s="1"/>
      <c r="F2" s="1"/>
      <c r="G2" s="400">
        <f>((E4-C4)/C4)</f>
        <v>0.18140812130907938</v>
      </c>
      <c r="H2" s="413"/>
      <c r="I2" s="400">
        <f>((E4-B4)/E4)</f>
        <v>5.2913059638843039E-2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1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1" ht="16.2" customHeight="1" thickBot="1" x14ac:dyDescent="0.35">
      <c r="A4" s="398" t="s">
        <v>13</v>
      </c>
      <c r="B4" s="135">
        <f>SUM(B7:B15)</f>
        <v>1525430.78</v>
      </c>
      <c r="C4" s="135">
        <f>SUM(C7:C15)</f>
        <v>1363335.3800000001</v>
      </c>
      <c r="D4" s="135">
        <f>SUM(D7:D15)</f>
        <v>667580.41</v>
      </c>
      <c r="E4" s="135">
        <f>SUM(E7:E15)</f>
        <v>1610655.49</v>
      </c>
      <c r="F4" s="135">
        <f>SUM(F7:F15)</f>
        <v>4347350.0199999996</v>
      </c>
      <c r="G4" s="217">
        <f t="shared" ref="G4:G15" si="0">IFERROR((SUM(E4-C4)/C4),0)</f>
        <v>0.18140812130907938</v>
      </c>
      <c r="H4" s="217">
        <f t="shared" ref="H4:H15" si="1">IFERROR((SUM(E4-D4)/D4),0)</f>
        <v>1.4126763845571799</v>
      </c>
      <c r="I4" s="217">
        <f>IFERROR((SUM(E4-B4)/E4),0)</f>
        <v>5.2913059638843039E-2</v>
      </c>
      <c r="J4" s="262">
        <f>SUM(J7:J15)</f>
        <v>5322</v>
      </c>
      <c r="K4" s="218">
        <f>AVERAGE(K7:K15)</f>
        <v>301.92865074553606</v>
      </c>
      <c r="L4" s="219">
        <f>SUM(L7:L15)</f>
        <v>71</v>
      </c>
      <c r="M4" s="220">
        <f t="shared" ref="M4:M15" si="2">IFERROR(L4/J4,0)</f>
        <v>1.3340849304772641E-2</v>
      </c>
      <c r="N4" s="221">
        <f>SUM(N7:N15)</f>
        <v>256</v>
      </c>
      <c r="O4" s="222">
        <f t="shared" ref="O4:O15" si="3">IFERROR(N4/SUM(J4),0)</f>
        <v>4.8102217211574594E-2</v>
      </c>
      <c r="P4" s="249">
        <f>SUM(P7:P15)</f>
        <v>293542.72173913044</v>
      </c>
      <c r="Q4" s="222">
        <f t="shared" ref="Q4:Q15" si="4">SUM(P4/E4)</f>
        <v>0.18225047104215344</v>
      </c>
      <c r="R4" s="244">
        <f>SUM(R7:R15)</f>
        <v>181704.20869565223</v>
      </c>
      <c r="S4" s="222">
        <f t="shared" ref="S4:S15" si="5">SUM(R4/E4)</f>
        <v>0.11281382631095879</v>
      </c>
      <c r="T4" s="257">
        <f>SUM(T7:T15)</f>
        <v>59569.08</v>
      </c>
      <c r="U4" s="24"/>
    </row>
    <row r="5" spans="1:21" ht="15.6" customHeight="1" x14ac:dyDescent="0.3">
      <c r="A5" s="198" t="s">
        <v>26</v>
      </c>
      <c r="B5" s="145">
        <v>313858.58</v>
      </c>
      <c r="C5" s="73">
        <v>151349.99</v>
      </c>
      <c r="D5" s="145">
        <v>108441.60000000001</v>
      </c>
      <c r="E5" s="145">
        <v>308387.34000000003</v>
      </c>
      <c r="F5" s="130">
        <v>773346.2</v>
      </c>
      <c r="G5" s="288">
        <f t="shared" si="0"/>
        <v>1.037577537996534</v>
      </c>
      <c r="H5" s="155">
        <f t="shared" si="1"/>
        <v>1.8438103089589235</v>
      </c>
      <c r="I5" s="263">
        <f t="shared" ref="I5:I15" si="6">IFERROR((SUM(E5-B5)/B5),0)</f>
        <v>-1.7432182354230975E-2</v>
      </c>
      <c r="J5" s="273">
        <v>911</v>
      </c>
      <c r="K5" s="63">
        <f t="shared" ref="K5:K15" si="7">IFERROR(E5/J5,0)</f>
        <v>338.51519209659716</v>
      </c>
      <c r="L5" s="61">
        <v>10</v>
      </c>
      <c r="M5" s="28">
        <f t="shared" si="2"/>
        <v>1.0976948408342482E-2</v>
      </c>
      <c r="N5" s="46">
        <v>42</v>
      </c>
      <c r="O5" s="172">
        <f t="shared" si="3"/>
        <v>4.6103183315038418E-2</v>
      </c>
      <c r="P5" s="260">
        <v>0</v>
      </c>
      <c r="Q5" s="89">
        <f t="shared" si="4"/>
        <v>0</v>
      </c>
      <c r="R5" s="260">
        <v>25412.608695652179</v>
      </c>
      <c r="S5" s="89">
        <f t="shared" si="5"/>
        <v>8.2404837681249093E-2</v>
      </c>
      <c r="T5" s="281">
        <v>2835.85</v>
      </c>
      <c r="U5" s="9"/>
    </row>
    <row r="6" spans="1:21" ht="16.2" customHeight="1" thickBot="1" x14ac:dyDescent="0.35">
      <c r="A6" s="409" t="s">
        <v>21</v>
      </c>
      <c r="B6" s="145">
        <v>244802.01</v>
      </c>
      <c r="C6" s="73">
        <v>312926.61</v>
      </c>
      <c r="D6" s="145">
        <v>123729.06</v>
      </c>
      <c r="E6" s="145">
        <v>218341.36</v>
      </c>
      <c r="F6" s="130">
        <v>591822.06999999995</v>
      </c>
      <c r="G6" s="288">
        <f t="shared" si="0"/>
        <v>-0.30226016892587054</v>
      </c>
      <c r="H6" s="155">
        <f t="shared" si="1"/>
        <v>0.76467323036318213</v>
      </c>
      <c r="I6" s="263">
        <f t="shared" si="6"/>
        <v>-0.10809000301917465</v>
      </c>
      <c r="J6" s="273">
        <v>745</v>
      </c>
      <c r="K6" s="63">
        <f t="shared" si="7"/>
        <v>293.07565100671138</v>
      </c>
      <c r="L6" s="61">
        <v>10</v>
      </c>
      <c r="M6" s="28">
        <f t="shared" si="2"/>
        <v>1.3422818791946308E-2</v>
      </c>
      <c r="N6" s="46">
        <v>42</v>
      </c>
      <c r="O6" s="172">
        <f t="shared" si="3"/>
        <v>5.6375838926174496E-2</v>
      </c>
      <c r="P6" s="260">
        <v>30480.869565217388</v>
      </c>
      <c r="Q6" s="89">
        <f t="shared" si="4"/>
        <v>0.13960190394168742</v>
      </c>
      <c r="R6" s="260">
        <v>27716.07826086957</v>
      </c>
      <c r="S6" s="89">
        <f t="shared" si="5"/>
        <v>0.12693920318564275</v>
      </c>
      <c r="T6" s="281">
        <v>8462.2999999999993</v>
      </c>
      <c r="U6" s="26"/>
    </row>
    <row r="7" spans="1:21" ht="16.5" customHeight="1" x14ac:dyDescent="0.3">
      <c r="A7" s="408" t="s">
        <v>15</v>
      </c>
      <c r="B7" s="144">
        <v>233049.25</v>
      </c>
      <c r="C7" s="255">
        <v>246778.34</v>
      </c>
      <c r="D7" s="197">
        <v>104954.75</v>
      </c>
      <c r="E7" s="144">
        <v>229431.22</v>
      </c>
      <c r="F7" s="129">
        <v>727558.79</v>
      </c>
      <c r="G7" s="287">
        <f t="shared" si="0"/>
        <v>-7.0294337825596825E-2</v>
      </c>
      <c r="H7" s="154">
        <f t="shared" si="1"/>
        <v>1.1860013005604797</v>
      </c>
      <c r="I7" s="266">
        <f t="shared" si="6"/>
        <v>-1.552474423324683E-2</v>
      </c>
      <c r="J7" s="285">
        <v>682</v>
      </c>
      <c r="K7" s="124">
        <f t="shared" si="7"/>
        <v>336.4094134897361</v>
      </c>
      <c r="L7" s="125">
        <v>4</v>
      </c>
      <c r="M7" s="126">
        <f t="shared" si="2"/>
        <v>5.8651026392961877E-3</v>
      </c>
      <c r="N7" s="127">
        <v>24</v>
      </c>
      <c r="O7" s="171">
        <f t="shared" si="3"/>
        <v>3.519061583577713E-2</v>
      </c>
      <c r="P7" s="259">
        <v>39742.913043478256</v>
      </c>
      <c r="Q7" s="128">
        <f t="shared" si="4"/>
        <v>0.17322364865373707</v>
      </c>
      <c r="R7" s="259">
        <v>6163.8869565217401</v>
      </c>
      <c r="S7" s="128">
        <f t="shared" si="5"/>
        <v>2.6865946825029914E-2</v>
      </c>
      <c r="T7" s="286">
        <v>9809</v>
      </c>
      <c r="U7" s="26"/>
    </row>
    <row r="8" spans="1:21" ht="15.6" customHeight="1" x14ac:dyDescent="0.3">
      <c r="A8" s="198" t="s">
        <v>27</v>
      </c>
      <c r="B8" s="145">
        <v>151762.26999999999</v>
      </c>
      <c r="C8" s="73">
        <v>115444.65</v>
      </c>
      <c r="D8" s="145">
        <v>58555.53</v>
      </c>
      <c r="E8" s="145">
        <v>145598.56</v>
      </c>
      <c r="F8" s="130">
        <v>392105.85</v>
      </c>
      <c r="G8" s="288">
        <f t="shared" si="0"/>
        <v>0.26119798535488659</v>
      </c>
      <c r="H8" s="155">
        <f t="shared" si="1"/>
        <v>1.4865040073926408</v>
      </c>
      <c r="I8" s="263">
        <f t="shared" si="6"/>
        <v>-4.0614244897628327E-2</v>
      </c>
      <c r="J8" s="273">
        <v>551</v>
      </c>
      <c r="K8" s="63">
        <f t="shared" si="7"/>
        <v>264.24421052631578</v>
      </c>
      <c r="L8" s="61">
        <v>11</v>
      </c>
      <c r="M8" s="28">
        <f t="shared" si="2"/>
        <v>1.9963702359346643E-2</v>
      </c>
      <c r="N8" s="46">
        <v>25</v>
      </c>
      <c r="O8" s="172">
        <f t="shared" si="3"/>
        <v>4.5372050816696916E-2</v>
      </c>
      <c r="P8" s="260">
        <v>28818.226086956522</v>
      </c>
      <c r="Q8" s="89">
        <f t="shared" si="4"/>
        <v>0.19792933451372405</v>
      </c>
      <c r="R8" s="260">
        <v>19681.313043478262</v>
      </c>
      <c r="S8" s="89">
        <f t="shared" si="5"/>
        <v>0.13517519021807814</v>
      </c>
      <c r="T8" s="281">
        <v>4665.25</v>
      </c>
      <c r="U8" s="9"/>
    </row>
    <row r="9" spans="1:21" ht="15.6" customHeight="1" x14ac:dyDescent="0.3">
      <c r="A9" s="198" t="s">
        <v>23</v>
      </c>
      <c r="B9" s="145">
        <v>189648.62</v>
      </c>
      <c r="C9" s="73">
        <v>187064.58</v>
      </c>
      <c r="D9" s="145">
        <v>117167.6</v>
      </c>
      <c r="E9" s="145">
        <v>214919.99</v>
      </c>
      <c r="F9" s="130">
        <v>536473.92000000004</v>
      </c>
      <c r="G9" s="288">
        <f t="shared" si="0"/>
        <v>0.14890798674981659</v>
      </c>
      <c r="H9" s="155">
        <f t="shared" si="1"/>
        <v>0.83429540248328016</v>
      </c>
      <c r="I9" s="263">
        <f t="shared" si="6"/>
        <v>0.13325364561049796</v>
      </c>
      <c r="J9" s="273">
        <v>594</v>
      </c>
      <c r="K9" s="63">
        <f t="shared" si="7"/>
        <v>361.81816498316499</v>
      </c>
      <c r="L9" s="61">
        <v>15</v>
      </c>
      <c r="M9" s="28">
        <f t="shared" si="2"/>
        <v>2.5252525252525252E-2</v>
      </c>
      <c r="N9" s="46">
        <v>48</v>
      </c>
      <c r="O9" s="172">
        <f t="shared" si="3"/>
        <v>8.0808080808080815E-2</v>
      </c>
      <c r="P9" s="260">
        <v>38400.252173913053</v>
      </c>
      <c r="Q9" s="89">
        <f t="shared" si="4"/>
        <v>0.17867231509694867</v>
      </c>
      <c r="R9" s="260">
        <v>17660.373913043481</v>
      </c>
      <c r="S9" s="89">
        <f t="shared" si="5"/>
        <v>8.2171853409464063E-2</v>
      </c>
      <c r="T9" s="281">
        <v>8663.75</v>
      </c>
      <c r="U9" s="26"/>
    </row>
    <row r="10" spans="1:21" ht="15.6" customHeight="1" x14ac:dyDescent="0.3">
      <c r="A10" s="409" t="s">
        <v>16</v>
      </c>
      <c r="B10" s="145">
        <v>252570.75</v>
      </c>
      <c r="C10" s="73">
        <v>191381.89</v>
      </c>
      <c r="D10" s="145">
        <v>50825.27</v>
      </c>
      <c r="E10" s="145">
        <v>270660.21999999997</v>
      </c>
      <c r="F10" s="130">
        <v>735124.07</v>
      </c>
      <c r="G10" s="288">
        <f t="shared" si="0"/>
        <v>0.41424154605224117</v>
      </c>
      <c r="H10" s="155">
        <f t="shared" si="1"/>
        <v>4.3253080603408502</v>
      </c>
      <c r="I10" s="263">
        <f t="shared" si="6"/>
        <v>7.1621397172871248E-2</v>
      </c>
      <c r="J10" s="273">
        <v>905</v>
      </c>
      <c r="K10" s="63">
        <f t="shared" si="7"/>
        <v>299.07206629834252</v>
      </c>
      <c r="L10" s="61">
        <v>1</v>
      </c>
      <c r="M10" s="28">
        <f t="shared" si="2"/>
        <v>1.1049723756906078E-3</v>
      </c>
      <c r="N10" s="46">
        <v>15</v>
      </c>
      <c r="O10" s="172">
        <f t="shared" si="3"/>
        <v>1.6574585635359115E-2</v>
      </c>
      <c r="P10" s="260">
        <v>35235.34782608696</v>
      </c>
      <c r="Q10" s="89">
        <f t="shared" si="4"/>
        <v>0.13018295716336506</v>
      </c>
      <c r="R10" s="260">
        <v>23421.147826086959</v>
      </c>
      <c r="S10" s="89">
        <f t="shared" si="5"/>
        <v>8.653339536222561E-2</v>
      </c>
      <c r="T10" s="281">
        <v>9958.85</v>
      </c>
      <c r="U10" s="26"/>
    </row>
    <row r="11" spans="1:21" ht="15.6" customHeight="1" x14ac:dyDescent="0.3">
      <c r="A11" s="409" t="s">
        <v>17</v>
      </c>
      <c r="B11" s="145">
        <v>126008.3</v>
      </c>
      <c r="C11" s="295" t="s">
        <v>56</v>
      </c>
      <c r="D11" s="145">
        <v>60937.2</v>
      </c>
      <c r="E11" s="145">
        <v>132052.69</v>
      </c>
      <c r="F11" s="130">
        <v>335317.2</v>
      </c>
      <c r="G11" s="288">
        <f t="shared" si="0"/>
        <v>0</v>
      </c>
      <c r="H11" s="155">
        <f t="shared" si="1"/>
        <v>1.1670291710154062</v>
      </c>
      <c r="I11" s="263">
        <f t="shared" si="6"/>
        <v>4.7968189397047646E-2</v>
      </c>
      <c r="J11" s="273">
        <v>437</v>
      </c>
      <c r="K11" s="63">
        <f t="shared" si="7"/>
        <v>302.18006864988558</v>
      </c>
      <c r="L11" s="61">
        <v>3</v>
      </c>
      <c r="M11" s="28">
        <f t="shared" si="2"/>
        <v>6.8649885583524023E-3</v>
      </c>
      <c r="N11" s="46">
        <v>22</v>
      </c>
      <c r="O11" s="172">
        <f t="shared" si="3"/>
        <v>5.0343249427917618E-2</v>
      </c>
      <c r="P11" s="260">
        <v>46168.826086956527</v>
      </c>
      <c r="Q11" s="89">
        <f t="shared" si="4"/>
        <v>0.34962427563540377</v>
      </c>
      <c r="R11" s="260">
        <v>18350.81739130435</v>
      </c>
      <c r="S11" s="89">
        <f t="shared" si="5"/>
        <v>0.13896587332908061</v>
      </c>
      <c r="T11" s="281">
        <v>3777.8</v>
      </c>
      <c r="U11" s="26"/>
    </row>
    <row r="12" spans="1:21" ht="15.6" customHeight="1" x14ac:dyDescent="0.3">
      <c r="A12" s="198" t="s">
        <v>55</v>
      </c>
      <c r="B12" s="145">
        <v>168612.7</v>
      </c>
      <c r="C12" s="73">
        <v>188856.74</v>
      </c>
      <c r="D12" s="145">
        <v>67441.919999999998</v>
      </c>
      <c r="E12" s="145">
        <v>192667.35</v>
      </c>
      <c r="F12" s="130">
        <v>507352.97</v>
      </c>
      <c r="G12" s="288">
        <f t="shared" si="0"/>
        <v>2.0177251815317872E-2</v>
      </c>
      <c r="H12" s="155">
        <f t="shared" si="1"/>
        <v>1.8567892195239994</v>
      </c>
      <c r="I12" s="263">
        <f t="shared" si="6"/>
        <v>0.14266214822489642</v>
      </c>
      <c r="J12" s="273">
        <v>705</v>
      </c>
      <c r="K12" s="63">
        <f t="shared" si="7"/>
        <v>273.28702127659574</v>
      </c>
      <c r="L12" s="61">
        <v>7</v>
      </c>
      <c r="M12" s="28">
        <f t="shared" si="2"/>
        <v>9.9290780141843976E-3</v>
      </c>
      <c r="N12" s="46">
        <v>17</v>
      </c>
      <c r="O12" s="172">
        <f t="shared" si="3"/>
        <v>2.4113475177304965E-2</v>
      </c>
      <c r="P12" s="260">
        <v>28482.669565217391</v>
      </c>
      <c r="Q12" s="89">
        <f t="shared" si="4"/>
        <v>0.14783340075636786</v>
      </c>
      <c r="R12" s="260">
        <v>23942.373913043481</v>
      </c>
      <c r="S12" s="89">
        <f t="shared" si="5"/>
        <v>0.12426793596861886</v>
      </c>
      <c r="T12" s="281">
        <v>5658</v>
      </c>
      <c r="U12" s="9"/>
    </row>
    <row r="13" spans="1:21" ht="16.2" customHeight="1" thickBot="1" x14ac:dyDescent="0.35">
      <c r="A13" s="199" t="s">
        <v>33</v>
      </c>
      <c r="B13" s="146">
        <v>132954.17000000001</v>
      </c>
      <c r="C13" s="131">
        <v>160386.38</v>
      </c>
      <c r="D13" s="131">
        <v>75582.539999999994</v>
      </c>
      <c r="E13" s="146">
        <v>155494.29999999999</v>
      </c>
      <c r="F13" s="134">
        <v>398064.26</v>
      </c>
      <c r="G13" s="289">
        <f t="shared" si="0"/>
        <v>-3.050184186462726E-2</v>
      </c>
      <c r="H13" s="156">
        <f t="shared" si="1"/>
        <v>1.0572780433152948</v>
      </c>
      <c r="I13" s="264">
        <f t="shared" si="6"/>
        <v>0.16953308045922871</v>
      </c>
      <c r="J13" s="282">
        <v>511</v>
      </c>
      <c r="K13" s="132">
        <f t="shared" si="7"/>
        <v>304.2941291585127</v>
      </c>
      <c r="L13" s="133">
        <v>13</v>
      </c>
      <c r="M13" s="114">
        <f t="shared" si="2"/>
        <v>2.5440313111545987E-2</v>
      </c>
      <c r="N13" s="115">
        <v>37</v>
      </c>
      <c r="O13" s="173">
        <f t="shared" si="3"/>
        <v>7.2407045009784732E-2</v>
      </c>
      <c r="P13" s="261">
        <v>17365.304347826092</v>
      </c>
      <c r="Q13" s="116">
        <f t="shared" si="4"/>
        <v>0.11167807661004997</v>
      </c>
      <c r="R13" s="261">
        <v>29469.695652173919</v>
      </c>
      <c r="S13" s="116">
        <f t="shared" si="5"/>
        <v>0.18952267480013044</v>
      </c>
      <c r="T13" s="283">
        <v>5486.25</v>
      </c>
      <c r="U13" s="9"/>
    </row>
    <row r="14" spans="1:21" ht="15.6" customHeight="1" x14ac:dyDescent="0.3">
      <c r="A14" s="409" t="s">
        <v>20</v>
      </c>
      <c r="B14" s="145">
        <v>142436.23000000001</v>
      </c>
      <c r="C14" s="73">
        <v>142718.31</v>
      </c>
      <c r="D14" s="145">
        <v>73055.399999999994</v>
      </c>
      <c r="E14" s="145">
        <v>140253.71</v>
      </c>
      <c r="F14" s="130">
        <v>394187.52000000002</v>
      </c>
      <c r="G14" s="288">
        <f t="shared" si="0"/>
        <v>-1.7268982515277864E-2</v>
      </c>
      <c r="H14" s="155">
        <f t="shared" si="1"/>
        <v>0.91982673423182959</v>
      </c>
      <c r="I14" s="263">
        <f t="shared" si="6"/>
        <v>-1.532278690611243E-2</v>
      </c>
      <c r="J14" s="273">
        <v>489</v>
      </c>
      <c r="K14" s="63">
        <f t="shared" si="7"/>
        <v>286.81740286298566</v>
      </c>
      <c r="L14" s="61">
        <v>11</v>
      </c>
      <c r="M14" s="28">
        <f t="shared" si="2"/>
        <v>2.2494887525562373E-2</v>
      </c>
      <c r="N14" s="46">
        <v>41</v>
      </c>
      <c r="O14" s="172">
        <f t="shared" si="3"/>
        <v>8.3844580777096112E-2</v>
      </c>
      <c r="P14" s="260">
        <v>42830.286956521741</v>
      </c>
      <c r="Q14" s="89">
        <f t="shared" si="4"/>
        <v>0.30537721217158348</v>
      </c>
      <c r="R14" s="260">
        <v>18332.373913043481</v>
      </c>
      <c r="S14" s="89">
        <f t="shared" si="5"/>
        <v>0.1307086558569002</v>
      </c>
      <c r="T14" s="281">
        <v>4018.5</v>
      </c>
      <c r="U14" s="26"/>
    </row>
    <row r="15" spans="1:21" ht="15.6" customHeight="1" x14ac:dyDescent="0.3">
      <c r="A15" s="198" t="s">
        <v>22</v>
      </c>
      <c r="B15" s="145">
        <v>128388.49</v>
      </c>
      <c r="C15" s="73">
        <v>130704.49</v>
      </c>
      <c r="D15" s="145">
        <v>59060.2</v>
      </c>
      <c r="E15" s="145">
        <v>129577.45</v>
      </c>
      <c r="F15" s="130">
        <v>321165.44</v>
      </c>
      <c r="G15" s="288">
        <f t="shared" si="0"/>
        <v>-8.6228101268748161E-3</v>
      </c>
      <c r="H15" s="155">
        <f t="shared" si="1"/>
        <v>1.1939893532361896</v>
      </c>
      <c r="I15" s="263">
        <f t="shared" si="6"/>
        <v>9.2606432243263533E-3</v>
      </c>
      <c r="J15" s="273">
        <v>448</v>
      </c>
      <c r="K15" s="63">
        <f t="shared" si="7"/>
        <v>289.2353794642857</v>
      </c>
      <c r="L15" s="61">
        <v>6</v>
      </c>
      <c r="M15" s="28">
        <f t="shared" si="2"/>
        <v>1.3392857142857142E-2</v>
      </c>
      <c r="N15" s="46">
        <v>27</v>
      </c>
      <c r="O15" s="172">
        <f t="shared" si="3"/>
        <v>6.0267857142857144E-2</v>
      </c>
      <c r="P15" s="260">
        <v>16498.895652173909</v>
      </c>
      <c r="Q15" s="89">
        <f t="shared" si="4"/>
        <v>0.12732844836948026</v>
      </c>
      <c r="R15" s="260">
        <v>24682.226086956529</v>
      </c>
      <c r="S15" s="89">
        <f t="shared" si="5"/>
        <v>0.19048241871526667</v>
      </c>
      <c r="T15" s="281">
        <v>7531.68</v>
      </c>
      <c r="U15" s="26"/>
    </row>
    <row r="16" spans="1:21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7 E5:T14 B8:T9 B9:C15 D10:D14 D15:T15">
    <cfRule type="cellIs" dxfId="153" priority="15" operator="equal">
      <formula>0</formula>
    </cfRule>
  </conditionalFormatting>
  <conditionalFormatting sqref="B12:P13">
    <cfRule type="cellIs" dxfId="152" priority="10" operator="equal">
      <formula>0</formula>
    </cfRule>
  </conditionalFormatting>
  <conditionalFormatting sqref="D5:D6">
    <cfRule type="cellIs" dxfId="151" priority="9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U37"/>
  <sheetViews>
    <sheetView topLeftCell="A2" zoomScale="50" zoomScaleNormal="50" workbookViewId="0">
      <pane xSplit="1" topLeftCell="B1" activePane="topRight" state="frozen"/>
      <selection pane="topRight" activeCell="E12" sqref="E12"/>
    </sheetView>
  </sheetViews>
  <sheetFormatPr defaultRowHeight="14.4" x14ac:dyDescent="0.3"/>
  <cols>
    <col min="1" max="1" width="23" customWidth="1"/>
    <col min="2" max="2" width="19" customWidth="1"/>
    <col min="3" max="3" width="15.6640625" bestFit="1" customWidth="1"/>
    <col min="4" max="4" width="16.33203125" customWidth="1"/>
    <col min="5" max="5" width="16.44140625" customWidth="1"/>
    <col min="6" max="6" width="16.66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4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</cols>
  <sheetData>
    <row r="1" spans="1:21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1" ht="16.5" customHeight="1" thickBot="1" x14ac:dyDescent="0.35">
      <c r="A2" s="1"/>
      <c r="B2" s="1"/>
      <c r="C2" s="1"/>
      <c r="D2" s="1"/>
      <c r="E2" s="1"/>
      <c r="F2" s="1"/>
      <c r="G2" s="400">
        <f>((E4-C4)/C4)</f>
        <v>-9.0286416473932596E-2</v>
      </c>
      <c r="H2" s="413"/>
      <c r="I2" s="400">
        <f>((E4-B4)/E4)</f>
        <v>-7.6146401522373772E-2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1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1" ht="16.2" customHeight="1" thickBot="1" x14ac:dyDescent="0.35">
      <c r="A4" s="398" t="s">
        <v>13</v>
      </c>
      <c r="B4" s="135">
        <f>SUM(B7:B15)</f>
        <v>1604611.1</v>
      </c>
      <c r="C4" s="135">
        <f>SUM(C7:C15)</f>
        <v>1639055.8599999999</v>
      </c>
      <c r="D4" s="135">
        <f>SUM(D7:D15)</f>
        <v>786978.65999999992</v>
      </c>
      <c r="E4" s="135">
        <f>SUM(E7:E15)</f>
        <v>1491071.3800000001</v>
      </c>
      <c r="F4" s="135">
        <f>SUM(F7:F15)</f>
        <v>5864029.1200000001</v>
      </c>
      <c r="G4" s="217">
        <f t="shared" ref="G4:G15" si="0">IFERROR((SUM(E4-C4)/C4),0)</f>
        <v>-9.0286416473932596E-2</v>
      </c>
      <c r="H4" s="217">
        <f t="shared" ref="H4:H15" si="1">IFERROR((SUM(E4-D4)/D4),0)</f>
        <v>0.89467828771875502</v>
      </c>
      <c r="I4" s="217">
        <f>IFERROR((SUM(E4-B4)/E4),0)</f>
        <v>-7.6146401522373772E-2</v>
      </c>
      <c r="J4" s="262">
        <f>SUM(J7:J15)</f>
        <v>4865</v>
      </c>
      <c r="K4" s="218">
        <f>AVERAGE(K7:K15)</f>
        <v>269.41519671147989</v>
      </c>
      <c r="L4" s="219">
        <f>SUM(L7:L15)</f>
        <v>71</v>
      </c>
      <c r="M4" s="220">
        <f t="shared" ref="M4:M15" si="2">IFERROR(L4/J4,0)</f>
        <v>1.4594039054470709E-2</v>
      </c>
      <c r="N4" s="221">
        <f>SUM(N7:N15)</f>
        <v>256</v>
      </c>
      <c r="O4" s="222">
        <f t="shared" ref="O4:O15" si="3">IFERROR(N4/SUM(J4),0)</f>
        <v>5.26207605344296E-2</v>
      </c>
      <c r="P4" s="249">
        <f>SUM(P7:P15)</f>
        <v>261030.6434782609</v>
      </c>
      <c r="Q4" s="222">
        <f t="shared" ref="Q4:Q15" si="4">SUM(P4/E4)</f>
        <v>0.17506247318506032</v>
      </c>
      <c r="R4" s="244">
        <f>SUM(R7:R15)</f>
        <v>172465.09565217394</v>
      </c>
      <c r="S4" s="222">
        <f t="shared" ref="S4:S15" si="5">SUM(R4/E4)</f>
        <v>0.11566521761833691</v>
      </c>
      <c r="T4" s="257">
        <f>SUM(T7:T15)</f>
        <v>61214</v>
      </c>
      <c r="U4" s="24"/>
    </row>
    <row r="5" spans="1:21" ht="15.6" customHeight="1" x14ac:dyDescent="0.3">
      <c r="A5" s="198" t="s">
        <v>26</v>
      </c>
      <c r="B5" s="145">
        <v>308387.34000000003</v>
      </c>
      <c r="C5" s="73">
        <v>129536.18</v>
      </c>
      <c r="D5" s="145">
        <v>87330.55</v>
      </c>
      <c r="E5" s="145">
        <v>233558.86</v>
      </c>
      <c r="F5" s="130">
        <v>1006905.06</v>
      </c>
      <c r="G5" s="288">
        <f t="shared" si="0"/>
        <v>0.80303958322686375</v>
      </c>
      <c r="H5" s="155">
        <f t="shared" si="1"/>
        <v>1.674423326086919</v>
      </c>
      <c r="I5" s="263">
        <f t="shared" ref="I5:I15" si="6">IFERROR((SUM(E5-B5)/B5),0)</f>
        <v>-0.24264446134526804</v>
      </c>
      <c r="J5" s="273">
        <v>742</v>
      </c>
      <c r="K5" s="63">
        <f t="shared" ref="K5:K15" si="7">IFERROR(E5/J5,0)</f>
        <v>314.76935309973044</v>
      </c>
      <c r="L5" s="61">
        <v>10</v>
      </c>
      <c r="M5" s="28">
        <f t="shared" si="2"/>
        <v>1.3477088948787063E-2</v>
      </c>
      <c r="N5" s="46">
        <v>42</v>
      </c>
      <c r="O5" s="172">
        <f t="shared" si="3"/>
        <v>5.6603773584905662E-2</v>
      </c>
      <c r="P5" s="260">
        <v>22518.695652173919</v>
      </c>
      <c r="Q5" s="89">
        <f t="shared" si="4"/>
        <v>9.6415505933596019E-2</v>
      </c>
      <c r="R5" s="260">
        <v>0</v>
      </c>
      <c r="S5" s="89">
        <f t="shared" si="5"/>
        <v>0</v>
      </c>
      <c r="T5" s="281">
        <v>2097</v>
      </c>
      <c r="U5" s="9"/>
    </row>
    <row r="6" spans="1:21" ht="16.2" customHeight="1" thickBot="1" x14ac:dyDescent="0.35">
      <c r="A6" s="409" t="s">
        <v>21</v>
      </c>
      <c r="B6" s="145">
        <v>218341.36</v>
      </c>
      <c r="C6" s="73">
        <v>353967.18</v>
      </c>
      <c r="D6" s="145">
        <v>144846.87</v>
      </c>
      <c r="E6" s="145">
        <v>240257.2</v>
      </c>
      <c r="F6" s="130">
        <v>832079.27</v>
      </c>
      <c r="G6" s="288">
        <f t="shared" si="0"/>
        <v>-0.32124441593709335</v>
      </c>
      <c r="H6" s="155">
        <f t="shared" si="1"/>
        <v>0.65869790627854108</v>
      </c>
      <c r="I6" s="263">
        <f t="shared" si="6"/>
        <v>0.10037420303693276</v>
      </c>
      <c r="J6" s="273">
        <v>757</v>
      </c>
      <c r="K6" s="63">
        <f t="shared" si="7"/>
        <v>317.38071334214004</v>
      </c>
      <c r="L6" s="61">
        <v>10</v>
      </c>
      <c r="M6" s="28">
        <f t="shared" si="2"/>
        <v>1.3210039630118891E-2</v>
      </c>
      <c r="N6" s="46">
        <v>42</v>
      </c>
      <c r="O6" s="172">
        <f t="shared" si="3"/>
        <v>5.5482166446499337E-2</v>
      </c>
      <c r="P6" s="260">
        <v>47790.513043478262</v>
      </c>
      <c r="Q6" s="89">
        <f t="shared" si="4"/>
        <v>0.19891396821189233</v>
      </c>
      <c r="R6" s="260">
        <v>21192.226086956529</v>
      </c>
      <c r="S6" s="89">
        <f t="shared" si="5"/>
        <v>8.8206414155149265E-2</v>
      </c>
      <c r="T6" s="281">
        <v>9736.15</v>
      </c>
      <c r="U6" s="26"/>
    </row>
    <row r="7" spans="1:21" ht="16.5" customHeight="1" x14ac:dyDescent="0.3">
      <c r="A7" s="408" t="s">
        <v>15</v>
      </c>
      <c r="B7" s="144">
        <v>229431.22</v>
      </c>
      <c r="C7" s="255">
        <v>271945.84000000003</v>
      </c>
      <c r="D7" s="197">
        <v>120487.58</v>
      </c>
      <c r="E7" s="144">
        <v>262360.31</v>
      </c>
      <c r="F7" s="129">
        <v>989919.1</v>
      </c>
      <c r="G7" s="287">
        <f t="shared" si="0"/>
        <v>-3.5247937604046549E-2</v>
      </c>
      <c r="H7" s="154">
        <f t="shared" si="1"/>
        <v>1.1774884183083434</v>
      </c>
      <c r="I7" s="266">
        <f t="shared" si="6"/>
        <v>0.14352488732788848</v>
      </c>
      <c r="J7" s="285">
        <v>758</v>
      </c>
      <c r="K7" s="124">
        <f t="shared" si="7"/>
        <v>346.1217810026385</v>
      </c>
      <c r="L7" s="125">
        <v>4</v>
      </c>
      <c r="M7" s="126">
        <f t="shared" si="2"/>
        <v>5.2770448548812663E-3</v>
      </c>
      <c r="N7" s="127">
        <v>24</v>
      </c>
      <c r="O7" s="171">
        <f t="shared" si="3"/>
        <v>3.1662269129287601E-2</v>
      </c>
      <c r="P7" s="259">
        <v>43398.782608695663</v>
      </c>
      <c r="Q7" s="128">
        <f t="shared" si="4"/>
        <v>0.1654167225549309</v>
      </c>
      <c r="R7" s="259">
        <v>5389.1217391304353</v>
      </c>
      <c r="S7" s="128">
        <f t="shared" si="5"/>
        <v>2.0540918476313872E-2</v>
      </c>
      <c r="T7" s="286">
        <v>10599.8</v>
      </c>
      <c r="U7" s="26"/>
    </row>
    <row r="8" spans="1:21" ht="15.6" customHeight="1" x14ac:dyDescent="0.3">
      <c r="A8" s="198" t="s">
        <v>27</v>
      </c>
      <c r="B8" s="145">
        <v>145598.56</v>
      </c>
      <c r="C8" s="73">
        <v>113373.11</v>
      </c>
      <c r="D8" s="145">
        <v>76572.350000000006</v>
      </c>
      <c r="E8" s="145">
        <v>151370.57999999999</v>
      </c>
      <c r="F8" s="130">
        <v>543476.43000000005</v>
      </c>
      <c r="G8" s="288">
        <f t="shared" si="0"/>
        <v>0.33515416486325539</v>
      </c>
      <c r="H8" s="155">
        <f t="shared" si="1"/>
        <v>0.97683080119651511</v>
      </c>
      <c r="I8" s="263">
        <f t="shared" si="6"/>
        <v>3.9643386582944154E-2</v>
      </c>
      <c r="J8" s="273">
        <v>512</v>
      </c>
      <c r="K8" s="63">
        <f t="shared" si="7"/>
        <v>295.64566406249997</v>
      </c>
      <c r="L8" s="61">
        <v>11</v>
      </c>
      <c r="M8" s="28">
        <f t="shared" si="2"/>
        <v>2.1484375E-2</v>
      </c>
      <c r="N8" s="46">
        <v>25</v>
      </c>
      <c r="O8" s="172">
        <f t="shared" si="3"/>
        <v>4.8828125E-2</v>
      </c>
      <c r="P8" s="260">
        <v>33025.086956521744</v>
      </c>
      <c r="Q8" s="89">
        <f t="shared" si="4"/>
        <v>0.21817374919566104</v>
      </c>
      <c r="R8" s="260">
        <v>16151.4347826087</v>
      </c>
      <c r="S8" s="89">
        <f t="shared" si="5"/>
        <v>0.10670128093985437</v>
      </c>
      <c r="T8" s="281">
        <v>8117.5</v>
      </c>
      <c r="U8" s="9"/>
    </row>
    <row r="9" spans="1:21" ht="15.6" customHeight="1" x14ac:dyDescent="0.3">
      <c r="A9" s="198" t="s">
        <v>23</v>
      </c>
      <c r="B9" s="145">
        <v>214919.99</v>
      </c>
      <c r="C9" s="73">
        <v>212060.52</v>
      </c>
      <c r="D9" s="145">
        <v>130900.28</v>
      </c>
      <c r="E9" s="145">
        <v>193389.34</v>
      </c>
      <c r="F9" s="130">
        <v>729863.26</v>
      </c>
      <c r="G9" s="288">
        <f t="shared" si="0"/>
        <v>-8.8046468998566982E-2</v>
      </c>
      <c r="H9" s="155">
        <f t="shared" si="1"/>
        <v>0.47737911637774955</v>
      </c>
      <c r="I9" s="263">
        <f t="shared" si="6"/>
        <v>-0.10017983901823183</v>
      </c>
      <c r="J9" s="273">
        <v>672</v>
      </c>
      <c r="K9" s="63">
        <f t="shared" si="7"/>
        <v>287.78175595238093</v>
      </c>
      <c r="L9" s="61">
        <v>15</v>
      </c>
      <c r="M9" s="28">
        <f t="shared" si="2"/>
        <v>2.2321428571428572E-2</v>
      </c>
      <c r="N9" s="46">
        <v>48</v>
      </c>
      <c r="O9" s="172">
        <f t="shared" si="3"/>
        <v>7.1428571428571425E-2</v>
      </c>
      <c r="P9" s="260">
        <v>35006.008695652177</v>
      </c>
      <c r="Q9" s="89">
        <f t="shared" si="4"/>
        <v>0.18101312458924665</v>
      </c>
      <c r="R9" s="260">
        <v>24850.608695652179</v>
      </c>
      <c r="S9" s="89">
        <f t="shared" si="5"/>
        <v>0.12850040594611978</v>
      </c>
      <c r="T9" s="281">
        <v>5374</v>
      </c>
      <c r="U9" s="26"/>
    </row>
    <row r="10" spans="1:21" ht="15.6" customHeight="1" x14ac:dyDescent="0.3">
      <c r="A10" s="409" t="s">
        <v>16</v>
      </c>
      <c r="B10" s="145">
        <v>270660.21999999997</v>
      </c>
      <c r="C10" s="73">
        <v>260258.72</v>
      </c>
      <c r="D10" s="145">
        <v>65479.86</v>
      </c>
      <c r="E10" s="145">
        <v>288431.05</v>
      </c>
      <c r="F10" s="130">
        <v>1023555.12</v>
      </c>
      <c r="G10" s="288">
        <f t="shared" si="0"/>
        <v>0.10824740089400266</v>
      </c>
      <c r="H10" s="155">
        <f t="shared" si="1"/>
        <v>3.4048818980370452</v>
      </c>
      <c r="I10" s="263">
        <f t="shared" si="6"/>
        <v>6.5657339671119822E-2</v>
      </c>
      <c r="J10" s="273">
        <v>845</v>
      </c>
      <c r="K10" s="63">
        <f t="shared" si="7"/>
        <v>341.33852071005919</v>
      </c>
      <c r="L10" s="61">
        <v>1</v>
      </c>
      <c r="M10" s="28">
        <f t="shared" si="2"/>
        <v>1.1834319526627219E-3</v>
      </c>
      <c r="N10" s="46">
        <v>15</v>
      </c>
      <c r="O10" s="172">
        <f t="shared" si="3"/>
        <v>1.7751479289940829E-2</v>
      </c>
      <c r="P10" s="260">
        <v>49932.295652173918</v>
      </c>
      <c r="Q10" s="89">
        <f t="shared" si="4"/>
        <v>0.17311692223210337</v>
      </c>
      <c r="R10" s="260">
        <v>36659.304347826088</v>
      </c>
      <c r="S10" s="89">
        <f t="shared" si="5"/>
        <v>0.12709902192508779</v>
      </c>
      <c r="T10" s="281">
        <v>11566.5</v>
      </c>
      <c r="U10" s="26"/>
    </row>
    <row r="11" spans="1:21" ht="15.6" customHeight="1" x14ac:dyDescent="0.3">
      <c r="A11" s="409" t="s">
        <v>17</v>
      </c>
      <c r="B11" s="145">
        <v>126008.3</v>
      </c>
      <c r="C11" s="295">
        <v>125957.48</v>
      </c>
      <c r="D11" s="145">
        <v>69384.679999999993</v>
      </c>
      <c r="E11" s="145">
        <v>0</v>
      </c>
      <c r="F11" s="130">
        <v>360924.92</v>
      </c>
      <c r="G11" s="288">
        <f t="shared" si="0"/>
        <v>-1</v>
      </c>
      <c r="H11" s="155">
        <f t="shared" si="1"/>
        <v>-1</v>
      </c>
      <c r="I11" s="263">
        <f t="shared" si="6"/>
        <v>-1</v>
      </c>
      <c r="J11" s="273"/>
      <c r="K11" s="63">
        <f t="shared" si="7"/>
        <v>0</v>
      </c>
      <c r="L11" s="61">
        <v>3</v>
      </c>
      <c r="M11" s="28">
        <f t="shared" si="2"/>
        <v>0</v>
      </c>
      <c r="N11" s="46">
        <v>22</v>
      </c>
      <c r="O11" s="172">
        <f t="shared" si="3"/>
        <v>0</v>
      </c>
      <c r="P11" s="260">
        <v>0</v>
      </c>
      <c r="Q11" s="89" t="e">
        <f t="shared" si="4"/>
        <v>#DIV/0!</v>
      </c>
      <c r="R11" s="260">
        <v>0</v>
      </c>
      <c r="S11" s="89" t="e">
        <f t="shared" si="5"/>
        <v>#DIV/0!</v>
      </c>
      <c r="T11" s="281"/>
      <c r="U11" s="26"/>
    </row>
    <row r="12" spans="1:21" ht="15.6" customHeight="1" x14ac:dyDescent="0.3">
      <c r="A12" s="198" t="s">
        <v>55</v>
      </c>
      <c r="B12" s="145">
        <v>192667.35</v>
      </c>
      <c r="C12" s="73">
        <v>198530.03</v>
      </c>
      <c r="D12" s="145">
        <v>77712.2</v>
      </c>
      <c r="E12" s="145">
        <v>171116.79</v>
      </c>
      <c r="F12" s="130">
        <v>678469.76</v>
      </c>
      <c r="G12" s="288">
        <f t="shared" si="0"/>
        <v>-0.13808107519048876</v>
      </c>
      <c r="H12" s="155">
        <f t="shared" si="1"/>
        <v>1.2019295554623344</v>
      </c>
      <c r="I12" s="263">
        <f t="shared" si="6"/>
        <v>-0.11185372093403473</v>
      </c>
      <c r="J12" s="273">
        <v>654</v>
      </c>
      <c r="K12" s="63">
        <f t="shared" si="7"/>
        <v>261.64646788990825</v>
      </c>
      <c r="L12" s="61">
        <v>7</v>
      </c>
      <c r="M12" s="28">
        <f t="shared" si="2"/>
        <v>1.0703363914373088E-2</v>
      </c>
      <c r="N12" s="46">
        <v>17</v>
      </c>
      <c r="O12" s="172">
        <f t="shared" si="3"/>
        <v>2.5993883792048929E-2</v>
      </c>
      <c r="P12" s="260">
        <v>30911.495652173919</v>
      </c>
      <c r="Q12" s="89">
        <f t="shared" si="4"/>
        <v>0.18064560264468446</v>
      </c>
      <c r="R12" s="260">
        <v>24039.582608695651</v>
      </c>
      <c r="S12" s="89">
        <f t="shared" si="5"/>
        <v>0.14048640468708914</v>
      </c>
      <c r="T12" s="281">
        <v>8457</v>
      </c>
      <c r="U12" s="9"/>
    </row>
    <row r="13" spans="1:21" ht="16.2" customHeight="1" thickBot="1" x14ac:dyDescent="0.35">
      <c r="A13" s="199" t="s">
        <v>33</v>
      </c>
      <c r="B13" s="146">
        <v>155494.29999999999</v>
      </c>
      <c r="C13" s="131">
        <v>162511.62</v>
      </c>
      <c r="D13" s="131">
        <v>92850.36</v>
      </c>
      <c r="E13" s="146">
        <v>155532.37</v>
      </c>
      <c r="F13" s="134">
        <v>553596.63</v>
      </c>
      <c r="G13" s="289">
        <f t="shared" si="0"/>
        <v>-4.2946159788450823E-2</v>
      </c>
      <c r="H13" s="156">
        <f t="shared" si="1"/>
        <v>0.67508634323011774</v>
      </c>
      <c r="I13" s="264">
        <f t="shared" si="6"/>
        <v>2.4483212567924989E-4</v>
      </c>
      <c r="J13" s="282">
        <v>538</v>
      </c>
      <c r="K13" s="132">
        <f t="shared" si="7"/>
        <v>289.093624535316</v>
      </c>
      <c r="L13" s="133">
        <v>13</v>
      </c>
      <c r="M13" s="114">
        <f t="shared" si="2"/>
        <v>2.4163568773234202E-2</v>
      </c>
      <c r="N13" s="115">
        <v>37</v>
      </c>
      <c r="O13" s="173">
        <f t="shared" si="3"/>
        <v>6.8773234200743494E-2</v>
      </c>
      <c r="P13" s="261">
        <v>20485.895652173909</v>
      </c>
      <c r="Q13" s="116">
        <f t="shared" si="4"/>
        <v>0.13171467555065167</v>
      </c>
      <c r="R13" s="261">
        <v>25089.226086956529</v>
      </c>
      <c r="S13" s="116">
        <f t="shared" si="5"/>
        <v>0.16131192553007795</v>
      </c>
      <c r="T13" s="283">
        <v>3988.5</v>
      </c>
      <c r="U13" s="9"/>
    </row>
    <row r="14" spans="1:21" ht="15.6" customHeight="1" x14ac:dyDescent="0.3">
      <c r="A14" s="409" t="s">
        <v>20</v>
      </c>
      <c r="B14" s="145">
        <v>140253.71</v>
      </c>
      <c r="C14" s="73">
        <v>164093.67000000001</v>
      </c>
      <c r="D14" s="145">
        <v>82429.22</v>
      </c>
      <c r="E14" s="145">
        <v>157170.6</v>
      </c>
      <c r="F14" s="130">
        <v>551358.12</v>
      </c>
      <c r="G14" s="288">
        <f t="shared" si="0"/>
        <v>-4.2189744430726706E-2</v>
      </c>
      <c r="H14" s="155">
        <f t="shared" si="1"/>
        <v>0.90673404406835345</v>
      </c>
      <c r="I14" s="263">
        <f t="shared" si="6"/>
        <v>0.12061634590628666</v>
      </c>
      <c r="J14" s="273">
        <v>494</v>
      </c>
      <c r="K14" s="63">
        <f t="shared" si="7"/>
        <v>318.15910931174091</v>
      </c>
      <c r="L14" s="61">
        <v>11</v>
      </c>
      <c r="M14" s="28">
        <f t="shared" si="2"/>
        <v>2.2267206477732792E-2</v>
      </c>
      <c r="N14" s="46">
        <v>41</v>
      </c>
      <c r="O14" s="172">
        <f t="shared" si="3"/>
        <v>8.2995951417004055E-2</v>
      </c>
      <c r="P14" s="260">
        <v>37400.217391304352</v>
      </c>
      <c r="Q14" s="89">
        <f t="shared" si="4"/>
        <v>0.23795937275358336</v>
      </c>
      <c r="R14" s="260">
        <v>22645.35652173913</v>
      </c>
      <c r="S14" s="89">
        <f t="shared" si="5"/>
        <v>0.14408137731699905</v>
      </c>
      <c r="T14" s="281">
        <v>5596.2</v>
      </c>
      <c r="U14" s="26"/>
    </row>
    <row r="15" spans="1:21" ht="15.6" customHeight="1" x14ac:dyDescent="0.3">
      <c r="A15" s="198" t="s">
        <v>22</v>
      </c>
      <c r="B15" s="145">
        <v>129577.45</v>
      </c>
      <c r="C15" s="73">
        <v>130324.87</v>
      </c>
      <c r="D15" s="145">
        <v>71162.13</v>
      </c>
      <c r="E15" s="145">
        <v>111700.34</v>
      </c>
      <c r="F15" s="130">
        <v>432865.78</v>
      </c>
      <c r="G15" s="288">
        <f t="shared" si="0"/>
        <v>-0.14290848707541393</v>
      </c>
      <c r="H15" s="155">
        <f t="shared" si="1"/>
        <v>0.56965987386830597</v>
      </c>
      <c r="I15" s="263">
        <f t="shared" si="6"/>
        <v>-0.13796466900683724</v>
      </c>
      <c r="J15" s="273">
        <v>392</v>
      </c>
      <c r="K15" s="63">
        <f t="shared" si="7"/>
        <v>284.94984693877552</v>
      </c>
      <c r="L15" s="61">
        <v>6</v>
      </c>
      <c r="M15" s="28">
        <f t="shared" si="2"/>
        <v>1.5306122448979591E-2</v>
      </c>
      <c r="N15" s="46">
        <v>27</v>
      </c>
      <c r="O15" s="172">
        <f t="shared" si="3"/>
        <v>6.8877551020408156E-2</v>
      </c>
      <c r="P15" s="260">
        <v>10870.86086956522</v>
      </c>
      <c r="Q15" s="89">
        <f t="shared" si="4"/>
        <v>9.7321645301753065E-2</v>
      </c>
      <c r="R15" s="260">
        <v>17640.46086956522</v>
      </c>
      <c r="S15" s="89">
        <f t="shared" si="5"/>
        <v>0.15792665330799549</v>
      </c>
      <c r="T15" s="281">
        <v>7514.5</v>
      </c>
      <c r="U15" s="26"/>
    </row>
    <row r="16" spans="1:21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7 E5:T7 B5:B15 C8:T15">
    <cfRule type="cellIs" dxfId="150" priority="5" operator="equal">
      <formula>0</formula>
    </cfRule>
  </conditionalFormatting>
  <conditionalFormatting sqref="D5:D6">
    <cfRule type="cellIs" dxfId="149" priority="2" operator="equal">
      <formula>0</formula>
    </cfRule>
  </conditionalFormatting>
  <conditionalFormatting sqref="P12:P13">
    <cfRule type="cellIs" dxfId="148" priority="3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U37"/>
  <sheetViews>
    <sheetView topLeftCell="A2" zoomScale="50" zoomScaleNormal="50" workbookViewId="0">
      <pane xSplit="1" topLeftCell="B1" activePane="topRight" state="frozen"/>
      <selection pane="topRight" activeCell="B11" sqref="B11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4" width="16" customWidth="1"/>
  </cols>
  <sheetData>
    <row r="1" spans="1:21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1" ht="16.5" customHeight="1" thickBot="1" x14ac:dyDescent="0.35">
      <c r="A2" s="1"/>
      <c r="B2" s="1"/>
      <c r="C2" s="1"/>
      <c r="D2" s="1"/>
      <c r="E2" s="1"/>
      <c r="F2" s="1"/>
      <c r="G2" s="400">
        <f>((E4-C4)/C4)</f>
        <v>4.7301985056965271E-2</v>
      </c>
      <c r="H2" s="413"/>
      <c r="I2" s="400">
        <f>((E4-B4)/E4)</f>
        <v>0.11687569378950106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1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1" ht="16.2" customHeight="1" thickBot="1" x14ac:dyDescent="0.35">
      <c r="A4" s="398" t="s">
        <v>13</v>
      </c>
      <c r="B4" s="135">
        <f>SUM(B5:B15)</f>
        <v>1964887.4400000002</v>
      </c>
      <c r="C4" s="135">
        <f>SUM(C5:C15)</f>
        <v>2124437.27</v>
      </c>
      <c r="D4" s="135">
        <f>SUM(D5:D15)</f>
        <v>1571819.2299999997</v>
      </c>
      <c r="E4" s="135">
        <f>SUM(E5:E15)</f>
        <v>2224927.37</v>
      </c>
      <c r="F4" s="135">
        <f>SUM(F5:F15)</f>
        <v>10034023.739999998</v>
      </c>
      <c r="G4" s="217">
        <f t="shared" ref="G4:G15" si="0">IFERROR((SUM(E4-C4)/C4),0)</f>
        <v>4.7301985056965271E-2</v>
      </c>
      <c r="H4" s="217">
        <f t="shared" ref="H4:H15" si="1">IFERROR((SUM(E4-D4)/D4),0)</f>
        <v>0.41551097450309249</v>
      </c>
      <c r="I4" s="217">
        <f>IFERROR((SUM(E4-B4)/E4),0)</f>
        <v>0.11687569378950106</v>
      </c>
      <c r="J4" s="262">
        <f>SUM(J5:J15)</f>
        <v>7531</v>
      </c>
      <c r="K4" s="218">
        <f>AVERAGE(K5:K15)</f>
        <v>295.7140105258818</v>
      </c>
      <c r="L4" s="219">
        <f>SUM(L5:L15)</f>
        <v>91</v>
      </c>
      <c r="M4" s="220">
        <f t="shared" ref="M4:M15" si="2">IFERROR(L4/J4,0)</f>
        <v>1.2083388660204489E-2</v>
      </c>
      <c r="N4" s="221">
        <f>SUM(N7:N15)</f>
        <v>256</v>
      </c>
      <c r="O4" s="222">
        <f t="shared" ref="O4:O15" si="3">IFERROR(N4/SUM(J4),0)</f>
        <v>3.3992829637498341E-2</v>
      </c>
      <c r="P4" s="249">
        <f>SUM(P5:P15)</f>
        <v>430194.88</v>
      </c>
      <c r="Q4" s="222">
        <f t="shared" ref="Q4:Q15" si="4">SUM(P4/E4)</f>
        <v>0.19335232502443439</v>
      </c>
      <c r="R4" s="244">
        <f>SUM(R5:R15)</f>
        <v>285529.83</v>
      </c>
      <c r="S4" s="222">
        <f t="shared" ref="S4:S15" si="5">SUM(R4/E4)</f>
        <v>0.12833220259230305</v>
      </c>
      <c r="T4" s="257"/>
      <c r="U4" s="24"/>
    </row>
    <row r="5" spans="1:21" ht="15.6" customHeight="1" x14ac:dyDescent="0.3">
      <c r="A5" s="198" t="s">
        <v>26</v>
      </c>
      <c r="B5" s="145">
        <v>233558.86</v>
      </c>
      <c r="C5" s="73">
        <v>138311.25</v>
      </c>
      <c r="D5" s="145">
        <v>116789.49</v>
      </c>
      <c r="E5" s="145">
        <v>190506.85</v>
      </c>
      <c r="F5" s="130">
        <v>1197411.9099999999</v>
      </c>
      <c r="G5" s="288">
        <f t="shared" si="0"/>
        <v>0.37737783441332506</v>
      </c>
      <c r="H5" s="155">
        <f t="shared" si="1"/>
        <v>0.63119857788573264</v>
      </c>
      <c r="I5" s="263">
        <f t="shared" ref="I5:I15" si="6">IFERROR((SUM(E5-B5)/B5),0)</f>
        <v>-0.18433045100494147</v>
      </c>
      <c r="J5" s="273">
        <v>629</v>
      </c>
      <c r="K5" s="63">
        <f t="shared" ref="K5:K15" si="7">IFERROR(E5/J5,0)</f>
        <v>302.87257551669319</v>
      </c>
      <c r="L5" s="61">
        <v>10</v>
      </c>
      <c r="M5" s="28">
        <f t="shared" si="2"/>
        <v>1.5898251192368838E-2</v>
      </c>
      <c r="N5" s="46">
        <v>42</v>
      </c>
      <c r="O5" s="172">
        <f t="shared" si="3"/>
        <v>6.6772655007949128E-2</v>
      </c>
      <c r="P5" s="260">
        <v>20345.5</v>
      </c>
      <c r="Q5" s="89">
        <f t="shared" si="4"/>
        <v>0.10679668473863276</v>
      </c>
      <c r="R5" s="260">
        <v>0</v>
      </c>
      <c r="S5" s="89">
        <f t="shared" si="5"/>
        <v>0</v>
      </c>
      <c r="T5" s="281">
        <v>1822</v>
      </c>
      <c r="U5" s="9"/>
    </row>
    <row r="6" spans="1:21" ht="16.2" customHeight="1" thickBot="1" x14ac:dyDescent="0.35">
      <c r="A6" s="409" t="s">
        <v>21</v>
      </c>
      <c r="B6" s="145">
        <v>240257.2</v>
      </c>
      <c r="C6" s="73">
        <v>363089.6</v>
      </c>
      <c r="D6" s="145">
        <v>238834.43</v>
      </c>
      <c r="E6" s="145">
        <v>253992.78</v>
      </c>
      <c r="F6" s="130">
        <v>1086072.05</v>
      </c>
      <c r="G6" s="288">
        <f t="shared" si="0"/>
        <v>-0.300468038743054</v>
      </c>
      <c r="H6" s="155">
        <f t="shared" si="1"/>
        <v>6.3468026783240622E-2</v>
      </c>
      <c r="I6" s="263">
        <f t="shared" si="6"/>
        <v>5.7170315811555225E-2</v>
      </c>
      <c r="J6" s="273">
        <v>805</v>
      </c>
      <c r="K6" s="63">
        <f t="shared" si="7"/>
        <v>315.51898136645963</v>
      </c>
      <c r="L6" s="61">
        <v>10</v>
      </c>
      <c r="M6" s="28">
        <f t="shared" si="2"/>
        <v>1.2422360248447204E-2</v>
      </c>
      <c r="N6" s="46">
        <v>42</v>
      </c>
      <c r="O6" s="172">
        <f t="shared" si="3"/>
        <v>5.2173913043478258E-2</v>
      </c>
      <c r="P6" s="260">
        <v>55445.17</v>
      </c>
      <c r="Q6" s="89">
        <f t="shared" si="4"/>
        <v>0.21829427592390618</v>
      </c>
      <c r="R6" s="260">
        <v>26063.8</v>
      </c>
      <c r="S6" s="89">
        <f t="shared" si="5"/>
        <v>0.10261630271537639</v>
      </c>
      <c r="T6" s="281">
        <v>11768.75</v>
      </c>
      <c r="U6" s="26"/>
    </row>
    <row r="7" spans="1:21" ht="16.5" customHeight="1" x14ac:dyDescent="0.3">
      <c r="A7" s="408" t="s">
        <v>15</v>
      </c>
      <c r="B7" s="144">
        <v>262360.31</v>
      </c>
      <c r="C7" s="255">
        <v>261957.32</v>
      </c>
      <c r="D7" s="197">
        <v>176130.36</v>
      </c>
      <c r="E7" s="144">
        <v>240166.92</v>
      </c>
      <c r="F7" s="129">
        <v>1230086.02</v>
      </c>
      <c r="G7" s="287">
        <f t="shared" si="0"/>
        <v>-8.3183016225696585E-2</v>
      </c>
      <c r="H7" s="154">
        <f t="shared" si="1"/>
        <v>0.36357479766691009</v>
      </c>
      <c r="I7" s="266">
        <f t="shared" si="6"/>
        <v>-8.4591263061093297E-2</v>
      </c>
      <c r="J7" s="285">
        <v>767</v>
      </c>
      <c r="K7" s="124">
        <f t="shared" si="7"/>
        <v>313.12505867014346</v>
      </c>
      <c r="L7" s="125">
        <v>4</v>
      </c>
      <c r="M7" s="126">
        <f t="shared" si="2"/>
        <v>5.2151238591916557E-3</v>
      </c>
      <c r="N7" s="127">
        <v>24</v>
      </c>
      <c r="O7" s="171">
        <f t="shared" si="3"/>
        <v>3.1290743155149937E-2</v>
      </c>
      <c r="P7" s="259">
        <v>36655.35</v>
      </c>
      <c r="Q7" s="128">
        <f t="shared" si="4"/>
        <v>0.15262447467786153</v>
      </c>
      <c r="R7" s="259">
        <v>10761.81</v>
      </c>
      <c r="S7" s="128">
        <f t="shared" si="5"/>
        <v>4.4809709846801542E-2</v>
      </c>
      <c r="T7" s="286">
        <v>38732</v>
      </c>
      <c r="U7" s="26"/>
    </row>
    <row r="8" spans="1:21" ht="15.6" customHeight="1" x14ac:dyDescent="0.3">
      <c r="A8" s="198" t="s">
        <v>27</v>
      </c>
      <c r="B8" s="145">
        <v>151370.57999999999</v>
      </c>
      <c r="C8" s="73">
        <v>126564.93</v>
      </c>
      <c r="D8" s="145">
        <v>118177.43</v>
      </c>
      <c r="E8" s="145">
        <v>166955.5</v>
      </c>
      <c r="F8" s="130">
        <v>710431.93</v>
      </c>
      <c r="G8" s="288">
        <f t="shared" si="0"/>
        <v>0.31912924061981474</v>
      </c>
      <c r="H8" s="155">
        <f t="shared" si="1"/>
        <v>0.41275284121511197</v>
      </c>
      <c r="I8" s="263">
        <f t="shared" si="6"/>
        <v>0.10295871232045233</v>
      </c>
      <c r="J8" s="273">
        <v>549</v>
      </c>
      <c r="K8" s="63">
        <f t="shared" si="7"/>
        <v>304.10837887067396</v>
      </c>
      <c r="L8" s="61">
        <v>11</v>
      </c>
      <c r="M8" s="28">
        <f t="shared" si="2"/>
        <v>2.0036429872495445E-2</v>
      </c>
      <c r="N8" s="46">
        <v>25</v>
      </c>
      <c r="O8" s="172">
        <f t="shared" si="3"/>
        <v>4.553734061930783E-2</v>
      </c>
      <c r="P8" s="260">
        <v>44872.65</v>
      </c>
      <c r="Q8" s="89">
        <f t="shared" si="4"/>
        <v>0.26877012137964906</v>
      </c>
      <c r="R8" s="260">
        <v>21741.16</v>
      </c>
      <c r="S8" s="89">
        <f t="shared" si="5"/>
        <v>0.13022128651047735</v>
      </c>
      <c r="T8" s="281">
        <v>7215.5</v>
      </c>
      <c r="U8" s="9"/>
    </row>
    <row r="9" spans="1:21" ht="15.6" customHeight="1" x14ac:dyDescent="0.3">
      <c r="A9" s="198" t="s">
        <v>23</v>
      </c>
      <c r="B9" s="145">
        <v>193389.34</v>
      </c>
      <c r="C9" s="73">
        <v>216093.02</v>
      </c>
      <c r="D9" s="145">
        <v>197544.45</v>
      </c>
      <c r="E9" s="145">
        <v>238882.51</v>
      </c>
      <c r="F9" s="130">
        <v>968745.77</v>
      </c>
      <c r="G9" s="288">
        <f t="shared" si="0"/>
        <v>0.1054614813565011</v>
      </c>
      <c r="H9" s="155">
        <f t="shared" si="1"/>
        <v>0.20925953627145685</v>
      </c>
      <c r="I9" s="263">
        <f t="shared" si="6"/>
        <v>0.23524135301356328</v>
      </c>
      <c r="J9" s="273">
        <v>807</v>
      </c>
      <c r="K9" s="63">
        <f t="shared" si="7"/>
        <v>296.01302354399007</v>
      </c>
      <c r="L9" s="61">
        <v>15</v>
      </c>
      <c r="M9" s="28">
        <f t="shared" si="2"/>
        <v>1.858736059479554E-2</v>
      </c>
      <c r="N9" s="46">
        <v>48</v>
      </c>
      <c r="O9" s="172">
        <f t="shared" si="3"/>
        <v>5.9479553903345722E-2</v>
      </c>
      <c r="P9" s="260">
        <v>44875.47</v>
      </c>
      <c r="Q9" s="89">
        <f t="shared" si="4"/>
        <v>0.18785582083845317</v>
      </c>
      <c r="R9" s="260">
        <v>33190.39</v>
      </c>
      <c r="S9" s="89">
        <f t="shared" si="5"/>
        <v>0.13894022630622893</v>
      </c>
      <c r="T9" s="281">
        <v>9416.7999999999993</v>
      </c>
      <c r="U9" s="26"/>
    </row>
    <row r="10" spans="1:21" ht="15.6" customHeight="1" x14ac:dyDescent="0.3">
      <c r="A10" s="409" t="s">
        <v>16</v>
      </c>
      <c r="B10" s="145">
        <v>288431.05</v>
      </c>
      <c r="C10" s="73">
        <v>212110.67</v>
      </c>
      <c r="D10" s="145">
        <v>125875.45</v>
      </c>
      <c r="E10" s="145">
        <v>284219.88</v>
      </c>
      <c r="F10" s="130">
        <v>1307775</v>
      </c>
      <c r="G10" s="288">
        <f t="shared" si="0"/>
        <v>0.33996031411338234</v>
      </c>
      <c r="H10" s="155">
        <f t="shared" si="1"/>
        <v>1.2579452943365843</v>
      </c>
      <c r="I10" s="263">
        <f t="shared" si="6"/>
        <v>-1.4600265817428407E-2</v>
      </c>
      <c r="J10" s="273">
        <v>1007</v>
      </c>
      <c r="K10" s="63">
        <f t="shared" si="7"/>
        <v>282.24417080436945</v>
      </c>
      <c r="L10" s="61">
        <v>1</v>
      </c>
      <c r="M10" s="28">
        <f t="shared" si="2"/>
        <v>9.930486593843098E-4</v>
      </c>
      <c r="N10" s="46">
        <v>15</v>
      </c>
      <c r="O10" s="172">
        <f t="shared" si="3"/>
        <v>1.4895729890764648E-2</v>
      </c>
      <c r="P10" s="260">
        <v>51573.55</v>
      </c>
      <c r="Q10" s="89">
        <f t="shared" si="4"/>
        <v>0.18145651880508851</v>
      </c>
      <c r="R10" s="260">
        <v>35668.050000000003</v>
      </c>
      <c r="S10" s="89">
        <f t="shared" si="5"/>
        <v>0.12549456427889563</v>
      </c>
      <c r="T10" s="281">
        <v>18147.759999999998</v>
      </c>
      <c r="U10" s="26"/>
    </row>
    <row r="11" spans="1:21" ht="15.6" customHeight="1" x14ac:dyDescent="0.3">
      <c r="A11" s="409" t="s">
        <v>17</v>
      </c>
      <c r="B11" s="145">
        <v>0</v>
      </c>
      <c r="C11" s="295">
        <v>132507.6</v>
      </c>
      <c r="D11" s="145">
        <v>108071.58</v>
      </c>
      <c r="E11" s="145">
        <v>175361.57</v>
      </c>
      <c r="F11" s="130">
        <v>642370.06999999995</v>
      </c>
      <c r="G11" s="288">
        <f t="shared" si="0"/>
        <v>0.32340763850526311</v>
      </c>
      <c r="H11" s="155">
        <f t="shared" si="1"/>
        <v>0.62264278915881499</v>
      </c>
      <c r="I11" s="263">
        <f t="shared" si="6"/>
        <v>0</v>
      </c>
      <c r="J11" s="273">
        <v>644</v>
      </c>
      <c r="K11" s="63">
        <f t="shared" si="7"/>
        <v>272.30057453416151</v>
      </c>
      <c r="L11" s="61">
        <v>3</v>
      </c>
      <c r="M11" s="28">
        <f t="shared" si="2"/>
        <v>4.658385093167702E-3</v>
      </c>
      <c r="N11" s="46">
        <v>22</v>
      </c>
      <c r="O11" s="172">
        <f t="shared" si="3"/>
        <v>3.4161490683229816E-2</v>
      </c>
      <c r="P11" s="260">
        <v>64080.83</v>
      </c>
      <c r="Q11" s="89">
        <f t="shared" si="4"/>
        <v>0.36542116952990328</v>
      </c>
      <c r="R11" s="260">
        <v>37374.29</v>
      </c>
      <c r="S11" s="89">
        <f t="shared" si="5"/>
        <v>0.21312702663417077</v>
      </c>
      <c r="T11" s="281">
        <v>4620.3999999999996</v>
      </c>
      <c r="U11" s="26"/>
    </row>
    <row r="12" spans="1:21" ht="15.6" customHeight="1" x14ac:dyDescent="0.3">
      <c r="A12" s="198" t="s">
        <v>55</v>
      </c>
      <c r="B12" s="145">
        <v>171116.79</v>
      </c>
      <c r="C12" s="73">
        <v>214731.95</v>
      </c>
      <c r="D12" s="145">
        <v>140061.42000000001</v>
      </c>
      <c r="E12" s="145">
        <v>205658.13</v>
      </c>
      <c r="F12" s="130">
        <v>884127.89</v>
      </c>
      <c r="G12" s="288">
        <f t="shared" si="0"/>
        <v>-4.2256496995440158E-2</v>
      </c>
      <c r="H12" s="155">
        <f t="shared" si="1"/>
        <v>0.46834246004360075</v>
      </c>
      <c r="I12" s="263">
        <f t="shared" si="6"/>
        <v>0.20185827469063669</v>
      </c>
      <c r="J12" s="273">
        <v>728</v>
      </c>
      <c r="K12" s="63">
        <f t="shared" si="7"/>
        <v>282.49743131868132</v>
      </c>
      <c r="L12" s="61">
        <v>7</v>
      </c>
      <c r="M12" s="28">
        <f t="shared" si="2"/>
        <v>9.6153846153846159E-3</v>
      </c>
      <c r="N12" s="46">
        <v>17</v>
      </c>
      <c r="O12" s="172">
        <f t="shared" si="3"/>
        <v>2.3351648351648352E-2</v>
      </c>
      <c r="P12" s="260">
        <v>32880.800000000003</v>
      </c>
      <c r="Q12" s="89">
        <f t="shared" si="4"/>
        <v>0.15988086636788928</v>
      </c>
      <c r="R12" s="260">
        <v>31812.53</v>
      </c>
      <c r="S12" s="89">
        <f t="shared" si="5"/>
        <v>0.15468646923902302</v>
      </c>
      <c r="T12" s="281">
        <v>5549.5</v>
      </c>
      <c r="U12" s="9"/>
    </row>
    <row r="13" spans="1:21" ht="16.2" customHeight="1" thickBot="1" x14ac:dyDescent="0.35">
      <c r="A13" s="199" t="s">
        <v>33</v>
      </c>
      <c r="B13" s="146">
        <v>155532.37</v>
      </c>
      <c r="C13" s="131">
        <v>162603.09</v>
      </c>
      <c r="D13" s="131">
        <v>141804.13</v>
      </c>
      <c r="E13" s="146">
        <v>161698.1</v>
      </c>
      <c r="F13" s="134">
        <v>715294.73</v>
      </c>
      <c r="G13" s="289">
        <f t="shared" si="0"/>
        <v>-5.5656383897747007E-3</v>
      </c>
      <c r="H13" s="156">
        <f t="shared" si="1"/>
        <v>0.14029189417825844</v>
      </c>
      <c r="I13" s="264">
        <f t="shared" si="6"/>
        <v>3.9642744465348344E-2</v>
      </c>
      <c r="J13" s="282">
        <v>586</v>
      </c>
      <c r="K13" s="132">
        <f t="shared" si="7"/>
        <v>275.93532423208194</v>
      </c>
      <c r="L13" s="133">
        <v>13</v>
      </c>
      <c r="M13" s="114">
        <f t="shared" si="2"/>
        <v>2.2184300341296929E-2</v>
      </c>
      <c r="N13" s="115">
        <v>37</v>
      </c>
      <c r="O13" s="173">
        <f t="shared" si="3"/>
        <v>6.313993174061433E-2</v>
      </c>
      <c r="P13" s="261">
        <v>23482.74</v>
      </c>
      <c r="Q13" s="116">
        <f t="shared" si="4"/>
        <v>0.1452258251643031</v>
      </c>
      <c r="R13" s="261">
        <v>31123.43</v>
      </c>
      <c r="S13" s="116">
        <f t="shared" si="5"/>
        <v>0.19247863765869852</v>
      </c>
      <c r="T13" s="283">
        <v>5806.58</v>
      </c>
      <c r="U13" s="9"/>
    </row>
    <row r="14" spans="1:21" ht="15.6" customHeight="1" x14ac:dyDescent="0.3">
      <c r="A14" s="409" t="s">
        <v>20</v>
      </c>
      <c r="B14" s="145">
        <v>157170.6</v>
      </c>
      <c r="C14" s="73">
        <v>139006.44</v>
      </c>
      <c r="D14" s="145">
        <v>108477.81</v>
      </c>
      <c r="E14" s="145">
        <v>171762.54</v>
      </c>
      <c r="F14" s="130">
        <v>723120</v>
      </c>
      <c r="G14" s="288">
        <f t="shared" si="0"/>
        <v>0.23564447805439809</v>
      </c>
      <c r="H14" s="155">
        <f t="shared" si="1"/>
        <v>0.583388713323029</v>
      </c>
      <c r="I14" s="263">
        <f t="shared" si="6"/>
        <v>9.284140927119959E-2</v>
      </c>
      <c r="J14" s="273">
        <v>553</v>
      </c>
      <c r="K14" s="63">
        <f t="shared" si="7"/>
        <v>310.60133815551541</v>
      </c>
      <c r="L14" s="61">
        <v>11</v>
      </c>
      <c r="M14" s="28">
        <f t="shared" si="2"/>
        <v>1.9891500904159132E-2</v>
      </c>
      <c r="N14" s="46">
        <v>41</v>
      </c>
      <c r="O14" s="172">
        <f t="shared" si="3"/>
        <v>7.4141048824593131E-2</v>
      </c>
      <c r="P14" s="260">
        <v>45044.480000000003</v>
      </c>
      <c r="Q14" s="89">
        <f t="shared" si="4"/>
        <v>0.2622485671206306</v>
      </c>
      <c r="R14" s="260">
        <v>31987</v>
      </c>
      <c r="S14" s="89">
        <f t="shared" si="5"/>
        <v>0.18622803319047329</v>
      </c>
      <c r="T14" s="281">
        <v>9162.6</v>
      </c>
      <c r="U14" s="26"/>
    </row>
    <row r="15" spans="1:21" ht="15.6" customHeight="1" x14ac:dyDescent="0.3">
      <c r="A15" s="198" t="s">
        <v>22</v>
      </c>
      <c r="B15" s="145">
        <v>111700.34</v>
      </c>
      <c r="C15" s="73">
        <v>157461.4</v>
      </c>
      <c r="D15" s="145">
        <v>100052.68</v>
      </c>
      <c r="E15" s="145">
        <v>135722.59</v>
      </c>
      <c r="F15" s="130">
        <v>568588.37</v>
      </c>
      <c r="G15" s="288">
        <f t="shared" si="0"/>
        <v>-0.13805802564946074</v>
      </c>
      <c r="H15" s="155">
        <f t="shared" si="1"/>
        <v>0.35651128985250574</v>
      </c>
      <c r="I15" s="263">
        <f t="shared" si="6"/>
        <v>0.21505977510901042</v>
      </c>
      <c r="J15" s="273">
        <v>456</v>
      </c>
      <c r="K15" s="63">
        <f t="shared" si="7"/>
        <v>297.63725877192979</v>
      </c>
      <c r="L15" s="61">
        <v>6</v>
      </c>
      <c r="M15" s="28">
        <f t="shared" si="2"/>
        <v>1.3157894736842105E-2</v>
      </c>
      <c r="N15" s="46">
        <v>27</v>
      </c>
      <c r="O15" s="172">
        <f t="shared" si="3"/>
        <v>5.921052631578947E-2</v>
      </c>
      <c r="P15" s="260">
        <v>10938.34</v>
      </c>
      <c r="Q15" s="89">
        <f t="shared" si="4"/>
        <v>8.0593363271361088E-2</v>
      </c>
      <c r="R15" s="260">
        <v>25807.37</v>
      </c>
      <c r="S15" s="89">
        <f t="shared" si="5"/>
        <v>0.19014793336908764</v>
      </c>
      <c r="T15" s="281">
        <v>9045.25</v>
      </c>
      <c r="U15" s="26"/>
    </row>
    <row r="16" spans="1:21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7 E5:T7 B5:B15 C8:T15">
    <cfRule type="cellIs" dxfId="147" priority="7" operator="equal">
      <formula>0</formula>
    </cfRule>
  </conditionalFormatting>
  <conditionalFormatting sqref="D5:D6">
    <cfRule type="cellIs" dxfId="146" priority="4" operator="equal">
      <formula>0</formula>
    </cfRule>
  </conditionalFormatting>
  <conditionalFormatting sqref="P12:P13">
    <cfRule type="cellIs" dxfId="145" priority="5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U37"/>
  <sheetViews>
    <sheetView zoomScale="50" zoomScaleNormal="50" workbookViewId="0">
      <pane xSplit="1" topLeftCell="B1" activePane="topRight" state="frozen"/>
      <selection pane="topRight" activeCell="D11" sqref="D11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4" width="16" customWidth="1"/>
  </cols>
  <sheetData>
    <row r="1" spans="1:21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1" ht="16.5" customHeight="1" thickBot="1" x14ac:dyDescent="0.35">
      <c r="A2" s="1"/>
      <c r="B2" s="1"/>
      <c r="C2" s="1"/>
      <c r="D2" s="1"/>
      <c r="E2" s="1"/>
      <c r="F2" s="1"/>
      <c r="G2" s="400">
        <f>((E4-C4)/C4)</f>
        <v>4.4473995025175024E-2</v>
      </c>
      <c r="H2" s="413"/>
      <c r="I2" s="400">
        <f>((E4-B4)/E4)</f>
        <v>-6.1670511820815621E-2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1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</row>
    <row r="4" spans="1:21" ht="16.2" customHeight="1" thickBot="1" x14ac:dyDescent="0.35">
      <c r="A4" s="398" t="s">
        <v>13</v>
      </c>
      <c r="B4" s="135">
        <f>SUM(B5:B15)</f>
        <v>2224927.37</v>
      </c>
      <c r="C4" s="135">
        <f>SUM(C5:C15)</f>
        <v>2006450.5099999998</v>
      </c>
      <c r="D4" s="135">
        <f>SUM(D5:D15)</f>
        <v>1564597.1999999997</v>
      </c>
      <c r="E4" s="135">
        <f>SUM(E5:E15)</f>
        <v>2095685.3799999997</v>
      </c>
      <c r="F4" s="135">
        <f>SUM(F5:F15)</f>
        <v>2095685.3799999997</v>
      </c>
      <c r="G4" s="217">
        <f t="shared" ref="G4:G15" si="0">IFERROR((SUM(E4-C4)/C4),0)</f>
        <v>4.4473995025175024E-2</v>
      </c>
      <c r="H4" s="217">
        <f t="shared" ref="H4:H15" si="1">IFERROR((SUM(E4-D4)/D4),0)</f>
        <v>0.33944083499574207</v>
      </c>
      <c r="I4" s="217">
        <f>IFERROR((SUM(E4-B4)/E4),0)</f>
        <v>-6.1670511820815621E-2</v>
      </c>
      <c r="J4" s="262">
        <f>SUM(J5:J15)</f>
        <v>6964</v>
      </c>
      <c r="K4" s="218">
        <f>AVERAGE(K5:K15)</f>
        <v>299.43178020470867</v>
      </c>
      <c r="L4" s="219">
        <f>SUM(L5:L15)</f>
        <v>91</v>
      </c>
      <c r="M4" s="220">
        <f t="shared" ref="M4:M15" si="2">IFERROR(L4/J4,0)</f>
        <v>1.3067202757036185E-2</v>
      </c>
      <c r="N4" s="221">
        <f>SUM(N7:N15)</f>
        <v>256</v>
      </c>
      <c r="O4" s="222">
        <f t="shared" ref="O4:O15" si="3">IFERROR(N4/SUM(J4),0)</f>
        <v>3.6760482481332568E-2</v>
      </c>
      <c r="P4" s="249">
        <f>SUM(P5:P15)</f>
        <v>418870.09</v>
      </c>
      <c r="Q4" s="222">
        <f t="shared" ref="Q4:Q15" si="4">SUM(P4/E4)</f>
        <v>0.19987260206014326</v>
      </c>
      <c r="R4" s="244">
        <f>SUM(R5:R15)</f>
        <v>306113.84000000003</v>
      </c>
      <c r="S4" s="222">
        <f t="shared" ref="S4:S15" si="5">SUM(R4/E4)</f>
        <v>0.14606860501169316</v>
      </c>
      <c r="T4" s="257"/>
      <c r="U4" s="24"/>
    </row>
    <row r="5" spans="1:21" ht="15.6" customHeight="1" x14ac:dyDescent="0.3">
      <c r="A5" s="198" t="s">
        <v>26</v>
      </c>
      <c r="B5" s="145">
        <v>190506.85</v>
      </c>
      <c r="C5" s="73">
        <v>182706.98</v>
      </c>
      <c r="D5" s="145">
        <v>153553.32999999999</v>
      </c>
      <c r="E5" s="145">
        <v>223073.31</v>
      </c>
      <c r="F5" s="145">
        <v>223073.31</v>
      </c>
      <c r="G5" s="288">
        <f t="shared" si="0"/>
        <v>0.22093479953529954</v>
      </c>
      <c r="H5" s="155">
        <f t="shared" si="1"/>
        <v>0.45274159798423136</v>
      </c>
      <c r="I5" s="263">
        <f t="shared" ref="I5:I15" si="6">IFERROR((SUM(E5-B5)/B5),0)</f>
        <v>0.17094639904024445</v>
      </c>
      <c r="J5" s="273">
        <v>689</v>
      </c>
      <c r="K5" s="63">
        <f t="shared" ref="K5:K15" si="7">IFERROR(E5/J5,0)</f>
        <v>323.76387518142235</v>
      </c>
      <c r="L5" s="61">
        <v>10</v>
      </c>
      <c r="M5" s="28">
        <f t="shared" si="2"/>
        <v>1.4513788098693759E-2</v>
      </c>
      <c r="N5" s="46">
        <v>42</v>
      </c>
      <c r="O5" s="172">
        <f t="shared" si="3"/>
        <v>6.095791001451379E-2</v>
      </c>
      <c r="P5" s="260">
        <v>0</v>
      </c>
      <c r="Q5" s="89">
        <f t="shared" si="4"/>
        <v>0</v>
      </c>
      <c r="R5" s="260">
        <v>27650.5</v>
      </c>
      <c r="S5" s="89">
        <f t="shared" si="5"/>
        <v>0.1239525248448593</v>
      </c>
      <c r="T5" s="281">
        <v>2323.9</v>
      </c>
      <c r="U5" s="9"/>
    </row>
    <row r="6" spans="1:21" ht="16.2" customHeight="1" thickBot="1" x14ac:dyDescent="0.35">
      <c r="A6" s="409" t="s">
        <v>21</v>
      </c>
      <c r="B6" s="145">
        <v>253992.78</v>
      </c>
      <c r="C6" s="73">
        <v>313954.43</v>
      </c>
      <c r="D6" s="145">
        <v>222857.07</v>
      </c>
      <c r="E6" s="145">
        <v>246017.55</v>
      </c>
      <c r="F6" s="145">
        <v>246017.55</v>
      </c>
      <c r="G6" s="288">
        <f t="shared" si="0"/>
        <v>-0.2163908946913092</v>
      </c>
      <c r="H6" s="155">
        <f t="shared" si="1"/>
        <v>0.103925264744798</v>
      </c>
      <c r="I6" s="263">
        <f t="shared" si="6"/>
        <v>-3.1399435842231462E-2</v>
      </c>
      <c r="J6" s="273">
        <v>741</v>
      </c>
      <c r="K6" s="63">
        <f t="shared" si="7"/>
        <v>332.00748987854251</v>
      </c>
      <c r="L6" s="61">
        <v>10</v>
      </c>
      <c r="M6" s="28">
        <f t="shared" si="2"/>
        <v>1.3495276653171391E-2</v>
      </c>
      <c r="N6" s="46">
        <v>42</v>
      </c>
      <c r="O6" s="172">
        <f t="shared" si="3"/>
        <v>5.6680161943319839E-2</v>
      </c>
      <c r="P6" s="260">
        <v>54268.17</v>
      </c>
      <c r="Q6" s="89">
        <f t="shared" si="4"/>
        <v>0.2205865801037365</v>
      </c>
      <c r="R6" s="260">
        <v>23437.83</v>
      </c>
      <c r="S6" s="89">
        <f t="shared" si="5"/>
        <v>9.5268935082070377E-2</v>
      </c>
      <c r="T6" s="281">
        <v>17346.900000000001</v>
      </c>
      <c r="U6" s="26"/>
    </row>
    <row r="7" spans="1:21" ht="16.5" customHeight="1" x14ac:dyDescent="0.3">
      <c r="A7" s="408" t="s">
        <v>15</v>
      </c>
      <c r="B7" s="144">
        <v>240166.92</v>
      </c>
      <c r="C7" s="255">
        <v>267972.63</v>
      </c>
      <c r="D7" s="197">
        <v>172837.49</v>
      </c>
      <c r="E7" s="144">
        <v>222929.78</v>
      </c>
      <c r="F7" s="144">
        <v>222929.78</v>
      </c>
      <c r="G7" s="287">
        <f t="shared" si="0"/>
        <v>-0.1680875020706406</v>
      </c>
      <c r="H7" s="154">
        <f t="shared" si="1"/>
        <v>0.28982305864312197</v>
      </c>
      <c r="I7" s="266">
        <f t="shared" si="6"/>
        <v>-7.1771499588702783E-2</v>
      </c>
      <c r="J7" s="285">
        <v>652</v>
      </c>
      <c r="K7" s="124">
        <f t="shared" si="7"/>
        <v>341.91684049079754</v>
      </c>
      <c r="L7" s="125">
        <v>4</v>
      </c>
      <c r="M7" s="126">
        <f t="shared" si="2"/>
        <v>6.1349693251533744E-3</v>
      </c>
      <c r="N7" s="127">
        <v>24</v>
      </c>
      <c r="O7" s="171">
        <f t="shared" si="3"/>
        <v>3.6809815950920248E-2</v>
      </c>
      <c r="P7" s="259">
        <v>51754.239999999998</v>
      </c>
      <c r="Q7" s="128">
        <f t="shared" si="4"/>
        <v>0.23215489648803314</v>
      </c>
      <c r="R7" s="259">
        <v>3408.5</v>
      </c>
      <c r="S7" s="128">
        <f t="shared" si="5"/>
        <v>1.5289567863028439E-2</v>
      </c>
      <c r="T7" s="286">
        <v>8133.5</v>
      </c>
      <c r="U7" s="26"/>
    </row>
    <row r="8" spans="1:21" ht="15.6" customHeight="1" x14ac:dyDescent="0.3">
      <c r="A8" s="198" t="s">
        <v>27</v>
      </c>
      <c r="B8" s="145">
        <v>166955.5</v>
      </c>
      <c r="C8" s="73">
        <v>123420.75</v>
      </c>
      <c r="D8" s="145">
        <v>104945.28</v>
      </c>
      <c r="E8" s="145">
        <v>142525.06</v>
      </c>
      <c r="F8" s="145">
        <v>142525.06</v>
      </c>
      <c r="G8" s="288">
        <f t="shared" si="0"/>
        <v>0.15479009809938765</v>
      </c>
      <c r="H8" s="155">
        <f t="shared" si="1"/>
        <v>0.35808928233837672</v>
      </c>
      <c r="I8" s="263">
        <f t="shared" si="6"/>
        <v>-0.14632905175331151</v>
      </c>
      <c r="J8" s="273">
        <v>491</v>
      </c>
      <c r="K8" s="63">
        <f t="shared" si="7"/>
        <v>290.27507128309571</v>
      </c>
      <c r="L8" s="61">
        <v>11</v>
      </c>
      <c r="M8" s="28">
        <f t="shared" si="2"/>
        <v>2.2403258655804479E-2</v>
      </c>
      <c r="N8" s="46">
        <v>25</v>
      </c>
      <c r="O8" s="172">
        <f t="shared" si="3"/>
        <v>5.0916496945010187E-2</v>
      </c>
      <c r="P8" s="260">
        <v>41459.050000000003</v>
      </c>
      <c r="Q8" s="89">
        <f t="shared" si="4"/>
        <v>0.29088954602088929</v>
      </c>
      <c r="R8" s="260">
        <v>23971.17</v>
      </c>
      <c r="S8" s="89">
        <f t="shared" si="5"/>
        <v>0.16818915915558988</v>
      </c>
      <c r="T8" s="281">
        <v>6239.5</v>
      </c>
      <c r="U8" s="9"/>
    </row>
    <row r="9" spans="1:21" ht="15.6" customHeight="1" x14ac:dyDescent="0.3">
      <c r="A9" s="198" t="s">
        <v>23</v>
      </c>
      <c r="B9" s="145">
        <v>238882.51</v>
      </c>
      <c r="C9" s="73">
        <v>210396.93</v>
      </c>
      <c r="D9" s="145">
        <v>165697.49</v>
      </c>
      <c r="E9" s="145">
        <v>210674.76</v>
      </c>
      <c r="F9" s="145">
        <v>210674.76</v>
      </c>
      <c r="G9" s="288">
        <f t="shared" si="0"/>
        <v>1.3205040586857246E-3</v>
      </c>
      <c r="H9" s="155">
        <f t="shared" si="1"/>
        <v>0.27144207193482545</v>
      </c>
      <c r="I9" s="263">
        <f t="shared" si="6"/>
        <v>-0.11808210655522666</v>
      </c>
      <c r="J9" s="273">
        <v>723</v>
      </c>
      <c r="K9" s="63">
        <f t="shared" si="7"/>
        <v>291.38970954356847</v>
      </c>
      <c r="L9" s="61">
        <v>15</v>
      </c>
      <c r="M9" s="28">
        <f t="shared" si="2"/>
        <v>2.0746887966804978E-2</v>
      </c>
      <c r="N9" s="46">
        <v>48</v>
      </c>
      <c r="O9" s="172">
        <f t="shared" si="3"/>
        <v>6.6390041493775934E-2</v>
      </c>
      <c r="P9" s="260">
        <v>46089.64</v>
      </c>
      <c r="Q9" s="89">
        <f t="shared" si="4"/>
        <v>0.21877153200506788</v>
      </c>
      <c r="R9" s="260">
        <v>38729.660000000003</v>
      </c>
      <c r="S9" s="89">
        <f t="shared" si="5"/>
        <v>0.18383626021456012</v>
      </c>
      <c r="T9" s="281">
        <v>6687</v>
      </c>
      <c r="U9" s="26"/>
    </row>
    <row r="10" spans="1:21" ht="15.6" customHeight="1" x14ac:dyDescent="0.3">
      <c r="A10" s="409" t="s">
        <v>16</v>
      </c>
      <c r="B10" s="145">
        <v>284219.88</v>
      </c>
      <c r="C10" s="73">
        <v>215626.05</v>
      </c>
      <c r="D10" s="145">
        <v>162250.41</v>
      </c>
      <c r="E10" s="145">
        <v>253761.63</v>
      </c>
      <c r="F10" s="145">
        <v>253761.63</v>
      </c>
      <c r="G10" s="288">
        <f t="shared" si="0"/>
        <v>0.17685979963923662</v>
      </c>
      <c r="H10" s="155">
        <f t="shared" si="1"/>
        <v>0.56401225734961158</v>
      </c>
      <c r="I10" s="263">
        <f t="shared" si="6"/>
        <v>-0.10716438976752787</v>
      </c>
      <c r="J10" s="273">
        <v>844</v>
      </c>
      <c r="K10" s="63">
        <f t="shared" si="7"/>
        <v>300.6654383886256</v>
      </c>
      <c r="L10" s="61">
        <v>1</v>
      </c>
      <c r="M10" s="28">
        <f t="shared" si="2"/>
        <v>1.1848341232227489E-3</v>
      </c>
      <c r="N10" s="46">
        <v>15</v>
      </c>
      <c r="O10" s="172">
        <f t="shared" si="3"/>
        <v>1.7772511848341232E-2</v>
      </c>
      <c r="P10" s="260">
        <v>49641.38</v>
      </c>
      <c r="Q10" s="89">
        <f t="shared" si="4"/>
        <v>0.19562208833541933</v>
      </c>
      <c r="R10" s="260">
        <v>38935.870000000003</v>
      </c>
      <c r="S10" s="89">
        <f t="shared" si="5"/>
        <v>0.15343481991347549</v>
      </c>
      <c r="T10" s="281">
        <v>12631.23</v>
      </c>
      <c r="U10" s="26"/>
    </row>
    <row r="11" spans="1:21" ht="15.6" customHeight="1" x14ac:dyDescent="0.3">
      <c r="A11" s="409" t="s">
        <v>17</v>
      </c>
      <c r="B11" s="145">
        <v>175361.57</v>
      </c>
      <c r="C11" s="295">
        <v>103484.13</v>
      </c>
      <c r="D11" s="145">
        <v>109675.64</v>
      </c>
      <c r="E11" s="145">
        <v>137253.75</v>
      </c>
      <c r="F11" s="145">
        <v>137253.75</v>
      </c>
      <c r="G11" s="288">
        <f t="shared" si="0"/>
        <v>0.326326558478097</v>
      </c>
      <c r="H11" s="155">
        <f t="shared" si="1"/>
        <v>0.25145155296107685</v>
      </c>
      <c r="I11" s="263">
        <f t="shared" si="6"/>
        <v>-0.21730998416585803</v>
      </c>
      <c r="J11" s="273">
        <v>522</v>
      </c>
      <c r="K11" s="63">
        <f t="shared" si="7"/>
        <v>262.93821839080459</v>
      </c>
      <c r="L11" s="61">
        <v>3</v>
      </c>
      <c r="M11" s="28">
        <f t="shared" si="2"/>
        <v>5.7471264367816091E-3</v>
      </c>
      <c r="N11" s="46">
        <v>22</v>
      </c>
      <c r="O11" s="172">
        <f t="shared" si="3"/>
        <v>4.2145593869731802E-2</v>
      </c>
      <c r="P11" s="260">
        <v>54114.28</v>
      </c>
      <c r="Q11" s="89">
        <f t="shared" si="4"/>
        <v>0.39426449186269957</v>
      </c>
      <c r="R11" s="260">
        <v>23493</v>
      </c>
      <c r="S11" s="89">
        <f t="shared" si="5"/>
        <v>0.17116472227534768</v>
      </c>
      <c r="T11" s="281">
        <v>4760.6499999999996</v>
      </c>
      <c r="U11" s="26"/>
    </row>
    <row r="12" spans="1:21" ht="15.6" customHeight="1" x14ac:dyDescent="0.3">
      <c r="A12" s="198" t="s">
        <v>55</v>
      </c>
      <c r="B12" s="145">
        <v>205658.13</v>
      </c>
      <c r="C12" s="73">
        <v>198462.73</v>
      </c>
      <c r="D12" s="145">
        <v>132455.42000000001</v>
      </c>
      <c r="E12" s="145">
        <v>203624.91</v>
      </c>
      <c r="F12" s="145">
        <v>203624.91</v>
      </c>
      <c r="G12" s="288">
        <f t="shared" si="0"/>
        <v>2.6010828330336848E-2</v>
      </c>
      <c r="H12" s="155">
        <f t="shared" si="1"/>
        <v>0.5373090055506976</v>
      </c>
      <c r="I12" s="263">
        <f t="shared" si="6"/>
        <v>-9.8864071165093315E-3</v>
      </c>
      <c r="J12" s="273">
        <v>735</v>
      </c>
      <c r="K12" s="63">
        <f t="shared" si="7"/>
        <v>277.04069387755101</v>
      </c>
      <c r="L12" s="61">
        <v>7</v>
      </c>
      <c r="M12" s="28">
        <f t="shared" si="2"/>
        <v>9.5238095238095247E-3</v>
      </c>
      <c r="N12" s="46">
        <v>17</v>
      </c>
      <c r="O12" s="172">
        <f t="shared" si="3"/>
        <v>2.3129251700680271E-2</v>
      </c>
      <c r="P12" s="260">
        <v>39392</v>
      </c>
      <c r="Q12" s="89">
        <f t="shared" si="4"/>
        <v>0.19345373805198982</v>
      </c>
      <c r="R12" s="260">
        <v>39005.120000000003</v>
      </c>
      <c r="S12" s="89">
        <f t="shared" si="5"/>
        <v>0.19155377404463925</v>
      </c>
      <c r="T12" s="281">
        <v>6636.5</v>
      </c>
      <c r="U12" s="9"/>
    </row>
    <row r="13" spans="1:21" ht="16.2" customHeight="1" thickBot="1" x14ac:dyDescent="0.35">
      <c r="A13" s="199" t="s">
        <v>33</v>
      </c>
      <c r="B13" s="146">
        <v>161698.1</v>
      </c>
      <c r="C13" s="131">
        <v>143407</v>
      </c>
      <c r="D13" s="131">
        <v>119669.17</v>
      </c>
      <c r="E13" s="146">
        <v>149649.69</v>
      </c>
      <c r="F13" s="146">
        <v>149649.69</v>
      </c>
      <c r="G13" s="289">
        <f t="shared" si="0"/>
        <v>4.3531278110552497E-2</v>
      </c>
      <c r="H13" s="156">
        <f t="shared" si="1"/>
        <v>0.25052835245702804</v>
      </c>
      <c r="I13" s="264">
        <f t="shared" si="6"/>
        <v>-7.4511759878440151E-2</v>
      </c>
      <c r="J13" s="282">
        <v>570</v>
      </c>
      <c r="K13" s="132">
        <f t="shared" si="7"/>
        <v>262.5433157894737</v>
      </c>
      <c r="L13" s="133">
        <v>13</v>
      </c>
      <c r="M13" s="114">
        <f t="shared" si="2"/>
        <v>2.2807017543859651E-2</v>
      </c>
      <c r="N13" s="115">
        <v>37</v>
      </c>
      <c r="O13" s="173">
        <f t="shared" si="3"/>
        <v>6.491228070175438E-2</v>
      </c>
      <c r="P13" s="261">
        <v>24765</v>
      </c>
      <c r="Q13" s="116">
        <f t="shared" si="4"/>
        <v>0.16548647711866293</v>
      </c>
      <c r="R13" s="261">
        <v>27536.41</v>
      </c>
      <c r="S13" s="116">
        <f t="shared" si="5"/>
        <v>0.18400579379750134</v>
      </c>
      <c r="T13" s="283">
        <v>4839.07</v>
      </c>
      <c r="U13" s="9"/>
    </row>
    <row r="14" spans="1:21" ht="15.6" customHeight="1" x14ac:dyDescent="0.3">
      <c r="A14" s="409" t="s">
        <v>20</v>
      </c>
      <c r="B14" s="145">
        <v>171762.54</v>
      </c>
      <c r="C14" s="73">
        <v>126339</v>
      </c>
      <c r="D14" s="145">
        <v>117926</v>
      </c>
      <c r="E14" s="145">
        <v>174804.45</v>
      </c>
      <c r="F14" s="145">
        <v>174804.45</v>
      </c>
      <c r="G14" s="288">
        <f t="shared" si="0"/>
        <v>0.38361432336808121</v>
      </c>
      <c r="H14" s="155">
        <f t="shared" si="1"/>
        <v>0.48232323660600723</v>
      </c>
      <c r="I14" s="263">
        <f t="shared" si="6"/>
        <v>1.7709973315485458E-2</v>
      </c>
      <c r="J14" s="273">
        <v>527</v>
      </c>
      <c r="K14" s="63">
        <f t="shared" si="7"/>
        <v>331.69724857685014</v>
      </c>
      <c r="L14" s="61">
        <v>11</v>
      </c>
      <c r="M14" s="28">
        <f t="shared" si="2"/>
        <v>2.0872865275142316E-2</v>
      </c>
      <c r="N14" s="46">
        <v>41</v>
      </c>
      <c r="O14" s="172">
        <f t="shared" si="3"/>
        <v>7.7798861480075907E-2</v>
      </c>
      <c r="P14" s="260">
        <v>41913.83</v>
      </c>
      <c r="Q14" s="89">
        <f t="shared" si="4"/>
        <v>0.23977553203022006</v>
      </c>
      <c r="R14" s="260">
        <v>35659.01</v>
      </c>
      <c r="S14" s="89">
        <f t="shared" si="5"/>
        <v>0.20399371983951209</v>
      </c>
      <c r="T14" s="281">
        <v>7453.5</v>
      </c>
      <c r="U14" s="26"/>
    </row>
    <row r="15" spans="1:21" ht="15.6" customHeight="1" x14ac:dyDescent="0.3">
      <c r="A15" s="198" t="s">
        <v>22</v>
      </c>
      <c r="B15" s="145">
        <v>135722.59</v>
      </c>
      <c r="C15" s="73">
        <v>120679.88</v>
      </c>
      <c r="D15" s="145">
        <v>102729.9</v>
      </c>
      <c r="E15" s="145">
        <v>131370.49</v>
      </c>
      <c r="F15" s="145">
        <v>131370.49</v>
      </c>
      <c r="G15" s="288">
        <f t="shared" si="0"/>
        <v>8.8586515001506341E-2</v>
      </c>
      <c r="H15" s="155">
        <f t="shared" si="1"/>
        <v>0.27879507329414316</v>
      </c>
      <c r="I15" s="263">
        <f t="shared" si="6"/>
        <v>-3.2066143152735337E-2</v>
      </c>
      <c r="J15" s="273">
        <v>470</v>
      </c>
      <c r="K15" s="63">
        <f t="shared" si="7"/>
        <v>279.51168085106383</v>
      </c>
      <c r="L15" s="61">
        <v>6</v>
      </c>
      <c r="M15" s="28">
        <f t="shared" si="2"/>
        <v>1.276595744680851E-2</v>
      </c>
      <c r="N15" s="46">
        <v>27</v>
      </c>
      <c r="O15" s="172">
        <f t="shared" si="3"/>
        <v>5.7446808510638298E-2</v>
      </c>
      <c r="P15" s="260">
        <v>15472.5</v>
      </c>
      <c r="Q15" s="89">
        <f t="shared" si="4"/>
        <v>0.11777759221268035</v>
      </c>
      <c r="R15" s="260">
        <v>24286.77</v>
      </c>
      <c r="S15" s="89">
        <f t="shared" si="5"/>
        <v>0.18487234081261325</v>
      </c>
      <c r="T15" s="281">
        <v>6353.5</v>
      </c>
      <c r="U15" s="26"/>
    </row>
    <row r="16" spans="1:21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7 E5:E7 B5:B15 F5:T15 C8:E15">
    <cfRule type="cellIs" dxfId="144" priority="4" operator="equal">
      <formula>0</formula>
    </cfRule>
  </conditionalFormatting>
  <conditionalFormatting sqref="D5:D6">
    <cfRule type="cellIs" dxfId="143" priority="1" operator="equal">
      <formula>0</formula>
    </cfRule>
  </conditionalFormatting>
  <conditionalFormatting sqref="P12:P13">
    <cfRule type="cellIs" dxfId="142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AA37"/>
  <sheetViews>
    <sheetView zoomScale="50" zoomScaleNormal="50" workbookViewId="0">
      <pane xSplit="1" topLeftCell="B1" activePane="topRight" state="frozen"/>
      <selection pane="topRight" activeCell="X6" sqref="X6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0.11116993100634823</v>
      </c>
      <c r="H2" s="413"/>
      <c r="I2" s="400">
        <f>((E4-B4)/E4)</f>
        <v>5.9825885107068537E-2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135">
        <f>SUM(B5:B15)</f>
        <v>2095685.3799999997</v>
      </c>
      <c r="C4" s="135">
        <f>SUM(C5:C15)</f>
        <v>2006029.49</v>
      </c>
      <c r="D4" s="135">
        <f>SUM(D5:D15)</f>
        <v>1527709.51</v>
      </c>
      <c r="E4" s="135">
        <f>SUM(E5:E15)</f>
        <v>2229039.65</v>
      </c>
      <c r="F4" s="135">
        <f>SUM(F5:F15)</f>
        <v>4324725.03</v>
      </c>
      <c r="G4" s="217">
        <f t="shared" ref="G4:G15" si="0">IFERROR((SUM(E4-C4)/C4),0)</f>
        <v>0.11116993100634823</v>
      </c>
      <c r="H4" s="217">
        <f t="shared" ref="H4:H15" si="1">IFERROR((SUM(E4-D4)/D4),0)</f>
        <v>0.45907296865619424</v>
      </c>
      <c r="I4" s="217">
        <f>IFERROR((SUM(E4-B4)/E4),0)</f>
        <v>5.9825885107068537E-2</v>
      </c>
      <c r="J4" s="262">
        <f>SUM(J5:J15)</f>
        <v>7332</v>
      </c>
      <c r="K4" s="218">
        <f>AVERAGE(K5:K15)</f>
        <v>301.95054504760424</v>
      </c>
      <c r="L4" s="219">
        <f>SUM(L5:L15)</f>
        <v>91</v>
      </c>
      <c r="M4" s="220">
        <f t="shared" ref="M4:M15" si="2">IFERROR(L4/J4,0)</f>
        <v>1.2411347517730497E-2</v>
      </c>
      <c r="N4" s="221">
        <f>SUM(N7:N15)</f>
        <v>256</v>
      </c>
      <c r="O4" s="222">
        <f t="shared" ref="O4:O15" si="3">IFERROR(N4/SUM(J4),0)</f>
        <v>3.4915439170758317E-2</v>
      </c>
      <c r="P4" s="249">
        <f>SUM(P5:P15)</f>
        <v>360660.93913043482</v>
      </c>
      <c r="Q4" s="222">
        <f t="shared" ref="Q4:Q15" si="4">SUM(P4/E4)</f>
        <v>0.1618010424939883</v>
      </c>
      <c r="R4" s="244">
        <f>SUM(R5:R15)</f>
        <v>260811.50434782612</v>
      </c>
      <c r="S4" s="222">
        <f t="shared" ref="S4:S15" si="5">SUM(R4/E4)</f>
        <v>0.11700622030111762</v>
      </c>
      <c r="T4" s="257"/>
      <c r="U4" s="24"/>
    </row>
    <row r="5" spans="1:27" ht="15.6" customHeight="1" x14ac:dyDescent="0.3">
      <c r="A5" s="198" t="s">
        <v>26</v>
      </c>
      <c r="B5" s="145">
        <v>223073.31</v>
      </c>
      <c r="C5" s="73">
        <v>149035.45000000001</v>
      </c>
      <c r="D5" s="145">
        <v>131076.87</v>
      </c>
      <c r="E5" s="145">
        <v>250229.34</v>
      </c>
      <c r="F5" s="145">
        <v>473302.65</v>
      </c>
      <c r="G5" s="288">
        <f t="shared" si="0"/>
        <v>0.67899207873026168</v>
      </c>
      <c r="H5" s="155">
        <f t="shared" si="1"/>
        <v>0.90902742795124725</v>
      </c>
      <c r="I5" s="263">
        <f t="shared" ref="I5:I15" si="6">IFERROR((SUM(E5-B5)/B5),0)</f>
        <v>0.1217358992879964</v>
      </c>
      <c r="J5" s="273">
        <v>740</v>
      </c>
      <c r="K5" s="63">
        <f t="shared" ref="K5:K15" si="7">IFERROR(E5/J5,0)</f>
        <v>338.14775675675673</v>
      </c>
      <c r="L5" s="61">
        <v>10</v>
      </c>
      <c r="M5" s="28">
        <f t="shared" si="2"/>
        <v>1.3513513513513514E-2</v>
      </c>
      <c r="N5" s="46">
        <v>42</v>
      </c>
      <c r="O5" s="172">
        <f t="shared" si="3"/>
        <v>5.675675675675676E-2</v>
      </c>
      <c r="P5" s="260">
        <f t="shared" ref="P5:P15" si="8">X5</f>
        <v>0</v>
      </c>
      <c r="Q5" s="89">
        <f t="shared" si="4"/>
        <v>0</v>
      </c>
      <c r="R5" s="260">
        <f t="shared" ref="R5:R15" si="9">AA5</f>
        <v>23729.130434782612</v>
      </c>
      <c r="S5" s="89">
        <f t="shared" si="5"/>
        <v>9.4829528922478118E-2</v>
      </c>
      <c r="T5" s="281">
        <v>2210</v>
      </c>
      <c r="U5" s="9"/>
      <c r="W5" s="260"/>
      <c r="X5" s="297">
        <f t="shared" ref="X5:X15" si="10">W5/1.15</f>
        <v>0</v>
      </c>
      <c r="Z5" s="260">
        <v>27288.5</v>
      </c>
      <c r="AA5" s="297">
        <f t="shared" ref="AA5:AA15" si="11">Z5/1.15</f>
        <v>23729.130434782612</v>
      </c>
    </row>
    <row r="6" spans="1:27" ht="16.2" customHeight="1" thickBot="1" x14ac:dyDescent="0.35">
      <c r="A6" s="409" t="s">
        <v>21</v>
      </c>
      <c r="B6" s="145">
        <v>246017.55</v>
      </c>
      <c r="C6" s="73">
        <v>351899.09</v>
      </c>
      <c r="D6" s="145">
        <v>171775.58</v>
      </c>
      <c r="E6" s="145">
        <v>225621.66</v>
      </c>
      <c r="F6" s="145">
        <v>471639.21</v>
      </c>
      <c r="G6" s="288">
        <f t="shared" si="0"/>
        <v>-0.35884557132557521</v>
      </c>
      <c r="H6" s="155">
        <f t="shared" si="1"/>
        <v>0.31346760697882681</v>
      </c>
      <c r="I6" s="263">
        <f t="shared" si="6"/>
        <v>-8.2904207443737193E-2</v>
      </c>
      <c r="J6" s="273">
        <v>699</v>
      </c>
      <c r="K6" s="63">
        <f t="shared" si="7"/>
        <v>322.77776824034333</v>
      </c>
      <c r="L6" s="61">
        <v>10</v>
      </c>
      <c r="M6" s="28">
        <f t="shared" si="2"/>
        <v>1.4306151645207439E-2</v>
      </c>
      <c r="N6" s="46">
        <v>42</v>
      </c>
      <c r="O6" s="172">
        <f t="shared" si="3"/>
        <v>6.0085836909871244E-2</v>
      </c>
      <c r="P6" s="260">
        <f t="shared" si="8"/>
        <v>45232.860869565222</v>
      </c>
      <c r="Q6" s="89">
        <f t="shared" si="4"/>
        <v>0.20048102150106165</v>
      </c>
      <c r="R6" s="260">
        <f t="shared" si="9"/>
        <v>16317.826086956524</v>
      </c>
      <c r="S6" s="89">
        <f t="shared" si="5"/>
        <v>7.2323845533963912E-2</v>
      </c>
      <c r="T6" s="281">
        <v>8132.5</v>
      </c>
      <c r="U6" s="26"/>
      <c r="W6" s="260">
        <v>52017.79</v>
      </c>
      <c r="X6" s="297">
        <f t="shared" si="10"/>
        <v>45232.860869565222</v>
      </c>
      <c r="Z6" s="260">
        <v>18765.5</v>
      </c>
      <c r="AA6" s="297">
        <f t="shared" si="11"/>
        <v>16317.826086956524</v>
      </c>
    </row>
    <row r="7" spans="1:27" ht="16.5" customHeight="1" x14ac:dyDescent="0.3">
      <c r="A7" s="408" t="s">
        <v>15</v>
      </c>
      <c r="B7" s="144">
        <v>222929.78</v>
      </c>
      <c r="C7" s="255">
        <v>222616.58</v>
      </c>
      <c r="D7" s="197">
        <v>183717.7</v>
      </c>
      <c r="E7" s="144">
        <v>251168.25</v>
      </c>
      <c r="F7" s="144">
        <v>474098.03</v>
      </c>
      <c r="G7" s="287">
        <f t="shared" si="0"/>
        <v>0.12825491254964036</v>
      </c>
      <c r="H7" s="154">
        <f t="shared" si="1"/>
        <v>0.36714236026251135</v>
      </c>
      <c r="I7" s="266">
        <f t="shared" si="6"/>
        <v>0.12666979709933773</v>
      </c>
      <c r="J7" s="285">
        <v>814</v>
      </c>
      <c r="K7" s="124">
        <f t="shared" si="7"/>
        <v>308.5605036855037</v>
      </c>
      <c r="L7" s="125">
        <v>4</v>
      </c>
      <c r="M7" s="126">
        <f t="shared" si="2"/>
        <v>4.9140049140049139E-3</v>
      </c>
      <c r="N7" s="127">
        <v>24</v>
      </c>
      <c r="O7" s="171">
        <f t="shared" si="3"/>
        <v>2.9484029484029485E-2</v>
      </c>
      <c r="P7" s="260">
        <f t="shared" si="8"/>
        <v>43543.869565217392</v>
      </c>
      <c r="Q7" s="128">
        <f t="shared" si="4"/>
        <v>0.17336534201762122</v>
      </c>
      <c r="R7" s="260">
        <f t="shared" si="9"/>
        <v>15397.104347826087</v>
      </c>
      <c r="S7" s="128">
        <f t="shared" si="5"/>
        <v>6.1301953363237939E-2</v>
      </c>
      <c r="T7" s="286">
        <v>21812.5</v>
      </c>
      <c r="U7" s="26"/>
      <c r="W7" s="260">
        <v>50075.45</v>
      </c>
      <c r="X7" s="297">
        <f t="shared" si="10"/>
        <v>43543.869565217392</v>
      </c>
      <c r="Z7" s="260">
        <v>17706.669999999998</v>
      </c>
      <c r="AA7" s="297">
        <f t="shared" si="11"/>
        <v>15397.104347826087</v>
      </c>
    </row>
    <row r="8" spans="1:27" ht="15.6" customHeight="1" x14ac:dyDescent="0.3">
      <c r="A8" s="198" t="s">
        <v>27</v>
      </c>
      <c r="B8" s="145">
        <v>142525.06</v>
      </c>
      <c r="C8" s="73">
        <v>119169.43</v>
      </c>
      <c r="D8" s="145">
        <v>108865.93</v>
      </c>
      <c r="E8" s="145">
        <v>149602.25</v>
      </c>
      <c r="F8" s="145">
        <v>292127.31</v>
      </c>
      <c r="G8" s="288">
        <f t="shared" si="0"/>
        <v>0.2553743858638915</v>
      </c>
      <c r="H8" s="155">
        <f t="shared" si="1"/>
        <v>0.37418795760987861</v>
      </c>
      <c r="I8" s="263">
        <f t="shared" si="6"/>
        <v>4.9655758783753556E-2</v>
      </c>
      <c r="J8" s="273">
        <v>511</v>
      </c>
      <c r="K8" s="63">
        <f t="shared" si="7"/>
        <v>292.76369863013701</v>
      </c>
      <c r="L8" s="61">
        <v>11</v>
      </c>
      <c r="M8" s="28">
        <f t="shared" si="2"/>
        <v>2.1526418786692758E-2</v>
      </c>
      <c r="N8" s="46">
        <v>25</v>
      </c>
      <c r="O8" s="172">
        <f t="shared" si="3"/>
        <v>4.8923679060665359E-2</v>
      </c>
      <c r="P8" s="260">
        <f t="shared" si="8"/>
        <v>35302.313043478265</v>
      </c>
      <c r="Q8" s="89">
        <f t="shared" si="4"/>
        <v>0.23597447928409007</v>
      </c>
      <c r="R8" s="260">
        <f t="shared" si="9"/>
        <v>17200.643478260874</v>
      </c>
      <c r="S8" s="89">
        <f t="shared" si="5"/>
        <v>0.11497583410851692</v>
      </c>
      <c r="T8" s="281">
        <v>10501.5</v>
      </c>
      <c r="U8" s="9"/>
      <c r="W8" s="260">
        <v>40597.660000000003</v>
      </c>
      <c r="X8" s="297">
        <f t="shared" si="10"/>
        <v>35302.313043478265</v>
      </c>
      <c r="Z8" s="260">
        <v>19780.740000000002</v>
      </c>
      <c r="AA8" s="297">
        <f t="shared" si="11"/>
        <v>17200.643478260874</v>
      </c>
    </row>
    <row r="9" spans="1:27" ht="15.6" customHeight="1" x14ac:dyDescent="0.3">
      <c r="A9" s="198" t="s">
        <v>23</v>
      </c>
      <c r="B9" s="145">
        <v>210674.76</v>
      </c>
      <c r="C9" s="73">
        <v>217294.07999999999</v>
      </c>
      <c r="D9" s="145">
        <v>172155.22</v>
      </c>
      <c r="E9" s="145">
        <v>206309.34</v>
      </c>
      <c r="F9" s="145">
        <v>416984.1</v>
      </c>
      <c r="G9" s="288">
        <f t="shared" si="0"/>
        <v>-5.0552412656617203E-2</v>
      </c>
      <c r="H9" s="155">
        <f t="shared" si="1"/>
        <v>0.19839142838654555</v>
      </c>
      <c r="I9" s="263">
        <f t="shared" si="6"/>
        <v>-2.0721134320978996E-2</v>
      </c>
      <c r="J9" s="273">
        <v>724</v>
      </c>
      <c r="K9" s="63">
        <f t="shared" si="7"/>
        <v>284.95765193370164</v>
      </c>
      <c r="L9" s="61">
        <v>15</v>
      </c>
      <c r="M9" s="28">
        <f t="shared" si="2"/>
        <v>2.0718232044198894E-2</v>
      </c>
      <c r="N9" s="46">
        <v>48</v>
      </c>
      <c r="O9" s="172">
        <f t="shared" si="3"/>
        <v>6.6298342541436461E-2</v>
      </c>
      <c r="P9" s="260">
        <f t="shared" si="8"/>
        <v>35971.373913043484</v>
      </c>
      <c r="Q9" s="89">
        <f t="shared" si="4"/>
        <v>0.17435649744719983</v>
      </c>
      <c r="R9" s="260">
        <f t="shared" si="9"/>
        <v>34103.643478260878</v>
      </c>
      <c r="S9" s="89">
        <f t="shared" si="5"/>
        <v>0.16530343938020875</v>
      </c>
      <c r="T9" s="281">
        <v>8258</v>
      </c>
      <c r="U9" s="26"/>
      <c r="W9" s="260">
        <v>41367.08</v>
      </c>
      <c r="X9" s="297">
        <f t="shared" si="10"/>
        <v>35971.373913043484</v>
      </c>
      <c r="Z9" s="260">
        <v>39219.19</v>
      </c>
      <c r="AA9" s="297">
        <f t="shared" si="11"/>
        <v>34103.643478260878</v>
      </c>
    </row>
    <row r="10" spans="1:27" ht="15.6" customHeight="1" x14ac:dyDescent="0.3">
      <c r="A10" s="409" t="s">
        <v>16</v>
      </c>
      <c r="B10" s="145">
        <v>253761.63</v>
      </c>
      <c r="C10" s="73">
        <v>197449.78</v>
      </c>
      <c r="D10" s="145">
        <v>145245.69</v>
      </c>
      <c r="E10" s="145">
        <v>343437.12</v>
      </c>
      <c r="F10" s="145">
        <v>597198.75</v>
      </c>
      <c r="G10" s="288">
        <f t="shared" si="0"/>
        <v>0.73936440952225924</v>
      </c>
      <c r="H10" s="155">
        <f t="shared" si="1"/>
        <v>1.3645253776549238</v>
      </c>
      <c r="I10" s="263">
        <f t="shared" si="6"/>
        <v>0.35338474930193342</v>
      </c>
      <c r="J10" s="273">
        <v>1075</v>
      </c>
      <c r="K10" s="63">
        <f t="shared" si="7"/>
        <v>319.47639069767439</v>
      </c>
      <c r="L10" s="61">
        <v>1</v>
      </c>
      <c r="M10" s="28">
        <f t="shared" si="2"/>
        <v>9.3023255813953494E-4</v>
      </c>
      <c r="N10" s="46">
        <v>15</v>
      </c>
      <c r="O10" s="172">
        <f t="shared" si="3"/>
        <v>1.3953488372093023E-2</v>
      </c>
      <c r="P10" s="260">
        <f t="shared" si="8"/>
        <v>46876.026086956525</v>
      </c>
      <c r="Q10" s="89">
        <f t="shared" si="4"/>
        <v>0.1364908548236036</v>
      </c>
      <c r="R10" s="260">
        <f t="shared" si="9"/>
        <v>26629.756521739135</v>
      </c>
      <c r="S10" s="89">
        <f t="shared" si="5"/>
        <v>7.7538958286568246E-2</v>
      </c>
      <c r="T10" s="281">
        <v>17542.009999999998</v>
      </c>
      <c r="U10" s="26"/>
      <c r="W10" s="260">
        <v>53907.43</v>
      </c>
      <c r="X10" s="297">
        <f t="shared" si="10"/>
        <v>46876.026086956525</v>
      </c>
      <c r="Z10" s="260">
        <v>30624.22</v>
      </c>
      <c r="AA10" s="297">
        <f t="shared" si="11"/>
        <v>26629.756521739135</v>
      </c>
    </row>
    <row r="11" spans="1:27" ht="15.6" customHeight="1" x14ac:dyDescent="0.3">
      <c r="A11" s="409" t="s">
        <v>17</v>
      </c>
      <c r="B11" s="145">
        <v>137253.75</v>
      </c>
      <c r="C11" s="295">
        <v>78509.75</v>
      </c>
      <c r="D11" s="145">
        <v>107457.81</v>
      </c>
      <c r="E11" s="145">
        <v>142653.71</v>
      </c>
      <c r="F11" s="145">
        <v>279907.46000000002</v>
      </c>
      <c r="G11" s="288">
        <f t="shared" si="0"/>
        <v>0.81701903266791698</v>
      </c>
      <c r="H11" s="155">
        <f t="shared" si="1"/>
        <v>0.32753226591906159</v>
      </c>
      <c r="I11" s="263">
        <f t="shared" si="6"/>
        <v>3.9342895913590643E-2</v>
      </c>
      <c r="J11" s="273">
        <v>486</v>
      </c>
      <c r="K11" s="63">
        <f t="shared" si="7"/>
        <v>293.52615226337446</v>
      </c>
      <c r="L11" s="61">
        <v>3</v>
      </c>
      <c r="M11" s="28">
        <f t="shared" si="2"/>
        <v>6.1728395061728392E-3</v>
      </c>
      <c r="N11" s="46">
        <v>22</v>
      </c>
      <c r="O11" s="172">
        <f t="shared" si="3"/>
        <v>4.5267489711934158E-2</v>
      </c>
      <c r="P11" s="260">
        <f t="shared" si="8"/>
        <v>46703.834782608705</v>
      </c>
      <c r="Q11" s="89">
        <f t="shared" si="4"/>
        <v>0.32739306101894378</v>
      </c>
      <c r="R11" s="260">
        <f t="shared" si="9"/>
        <v>26000.286956521744</v>
      </c>
      <c r="S11" s="89">
        <f t="shared" si="5"/>
        <v>0.18226155461727386</v>
      </c>
      <c r="T11" s="281">
        <v>5162.4399999999996</v>
      </c>
      <c r="U11" s="26"/>
      <c r="W11" s="260">
        <v>53709.41</v>
      </c>
      <c r="X11" s="297">
        <f t="shared" si="10"/>
        <v>46703.834782608705</v>
      </c>
      <c r="Z11" s="260">
        <v>29900.33</v>
      </c>
      <c r="AA11" s="297">
        <f t="shared" si="11"/>
        <v>26000.286956521744</v>
      </c>
    </row>
    <row r="12" spans="1:27" ht="15.6" customHeight="1" x14ac:dyDescent="0.3">
      <c r="A12" s="198" t="s">
        <v>55</v>
      </c>
      <c r="B12" s="145">
        <v>203624.91</v>
      </c>
      <c r="C12" s="73">
        <v>209337.65</v>
      </c>
      <c r="D12" s="145">
        <v>152726.89000000001</v>
      </c>
      <c r="E12" s="145">
        <v>197141.69</v>
      </c>
      <c r="F12" s="145">
        <v>400766.6</v>
      </c>
      <c r="G12" s="288">
        <f t="shared" si="0"/>
        <v>-5.8259754038511427E-2</v>
      </c>
      <c r="H12" s="155">
        <f t="shared" si="1"/>
        <v>0.29081191923701177</v>
      </c>
      <c r="I12" s="263">
        <f t="shared" si="6"/>
        <v>-3.1839031874833001E-2</v>
      </c>
      <c r="J12" s="273">
        <v>704</v>
      </c>
      <c r="K12" s="63">
        <f t="shared" si="7"/>
        <v>280.03080965909089</v>
      </c>
      <c r="L12" s="61">
        <v>7</v>
      </c>
      <c r="M12" s="28">
        <f t="shared" si="2"/>
        <v>9.943181818181818E-3</v>
      </c>
      <c r="N12" s="46">
        <v>17</v>
      </c>
      <c r="O12" s="172">
        <f t="shared" si="3"/>
        <v>2.4147727272727272E-2</v>
      </c>
      <c r="P12" s="260">
        <f t="shared" si="8"/>
        <v>33429.34782608696</v>
      </c>
      <c r="Q12" s="89">
        <f t="shared" si="4"/>
        <v>0.16957015954406682</v>
      </c>
      <c r="R12" s="260">
        <f t="shared" si="9"/>
        <v>27233.356521739133</v>
      </c>
      <c r="S12" s="89">
        <f t="shared" si="5"/>
        <v>0.13814103207565651</v>
      </c>
      <c r="T12" s="281">
        <v>5541</v>
      </c>
      <c r="U12" s="9"/>
      <c r="W12" s="260">
        <v>38443.75</v>
      </c>
      <c r="X12" s="297">
        <f t="shared" si="10"/>
        <v>33429.34782608696</v>
      </c>
      <c r="Z12" s="260">
        <v>31318.36</v>
      </c>
      <c r="AA12" s="297">
        <f t="shared" si="11"/>
        <v>27233.356521739133</v>
      </c>
    </row>
    <row r="13" spans="1:27" ht="16.2" customHeight="1" thickBot="1" x14ac:dyDescent="0.35">
      <c r="A13" s="199" t="s">
        <v>33</v>
      </c>
      <c r="B13" s="146">
        <v>149649.69</v>
      </c>
      <c r="C13" s="131">
        <v>147869.29</v>
      </c>
      <c r="D13" s="131">
        <v>131997.35</v>
      </c>
      <c r="E13" s="146">
        <v>154231.74</v>
      </c>
      <c r="F13" s="146">
        <v>303881.43</v>
      </c>
      <c r="G13" s="289">
        <f t="shared" si="0"/>
        <v>4.3027527893046501E-2</v>
      </c>
      <c r="H13" s="156">
        <f t="shared" si="1"/>
        <v>0.16844573016049175</v>
      </c>
      <c r="I13" s="264">
        <f t="shared" si="6"/>
        <v>3.0618506459986573E-2</v>
      </c>
      <c r="J13" s="282">
        <v>578</v>
      </c>
      <c r="K13" s="132">
        <f t="shared" si="7"/>
        <v>266.83692041522488</v>
      </c>
      <c r="L13" s="133">
        <v>13</v>
      </c>
      <c r="M13" s="114">
        <f t="shared" si="2"/>
        <v>2.2491349480968859E-2</v>
      </c>
      <c r="N13" s="115">
        <v>37</v>
      </c>
      <c r="O13" s="173">
        <f t="shared" si="3"/>
        <v>6.4013840830449822E-2</v>
      </c>
      <c r="P13" s="260">
        <f t="shared" si="8"/>
        <v>13269.165217391306</v>
      </c>
      <c r="Q13" s="116">
        <f t="shared" si="4"/>
        <v>8.603394617340962E-2</v>
      </c>
      <c r="R13" s="260">
        <f t="shared" si="9"/>
        <v>27414.504347826089</v>
      </c>
      <c r="S13" s="116">
        <f t="shared" si="5"/>
        <v>0.17774878470427741</v>
      </c>
      <c r="T13" s="283">
        <v>5327.17</v>
      </c>
      <c r="U13" s="9"/>
      <c r="W13" s="260">
        <v>15259.54</v>
      </c>
      <c r="X13" s="297">
        <f t="shared" si="10"/>
        <v>13269.165217391306</v>
      </c>
      <c r="Z13" s="260">
        <v>31526.68</v>
      </c>
      <c r="AA13" s="297">
        <f t="shared" si="11"/>
        <v>27414.504347826089</v>
      </c>
    </row>
    <row r="14" spans="1:27" ht="15.6" customHeight="1" x14ac:dyDescent="0.3">
      <c r="A14" s="409" t="s">
        <v>20</v>
      </c>
      <c r="B14" s="145">
        <v>174804.45</v>
      </c>
      <c r="C14" s="73">
        <v>154333.15</v>
      </c>
      <c r="D14" s="145">
        <v>122396.48</v>
      </c>
      <c r="E14" s="145">
        <v>178592.68</v>
      </c>
      <c r="F14" s="145">
        <v>353397.13</v>
      </c>
      <c r="G14" s="288">
        <f t="shared" si="0"/>
        <v>0.15718936599168745</v>
      </c>
      <c r="H14" s="155">
        <f t="shared" si="1"/>
        <v>0.45913248485577363</v>
      </c>
      <c r="I14" s="263">
        <f t="shared" si="6"/>
        <v>2.1671244639366909E-2</v>
      </c>
      <c r="J14" s="273">
        <v>515</v>
      </c>
      <c r="K14" s="63">
        <f t="shared" si="7"/>
        <v>346.78190291262132</v>
      </c>
      <c r="L14" s="61">
        <v>11</v>
      </c>
      <c r="M14" s="28">
        <f t="shared" si="2"/>
        <v>2.1359223300970873E-2</v>
      </c>
      <c r="N14" s="46">
        <v>41</v>
      </c>
      <c r="O14" s="172">
        <f t="shared" si="3"/>
        <v>7.9611650485436891E-2</v>
      </c>
      <c r="P14" s="260">
        <f t="shared" si="8"/>
        <v>41185.339130434782</v>
      </c>
      <c r="Q14" s="89">
        <f t="shared" si="4"/>
        <v>0.23061045464144883</v>
      </c>
      <c r="R14" s="260">
        <f t="shared" si="9"/>
        <v>22864.34782608696</v>
      </c>
      <c r="S14" s="89">
        <f t="shared" si="5"/>
        <v>0.12802511181358026</v>
      </c>
      <c r="T14" s="281">
        <v>5622.7</v>
      </c>
      <c r="U14" s="26"/>
      <c r="W14" s="260">
        <v>47363.14</v>
      </c>
      <c r="X14" s="297">
        <f t="shared" si="10"/>
        <v>41185.339130434782</v>
      </c>
      <c r="Z14" s="260">
        <v>26294</v>
      </c>
      <c r="AA14" s="297">
        <f t="shared" si="11"/>
        <v>22864.34782608696</v>
      </c>
    </row>
    <row r="15" spans="1:27" ht="15.6" customHeight="1" x14ac:dyDescent="0.3">
      <c r="A15" s="198" t="s">
        <v>22</v>
      </c>
      <c r="B15" s="145">
        <v>131370.49</v>
      </c>
      <c r="C15" s="73">
        <v>158515.24</v>
      </c>
      <c r="D15" s="145">
        <v>100293.99</v>
      </c>
      <c r="E15" s="145">
        <v>130051.87</v>
      </c>
      <c r="F15" s="145">
        <v>261422.36</v>
      </c>
      <c r="G15" s="288">
        <f t="shared" si="0"/>
        <v>-0.17956235627564893</v>
      </c>
      <c r="H15" s="155">
        <f t="shared" si="1"/>
        <v>0.29670651252383107</v>
      </c>
      <c r="I15" s="263">
        <f t="shared" si="6"/>
        <v>-1.0037414034156342E-2</v>
      </c>
      <c r="J15" s="273">
        <v>486</v>
      </c>
      <c r="K15" s="63">
        <f t="shared" si="7"/>
        <v>267.59644032921807</v>
      </c>
      <c r="L15" s="61">
        <v>6</v>
      </c>
      <c r="M15" s="28">
        <f t="shared" si="2"/>
        <v>1.2345679012345678E-2</v>
      </c>
      <c r="N15" s="46">
        <v>27</v>
      </c>
      <c r="O15" s="172">
        <f t="shared" si="3"/>
        <v>5.5555555555555552E-2</v>
      </c>
      <c r="P15" s="260">
        <f t="shared" si="8"/>
        <v>19146.808695652177</v>
      </c>
      <c r="Q15" s="89">
        <f t="shared" si="4"/>
        <v>0.14722440127659969</v>
      </c>
      <c r="R15" s="260">
        <f t="shared" si="9"/>
        <v>23920.90434782609</v>
      </c>
      <c r="S15" s="89">
        <f t="shared" si="5"/>
        <v>0.18393356702849478</v>
      </c>
      <c r="T15" s="281">
        <v>8362</v>
      </c>
      <c r="U15" s="26"/>
      <c r="W15" s="260">
        <v>22018.83</v>
      </c>
      <c r="X15" s="297">
        <f t="shared" si="10"/>
        <v>19146.808695652177</v>
      </c>
      <c r="Z15" s="260">
        <v>27509.040000000001</v>
      </c>
      <c r="AA15" s="297">
        <f t="shared" si="11"/>
        <v>23920.90434782609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C5:C7 E5:E7 B5:B15 F5:T15 C8:E15">
    <cfRule type="cellIs" dxfId="141" priority="8" operator="equal">
      <formula>0</formula>
    </cfRule>
  </conditionalFormatting>
  <conditionalFormatting sqref="D5:D6">
    <cfRule type="cellIs" dxfId="140" priority="5" operator="equal">
      <formula>0</formula>
    </cfRule>
  </conditionalFormatting>
  <conditionalFormatting sqref="P12:P13">
    <cfRule type="cellIs" dxfId="139" priority="6" operator="equal">
      <formula>0</formula>
    </cfRule>
  </conditionalFormatting>
  <conditionalFormatting sqref="W5:W15">
    <cfRule type="cellIs" dxfId="138" priority="2" operator="equal">
      <formula>0</formula>
    </cfRule>
  </conditionalFormatting>
  <conditionalFormatting sqref="Z5:Z15">
    <cfRule type="cellIs" dxfId="13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AA37"/>
  <sheetViews>
    <sheetView zoomScale="50" zoomScaleNormal="50" workbookViewId="0">
      <pane xSplit="1" topLeftCell="B1" activePane="topRight" state="frozen"/>
      <selection pane="topRight" activeCell="W6" sqref="W6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-3.4304305380329803E-2</v>
      </c>
      <c r="H2" s="413"/>
      <c r="I2" s="400">
        <f>((E4-B4)/E4)</f>
        <v>-0.13070614924234925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2229039.65</v>
      </c>
      <c r="C4" s="299">
        <f>SUM(C5:C15)</f>
        <v>2041398.28</v>
      </c>
      <c r="D4" s="299">
        <f>SUM(D5:D15)</f>
        <v>1610894.6700000002</v>
      </c>
      <c r="E4" s="299">
        <f>SUM(E5:E15)</f>
        <v>1971369.53</v>
      </c>
      <c r="F4" s="299">
        <f>SUM(F5:F15)</f>
        <v>6296094.5599999996</v>
      </c>
      <c r="G4" s="300">
        <f t="shared" ref="G4:G15" si="0">IFERROR((SUM(E4-C4)/C4),0)</f>
        <v>-3.4304305380329803E-2</v>
      </c>
      <c r="H4" s="300">
        <f t="shared" ref="H4:H15" si="1">IFERROR((SUM(E4-D4)/D4),0)</f>
        <v>0.22377307884444103</v>
      </c>
      <c r="I4" s="300">
        <f>IFERROR((SUM(E4-B4)/E4),0)</f>
        <v>-0.13070614924234925</v>
      </c>
      <c r="J4" s="301">
        <f>SUM(J5:J15)</f>
        <v>6531</v>
      </c>
      <c r="K4" s="302">
        <f>AVERAGE(K5:K15)</f>
        <v>301.71646852590015</v>
      </c>
      <c r="L4" s="303">
        <f>SUM(L5:L15)</f>
        <v>91</v>
      </c>
      <c r="M4" s="304">
        <f t="shared" ref="M4:M15" si="2">IFERROR(L4/J4,0)</f>
        <v>1.3933547695605574E-2</v>
      </c>
      <c r="N4" s="305">
        <f>SUM(N7:N15)</f>
        <v>256</v>
      </c>
      <c r="O4" s="306">
        <f t="shared" ref="O4:O15" si="3">IFERROR(N4/SUM(J4),0)</f>
        <v>3.919767263818711E-2</v>
      </c>
      <c r="P4" s="307">
        <f>SUM(P5:P15)</f>
        <v>349682.95782608696</v>
      </c>
      <c r="Q4" s="306">
        <f t="shared" ref="Q4:Q15" si="4">SUM(P4/E4)</f>
        <v>0.17738072568570487</v>
      </c>
      <c r="R4" s="308">
        <f>SUM(R5:R15)</f>
        <v>216265.59130434785</v>
      </c>
      <c r="S4" s="306">
        <f t="shared" ref="S4:S15" si="5">SUM(R4/E4)</f>
        <v>0.10970322307068825</v>
      </c>
      <c r="T4" s="309"/>
      <c r="U4" s="24"/>
    </row>
    <row r="5" spans="1:27" ht="15.6" customHeight="1" x14ac:dyDescent="0.3">
      <c r="A5" s="198" t="s">
        <v>26</v>
      </c>
      <c r="B5" s="73">
        <v>250229.34</v>
      </c>
      <c r="C5" s="73">
        <v>144589.57</v>
      </c>
      <c r="D5" s="73">
        <v>144860.75</v>
      </c>
      <c r="E5" s="73">
        <v>203120.59</v>
      </c>
      <c r="F5" s="73">
        <v>676423.24</v>
      </c>
      <c r="G5" s="86">
        <f t="shared" si="0"/>
        <v>0.40480803698358042</v>
      </c>
      <c r="H5" s="86">
        <f t="shared" si="1"/>
        <v>0.40217822978273959</v>
      </c>
      <c r="I5" s="86">
        <f t="shared" ref="I5:I15" si="6">IFERROR((SUM(E5-B5)/B5),0)</f>
        <v>-0.18826229570041628</v>
      </c>
      <c r="J5" s="80">
        <v>578</v>
      </c>
      <c r="K5" s="63">
        <f t="shared" ref="K5:K15" si="7">IFERROR(E5/J5,0)</f>
        <v>351.41970588235296</v>
      </c>
      <c r="L5" s="61">
        <v>10</v>
      </c>
      <c r="M5" s="28">
        <f t="shared" si="2"/>
        <v>1.7301038062283738E-2</v>
      </c>
      <c r="N5" s="46">
        <v>42</v>
      </c>
      <c r="O5" s="89">
        <f t="shared" si="3"/>
        <v>7.2664359861591699E-2</v>
      </c>
      <c r="P5" s="260">
        <f>X5</f>
        <v>0</v>
      </c>
      <c r="Q5" s="89">
        <f t="shared" si="4"/>
        <v>0</v>
      </c>
      <c r="R5" s="260"/>
      <c r="S5" s="89">
        <f t="shared" si="5"/>
        <v>0</v>
      </c>
      <c r="T5" s="297">
        <v>4139</v>
      </c>
      <c r="U5" s="9"/>
      <c r="W5" s="260"/>
      <c r="X5" s="297">
        <f t="shared" ref="X5:X15" si="8">W5/1.15</f>
        <v>0</v>
      </c>
      <c r="Z5">
        <v>16091</v>
      </c>
      <c r="AA5" s="297">
        <f t="shared" ref="AA5:AA15" si="9">Z5/1.15</f>
        <v>13992.17391304348</v>
      </c>
    </row>
    <row r="6" spans="1:27" ht="16.2" customHeight="1" thickBot="1" x14ac:dyDescent="0.35">
      <c r="A6" s="409" t="s">
        <v>21</v>
      </c>
      <c r="B6" s="73">
        <v>225621.66</v>
      </c>
      <c r="C6" s="73">
        <v>360091.79</v>
      </c>
      <c r="D6" s="73">
        <v>228766.7</v>
      </c>
      <c r="E6" s="73">
        <v>196366.64</v>
      </c>
      <c r="F6" s="73">
        <v>668005.85</v>
      </c>
      <c r="G6" s="86">
        <f t="shared" si="0"/>
        <v>-0.4546761535440727</v>
      </c>
      <c r="H6" s="86">
        <f t="shared" si="1"/>
        <v>-0.14162926684696678</v>
      </c>
      <c r="I6" s="86">
        <f t="shared" si="6"/>
        <v>-0.12966405796322919</v>
      </c>
      <c r="J6" s="80">
        <v>626</v>
      </c>
      <c r="K6" s="63">
        <f t="shared" si="7"/>
        <v>313.68472843450479</v>
      </c>
      <c r="L6" s="61">
        <v>10</v>
      </c>
      <c r="M6" s="28">
        <f t="shared" si="2"/>
        <v>1.5974440894568689E-2</v>
      </c>
      <c r="N6" s="46">
        <v>42</v>
      </c>
      <c r="O6" s="89">
        <f t="shared" si="3"/>
        <v>6.7092651757188496E-2</v>
      </c>
      <c r="P6" s="260">
        <f>X6</f>
        <v>35556.82608695652</v>
      </c>
      <c r="Q6" s="89">
        <f t="shared" si="4"/>
        <v>0.18107365939019232</v>
      </c>
      <c r="R6" s="260">
        <f t="shared" ref="R6:R15" si="10">AA6</f>
        <v>18573.478260869568</v>
      </c>
      <c r="S6" s="89">
        <f t="shared" si="5"/>
        <v>9.4585710998923073E-2</v>
      </c>
      <c r="T6" s="297">
        <v>8660.1</v>
      </c>
      <c r="U6" s="26"/>
      <c r="W6">
        <v>40890.35</v>
      </c>
      <c r="X6" s="297">
        <f t="shared" si="8"/>
        <v>35556.82608695652</v>
      </c>
      <c r="Z6">
        <v>21359.5</v>
      </c>
      <c r="AA6" s="297">
        <f t="shared" si="9"/>
        <v>18573.478260869568</v>
      </c>
    </row>
    <row r="7" spans="1:27" ht="16.5" customHeight="1" x14ac:dyDescent="0.3">
      <c r="A7" s="408" t="s">
        <v>15</v>
      </c>
      <c r="B7" s="73">
        <v>251168.25</v>
      </c>
      <c r="C7" s="73">
        <v>231767.72</v>
      </c>
      <c r="D7" s="73">
        <v>159000.87</v>
      </c>
      <c r="E7" s="73">
        <v>194288.81</v>
      </c>
      <c r="F7" s="73">
        <v>668386.84</v>
      </c>
      <c r="G7" s="86">
        <f t="shared" si="0"/>
        <v>-0.16170892995797689</v>
      </c>
      <c r="H7" s="86">
        <f t="shared" si="1"/>
        <v>0.2219355151956087</v>
      </c>
      <c r="I7" s="86">
        <f t="shared" si="6"/>
        <v>-0.22645951468786363</v>
      </c>
      <c r="J7" s="80">
        <v>615</v>
      </c>
      <c r="K7" s="63">
        <f t="shared" si="7"/>
        <v>315.91676422764226</v>
      </c>
      <c r="L7" s="61">
        <v>4</v>
      </c>
      <c r="M7" s="28">
        <f t="shared" si="2"/>
        <v>6.5040650406504065E-3</v>
      </c>
      <c r="N7" s="46">
        <v>24</v>
      </c>
      <c r="O7" s="89">
        <f t="shared" si="3"/>
        <v>3.9024390243902439E-2</v>
      </c>
      <c r="P7" s="260">
        <f>X7</f>
        <v>36401.000000000007</v>
      </c>
      <c r="Q7" s="89">
        <f t="shared" si="4"/>
        <v>0.18735510295214639</v>
      </c>
      <c r="R7" s="260">
        <f t="shared" si="10"/>
        <v>337.98260869565223</v>
      </c>
      <c r="S7" s="89">
        <f t="shared" si="5"/>
        <v>1.7395886499878826E-3</v>
      </c>
      <c r="T7" s="297">
        <v>7794</v>
      </c>
      <c r="U7" s="26"/>
      <c r="W7">
        <v>41861.15</v>
      </c>
      <c r="X7" s="297">
        <f t="shared" si="8"/>
        <v>36401.000000000007</v>
      </c>
      <c r="Z7">
        <v>388.68</v>
      </c>
      <c r="AA7" s="297">
        <f t="shared" si="9"/>
        <v>337.98260869565223</v>
      </c>
    </row>
    <row r="8" spans="1:27" ht="15.6" customHeight="1" x14ac:dyDescent="0.3">
      <c r="A8" s="198" t="s">
        <v>27</v>
      </c>
      <c r="B8" s="73">
        <v>149602.25</v>
      </c>
      <c r="C8" s="73">
        <v>132180.87</v>
      </c>
      <c r="D8" s="73">
        <v>123771.25</v>
      </c>
      <c r="E8" s="73">
        <v>148905.81</v>
      </c>
      <c r="F8" s="73">
        <v>441033.12</v>
      </c>
      <c r="G8" s="86">
        <f t="shared" si="0"/>
        <v>0.12653071507246097</v>
      </c>
      <c r="H8" s="86">
        <f t="shared" si="1"/>
        <v>0.20307268448852214</v>
      </c>
      <c r="I8" s="86">
        <f t="shared" si="6"/>
        <v>-4.6552775777102436E-3</v>
      </c>
      <c r="J8" s="80">
        <v>491</v>
      </c>
      <c r="K8" s="63">
        <f t="shared" si="7"/>
        <v>303.27048879837065</v>
      </c>
      <c r="L8" s="61">
        <v>11</v>
      </c>
      <c r="M8" s="28">
        <f t="shared" si="2"/>
        <v>2.2403258655804479E-2</v>
      </c>
      <c r="N8" s="46">
        <v>25</v>
      </c>
      <c r="O8" s="89">
        <f t="shared" si="3"/>
        <v>5.0916496945010187E-2</v>
      </c>
      <c r="P8" s="297">
        <v>35851.61</v>
      </c>
      <c r="Q8" s="89">
        <f t="shared" si="4"/>
        <v>0.24076703252881806</v>
      </c>
      <c r="R8" s="260">
        <f t="shared" si="10"/>
        <v>15123.04347826087</v>
      </c>
      <c r="S8" s="89">
        <f t="shared" si="5"/>
        <v>0.10156113773036035</v>
      </c>
      <c r="T8" s="297">
        <v>6855.5</v>
      </c>
      <c r="U8" s="9"/>
      <c r="W8">
        <v>35851.61</v>
      </c>
      <c r="X8" s="297">
        <f t="shared" si="8"/>
        <v>31175.313043478265</v>
      </c>
      <c r="Z8">
        <v>17391.5</v>
      </c>
      <c r="AA8" s="297">
        <f t="shared" si="9"/>
        <v>15123.04347826087</v>
      </c>
    </row>
    <row r="9" spans="1:27" ht="15.6" customHeight="1" x14ac:dyDescent="0.3">
      <c r="A9" s="198" t="s">
        <v>23</v>
      </c>
      <c r="B9" s="73">
        <v>206309.34</v>
      </c>
      <c r="C9" s="73">
        <v>198305.39</v>
      </c>
      <c r="D9" s="73">
        <v>170345.73</v>
      </c>
      <c r="E9" s="73">
        <v>208809.95</v>
      </c>
      <c r="F9" s="73">
        <v>625794.05000000005</v>
      </c>
      <c r="G9" s="86">
        <f t="shared" si="0"/>
        <v>5.2971631280420553E-2</v>
      </c>
      <c r="H9" s="86">
        <f t="shared" si="1"/>
        <v>0.22580090501828251</v>
      </c>
      <c r="I9" s="86">
        <f t="shared" si="6"/>
        <v>1.2120682466436154E-2</v>
      </c>
      <c r="J9" s="80">
        <v>726</v>
      </c>
      <c r="K9" s="63">
        <f t="shared" si="7"/>
        <v>287.61701101928378</v>
      </c>
      <c r="L9" s="61">
        <v>15</v>
      </c>
      <c r="M9" s="28">
        <f t="shared" si="2"/>
        <v>2.0661157024793389E-2</v>
      </c>
      <c r="N9" s="46">
        <v>48</v>
      </c>
      <c r="O9" s="89">
        <f t="shared" si="3"/>
        <v>6.6115702479338845E-2</v>
      </c>
      <c r="P9" s="260">
        <f t="shared" ref="P9:P15" si="11">X9</f>
        <v>36979.573913043481</v>
      </c>
      <c r="Q9" s="89">
        <f t="shared" si="4"/>
        <v>0.17709679980788023</v>
      </c>
      <c r="R9" s="260">
        <f t="shared" si="10"/>
        <v>30471.46086956522</v>
      </c>
      <c r="S9" s="89">
        <f t="shared" si="5"/>
        <v>0.14592916127591246</v>
      </c>
      <c r="T9" s="297">
        <v>7195.8</v>
      </c>
      <c r="U9" s="26"/>
      <c r="W9">
        <v>42526.51</v>
      </c>
      <c r="X9" s="297">
        <f t="shared" si="8"/>
        <v>36979.573913043481</v>
      </c>
      <c r="Z9">
        <v>35042.18</v>
      </c>
      <c r="AA9" s="297">
        <f t="shared" si="9"/>
        <v>30471.46086956522</v>
      </c>
    </row>
    <row r="10" spans="1:27" ht="15.6" customHeight="1" x14ac:dyDescent="0.3">
      <c r="A10" s="409" t="s">
        <v>16</v>
      </c>
      <c r="B10" s="73">
        <v>343437.12</v>
      </c>
      <c r="C10" s="73">
        <v>221483.49</v>
      </c>
      <c r="D10" s="73">
        <v>161964.35</v>
      </c>
      <c r="E10" s="73">
        <v>230636.06</v>
      </c>
      <c r="F10" s="73">
        <v>827834.81</v>
      </c>
      <c r="G10" s="86">
        <f t="shared" si="0"/>
        <v>4.1323937960341908E-2</v>
      </c>
      <c r="H10" s="86">
        <f t="shared" si="1"/>
        <v>0.42399274902162104</v>
      </c>
      <c r="I10" s="86">
        <f t="shared" si="6"/>
        <v>-0.32844748989276407</v>
      </c>
      <c r="J10" s="80">
        <v>791</v>
      </c>
      <c r="K10" s="63">
        <f t="shared" si="7"/>
        <v>291.57529709228822</v>
      </c>
      <c r="L10" s="61">
        <v>1</v>
      </c>
      <c r="M10" s="28">
        <f t="shared" si="2"/>
        <v>1.2642225031605564E-3</v>
      </c>
      <c r="N10" s="46">
        <v>15</v>
      </c>
      <c r="O10" s="89">
        <f t="shared" si="3"/>
        <v>1.8963337547408345E-2</v>
      </c>
      <c r="P10" s="260">
        <f t="shared" si="11"/>
        <v>51852.234782608699</v>
      </c>
      <c r="Q10" s="89">
        <f t="shared" si="4"/>
        <v>0.22482275660886983</v>
      </c>
      <c r="R10" s="260">
        <f t="shared" si="10"/>
        <v>29651.365217391307</v>
      </c>
      <c r="S10" s="89">
        <f t="shared" si="5"/>
        <v>0.12856343980811721</v>
      </c>
      <c r="T10" s="297">
        <v>10288.129999999999</v>
      </c>
      <c r="U10" s="26"/>
      <c r="W10">
        <v>59630.07</v>
      </c>
      <c r="X10" s="297">
        <f t="shared" si="8"/>
        <v>51852.234782608699</v>
      </c>
      <c r="Z10">
        <v>34099.07</v>
      </c>
      <c r="AA10" s="297">
        <f t="shared" si="9"/>
        <v>29651.365217391307</v>
      </c>
    </row>
    <row r="11" spans="1:27" ht="15.6" customHeight="1" x14ac:dyDescent="0.3">
      <c r="A11" s="409" t="s">
        <v>17</v>
      </c>
      <c r="B11" s="73">
        <v>142653.71</v>
      </c>
      <c r="C11" s="73">
        <v>108339.36</v>
      </c>
      <c r="D11" s="73">
        <v>123573.27</v>
      </c>
      <c r="E11" s="73">
        <v>114215.58</v>
      </c>
      <c r="F11" s="73">
        <v>394123.04</v>
      </c>
      <c r="G11" s="86">
        <f t="shared" si="0"/>
        <v>5.4239013411192395E-2</v>
      </c>
      <c r="H11" s="86">
        <f t="shared" si="1"/>
        <v>-7.5725842651893915E-2</v>
      </c>
      <c r="I11" s="86">
        <f t="shared" si="6"/>
        <v>-0.19935079150763055</v>
      </c>
      <c r="J11" s="80">
        <v>441</v>
      </c>
      <c r="K11" s="63">
        <f t="shared" si="7"/>
        <v>258.99224489795921</v>
      </c>
      <c r="L11" s="61">
        <v>3</v>
      </c>
      <c r="M11" s="28">
        <f t="shared" si="2"/>
        <v>6.8027210884353739E-3</v>
      </c>
      <c r="N11" s="46">
        <v>22</v>
      </c>
      <c r="O11" s="89">
        <f t="shared" si="3"/>
        <v>4.9886621315192746E-2</v>
      </c>
      <c r="P11" s="260">
        <f t="shared" si="11"/>
        <v>40734.078260869574</v>
      </c>
      <c r="Q11" s="89">
        <f t="shared" si="4"/>
        <v>0.35664204709085723</v>
      </c>
      <c r="R11" s="260">
        <f t="shared" si="10"/>
        <v>27263.330434782612</v>
      </c>
      <c r="S11" s="89">
        <f t="shared" si="5"/>
        <v>0.23870062591095376</v>
      </c>
      <c r="T11" s="297">
        <v>3350.5</v>
      </c>
      <c r="U11" s="26"/>
      <c r="W11">
        <v>46844.19</v>
      </c>
      <c r="X11" s="297">
        <f t="shared" si="8"/>
        <v>40734.078260869574</v>
      </c>
      <c r="Z11">
        <v>31352.83</v>
      </c>
      <c r="AA11" s="297">
        <f t="shared" si="9"/>
        <v>27263.330434782612</v>
      </c>
    </row>
    <row r="12" spans="1:27" ht="15.6" customHeight="1" x14ac:dyDescent="0.3">
      <c r="A12" s="198" t="s">
        <v>55</v>
      </c>
      <c r="B12" s="73">
        <v>197141.69</v>
      </c>
      <c r="C12" s="73">
        <v>198741.03</v>
      </c>
      <c r="D12" s="73">
        <v>149229.03</v>
      </c>
      <c r="E12" s="73">
        <v>189760.56</v>
      </c>
      <c r="F12" s="73">
        <v>590527.16</v>
      </c>
      <c r="G12" s="86">
        <f t="shared" si="0"/>
        <v>-4.518679409078237E-2</v>
      </c>
      <c r="H12" s="86">
        <f t="shared" si="1"/>
        <v>0.27160620155475113</v>
      </c>
      <c r="I12" s="86">
        <f t="shared" si="6"/>
        <v>-3.7440736152764061E-2</v>
      </c>
      <c r="J12" s="80">
        <v>666</v>
      </c>
      <c r="K12" s="63">
        <f t="shared" si="7"/>
        <v>284.92576576576579</v>
      </c>
      <c r="L12" s="61">
        <v>7</v>
      </c>
      <c r="M12" s="28">
        <f t="shared" si="2"/>
        <v>1.0510510510510511E-2</v>
      </c>
      <c r="N12" s="46">
        <v>17</v>
      </c>
      <c r="O12" s="89">
        <f t="shared" si="3"/>
        <v>2.5525525525525526E-2</v>
      </c>
      <c r="P12" s="260">
        <f t="shared" si="11"/>
        <v>30100.878260869569</v>
      </c>
      <c r="Q12" s="89">
        <f t="shared" si="4"/>
        <v>0.15862557667868166</v>
      </c>
      <c r="R12" s="260">
        <f t="shared" si="10"/>
        <v>23005.773913043478</v>
      </c>
      <c r="S12" s="89">
        <f t="shared" si="5"/>
        <v>0.12123580323036293</v>
      </c>
      <c r="T12" s="297">
        <v>7273</v>
      </c>
      <c r="U12" s="9"/>
      <c r="W12">
        <v>34616.01</v>
      </c>
      <c r="X12" s="297">
        <f t="shared" si="8"/>
        <v>30100.878260869569</v>
      </c>
      <c r="Z12">
        <v>26456.639999999999</v>
      </c>
      <c r="AA12" s="297">
        <f t="shared" si="9"/>
        <v>23005.773913043478</v>
      </c>
    </row>
    <row r="13" spans="1:27" ht="16.2" customHeight="1" thickBot="1" x14ac:dyDescent="0.35">
      <c r="A13" s="199" t="s">
        <v>33</v>
      </c>
      <c r="B13" s="73">
        <v>154231.74</v>
      </c>
      <c r="C13" s="73">
        <v>159131.38</v>
      </c>
      <c r="D13" s="73">
        <v>134165.04</v>
      </c>
      <c r="E13" s="73">
        <v>153506.39000000001</v>
      </c>
      <c r="F13" s="73">
        <v>457387.82</v>
      </c>
      <c r="G13" s="86">
        <f t="shared" si="0"/>
        <v>-3.5348087850428936E-2</v>
      </c>
      <c r="H13" s="86">
        <f t="shared" si="1"/>
        <v>0.14416087827350557</v>
      </c>
      <c r="I13" s="86">
        <f t="shared" si="6"/>
        <v>-4.7029878545102113E-3</v>
      </c>
      <c r="J13" s="80">
        <v>545</v>
      </c>
      <c r="K13" s="63">
        <f t="shared" si="7"/>
        <v>281.66310091743122</v>
      </c>
      <c r="L13" s="61">
        <v>13</v>
      </c>
      <c r="M13" s="28">
        <f t="shared" si="2"/>
        <v>2.3853211009174313E-2</v>
      </c>
      <c r="N13" s="46">
        <v>37</v>
      </c>
      <c r="O13" s="89">
        <f t="shared" si="3"/>
        <v>6.7889908256880738E-2</v>
      </c>
      <c r="P13" s="260">
        <f t="shared" si="11"/>
        <v>17057.2</v>
      </c>
      <c r="Q13" s="89">
        <f t="shared" si="4"/>
        <v>0.11111719844366087</v>
      </c>
      <c r="R13" s="260">
        <f t="shared" si="10"/>
        <v>29464.739130434784</v>
      </c>
      <c r="S13" s="89">
        <f t="shared" si="5"/>
        <v>0.1919447075163111</v>
      </c>
      <c r="T13" s="297">
        <v>6518</v>
      </c>
      <c r="U13" s="9"/>
      <c r="W13">
        <v>19615.78</v>
      </c>
      <c r="X13" s="297">
        <f t="shared" si="8"/>
        <v>17057.2</v>
      </c>
      <c r="Z13">
        <v>33884.449999999997</v>
      </c>
      <c r="AA13" s="297">
        <f t="shared" si="9"/>
        <v>29464.739130434784</v>
      </c>
    </row>
    <row r="14" spans="1:27" ht="15.6" customHeight="1" x14ac:dyDescent="0.3">
      <c r="A14" s="409" t="s">
        <v>20</v>
      </c>
      <c r="B14" s="73">
        <v>178592.68</v>
      </c>
      <c r="C14" s="73">
        <v>146426.01999999999</v>
      </c>
      <c r="D14" s="73">
        <v>126252.63</v>
      </c>
      <c r="E14" s="73">
        <v>184661.74</v>
      </c>
      <c r="F14" s="73">
        <v>538058.87</v>
      </c>
      <c r="G14" s="86">
        <f t="shared" si="0"/>
        <v>0.26112654021464221</v>
      </c>
      <c r="H14" s="86">
        <f t="shared" si="1"/>
        <v>0.46263677833879568</v>
      </c>
      <c r="I14" s="86">
        <f t="shared" si="6"/>
        <v>3.3982691787815704E-2</v>
      </c>
      <c r="J14" s="80">
        <v>578</v>
      </c>
      <c r="K14" s="63">
        <f t="shared" si="7"/>
        <v>319.48397923875433</v>
      </c>
      <c r="L14" s="61">
        <v>11</v>
      </c>
      <c r="M14" s="28">
        <f t="shared" si="2"/>
        <v>1.9031141868512111E-2</v>
      </c>
      <c r="N14" s="46">
        <v>41</v>
      </c>
      <c r="O14" s="89">
        <f t="shared" si="3"/>
        <v>7.0934256055363326E-2</v>
      </c>
      <c r="P14" s="260">
        <f t="shared" si="11"/>
        <v>43253.321739130435</v>
      </c>
      <c r="Q14" s="89">
        <f t="shared" si="4"/>
        <v>0.23423001288263848</v>
      </c>
      <c r="R14" s="260">
        <f t="shared" si="10"/>
        <v>20717.860869565218</v>
      </c>
      <c r="S14" s="89">
        <f t="shared" si="5"/>
        <v>0.11219357550494878</v>
      </c>
      <c r="T14" s="297">
        <v>6479.4</v>
      </c>
      <c r="U14" s="26"/>
      <c r="W14">
        <v>49741.32</v>
      </c>
      <c r="X14" s="297">
        <f t="shared" si="8"/>
        <v>43253.321739130435</v>
      </c>
      <c r="Z14">
        <v>23825.54</v>
      </c>
      <c r="AA14" s="297">
        <f t="shared" si="9"/>
        <v>20717.860869565218</v>
      </c>
    </row>
    <row r="15" spans="1:27" ht="15.6" customHeight="1" x14ac:dyDescent="0.3">
      <c r="A15" s="198" t="s">
        <v>22</v>
      </c>
      <c r="B15" s="73">
        <v>130051.87</v>
      </c>
      <c r="C15" s="73">
        <v>140341.66</v>
      </c>
      <c r="D15" s="73">
        <v>88965.05</v>
      </c>
      <c r="E15" s="73">
        <v>147097.4</v>
      </c>
      <c r="F15" s="73">
        <v>408519.76</v>
      </c>
      <c r="G15" s="86">
        <f t="shared" si="0"/>
        <v>4.8137808830250338E-2</v>
      </c>
      <c r="H15" s="86">
        <f t="shared" si="1"/>
        <v>0.65342907130384331</v>
      </c>
      <c r="I15" s="86">
        <f t="shared" si="6"/>
        <v>0.13106716573933155</v>
      </c>
      <c r="J15" s="80">
        <v>474</v>
      </c>
      <c r="K15" s="63">
        <f t="shared" si="7"/>
        <v>310.33206751054848</v>
      </c>
      <c r="L15" s="61">
        <v>6</v>
      </c>
      <c r="M15" s="28">
        <f t="shared" si="2"/>
        <v>1.2658227848101266E-2</v>
      </c>
      <c r="N15" s="46">
        <v>27</v>
      </c>
      <c r="O15" s="89">
        <f t="shared" si="3"/>
        <v>5.6962025316455694E-2</v>
      </c>
      <c r="P15" s="260">
        <f t="shared" si="11"/>
        <v>21896.234782608695</v>
      </c>
      <c r="Q15" s="89">
        <f t="shared" si="4"/>
        <v>0.14885534878664541</v>
      </c>
      <c r="R15" s="260">
        <f t="shared" si="10"/>
        <v>21656.556521739134</v>
      </c>
      <c r="S15" s="89">
        <f t="shared" si="5"/>
        <v>0.147225964032941</v>
      </c>
      <c r="T15" s="297">
        <v>7352</v>
      </c>
      <c r="U15" s="26"/>
      <c r="W15">
        <v>25180.67</v>
      </c>
      <c r="X15" s="297">
        <f t="shared" si="8"/>
        <v>21896.234782608695</v>
      </c>
      <c r="Z15">
        <v>24905.040000000001</v>
      </c>
      <c r="AA15" s="297">
        <f t="shared" si="9"/>
        <v>21656.556521739134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B5:C5 K5:S6 G5:I15 B6 B7:C7 K7:Q7 R7:S15 K8:O8 Q8 B8:B15 K9:Q15">
    <cfRule type="cellIs" dxfId="136" priority="8" operator="equal">
      <formula>0</formula>
    </cfRule>
  </conditionalFormatting>
  <conditionalFormatting sqref="P12:P13">
    <cfRule type="cellIs" dxfId="135" priority="6" operator="equal">
      <formula>0</formula>
    </cfRule>
  </conditionalFormatting>
  <conditionalFormatting sqref="W5">
    <cfRule type="cellIs" dxfId="134" priority="4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AA37"/>
  <sheetViews>
    <sheetView zoomScale="50" zoomScaleNormal="50" workbookViewId="0">
      <pane xSplit="1" topLeftCell="B1" activePane="topRight" state="frozen"/>
      <selection pane="topRight" activeCell="S46" sqref="S46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1.5267309816681101E-2</v>
      </c>
      <c r="H2" s="413"/>
      <c r="I2" s="400">
        <f>((E4-B4)/E4)</f>
        <v>4.8826170918436898E-2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1971369.53</v>
      </c>
      <c r="C4" s="299">
        <f>SUM(C5:C15)</f>
        <v>2041398.28</v>
      </c>
      <c r="D4" s="299">
        <f>SUM(D5:D15)</f>
        <v>1724379.34</v>
      </c>
      <c r="E4" s="299">
        <f>SUM(E5:E15)</f>
        <v>2072564.94</v>
      </c>
      <c r="F4" s="299">
        <f>SUM(F5:F15)</f>
        <v>8368659.5000000009</v>
      </c>
      <c r="G4" s="300">
        <f t="shared" ref="G4:G15" si="0">IFERROR((SUM(E4-C4)/C4),0)</f>
        <v>1.5267309816681101E-2</v>
      </c>
      <c r="H4" s="300">
        <f t="shared" ref="H4:H15" si="1">IFERROR((SUM(E4-D4)/D4),0)</f>
        <v>0.20191937581437264</v>
      </c>
      <c r="I4" s="300">
        <f>IFERROR((SUM(E4-B4)/E4),0)</f>
        <v>4.8826170918436898E-2</v>
      </c>
      <c r="J4" s="301">
        <f>SUM(J5:J15)</f>
        <v>6986</v>
      </c>
      <c r="K4" s="302">
        <f>AVERAGE(K5:K15)</f>
        <v>297.38213354216839</v>
      </c>
      <c r="L4" s="303">
        <f>SUM(L5:L15)</f>
        <v>91</v>
      </c>
      <c r="M4" s="304">
        <f t="shared" ref="M4:M15" si="2">IFERROR(L4/J4,0)</f>
        <v>1.3026052104208416E-2</v>
      </c>
      <c r="N4" s="305">
        <f>SUM(N7:N15)</f>
        <v>256</v>
      </c>
      <c r="O4" s="306">
        <f t="shared" ref="O4:O15" si="3">IFERROR(N4/SUM(J4),0)</f>
        <v>3.6644718007443455E-2</v>
      </c>
      <c r="P4" s="307">
        <f>SUM(P5:P15)</f>
        <v>345968.96521739132</v>
      </c>
      <c r="Q4" s="306">
        <f t="shared" ref="Q4:Q15" si="4">SUM(P4/E4)</f>
        <v>0.16692792517149851</v>
      </c>
      <c r="R4" s="308">
        <f>SUM(R5:R15)</f>
        <v>215446.80869565217</v>
      </c>
      <c r="S4" s="306">
        <f t="shared" ref="S4:S15" si="5">SUM(R4/E4)</f>
        <v>0.10395177711326728</v>
      </c>
      <c r="T4" s="309"/>
      <c r="U4" s="24"/>
    </row>
    <row r="5" spans="1:27" ht="15.6" customHeight="1" x14ac:dyDescent="0.3">
      <c r="A5" s="198" t="s">
        <v>26</v>
      </c>
      <c r="B5" s="73">
        <v>203120.59</v>
      </c>
      <c r="C5" s="310">
        <v>144589.57</v>
      </c>
      <c r="D5" s="73">
        <v>139227.04999999999</v>
      </c>
      <c r="E5" s="310">
        <v>212042.92</v>
      </c>
      <c r="F5" s="310">
        <v>888466.16</v>
      </c>
      <c r="G5" s="86">
        <f t="shared" si="0"/>
        <v>0.4665160149518392</v>
      </c>
      <c r="H5" s="86">
        <f t="shared" si="1"/>
        <v>0.523000882371637</v>
      </c>
      <c r="I5" s="86">
        <f t="shared" ref="I5:I15" si="6">IFERROR((SUM(E5-B5)/B5),0)</f>
        <v>4.3926270596201085E-2</v>
      </c>
      <c r="J5" s="311">
        <v>685</v>
      </c>
      <c r="K5" s="63">
        <f t="shared" ref="K5:K15" si="7">IFERROR(E5/J5,0)</f>
        <v>309.55170802919707</v>
      </c>
      <c r="L5" s="61">
        <v>10</v>
      </c>
      <c r="M5" s="28">
        <f t="shared" si="2"/>
        <v>1.4598540145985401E-2</v>
      </c>
      <c r="N5" s="46">
        <v>42</v>
      </c>
      <c r="O5" s="89">
        <f t="shared" si="3"/>
        <v>6.1313868613138686E-2</v>
      </c>
      <c r="P5" s="260">
        <f t="shared" ref="P5:P15" si="8">X5</f>
        <v>0</v>
      </c>
      <c r="Q5" s="89">
        <f t="shared" si="4"/>
        <v>0</v>
      </c>
      <c r="R5" s="260"/>
      <c r="S5" s="89">
        <f t="shared" si="5"/>
        <v>0</v>
      </c>
      <c r="T5" s="310">
        <v>2194.6999999999998</v>
      </c>
      <c r="U5" s="9"/>
      <c r="W5" s="260"/>
      <c r="X5" s="297">
        <f t="shared" ref="X5:X15" si="9">W5/1.15</f>
        <v>0</v>
      </c>
      <c r="Z5">
        <v>24912</v>
      </c>
      <c r="AA5" s="297">
        <f t="shared" ref="AA5:AA15" si="10">Z5/1.15</f>
        <v>21662.608695652176</v>
      </c>
    </row>
    <row r="6" spans="1:27" ht="16.2" customHeight="1" thickBot="1" x14ac:dyDescent="0.35">
      <c r="A6" s="409" t="s">
        <v>21</v>
      </c>
      <c r="B6" s="73">
        <v>196366.64</v>
      </c>
      <c r="C6" s="310">
        <v>360091.79</v>
      </c>
      <c r="D6" s="73">
        <v>248739.18</v>
      </c>
      <c r="E6" s="310">
        <v>201569.89</v>
      </c>
      <c r="F6" s="310">
        <v>869575.74</v>
      </c>
      <c r="G6" s="86">
        <f t="shared" si="0"/>
        <v>-0.440226365616389</v>
      </c>
      <c r="H6" s="86">
        <f t="shared" si="1"/>
        <v>-0.1896335350144677</v>
      </c>
      <c r="I6" s="86">
        <f t="shared" si="6"/>
        <v>2.6497627091852261E-2</v>
      </c>
      <c r="J6" s="311">
        <v>653</v>
      </c>
      <c r="K6" s="63">
        <f t="shared" si="7"/>
        <v>308.68283307810111</v>
      </c>
      <c r="L6" s="61">
        <v>10</v>
      </c>
      <c r="M6" s="28">
        <f t="shared" si="2"/>
        <v>1.5313935681470138E-2</v>
      </c>
      <c r="N6" s="46">
        <v>42</v>
      </c>
      <c r="O6" s="89">
        <f t="shared" si="3"/>
        <v>6.4318529862174581E-2</v>
      </c>
      <c r="P6" s="260">
        <f t="shared" si="8"/>
        <v>43950.208695652174</v>
      </c>
      <c r="Q6" s="89">
        <f t="shared" si="4"/>
        <v>0.21803955290967403</v>
      </c>
      <c r="R6" s="260">
        <f t="shared" ref="R6:R15" si="11">AA6</f>
        <v>21591.765217391305</v>
      </c>
      <c r="S6" s="89">
        <f t="shared" si="5"/>
        <v>0.1071180086340837</v>
      </c>
      <c r="T6" s="310">
        <v>8476.09</v>
      </c>
      <c r="U6" s="26"/>
      <c r="W6">
        <v>50542.74</v>
      </c>
      <c r="X6" s="297">
        <f t="shared" si="9"/>
        <v>43950.208695652174</v>
      </c>
      <c r="Z6">
        <v>24830.53</v>
      </c>
      <c r="AA6" s="297">
        <f t="shared" si="10"/>
        <v>21591.765217391305</v>
      </c>
    </row>
    <row r="7" spans="1:27" ht="16.5" customHeight="1" x14ac:dyDescent="0.3">
      <c r="A7" s="408" t="s">
        <v>15</v>
      </c>
      <c r="B7" s="73">
        <v>194288.81</v>
      </c>
      <c r="C7" s="310">
        <v>231767.72</v>
      </c>
      <c r="D7" s="73">
        <v>182635.28</v>
      </c>
      <c r="E7" s="310">
        <v>222418.21</v>
      </c>
      <c r="F7" s="310">
        <v>890805.05</v>
      </c>
      <c r="G7" s="86">
        <f t="shared" si="0"/>
        <v>-4.0340000755929292E-2</v>
      </c>
      <c r="H7" s="86">
        <f t="shared" si="1"/>
        <v>0.21782719089104796</v>
      </c>
      <c r="I7" s="86">
        <f t="shared" si="6"/>
        <v>0.14478136954979545</v>
      </c>
      <c r="J7" s="311">
        <v>671</v>
      </c>
      <c r="K7" s="63">
        <f t="shared" si="7"/>
        <v>331.47274217585692</v>
      </c>
      <c r="L7" s="61">
        <v>4</v>
      </c>
      <c r="M7" s="28">
        <f t="shared" si="2"/>
        <v>5.9612518628912071E-3</v>
      </c>
      <c r="N7" s="46">
        <v>24</v>
      </c>
      <c r="O7" s="89">
        <f t="shared" si="3"/>
        <v>3.5767511177347243E-2</v>
      </c>
      <c r="P7" s="260">
        <f t="shared" si="8"/>
        <v>32498.052173913049</v>
      </c>
      <c r="Q7" s="89">
        <f t="shared" si="4"/>
        <v>0.14611237170694363</v>
      </c>
      <c r="R7" s="260">
        <f t="shared" si="11"/>
        <v>5847.1739130434789</v>
      </c>
      <c r="S7" s="89">
        <f t="shared" si="5"/>
        <v>2.628909707097939E-2</v>
      </c>
      <c r="T7" s="310">
        <v>9710.5</v>
      </c>
      <c r="U7" s="26"/>
      <c r="W7">
        <v>37372.76</v>
      </c>
      <c r="X7" s="297">
        <f t="shared" si="9"/>
        <v>32498.052173913049</v>
      </c>
      <c r="Z7">
        <v>6724.25</v>
      </c>
      <c r="AA7" s="297">
        <f t="shared" si="10"/>
        <v>5847.1739130434789</v>
      </c>
    </row>
    <row r="8" spans="1:27" ht="15.6" customHeight="1" x14ac:dyDescent="0.3">
      <c r="A8" s="198" t="s">
        <v>27</v>
      </c>
      <c r="B8" s="73">
        <v>148905.81</v>
      </c>
      <c r="C8" s="310">
        <v>132180.87</v>
      </c>
      <c r="D8" s="73">
        <v>119149.06</v>
      </c>
      <c r="E8" s="310">
        <v>148590.98000000001</v>
      </c>
      <c r="F8" s="310">
        <v>589624.1</v>
      </c>
      <c r="G8" s="86">
        <f t="shared" si="0"/>
        <v>0.12414890293882931</v>
      </c>
      <c r="H8" s="86">
        <f t="shared" si="1"/>
        <v>0.24710157176229516</v>
      </c>
      <c r="I8" s="86">
        <f t="shared" si="6"/>
        <v>-2.1142895633151399E-3</v>
      </c>
      <c r="J8" s="311">
        <v>480</v>
      </c>
      <c r="K8" s="63">
        <f t="shared" si="7"/>
        <v>309.56454166666668</v>
      </c>
      <c r="L8" s="61">
        <v>11</v>
      </c>
      <c r="M8" s="28">
        <f t="shared" si="2"/>
        <v>2.2916666666666665E-2</v>
      </c>
      <c r="N8" s="46">
        <v>25</v>
      </c>
      <c r="O8" s="89">
        <f t="shared" si="3"/>
        <v>5.2083333333333336E-2</v>
      </c>
      <c r="P8" s="260">
        <f t="shared" si="8"/>
        <v>35215.82608695652</v>
      </c>
      <c r="Q8" s="89">
        <f t="shared" si="4"/>
        <v>0.23699841058290697</v>
      </c>
      <c r="R8" s="260">
        <f t="shared" si="11"/>
        <v>17075.243478260869</v>
      </c>
      <c r="S8" s="89">
        <f t="shared" si="5"/>
        <v>0.11491440111816253</v>
      </c>
      <c r="T8" s="310">
        <v>4658</v>
      </c>
      <c r="U8" s="9"/>
      <c r="W8">
        <v>40498.199999999997</v>
      </c>
      <c r="X8" s="297">
        <f t="shared" si="9"/>
        <v>35215.82608695652</v>
      </c>
      <c r="Z8">
        <v>19636.53</v>
      </c>
      <c r="AA8" s="297">
        <f t="shared" si="10"/>
        <v>17075.243478260869</v>
      </c>
    </row>
    <row r="9" spans="1:27" ht="15.6" customHeight="1" x14ac:dyDescent="0.3">
      <c r="A9" s="198" t="s">
        <v>23</v>
      </c>
      <c r="B9" s="73">
        <v>208809.95</v>
      </c>
      <c r="C9" s="310">
        <v>198305.39</v>
      </c>
      <c r="D9" s="73">
        <v>200623.02</v>
      </c>
      <c r="E9" s="310">
        <v>212422.03</v>
      </c>
      <c r="F9" s="310">
        <v>838216.08</v>
      </c>
      <c r="G9" s="86">
        <f t="shared" si="0"/>
        <v>7.1186365635346485E-2</v>
      </c>
      <c r="H9" s="86">
        <f t="shared" si="1"/>
        <v>5.8811845220952258E-2</v>
      </c>
      <c r="I9" s="86">
        <f t="shared" si="6"/>
        <v>1.7298409390931739E-2</v>
      </c>
      <c r="J9" s="311">
        <v>727</v>
      </c>
      <c r="K9" s="63">
        <f t="shared" si="7"/>
        <v>292.18986244841818</v>
      </c>
      <c r="L9" s="61">
        <v>15</v>
      </c>
      <c r="M9" s="28">
        <f t="shared" si="2"/>
        <v>2.0632737276478678E-2</v>
      </c>
      <c r="N9" s="46">
        <v>48</v>
      </c>
      <c r="O9" s="89">
        <f t="shared" si="3"/>
        <v>6.6024759284731768E-2</v>
      </c>
      <c r="P9" s="260">
        <f t="shared" si="8"/>
        <v>33045.756521739138</v>
      </c>
      <c r="Q9" s="89">
        <f t="shared" si="4"/>
        <v>0.15556652255766099</v>
      </c>
      <c r="R9" s="260">
        <f t="shared" si="11"/>
        <v>24966.486956521741</v>
      </c>
      <c r="S9" s="89">
        <f t="shared" si="5"/>
        <v>0.11753247512285681</v>
      </c>
      <c r="T9" s="310">
        <v>8004.5</v>
      </c>
      <c r="U9" s="26"/>
      <c r="W9">
        <v>38002.620000000003</v>
      </c>
      <c r="X9" s="297">
        <f t="shared" si="9"/>
        <v>33045.756521739138</v>
      </c>
      <c r="Z9">
        <v>28711.46</v>
      </c>
      <c r="AA9" s="297">
        <f t="shared" si="10"/>
        <v>24966.486956521741</v>
      </c>
    </row>
    <row r="10" spans="1:27" ht="15.6" customHeight="1" x14ac:dyDescent="0.3">
      <c r="A10" s="409" t="s">
        <v>16</v>
      </c>
      <c r="B10" s="73">
        <v>230636.06</v>
      </c>
      <c r="C10" s="310">
        <v>221483.49</v>
      </c>
      <c r="D10" s="310">
        <v>156293.04</v>
      </c>
      <c r="E10" s="310">
        <v>272667.7</v>
      </c>
      <c r="F10" s="310">
        <v>1100502.51</v>
      </c>
      <c r="G10" s="86">
        <f t="shared" si="0"/>
        <v>0.23109718020065523</v>
      </c>
      <c r="H10" s="86">
        <f t="shared" si="1"/>
        <v>0.74459272146731548</v>
      </c>
      <c r="I10" s="86">
        <f t="shared" si="6"/>
        <v>0.18224227382309607</v>
      </c>
      <c r="J10" s="311">
        <v>970</v>
      </c>
      <c r="K10" s="63">
        <f t="shared" si="7"/>
        <v>281.10072164948457</v>
      </c>
      <c r="L10" s="61">
        <v>1</v>
      </c>
      <c r="M10" s="28">
        <f t="shared" si="2"/>
        <v>1.0309278350515464E-3</v>
      </c>
      <c r="N10" s="46">
        <v>15</v>
      </c>
      <c r="O10" s="89">
        <f t="shared" si="3"/>
        <v>1.5463917525773196E-2</v>
      </c>
      <c r="P10" s="260">
        <f t="shared" si="8"/>
        <v>53421.278260869571</v>
      </c>
      <c r="Q10" s="89">
        <f t="shared" si="4"/>
        <v>0.19592081592674734</v>
      </c>
      <c r="R10" s="260">
        <f t="shared" si="11"/>
        <v>25718.99130434783</v>
      </c>
      <c r="S10" s="89">
        <f t="shared" si="5"/>
        <v>9.4323571528082822E-2</v>
      </c>
      <c r="T10" s="310">
        <v>11905.42</v>
      </c>
      <c r="U10" s="26"/>
      <c r="W10">
        <v>61434.47</v>
      </c>
      <c r="X10" s="297">
        <f t="shared" si="9"/>
        <v>53421.278260869571</v>
      </c>
      <c r="Z10">
        <v>29576.84</v>
      </c>
      <c r="AA10" s="297">
        <f t="shared" si="10"/>
        <v>25718.99130434783</v>
      </c>
    </row>
    <row r="11" spans="1:27" ht="15.6" customHeight="1" x14ac:dyDescent="0.3">
      <c r="A11" s="409" t="s">
        <v>17</v>
      </c>
      <c r="B11" s="73">
        <v>114215.58</v>
      </c>
      <c r="C11" s="310">
        <v>108339.36</v>
      </c>
      <c r="D11" s="310">
        <v>112270.21</v>
      </c>
      <c r="E11" s="310">
        <v>152939.37</v>
      </c>
      <c r="F11" s="310">
        <v>547062.41</v>
      </c>
      <c r="G11" s="86">
        <f t="shared" si="0"/>
        <v>0.41166949850912904</v>
      </c>
      <c r="H11" s="86">
        <f t="shared" si="1"/>
        <v>0.36224355508019435</v>
      </c>
      <c r="I11" s="86">
        <f t="shared" si="6"/>
        <v>0.33904122362290673</v>
      </c>
      <c r="J11" s="311">
        <v>543</v>
      </c>
      <c r="K11" s="63">
        <f t="shared" si="7"/>
        <v>281.65629834254145</v>
      </c>
      <c r="L11" s="61">
        <v>3</v>
      </c>
      <c r="M11" s="28">
        <f t="shared" si="2"/>
        <v>5.5248618784530384E-3</v>
      </c>
      <c r="N11" s="46">
        <v>22</v>
      </c>
      <c r="O11" s="89">
        <f t="shared" si="3"/>
        <v>4.0515653775322284E-2</v>
      </c>
      <c r="P11" s="260">
        <f t="shared" si="8"/>
        <v>48546.547826086957</v>
      </c>
      <c r="Q11" s="89">
        <f t="shared" si="4"/>
        <v>0.31742348504565537</v>
      </c>
      <c r="R11" s="260">
        <f t="shared" si="11"/>
        <v>21339.739130434784</v>
      </c>
      <c r="S11" s="89">
        <f t="shared" si="5"/>
        <v>0.13953071161751734</v>
      </c>
      <c r="T11" s="310">
        <v>4759.5</v>
      </c>
      <c r="U11" s="26"/>
      <c r="W11">
        <v>55828.53</v>
      </c>
      <c r="X11" s="297">
        <f t="shared" si="9"/>
        <v>48546.547826086957</v>
      </c>
      <c r="Z11">
        <v>24540.7</v>
      </c>
      <c r="AA11" s="297">
        <f t="shared" si="10"/>
        <v>21339.739130434784</v>
      </c>
    </row>
    <row r="12" spans="1:27" ht="15.6" customHeight="1" x14ac:dyDescent="0.3">
      <c r="A12" s="198" t="s">
        <v>55</v>
      </c>
      <c r="B12" s="73">
        <v>189760.56</v>
      </c>
      <c r="C12" s="310">
        <v>198741.03</v>
      </c>
      <c r="D12" s="310">
        <v>164986.63</v>
      </c>
      <c r="E12" s="310">
        <v>190621.49</v>
      </c>
      <c r="F12" s="310">
        <v>781148.65</v>
      </c>
      <c r="G12" s="86">
        <f t="shared" si="0"/>
        <v>-4.0854875311856886E-2</v>
      </c>
      <c r="H12" s="86">
        <f t="shared" si="1"/>
        <v>0.15537537799275</v>
      </c>
      <c r="I12" s="86">
        <f t="shared" si="6"/>
        <v>4.5369280107520399E-3</v>
      </c>
      <c r="J12" s="311">
        <v>680</v>
      </c>
      <c r="K12" s="63">
        <f t="shared" si="7"/>
        <v>280.3257205882353</v>
      </c>
      <c r="L12" s="61">
        <v>7</v>
      </c>
      <c r="M12" s="28">
        <f t="shared" si="2"/>
        <v>1.0294117647058823E-2</v>
      </c>
      <c r="N12" s="46">
        <v>17</v>
      </c>
      <c r="O12" s="89">
        <f t="shared" si="3"/>
        <v>2.5000000000000001E-2</v>
      </c>
      <c r="P12" s="260">
        <f t="shared" si="8"/>
        <v>34084.913043478264</v>
      </c>
      <c r="Q12" s="89">
        <f t="shared" si="4"/>
        <v>0.17880939364957363</v>
      </c>
      <c r="R12" s="260">
        <f t="shared" si="11"/>
        <v>24898.582608695655</v>
      </c>
      <c r="S12" s="89">
        <f t="shared" si="5"/>
        <v>0.13061792040706247</v>
      </c>
      <c r="T12" s="310">
        <v>5993</v>
      </c>
      <c r="U12" s="9"/>
      <c r="W12">
        <v>39197.65</v>
      </c>
      <c r="X12" s="297">
        <f t="shared" si="9"/>
        <v>34084.913043478264</v>
      </c>
      <c r="Z12">
        <v>28633.37</v>
      </c>
      <c r="AA12" s="297">
        <f t="shared" si="10"/>
        <v>24898.582608695655</v>
      </c>
    </row>
    <row r="13" spans="1:27" ht="16.2" customHeight="1" thickBot="1" x14ac:dyDescent="0.35">
      <c r="A13" s="199" t="s">
        <v>33</v>
      </c>
      <c r="B13" s="73">
        <v>153506.39000000001</v>
      </c>
      <c r="C13" s="310">
        <v>159131.38</v>
      </c>
      <c r="D13" s="310">
        <v>151341.9</v>
      </c>
      <c r="E13" s="310">
        <v>166033.59</v>
      </c>
      <c r="F13" s="310">
        <v>623421.41</v>
      </c>
      <c r="G13" s="86">
        <f t="shared" si="0"/>
        <v>4.3374286077328003E-2</v>
      </c>
      <c r="H13" s="86">
        <f t="shared" si="1"/>
        <v>9.7076156702142646E-2</v>
      </c>
      <c r="I13" s="86">
        <f t="shared" si="6"/>
        <v>8.1607026261251936E-2</v>
      </c>
      <c r="J13" s="311">
        <v>600</v>
      </c>
      <c r="K13" s="63">
        <f t="shared" si="7"/>
        <v>276.72264999999999</v>
      </c>
      <c r="L13" s="61">
        <v>13</v>
      </c>
      <c r="M13" s="28">
        <f t="shared" si="2"/>
        <v>2.1666666666666667E-2</v>
      </c>
      <c r="N13" s="46">
        <v>37</v>
      </c>
      <c r="O13" s="89">
        <f t="shared" si="3"/>
        <v>6.1666666666666668E-2</v>
      </c>
      <c r="P13" s="260">
        <f t="shared" si="8"/>
        <v>17748.773913043478</v>
      </c>
      <c r="Q13" s="89">
        <f t="shared" si="4"/>
        <v>0.1068986938910583</v>
      </c>
      <c r="R13" s="260">
        <f t="shared" si="11"/>
        <v>27590.878260869566</v>
      </c>
      <c r="S13" s="89">
        <f t="shared" si="5"/>
        <v>0.16617648429374782</v>
      </c>
      <c r="T13" s="310">
        <v>5060.5</v>
      </c>
      <c r="U13" s="9"/>
      <c r="W13">
        <v>20411.09</v>
      </c>
      <c r="X13" s="297">
        <f t="shared" si="9"/>
        <v>17748.773913043478</v>
      </c>
      <c r="Z13">
        <v>31729.51</v>
      </c>
      <c r="AA13" s="297">
        <f t="shared" si="10"/>
        <v>27590.878260869566</v>
      </c>
    </row>
    <row r="14" spans="1:27" ht="15.6" customHeight="1" x14ac:dyDescent="0.3">
      <c r="A14" s="409" t="s">
        <v>20</v>
      </c>
      <c r="B14" s="73">
        <v>184661.74</v>
      </c>
      <c r="C14" s="310">
        <v>146426.01999999999</v>
      </c>
      <c r="D14" s="310">
        <v>141625.92000000001</v>
      </c>
      <c r="E14" s="310">
        <v>157298.63</v>
      </c>
      <c r="F14" s="310">
        <v>695357.5</v>
      </c>
      <c r="G14" s="86">
        <f t="shared" si="0"/>
        <v>7.4253264549565823E-2</v>
      </c>
      <c r="H14" s="86">
        <f t="shared" si="1"/>
        <v>0.11066272332070282</v>
      </c>
      <c r="I14" s="86">
        <f t="shared" si="6"/>
        <v>-0.14817963916077032</v>
      </c>
      <c r="J14" s="311">
        <v>519</v>
      </c>
      <c r="K14" s="63">
        <f t="shared" si="7"/>
        <v>303.0802119460501</v>
      </c>
      <c r="L14" s="61">
        <v>11</v>
      </c>
      <c r="M14" s="28">
        <f t="shared" si="2"/>
        <v>2.119460500963391E-2</v>
      </c>
      <c r="N14" s="46">
        <v>41</v>
      </c>
      <c r="O14" s="89">
        <f t="shared" si="3"/>
        <v>7.8998073217726394E-2</v>
      </c>
      <c r="P14" s="260">
        <f t="shared" si="8"/>
        <v>34431.634782608693</v>
      </c>
      <c r="Q14" s="89">
        <f t="shared" si="4"/>
        <v>0.2188934180965765</v>
      </c>
      <c r="R14" s="260">
        <f t="shared" si="11"/>
        <v>23058.26086956522</v>
      </c>
      <c r="S14" s="89">
        <f t="shared" si="5"/>
        <v>0.14658907626573237</v>
      </c>
      <c r="T14" s="310">
        <v>5914.9</v>
      </c>
      <c r="U14" s="26"/>
      <c r="W14">
        <v>39596.379999999997</v>
      </c>
      <c r="X14" s="297">
        <f t="shared" si="9"/>
        <v>34431.634782608693</v>
      </c>
      <c r="Z14">
        <v>26517</v>
      </c>
      <c r="AA14" s="297">
        <f t="shared" si="10"/>
        <v>23058.26086956522</v>
      </c>
    </row>
    <row r="15" spans="1:27" ht="15.6" customHeight="1" x14ac:dyDescent="0.3">
      <c r="A15" s="198" t="s">
        <v>22</v>
      </c>
      <c r="B15" s="73">
        <v>147097.4</v>
      </c>
      <c r="C15" s="310">
        <v>140341.66</v>
      </c>
      <c r="D15" s="310">
        <v>107488.05</v>
      </c>
      <c r="E15" s="310">
        <v>135960.13</v>
      </c>
      <c r="F15" s="310">
        <v>544479.89</v>
      </c>
      <c r="G15" s="86">
        <f t="shared" si="0"/>
        <v>-3.1220451575106056E-2</v>
      </c>
      <c r="H15" s="86">
        <f t="shared" si="1"/>
        <v>0.26488600360691261</v>
      </c>
      <c r="I15" s="86">
        <f t="shared" si="6"/>
        <v>-7.5713574815054446E-2</v>
      </c>
      <c r="J15" s="311">
        <v>458</v>
      </c>
      <c r="K15" s="63">
        <f t="shared" si="7"/>
        <v>296.85617903930131</v>
      </c>
      <c r="L15" s="61">
        <v>6</v>
      </c>
      <c r="M15" s="28">
        <f t="shared" si="2"/>
        <v>1.3100436681222707E-2</v>
      </c>
      <c r="N15" s="46">
        <v>27</v>
      </c>
      <c r="O15" s="89">
        <f t="shared" si="3"/>
        <v>5.8951965065502182E-2</v>
      </c>
      <c r="P15" s="260">
        <f t="shared" si="8"/>
        <v>13025.973913043479</v>
      </c>
      <c r="Q15" s="89">
        <f t="shared" si="4"/>
        <v>9.5807306988037438E-2</v>
      </c>
      <c r="R15" s="260">
        <f t="shared" si="11"/>
        <v>23359.686956521742</v>
      </c>
      <c r="S15" s="89">
        <f t="shared" si="5"/>
        <v>0.17181277302781148</v>
      </c>
      <c r="T15" s="310">
        <v>7507.5</v>
      </c>
      <c r="U15" s="26"/>
      <c r="W15">
        <v>14979.87</v>
      </c>
      <c r="X15" s="297">
        <f t="shared" si="9"/>
        <v>13025.973913043479</v>
      </c>
      <c r="Z15">
        <v>26863.64</v>
      </c>
      <c r="AA15" s="297">
        <f t="shared" si="10"/>
        <v>23359.686956521742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33" priority="4" operator="equal">
      <formula>0</formula>
    </cfRule>
  </conditionalFormatting>
  <conditionalFormatting sqref="P12:P13">
    <cfRule type="cellIs" dxfId="132" priority="2" operator="equal">
      <formula>0</formula>
    </cfRule>
  </conditionalFormatting>
  <conditionalFormatting sqref="W5">
    <cfRule type="cellIs" dxfId="13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AA37"/>
  <sheetViews>
    <sheetView zoomScale="50" zoomScaleNormal="50" workbookViewId="0">
      <pane xSplit="1" topLeftCell="B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-7.7601453785966792E-2</v>
      </c>
      <c r="H2" s="413"/>
      <c r="I2" s="400">
        <f>((E4-B4)/E4)</f>
        <v>-6.5226451618653022E-2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2072564.94</v>
      </c>
      <c r="C4" s="299">
        <f>SUM(C5:C15)</f>
        <v>2109344.89</v>
      </c>
      <c r="D4" s="299">
        <f>SUM(D5:D15)</f>
        <v>1791603.19</v>
      </c>
      <c r="E4" s="299">
        <f>SUM(E5:E15)</f>
        <v>1945656.66</v>
      </c>
      <c r="F4" s="299">
        <f>SUM(F5:F15)</f>
        <v>1370312.25</v>
      </c>
      <c r="G4" s="300">
        <f t="shared" ref="G4:G15" si="0">IFERROR((SUM(E4-C4)/C4),0)</f>
        <v>-7.7601453785966792E-2</v>
      </c>
      <c r="H4" s="300">
        <f t="shared" ref="H4:H15" si="1">IFERROR((SUM(E4-D4)/D4),0)</f>
        <v>8.5986378490428991E-2</v>
      </c>
      <c r="I4" s="300">
        <f>IFERROR((SUM(E4-B4)/E4),0)</f>
        <v>-6.5226451618653022E-2</v>
      </c>
      <c r="J4" s="301">
        <f>SUM(J5:J15)</f>
        <v>6698</v>
      </c>
      <c r="K4" s="302">
        <f>AVERAGE(K5:K15)</f>
        <v>289.51928444478114</v>
      </c>
      <c r="L4" s="303">
        <f>SUM(L5:L15)</f>
        <v>91</v>
      </c>
      <c r="M4" s="304">
        <f t="shared" ref="M4:M15" si="2">IFERROR(L4/J4,0)</f>
        <v>1.3586145117945656E-2</v>
      </c>
      <c r="N4" s="305">
        <f>SUM(N7:N15)</f>
        <v>256</v>
      </c>
      <c r="O4" s="306">
        <f t="shared" ref="O4:O15" si="3">IFERROR(N4/SUM(J4),0)</f>
        <v>3.8220364287847121E-2</v>
      </c>
      <c r="P4" s="307">
        <f>SUM(P5:P15)</f>
        <v>336896.13043478271</v>
      </c>
      <c r="Q4" s="306">
        <f t="shared" ref="Q4:Q15" si="4">SUM(P4/E4)</f>
        <v>0.17315291919735865</v>
      </c>
      <c r="R4" s="308">
        <f>SUM(R5:R15)</f>
        <v>223866.71304347826</v>
      </c>
      <c r="S4" s="306">
        <f t="shared" ref="S4:S15" si="5">SUM(R4/E4)</f>
        <v>0.11505972129917222</v>
      </c>
      <c r="T4" s="309"/>
      <c r="U4" s="24"/>
    </row>
    <row r="5" spans="1:27" ht="15.6" customHeight="1" x14ac:dyDescent="0.3">
      <c r="A5" s="198" t="s">
        <v>26</v>
      </c>
      <c r="B5" s="310">
        <v>212042.92</v>
      </c>
      <c r="C5" s="310">
        <v>149768.1</v>
      </c>
      <c r="D5" s="73">
        <v>162189.07999999999</v>
      </c>
      <c r="E5" s="310">
        <v>192137.33</v>
      </c>
      <c r="F5" s="310">
        <v>137914.62</v>
      </c>
      <c r="G5" s="86">
        <f t="shared" si="0"/>
        <v>0.2828988950250419</v>
      </c>
      <c r="H5" s="86">
        <f t="shared" si="1"/>
        <v>0.18465022429376873</v>
      </c>
      <c r="I5" s="86">
        <f t="shared" ref="I5:I15" si="6">IFERROR((SUM(E5-B5)/B5),0)</f>
        <v>-9.3875287135264995E-2</v>
      </c>
      <c r="J5" s="311">
        <v>615</v>
      </c>
      <c r="K5" s="63">
        <f t="shared" ref="K5:K15" si="7">IFERROR(E5/J5,0)</f>
        <v>312.41842276422761</v>
      </c>
      <c r="L5" s="61">
        <v>10</v>
      </c>
      <c r="M5" s="28">
        <f t="shared" si="2"/>
        <v>1.6260162601626018E-2</v>
      </c>
      <c r="N5" s="46">
        <v>42</v>
      </c>
      <c r="O5" s="89">
        <f t="shared" si="3"/>
        <v>6.8292682926829273E-2</v>
      </c>
      <c r="P5" s="260">
        <f t="shared" ref="P5:P15" si="8">X5</f>
        <v>0</v>
      </c>
      <c r="Q5" s="89">
        <f t="shared" si="4"/>
        <v>0</v>
      </c>
      <c r="R5" s="260"/>
      <c r="S5" s="89">
        <f t="shared" si="5"/>
        <v>0</v>
      </c>
      <c r="T5" s="312">
        <v>4083.75</v>
      </c>
      <c r="U5" s="9"/>
      <c r="W5" s="260"/>
      <c r="X5" s="297">
        <f t="shared" ref="X5:X15" si="9">W5/1.15</f>
        <v>0</v>
      </c>
      <c r="Z5">
        <v>23102</v>
      </c>
      <c r="AA5" s="297">
        <f t="shared" ref="AA5:AA15" si="10">Z5/1.15</f>
        <v>20088.695652173916</v>
      </c>
    </row>
    <row r="6" spans="1:27" ht="16.2" customHeight="1" thickBot="1" x14ac:dyDescent="0.35">
      <c r="A6" s="409" t="s">
        <v>21</v>
      </c>
      <c r="B6" s="310">
        <v>201569.89</v>
      </c>
      <c r="C6" s="310">
        <v>359955.15</v>
      </c>
      <c r="D6" s="73">
        <v>237125.78</v>
      </c>
      <c r="E6" s="310">
        <v>220012.87</v>
      </c>
      <c r="F6" s="310">
        <v>143154.84</v>
      </c>
      <c r="G6" s="86">
        <f t="shared" si="0"/>
        <v>-0.38877699068897892</v>
      </c>
      <c r="H6" s="86">
        <f t="shared" si="1"/>
        <v>-7.2168070464544196E-2</v>
      </c>
      <c r="I6" s="86">
        <f t="shared" si="6"/>
        <v>9.1496701218619414E-2</v>
      </c>
      <c r="J6" s="311">
        <v>636</v>
      </c>
      <c r="K6" s="63">
        <f t="shared" si="7"/>
        <v>345.93218553459121</v>
      </c>
      <c r="L6" s="61">
        <v>10</v>
      </c>
      <c r="M6" s="28">
        <f t="shared" si="2"/>
        <v>1.5723270440251572E-2</v>
      </c>
      <c r="N6" s="46">
        <v>42</v>
      </c>
      <c r="O6" s="89">
        <f t="shared" si="3"/>
        <v>6.6037735849056603E-2</v>
      </c>
      <c r="P6" s="260">
        <f t="shared" si="8"/>
        <v>41037.226086956522</v>
      </c>
      <c r="Q6" s="89">
        <f t="shared" si="4"/>
        <v>0.18652193431664485</v>
      </c>
      <c r="R6" s="260">
        <f t="shared" ref="R6:R15" si="11">AA6</f>
        <v>17436.956521739132</v>
      </c>
      <c r="S6" s="89">
        <f t="shared" si="5"/>
        <v>7.9254256906603385E-2</v>
      </c>
      <c r="T6" s="312">
        <v>8694.9</v>
      </c>
      <c r="U6" s="26"/>
      <c r="W6">
        <v>47192.81</v>
      </c>
      <c r="X6" s="297">
        <f t="shared" si="9"/>
        <v>41037.226086956522</v>
      </c>
      <c r="Z6">
        <v>20052.5</v>
      </c>
      <c r="AA6" s="297">
        <f t="shared" si="10"/>
        <v>17436.956521739132</v>
      </c>
    </row>
    <row r="7" spans="1:27" ht="16.5" customHeight="1" x14ac:dyDescent="0.3">
      <c r="A7" s="408" t="s">
        <v>15</v>
      </c>
      <c r="B7" s="310">
        <v>222418.21</v>
      </c>
      <c r="C7" s="310">
        <v>248696.5</v>
      </c>
      <c r="D7" s="73">
        <v>191939.76</v>
      </c>
      <c r="E7" s="310">
        <v>229781.26</v>
      </c>
      <c r="F7" s="310">
        <v>173718.42</v>
      </c>
      <c r="G7" s="86">
        <f t="shared" si="0"/>
        <v>-7.6057523929769777E-2</v>
      </c>
      <c r="H7" s="86">
        <f t="shared" si="1"/>
        <v>0.19715300258789528</v>
      </c>
      <c r="I7" s="86">
        <f t="shared" si="6"/>
        <v>3.3104528626500582E-2</v>
      </c>
      <c r="J7" s="311">
        <v>673</v>
      </c>
      <c r="K7" s="63">
        <f t="shared" si="7"/>
        <v>341.42832095096583</v>
      </c>
      <c r="L7" s="61">
        <v>4</v>
      </c>
      <c r="M7" s="28">
        <f t="shared" si="2"/>
        <v>5.9435364041604752E-3</v>
      </c>
      <c r="N7" s="46">
        <v>24</v>
      </c>
      <c r="O7" s="89">
        <f t="shared" si="3"/>
        <v>3.5661218424962851E-2</v>
      </c>
      <c r="P7" s="260">
        <f t="shared" si="8"/>
        <v>34599.713043478259</v>
      </c>
      <c r="Q7" s="89">
        <f t="shared" si="4"/>
        <v>0.15057673999819768</v>
      </c>
      <c r="R7" s="260">
        <f t="shared" si="11"/>
        <v>5621.304347826087</v>
      </c>
      <c r="S7" s="89">
        <f t="shared" si="5"/>
        <v>2.4463719747320069E-2</v>
      </c>
      <c r="T7" s="312">
        <v>9075</v>
      </c>
      <c r="U7" s="26"/>
      <c r="W7">
        <v>39789.67</v>
      </c>
      <c r="X7" s="297">
        <f t="shared" si="9"/>
        <v>34599.713043478259</v>
      </c>
      <c r="Z7">
        <v>6464.5</v>
      </c>
      <c r="AA7" s="297">
        <f t="shared" si="10"/>
        <v>5621.304347826087</v>
      </c>
    </row>
    <row r="8" spans="1:27" ht="15.6" customHeight="1" x14ac:dyDescent="0.3">
      <c r="A8" s="198" t="s">
        <v>27</v>
      </c>
      <c r="B8" s="310">
        <v>148590.98000000001</v>
      </c>
      <c r="C8" s="310">
        <v>139344.51999999999</v>
      </c>
      <c r="D8" s="73">
        <v>131562.69</v>
      </c>
      <c r="E8" s="310">
        <v>137255.20000000001</v>
      </c>
      <c r="F8" s="310">
        <v>99264.3</v>
      </c>
      <c r="G8" s="86">
        <f t="shared" si="0"/>
        <v>-1.4993915799487329E-2</v>
      </c>
      <c r="H8" s="86">
        <f t="shared" si="1"/>
        <v>4.3268422073157738E-2</v>
      </c>
      <c r="I8" s="86">
        <f t="shared" si="6"/>
        <v>-7.6288479960223685E-2</v>
      </c>
      <c r="J8" s="311">
        <v>487</v>
      </c>
      <c r="K8" s="63">
        <f t="shared" si="7"/>
        <v>281.83819301848052</v>
      </c>
      <c r="L8" s="61">
        <v>11</v>
      </c>
      <c r="M8" s="28">
        <f t="shared" si="2"/>
        <v>2.2587268993839837E-2</v>
      </c>
      <c r="N8" s="46">
        <v>25</v>
      </c>
      <c r="O8" s="89">
        <f t="shared" si="3"/>
        <v>5.1334702258726897E-2</v>
      </c>
      <c r="P8" s="260">
        <f t="shared" si="8"/>
        <v>33716.078260869566</v>
      </c>
      <c r="Q8" s="89">
        <f t="shared" si="4"/>
        <v>0.24564517964251673</v>
      </c>
      <c r="R8" s="260">
        <f t="shared" si="11"/>
        <v>18461.139130434785</v>
      </c>
      <c r="S8" s="89">
        <f t="shared" si="5"/>
        <v>0.13450229303104569</v>
      </c>
      <c r="T8" s="312">
        <v>7748.5</v>
      </c>
      <c r="U8" s="9"/>
      <c r="W8">
        <v>38773.49</v>
      </c>
      <c r="X8" s="297">
        <f t="shared" si="9"/>
        <v>33716.078260869566</v>
      </c>
      <c r="Z8">
        <v>21230.31</v>
      </c>
      <c r="AA8" s="297">
        <f t="shared" si="10"/>
        <v>18461.139130434785</v>
      </c>
    </row>
    <row r="9" spans="1:27" ht="15.6" customHeight="1" x14ac:dyDescent="0.3">
      <c r="A9" s="198" t="s">
        <v>23</v>
      </c>
      <c r="B9" s="310">
        <v>212422.03</v>
      </c>
      <c r="C9" s="310">
        <v>200652.94</v>
      </c>
      <c r="D9" s="73">
        <v>180434.4</v>
      </c>
      <c r="E9" s="310">
        <v>193912.73</v>
      </c>
      <c r="F9" s="310">
        <v>135576.07999999999</v>
      </c>
      <c r="G9" s="86">
        <f t="shared" si="0"/>
        <v>-3.359138420797618E-2</v>
      </c>
      <c r="H9" s="86">
        <f t="shared" si="1"/>
        <v>7.4699336711846615E-2</v>
      </c>
      <c r="I9" s="86">
        <f t="shared" si="6"/>
        <v>-8.7134559442822335E-2</v>
      </c>
      <c r="J9" s="311">
        <v>712</v>
      </c>
      <c r="K9" s="63">
        <f t="shared" si="7"/>
        <v>272.34933988764044</v>
      </c>
      <c r="L9" s="61">
        <v>15</v>
      </c>
      <c r="M9" s="28">
        <f t="shared" si="2"/>
        <v>2.1067415730337078E-2</v>
      </c>
      <c r="N9" s="46">
        <v>48</v>
      </c>
      <c r="O9" s="89">
        <f t="shared" si="3"/>
        <v>6.741573033707865E-2</v>
      </c>
      <c r="P9" s="260">
        <f t="shared" si="8"/>
        <v>38571.956521739135</v>
      </c>
      <c r="Q9" s="89">
        <f t="shared" si="4"/>
        <v>0.19891399869280957</v>
      </c>
      <c r="R9" s="260">
        <f t="shared" si="11"/>
        <v>25458.64347826087</v>
      </c>
      <c r="S9" s="89">
        <f t="shared" si="5"/>
        <v>0.1312891808508955</v>
      </c>
      <c r="T9" s="312">
        <v>5496.5</v>
      </c>
      <c r="U9" s="26"/>
      <c r="W9">
        <v>44357.75</v>
      </c>
      <c r="X9" s="297">
        <f t="shared" si="9"/>
        <v>38571.956521739135</v>
      </c>
      <c r="Z9">
        <v>29277.439999999999</v>
      </c>
      <c r="AA9" s="297">
        <f t="shared" si="10"/>
        <v>25458.64347826087</v>
      </c>
    </row>
    <row r="10" spans="1:27" ht="15.6" customHeight="1" x14ac:dyDescent="0.3">
      <c r="A10" s="409" t="s">
        <v>16</v>
      </c>
      <c r="B10" s="310">
        <v>272667.7</v>
      </c>
      <c r="C10" s="310">
        <v>252827.21</v>
      </c>
      <c r="D10" s="310">
        <v>201746.45</v>
      </c>
      <c r="E10" s="310">
        <v>248199.04000000001</v>
      </c>
      <c r="F10" s="310">
        <v>183064.94</v>
      </c>
      <c r="G10" s="86">
        <f t="shared" si="0"/>
        <v>-1.8305664172776275E-2</v>
      </c>
      <c r="H10" s="86">
        <f t="shared" si="1"/>
        <v>0.23025232909922327</v>
      </c>
      <c r="I10" s="86">
        <f t="shared" si="6"/>
        <v>-8.9738021775223109E-2</v>
      </c>
      <c r="J10" s="311">
        <v>894</v>
      </c>
      <c r="K10" s="63">
        <f t="shared" si="7"/>
        <v>277.6275615212528</v>
      </c>
      <c r="L10" s="61">
        <v>1</v>
      </c>
      <c r="M10" s="28">
        <f t="shared" si="2"/>
        <v>1.1185682326621924E-3</v>
      </c>
      <c r="N10" s="46">
        <v>15</v>
      </c>
      <c r="O10" s="89">
        <f t="shared" si="3"/>
        <v>1.6778523489932886E-2</v>
      </c>
      <c r="P10" s="260">
        <f t="shared" si="8"/>
        <v>40849.295652173918</v>
      </c>
      <c r="Q10" s="89">
        <f t="shared" si="4"/>
        <v>0.16458281084477167</v>
      </c>
      <c r="R10" s="260">
        <f t="shared" si="11"/>
        <v>29582.17391304348</v>
      </c>
      <c r="S10" s="89">
        <f t="shared" si="5"/>
        <v>0.11918730190513017</v>
      </c>
      <c r="T10" s="312">
        <v>12837.58</v>
      </c>
      <c r="U10" s="26"/>
      <c r="W10">
        <v>46976.69</v>
      </c>
      <c r="X10" s="297">
        <f t="shared" si="9"/>
        <v>40849.295652173918</v>
      </c>
      <c r="Z10">
        <v>34019.5</v>
      </c>
      <c r="AA10" s="297">
        <f t="shared" si="10"/>
        <v>29582.17391304348</v>
      </c>
    </row>
    <row r="11" spans="1:27" ht="15.6" customHeight="1" x14ac:dyDescent="0.3">
      <c r="A11" s="409" t="s">
        <v>17</v>
      </c>
      <c r="B11" s="310">
        <v>152939.37</v>
      </c>
      <c r="C11" s="310">
        <v>100438.88</v>
      </c>
      <c r="D11" s="310">
        <v>110116.65</v>
      </c>
      <c r="E11" s="310">
        <v>131301.91</v>
      </c>
      <c r="F11" s="310">
        <v>88595.9</v>
      </c>
      <c r="G11" s="86">
        <f t="shared" si="0"/>
        <v>0.30728170206597283</v>
      </c>
      <c r="H11" s="86">
        <f t="shared" si="1"/>
        <v>0.19238925266978255</v>
      </c>
      <c r="I11" s="86">
        <f t="shared" si="6"/>
        <v>-0.14147737106540972</v>
      </c>
      <c r="J11" s="311">
        <v>509</v>
      </c>
      <c r="K11" s="63">
        <f t="shared" si="7"/>
        <v>257.96053045186642</v>
      </c>
      <c r="L11" s="61">
        <v>3</v>
      </c>
      <c r="M11" s="28">
        <f t="shared" si="2"/>
        <v>5.893909626719057E-3</v>
      </c>
      <c r="N11" s="46">
        <v>22</v>
      </c>
      <c r="O11" s="89">
        <f t="shared" si="3"/>
        <v>4.3222003929273084E-2</v>
      </c>
      <c r="P11" s="260">
        <f t="shared" si="8"/>
        <v>43204.913043478264</v>
      </c>
      <c r="Q11" s="89">
        <f t="shared" si="4"/>
        <v>0.32905014895425561</v>
      </c>
      <c r="R11" s="260">
        <f t="shared" si="11"/>
        <v>27462.90434782609</v>
      </c>
      <c r="S11" s="89">
        <f t="shared" si="5"/>
        <v>0.20915845281935419</v>
      </c>
      <c r="T11" s="312">
        <v>5045</v>
      </c>
      <c r="U11" s="26"/>
      <c r="W11">
        <v>49685.65</v>
      </c>
      <c r="X11" s="297">
        <f t="shared" si="9"/>
        <v>43204.913043478264</v>
      </c>
      <c r="Z11">
        <v>31582.34</v>
      </c>
      <c r="AA11" s="297">
        <f t="shared" si="10"/>
        <v>27462.90434782609</v>
      </c>
    </row>
    <row r="12" spans="1:27" ht="15.6" customHeight="1" x14ac:dyDescent="0.3">
      <c r="A12" s="198" t="s">
        <v>55</v>
      </c>
      <c r="B12" s="310">
        <v>190621.49</v>
      </c>
      <c r="C12" s="310">
        <v>190535.34</v>
      </c>
      <c r="D12" s="310">
        <v>180862.94</v>
      </c>
      <c r="E12" s="310">
        <v>178544.41</v>
      </c>
      <c r="F12" s="310">
        <v>118866.49</v>
      </c>
      <c r="G12" s="86">
        <f t="shared" si="0"/>
        <v>-6.2932839650639047E-2</v>
      </c>
      <c r="H12" s="86">
        <f t="shared" si="1"/>
        <v>-1.2819265240297426E-2</v>
      </c>
      <c r="I12" s="86">
        <f t="shared" si="6"/>
        <v>-6.335634035805715E-2</v>
      </c>
      <c r="J12" s="311">
        <v>679</v>
      </c>
      <c r="K12" s="63">
        <f t="shared" si="7"/>
        <v>262.95200294550813</v>
      </c>
      <c r="L12" s="61">
        <v>7</v>
      </c>
      <c r="M12" s="28">
        <f t="shared" si="2"/>
        <v>1.0309278350515464E-2</v>
      </c>
      <c r="N12" s="46">
        <v>17</v>
      </c>
      <c r="O12" s="89">
        <f t="shared" si="3"/>
        <v>2.5036818851251842E-2</v>
      </c>
      <c r="P12" s="260">
        <f t="shared" si="8"/>
        <v>32041.982608695653</v>
      </c>
      <c r="Q12" s="89">
        <f t="shared" si="4"/>
        <v>0.17946225596587231</v>
      </c>
      <c r="R12" s="260">
        <f t="shared" si="11"/>
        <v>29936.35652173913</v>
      </c>
      <c r="S12" s="89">
        <f t="shared" si="5"/>
        <v>0.16766896550689617</v>
      </c>
      <c r="T12" s="312">
        <v>5285</v>
      </c>
      <c r="U12" s="9"/>
      <c r="W12">
        <v>36848.28</v>
      </c>
      <c r="X12" s="297">
        <f t="shared" si="9"/>
        <v>32041.982608695653</v>
      </c>
      <c r="Z12">
        <v>34426.81</v>
      </c>
      <c r="AA12" s="297">
        <f t="shared" si="10"/>
        <v>29936.35652173913</v>
      </c>
    </row>
    <row r="13" spans="1:27" ht="16.2" customHeight="1" thickBot="1" x14ac:dyDescent="0.35">
      <c r="A13" s="199" t="s">
        <v>33</v>
      </c>
      <c r="B13" s="310">
        <v>166033.59</v>
      </c>
      <c r="C13" s="310">
        <v>171996.21</v>
      </c>
      <c r="D13" s="310">
        <v>144403.29999999999</v>
      </c>
      <c r="E13" s="310">
        <v>147903.85999999999</v>
      </c>
      <c r="F13" s="310">
        <v>103253.42</v>
      </c>
      <c r="G13" s="86">
        <f t="shared" si="0"/>
        <v>-0.14007488885946967</v>
      </c>
      <c r="H13" s="86">
        <f t="shared" si="1"/>
        <v>2.4241551266487662E-2</v>
      </c>
      <c r="I13" s="86">
        <f t="shared" si="6"/>
        <v>-0.10919314579658256</v>
      </c>
      <c r="J13" s="311">
        <v>557</v>
      </c>
      <c r="K13" s="63">
        <f t="shared" si="7"/>
        <v>265.536552962298</v>
      </c>
      <c r="L13" s="61">
        <v>13</v>
      </c>
      <c r="M13" s="28">
        <f t="shared" si="2"/>
        <v>2.333931777378815E-2</v>
      </c>
      <c r="N13" s="46">
        <v>37</v>
      </c>
      <c r="O13" s="89">
        <f t="shared" si="3"/>
        <v>6.6427289048473961E-2</v>
      </c>
      <c r="P13" s="260">
        <f t="shared" si="8"/>
        <v>23152.165217391306</v>
      </c>
      <c r="Q13" s="89">
        <f t="shared" si="4"/>
        <v>0.1565352332075127</v>
      </c>
      <c r="R13" s="260">
        <f t="shared" si="11"/>
        <v>23071.069565217393</v>
      </c>
      <c r="S13" s="89">
        <f t="shared" si="5"/>
        <v>0.15598693343917727</v>
      </c>
      <c r="T13" s="312">
        <v>4704</v>
      </c>
      <c r="U13" s="9"/>
      <c r="W13">
        <v>26624.99</v>
      </c>
      <c r="X13" s="297">
        <f t="shared" si="9"/>
        <v>23152.165217391306</v>
      </c>
      <c r="Z13">
        <v>26531.73</v>
      </c>
      <c r="AA13" s="297">
        <f t="shared" si="10"/>
        <v>23071.069565217393</v>
      </c>
    </row>
    <row r="14" spans="1:27" ht="15.6" customHeight="1" x14ac:dyDescent="0.3">
      <c r="A14" s="409" t="s">
        <v>20</v>
      </c>
      <c r="B14" s="310">
        <v>157298.63</v>
      </c>
      <c r="C14" s="310">
        <v>152135.32999999999</v>
      </c>
      <c r="D14" s="310">
        <v>141777.65</v>
      </c>
      <c r="E14" s="310">
        <v>153143.82999999999</v>
      </c>
      <c r="F14" s="310">
        <v>111920.94</v>
      </c>
      <c r="G14" s="86">
        <f t="shared" si="0"/>
        <v>6.6289664603218735E-3</v>
      </c>
      <c r="H14" s="86">
        <f t="shared" si="1"/>
        <v>8.0169053443896077E-2</v>
      </c>
      <c r="I14" s="86">
        <f t="shared" si="6"/>
        <v>-2.6413453187736073E-2</v>
      </c>
      <c r="J14" s="311">
        <v>511</v>
      </c>
      <c r="K14" s="63">
        <f t="shared" si="7"/>
        <v>299.6943835616438</v>
      </c>
      <c r="L14" s="61">
        <v>11</v>
      </c>
      <c r="M14" s="28">
        <f t="shared" si="2"/>
        <v>2.1526418786692758E-2</v>
      </c>
      <c r="N14" s="46">
        <v>41</v>
      </c>
      <c r="O14" s="89">
        <f t="shared" si="3"/>
        <v>8.0234833659491189E-2</v>
      </c>
      <c r="P14" s="260">
        <f t="shared" si="8"/>
        <v>36064.826086956527</v>
      </c>
      <c r="Q14" s="89">
        <f t="shared" si="4"/>
        <v>0.23549643552049424</v>
      </c>
      <c r="R14" s="260">
        <f t="shared" si="11"/>
        <v>27833.200000000001</v>
      </c>
      <c r="S14" s="89">
        <f t="shared" si="5"/>
        <v>0.18174548723249251</v>
      </c>
      <c r="T14" s="312">
        <v>8460</v>
      </c>
      <c r="U14" s="26"/>
      <c r="W14">
        <v>41474.550000000003</v>
      </c>
      <c r="X14" s="297">
        <f t="shared" si="9"/>
        <v>36064.826086956527</v>
      </c>
      <c r="Z14">
        <v>32008.18</v>
      </c>
      <c r="AA14" s="297">
        <f t="shared" si="10"/>
        <v>27833.200000000001</v>
      </c>
    </row>
    <row r="15" spans="1:27" ht="15.6" customHeight="1" x14ac:dyDescent="0.3">
      <c r="A15" s="198" t="s">
        <v>22</v>
      </c>
      <c r="B15" s="310">
        <v>135960.13</v>
      </c>
      <c r="C15" s="310">
        <v>142994.71</v>
      </c>
      <c r="D15" s="310">
        <v>109444.49</v>
      </c>
      <c r="E15" s="310">
        <v>113464.22</v>
      </c>
      <c r="F15" s="310">
        <v>74982.3</v>
      </c>
      <c r="G15" s="86">
        <f t="shared" si="0"/>
        <v>-0.20651456267158408</v>
      </c>
      <c r="H15" s="86">
        <f t="shared" si="1"/>
        <v>3.6728482173931237E-2</v>
      </c>
      <c r="I15" s="86">
        <f t="shared" si="6"/>
        <v>-0.1654596093722476</v>
      </c>
      <c r="J15" s="311">
        <v>425</v>
      </c>
      <c r="K15" s="63">
        <f t="shared" si="7"/>
        <v>266.97463529411766</v>
      </c>
      <c r="L15" s="61">
        <v>6</v>
      </c>
      <c r="M15" s="28">
        <f t="shared" si="2"/>
        <v>1.411764705882353E-2</v>
      </c>
      <c r="N15" s="46">
        <v>27</v>
      </c>
      <c r="O15" s="89">
        <f t="shared" si="3"/>
        <v>6.3529411764705876E-2</v>
      </c>
      <c r="P15" s="260">
        <f t="shared" si="8"/>
        <v>13657.973913043479</v>
      </c>
      <c r="Q15" s="89">
        <f t="shared" si="4"/>
        <v>0.12037251842954086</v>
      </c>
      <c r="R15" s="260">
        <f t="shared" si="11"/>
        <v>19002.965217391305</v>
      </c>
      <c r="S15" s="89">
        <f t="shared" si="5"/>
        <v>0.16747980303739193</v>
      </c>
      <c r="T15" s="312">
        <v>7694</v>
      </c>
      <c r="U15" s="26"/>
      <c r="W15">
        <v>15706.67</v>
      </c>
      <c r="X15" s="297">
        <f t="shared" si="9"/>
        <v>13657.973913043479</v>
      </c>
      <c r="Z15">
        <v>21853.41</v>
      </c>
      <c r="AA15" s="297">
        <f t="shared" si="10"/>
        <v>19002.965217391305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30" priority="4" operator="equal">
      <formula>0</formula>
    </cfRule>
  </conditionalFormatting>
  <conditionalFormatting sqref="P12:P13">
    <cfRule type="cellIs" dxfId="129" priority="2" operator="equal">
      <formula>0</formula>
    </cfRule>
  </conditionalFormatting>
  <conditionalFormatting sqref="W5">
    <cfRule type="cellIs" dxfId="12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AA37"/>
  <sheetViews>
    <sheetView zoomScale="40" zoomScaleNormal="40" workbookViewId="0">
      <pane xSplit="1" topLeftCell="B1" activePane="topRight" state="frozen"/>
      <selection pane="topRight" activeCell="P9" sqref="P9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-4.6194189437450919E-2</v>
      </c>
      <c r="H2" s="413"/>
      <c r="I2" s="400">
        <f>((E4-B4)/E4)</f>
        <v>-1.8641886355492795E-2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1945656.66</v>
      </c>
      <c r="C4" s="299">
        <f>SUM(C5:C15)</f>
        <v>2002556.1900000002</v>
      </c>
      <c r="D4" s="299">
        <f>SUM(D5:D15)</f>
        <v>1623546.72</v>
      </c>
      <c r="E4" s="299">
        <f>SUM(E5:E15)</f>
        <v>1910049.7300000002</v>
      </c>
      <c r="F4" s="299">
        <f>SUM(F5:F15)</f>
        <v>3280361.9799999995</v>
      </c>
      <c r="G4" s="300">
        <f t="shared" ref="G4:G15" si="0">IFERROR((SUM(E4-C4)/C4),0)</f>
        <v>-4.6194189437450919E-2</v>
      </c>
      <c r="H4" s="300">
        <f t="shared" ref="H4:H15" si="1">IFERROR((SUM(E4-D4)/D4),0)</f>
        <v>0.17646736399430515</v>
      </c>
      <c r="I4" s="300">
        <f>IFERROR((SUM(E4-B4)/E4),0)</f>
        <v>-1.8641886355492795E-2</v>
      </c>
      <c r="J4" s="301">
        <f>SUM(J5:J15)</f>
        <v>6476</v>
      </c>
      <c r="K4" s="302">
        <f>AVERAGE(K5:K15)</f>
        <v>267.09022448578997</v>
      </c>
      <c r="L4" s="303">
        <f>SUM(L5:L15)</f>
        <v>91</v>
      </c>
      <c r="M4" s="304">
        <f t="shared" ref="M4:M15" si="2">IFERROR(L4/J4,0)</f>
        <v>1.4051883878937617E-2</v>
      </c>
      <c r="N4" s="305">
        <f>SUM(N7:N15)</f>
        <v>256</v>
      </c>
      <c r="O4" s="306">
        <f t="shared" ref="O4:O15" si="3">IFERROR(N4/SUM(J4),0)</f>
        <v>3.9530574428659669E-2</v>
      </c>
      <c r="P4" s="307">
        <f>SUM(P5:P15)</f>
        <v>331704.76521739137</v>
      </c>
      <c r="Q4" s="306">
        <f t="shared" ref="Q4:Q15" si="4">SUM(P4/E4)</f>
        <v>0.17366289474431187</v>
      </c>
      <c r="R4" s="308">
        <f>SUM(R5:R15)</f>
        <v>210053.45217391304</v>
      </c>
      <c r="S4" s="306">
        <f t="shared" ref="S4:S15" si="5">SUM(R4/E4)</f>
        <v>0.10997276608809187</v>
      </c>
      <c r="T4" s="309"/>
      <c r="U4" s="24"/>
    </row>
    <row r="5" spans="1:27" ht="15.6" customHeight="1" x14ac:dyDescent="0.3">
      <c r="A5" s="198" t="s">
        <v>26</v>
      </c>
      <c r="B5" s="310">
        <v>192137.33</v>
      </c>
      <c r="C5" s="311">
        <v>146744.19</v>
      </c>
      <c r="D5" s="311">
        <v>135359.28</v>
      </c>
      <c r="E5" s="310">
        <v>212271.82</v>
      </c>
      <c r="F5" s="310">
        <v>350186.44</v>
      </c>
      <c r="G5" s="86">
        <f t="shared" si="0"/>
        <v>0.4465432668918613</v>
      </c>
      <c r="H5" s="86">
        <f t="shared" si="1"/>
        <v>0.56821032144970041</v>
      </c>
      <c r="I5" s="86">
        <f t="shared" ref="I5:I15" si="6">IFERROR((SUM(E5-B5)/B5),0)</f>
        <v>0.10479218171710838</v>
      </c>
      <c r="J5" s="311">
        <v>672</v>
      </c>
      <c r="K5" s="63">
        <f t="shared" ref="K5:K15" si="7">IFERROR(E5/J5,0)</f>
        <v>315.88068452380952</v>
      </c>
      <c r="L5" s="61">
        <v>10</v>
      </c>
      <c r="M5" s="28">
        <f t="shared" si="2"/>
        <v>1.488095238095238E-2</v>
      </c>
      <c r="N5" s="46">
        <v>42</v>
      </c>
      <c r="O5" s="89">
        <f t="shared" si="3"/>
        <v>6.25E-2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18485.652173913044</v>
      </c>
      <c r="S5" s="89">
        <f t="shared" si="5"/>
        <v>8.7084814997643326E-2</v>
      </c>
      <c r="T5" s="312">
        <v>3250.8</v>
      </c>
      <c r="U5" s="9"/>
      <c r="W5" s="260"/>
      <c r="X5" s="297">
        <f t="shared" ref="X5:X15" si="10">W5/1.15</f>
        <v>0</v>
      </c>
      <c r="Z5">
        <v>21258.5</v>
      </c>
      <c r="AA5" s="297">
        <f t="shared" ref="AA5:AA15" si="11">Z5/1.15</f>
        <v>18485.652173913044</v>
      </c>
    </row>
    <row r="6" spans="1:27" ht="16.2" customHeight="1" thickBot="1" x14ac:dyDescent="0.35">
      <c r="A6" s="409" t="s">
        <v>21</v>
      </c>
      <c r="B6" s="310">
        <v>220012.87</v>
      </c>
      <c r="C6" s="311">
        <v>326839.88</v>
      </c>
      <c r="D6" s="311">
        <v>224233.88</v>
      </c>
      <c r="E6" s="310">
        <v>214856.2</v>
      </c>
      <c r="F6" s="310">
        <v>358011.04</v>
      </c>
      <c r="G6" s="86">
        <f t="shared" si="0"/>
        <v>-0.34262550824581134</v>
      </c>
      <c r="H6" s="86">
        <f t="shared" si="1"/>
        <v>-4.1820977276047638E-2</v>
      </c>
      <c r="I6" s="86">
        <f t="shared" si="6"/>
        <v>-2.3438037965688024E-2</v>
      </c>
      <c r="J6" s="311">
        <v>672</v>
      </c>
      <c r="K6" s="63">
        <f t="shared" si="7"/>
        <v>319.7264880952381</v>
      </c>
      <c r="L6" s="61">
        <v>10</v>
      </c>
      <c r="M6" s="28">
        <f t="shared" si="2"/>
        <v>1.488095238095238E-2</v>
      </c>
      <c r="N6" s="46">
        <v>42</v>
      </c>
      <c r="O6" s="89">
        <f t="shared" si="3"/>
        <v>6.25E-2</v>
      </c>
      <c r="P6" s="260">
        <f t="shared" si="8"/>
        <v>39238.81739130435</v>
      </c>
      <c r="Q6" s="89">
        <f t="shared" si="4"/>
        <v>0.18262827598786699</v>
      </c>
      <c r="R6" s="260">
        <f t="shared" si="9"/>
        <v>15671.747826086956</v>
      </c>
      <c r="S6" s="89">
        <f t="shared" si="5"/>
        <v>7.2940635765162729E-2</v>
      </c>
      <c r="T6" s="312">
        <v>10296.549999999999</v>
      </c>
      <c r="U6" s="26"/>
      <c r="W6">
        <v>45124.639999999999</v>
      </c>
      <c r="X6" s="297">
        <f t="shared" si="10"/>
        <v>39238.81739130435</v>
      </c>
      <c r="Z6">
        <v>18022.509999999998</v>
      </c>
      <c r="AA6" s="297">
        <f t="shared" si="11"/>
        <v>15671.747826086956</v>
      </c>
    </row>
    <row r="7" spans="1:27" ht="16.5" customHeight="1" x14ac:dyDescent="0.3">
      <c r="A7" s="408" t="s">
        <v>15</v>
      </c>
      <c r="B7" s="310">
        <v>229781.26</v>
      </c>
      <c r="C7" s="311">
        <v>239200.57</v>
      </c>
      <c r="D7" s="311">
        <v>190960.44</v>
      </c>
      <c r="E7" s="310">
        <v>225744.14</v>
      </c>
      <c r="F7" s="310">
        <v>399462.56</v>
      </c>
      <c r="G7" s="86">
        <f t="shared" si="0"/>
        <v>-5.6255844206391285E-2</v>
      </c>
      <c r="H7" s="86">
        <f t="shared" si="1"/>
        <v>0.18215133982724385</v>
      </c>
      <c r="I7" s="86">
        <f t="shared" si="6"/>
        <v>-1.7569404920140117E-2</v>
      </c>
      <c r="J7" s="311">
        <v>679</v>
      </c>
      <c r="K7" s="63">
        <f t="shared" si="7"/>
        <v>332.46559646539032</v>
      </c>
      <c r="L7" s="61">
        <v>4</v>
      </c>
      <c r="M7" s="28">
        <f t="shared" si="2"/>
        <v>5.8910162002945507E-3</v>
      </c>
      <c r="N7" s="46">
        <v>24</v>
      </c>
      <c r="O7" s="89">
        <f t="shared" si="3"/>
        <v>3.5346097201767304E-2</v>
      </c>
      <c r="P7" s="260">
        <f t="shared" si="8"/>
        <v>40475.182608695657</v>
      </c>
      <c r="Q7" s="89">
        <f t="shared" si="4"/>
        <v>0.17929671445157183</v>
      </c>
      <c r="R7" s="260">
        <f t="shared" si="9"/>
        <v>3706.0521739130436</v>
      </c>
      <c r="S7" s="89">
        <f t="shared" si="5"/>
        <v>1.6417047077780373E-2</v>
      </c>
      <c r="T7" s="312">
        <v>7776.5</v>
      </c>
      <c r="U7" s="26"/>
      <c r="W7">
        <v>46546.46</v>
      </c>
      <c r="X7" s="297">
        <f t="shared" si="10"/>
        <v>40475.182608695657</v>
      </c>
      <c r="Z7">
        <v>4261.96</v>
      </c>
      <c r="AA7" s="297">
        <f t="shared" si="11"/>
        <v>3706.0521739130436</v>
      </c>
    </row>
    <row r="8" spans="1:27" ht="15.6" customHeight="1" x14ac:dyDescent="0.3">
      <c r="A8" s="198" t="s">
        <v>27</v>
      </c>
      <c r="B8" s="310">
        <v>137255.20000000001</v>
      </c>
      <c r="C8" s="311">
        <v>124313.82</v>
      </c>
      <c r="D8" s="311">
        <v>120334.53</v>
      </c>
      <c r="E8" s="310">
        <v>129458.37</v>
      </c>
      <c r="F8" s="310">
        <v>228722.67</v>
      </c>
      <c r="G8" s="86">
        <f t="shared" si="0"/>
        <v>4.1383572638987266E-2</v>
      </c>
      <c r="H8" s="86">
        <f t="shared" si="1"/>
        <v>7.5820631035829839E-2</v>
      </c>
      <c r="I8" s="86">
        <f t="shared" si="6"/>
        <v>-5.6805352365520694E-2</v>
      </c>
      <c r="J8" s="311">
        <v>455</v>
      </c>
      <c r="K8" s="63">
        <f t="shared" si="7"/>
        <v>284.52389010989009</v>
      </c>
      <c r="L8" s="61">
        <v>11</v>
      </c>
      <c r="M8" s="28">
        <f t="shared" si="2"/>
        <v>2.4175824175824177E-2</v>
      </c>
      <c r="N8" s="46">
        <v>25</v>
      </c>
      <c r="O8" s="89">
        <f t="shared" si="3"/>
        <v>5.4945054945054944E-2</v>
      </c>
      <c r="P8" s="260">
        <f t="shared" si="8"/>
        <v>33606.947826086958</v>
      </c>
      <c r="Q8" s="89">
        <f t="shared" si="4"/>
        <v>0.2595965624013879</v>
      </c>
      <c r="R8" s="260">
        <f t="shared" si="9"/>
        <v>14913.478260869566</v>
      </c>
      <c r="S8" s="89">
        <f t="shared" si="5"/>
        <v>0.1151990269989462</v>
      </c>
      <c r="T8" s="312">
        <v>5365</v>
      </c>
      <c r="U8" s="9"/>
      <c r="W8">
        <v>38647.99</v>
      </c>
      <c r="X8" s="297">
        <f t="shared" si="10"/>
        <v>33606.947826086958</v>
      </c>
      <c r="Z8">
        <v>17150.5</v>
      </c>
      <c r="AA8" s="297">
        <f t="shared" si="11"/>
        <v>14913.478260869566</v>
      </c>
    </row>
    <row r="9" spans="1:27" ht="15.6" customHeight="1" x14ac:dyDescent="0.3">
      <c r="A9" s="198" t="s">
        <v>23</v>
      </c>
      <c r="B9" s="310">
        <v>193912.73</v>
      </c>
      <c r="C9" s="311">
        <v>193711.92</v>
      </c>
      <c r="D9" s="311">
        <v>165850.01</v>
      </c>
      <c r="E9" s="310">
        <v>209040.15</v>
      </c>
      <c r="F9" s="310">
        <v>344616.23</v>
      </c>
      <c r="G9" s="86">
        <f t="shared" si="0"/>
        <v>7.9128997327577888E-2</v>
      </c>
      <c r="H9" s="86">
        <f t="shared" si="1"/>
        <v>0.26041686702340255</v>
      </c>
      <c r="I9" s="86">
        <f t="shared" si="6"/>
        <v>7.8011484857131261E-2</v>
      </c>
      <c r="J9" s="311">
        <v>727</v>
      </c>
      <c r="K9" s="63">
        <f t="shared" si="7"/>
        <v>287.53803301237963</v>
      </c>
      <c r="L9" s="61">
        <v>15</v>
      </c>
      <c r="M9" s="28">
        <f t="shared" si="2"/>
        <v>2.0632737276478678E-2</v>
      </c>
      <c r="N9" s="46">
        <v>48</v>
      </c>
      <c r="O9" s="89">
        <f t="shared" si="3"/>
        <v>6.6024759284731768E-2</v>
      </c>
      <c r="P9" s="260">
        <f t="shared" si="8"/>
        <v>46870.53043478261</v>
      </c>
      <c r="Q9" s="89">
        <f t="shared" si="4"/>
        <v>0.22421783774448406</v>
      </c>
      <c r="R9" s="260">
        <f t="shared" si="9"/>
        <v>22417.869565217392</v>
      </c>
      <c r="S9" s="89">
        <f t="shared" si="5"/>
        <v>0.10724193206528694</v>
      </c>
      <c r="T9" s="312">
        <v>7207.5</v>
      </c>
      <c r="U9" s="26"/>
      <c r="W9">
        <v>53901.11</v>
      </c>
      <c r="X9" s="297">
        <f t="shared" si="10"/>
        <v>46870.53043478261</v>
      </c>
      <c r="Z9">
        <v>25780.55</v>
      </c>
      <c r="AA9" s="297">
        <f t="shared" si="11"/>
        <v>22417.869565217392</v>
      </c>
    </row>
    <row r="10" spans="1:27" ht="15.6" customHeight="1" x14ac:dyDescent="0.3">
      <c r="A10" s="409" t="s">
        <v>16</v>
      </c>
      <c r="B10" s="310">
        <v>248199.04000000001</v>
      </c>
      <c r="C10" s="311">
        <v>229551.86</v>
      </c>
      <c r="D10" s="311">
        <v>169362.77</v>
      </c>
      <c r="E10" s="310">
        <v>265191.83</v>
      </c>
      <c r="F10" s="310">
        <v>448256.77</v>
      </c>
      <c r="G10" s="86">
        <f t="shared" si="0"/>
        <v>0.15525890315155813</v>
      </c>
      <c r="H10" s="86">
        <f t="shared" si="1"/>
        <v>0.56582128409921517</v>
      </c>
      <c r="I10" s="86">
        <f t="shared" si="6"/>
        <v>6.846436634082069E-2</v>
      </c>
      <c r="J10" s="311">
        <v>890</v>
      </c>
      <c r="K10" s="63">
        <f t="shared" si="7"/>
        <v>297.96834831460677</v>
      </c>
      <c r="L10" s="61">
        <v>1</v>
      </c>
      <c r="M10" s="28">
        <f t="shared" si="2"/>
        <v>1.1235955056179776E-3</v>
      </c>
      <c r="N10" s="46">
        <v>15</v>
      </c>
      <c r="O10" s="89">
        <f t="shared" si="3"/>
        <v>1.6853932584269662E-2</v>
      </c>
      <c r="P10" s="260">
        <f t="shared" si="8"/>
        <v>42138.400000000009</v>
      </c>
      <c r="Q10" s="89">
        <f t="shared" si="4"/>
        <v>0.15889780616544638</v>
      </c>
      <c r="R10" s="260">
        <f t="shared" si="9"/>
        <v>31407.339130434786</v>
      </c>
      <c r="S10" s="89">
        <f t="shared" si="5"/>
        <v>0.11843252912593417</v>
      </c>
      <c r="T10" s="312">
        <v>14184.73</v>
      </c>
      <c r="U10" s="26"/>
      <c r="W10">
        <v>48459.16</v>
      </c>
      <c r="X10" s="297">
        <f t="shared" si="10"/>
        <v>42138.400000000009</v>
      </c>
      <c r="Z10">
        <v>36118.44</v>
      </c>
      <c r="AA10" s="297">
        <f t="shared" si="11"/>
        <v>31407.339130434786</v>
      </c>
    </row>
    <row r="11" spans="1:27" ht="15.6" customHeight="1" x14ac:dyDescent="0.3">
      <c r="A11" s="409" t="s">
        <v>17</v>
      </c>
      <c r="B11" s="310">
        <v>131301.91</v>
      </c>
      <c r="C11" s="311">
        <v>100323.41</v>
      </c>
      <c r="D11" s="311">
        <v>103027.19</v>
      </c>
      <c r="E11" s="310">
        <v>133048.22</v>
      </c>
      <c r="F11" s="310">
        <v>221644.12</v>
      </c>
      <c r="G11" s="86">
        <f t="shared" si="0"/>
        <v>0.32619315870543075</v>
      </c>
      <c r="H11" s="86">
        <f t="shared" si="1"/>
        <v>0.29138938953881977</v>
      </c>
      <c r="I11" s="86">
        <f t="shared" si="6"/>
        <v>1.3299958850560496E-2</v>
      </c>
      <c r="J11" s="311">
        <v>511</v>
      </c>
      <c r="K11" s="63">
        <f t="shared" si="7"/>
        <v>260.36833659491197</v>
      </c>
      <c r="L11" s="61">
        <v>3</v>
      </c>
      <c r="M11" s="28">
        <f t="shared" si="2"/>
        <v>5.8708414872798431E-3</v>
      </c>
      <c r="N11" s="46">
        <v>22</v>
      </c>
      <c r="O11" s="89">
        <f t="shared" si="3"/>
        <v>4.3052837573385516E-2</v>
      </c>
      <c r="P11" s="260">
        <f t="shared" si="8"/>
        <v>36730.17391304348</v>
      </c>
      <c r="Q11" s="89">
        <f t="shared" si="4"/>
        <v>0.27606663142914262</v>
      </c>
      <c r="R11" s="260">
        <f t="shared" si="9"/>
        <v>32122.626086956523</v>
      </c>
      <c r="S11" s="89">
        <f t="shared" si="5"/>
        <v>0.24143597025917762</v>
      </c>
      <c r="T11" s="312">
        <v>4610.1000000000004</v>
      </c>
      <c r="U11" s="26"/>
      <c r="W11">
        <v>42239.7</v>
      </c>
      <c r="X11" s="297">
        <f t="shared" si="10"/>
        <v>36730.17391304348</v>
      </c>
      <c r="Z11">
        <v>36941.019999999997</v>
      </c>
      <c r="AA11" s="297">
        <f t="shared" si="11"/>
        <v>32122.626086956523</v>
      </c>
    </row>
    <row r="12" spans="1:27" ht="15.6" customHeight="1" x14ac:dyDescent="0.3">
      <c r="A12" s="198" t="s">
        <v>55</v>
      </c>
      <c r="B12" s="310">
        <v>178544.41</v>
      </c>
      <c r="C12" s="311">
        <v>218690.87</v>
      </c>
      <c r="D12" s="311">
        <v>154135.10999999999</v>
      </c>
      <c r="E12" s="310">
        <v>218525.12</v>
      </c>
      <c r="F12" s="310">
        <v>337391.61</v>
      </c>
      <c r="G12" s="86">
        <f t="shared" si="0"/>
        <v>-7.5791915775907796E-4</v>
      </c>
      <c r="H12" s="86">
        <f t="shared" si="1"/>
        <v>0.41775043985760296</v>
      </c>
      <c r="I12" s="86">
        <f t="shared" si="6"/>
        <v>0.22392585687784899</v>
      </c>
      <c r="J12" s="311">
        <v>776</v>
      </c>
      <c r="K12" s="63">
        <f t="shared" si="7"/>
        <v>281.60453608247423</v>
      </c>
      <c r="L12" s="61">
        <v>7</v>
      </c>
      <c r="M12" s="28">
        <f t="shared" si="2"/>
        <v>9.0206185567010301E-3</v>
      </c>
      <c r="N12" s="46">
        <v>17</v>
      </c>
      <c r="O12" s="89">
        <f t="shared" si="3"/>
        <v>2.1907216494845359E-2</v>
      </c>
      <c r="P12" s="260">
        <f t="shared" si="8"/>
        <v>39198.034782608695</v>
      </c>
      <c r="Q12" s="89">
        <f t="shared" si="4"/>
        <v>0.17937541817896585</v>
      </c>
      <c r="R12" s="260">
        <f t="shared" si="9"/>
        <v>26014.843478260871</v>
      </c>
      <c r="S12" s="89">
        <f t="shared" si="5"/>
        <v>0.119047382187736</v>
      </c>
      <c r="T12" s="312">
        <v>5946</v>
      </c>
      <c r="U12" s="9"/>
      <c r="W12">
        <v>45077.74</v>
      </c>
      <c r="X12" s="297">
        <f t="shared" si="10"/>
        <v>39198.034782608695</v>
      </c>
      <c r="Z12">
        <v>29917.07</v>
      </c>
      <c r="AA12" s="297">
        <f t="shared" si="11"/>
        <v>26014.843478260871</v>
      </c>
    </row>
    <row r="13" spans="1:27" ht="16.2" customHeight="1" thickBot="1" x14ac:dyDescent="0.35">
      <c r="A13" s="199" t="s">
        <v>33</v>
      </c>
      <c r="B13" s="310">
        <v>147903.85999999999</v>
      </c>
      <c r="C13" s="311">
        <v>154325.20000000001</v>
      </c>
      <c r="D13" s="311">
        <v>146675.66</v>
      </c>
      <c r="E13" s="310">
        <v>161262.07999999999</v>
      </c>
      <c r="F13" s="310">
        <v>264515.5</v>
      </c>
      <c r="G13" s="86">
        <f t="shared" si="0"/>
        <v>4.4949755451475032E-2</v>
      </c>
      <c r="H13" s="86">
        <f t="shared" si="1"/>
        <v>9.9446765741500562E-2</v>
      </c>
      <c r="I13" s="86">
        <f t="shared" si="6"/>
        <v>9.0316912621482642E-2</v>
      </c>
      <c r="J13" s="311">
        <v>625</v>
      </c>
      <c r="K13" s="63">
        <f t="shared" si="7"/>
        <v>258.01932799999997</v>
      </c>
      <c r="L13" s="61">
        <v>13</v>
      </c>
      <c r="M13" s="28">
        <f t="shared" si="2"/>
        <v>2.0799999999999999E-2</v>
      </c>
      <c r="N13" s="46">
        <v>37</v>
      </c>
      <c r="O13" s="89">
        <f t="shared" si="3"/>
        <v>5.9200000000000003E-2</v>
      </c>
      <c r="P13" s="260">
        <f t="shared" si="8"/>
        <v>19899.765217391305</v>
      </c>
      <c r="Q13" s="89">
        <f t="shared" si="4"/>
        <v>0.12340015220807835</v>
      </c>
      <c r="R13" s="260">
        <f t="shared" si="9"/>
        <v>26539.756521739135</v>
      </c>
      <c r="S13" s="89">
        <f t="shared" si="5"/>
        <v>0.16457530822955488</v>
      </c>
      <c r="T13" s="312">
        <v>4374.5</v>
      </c>
      <c r="U13" s="9"/>
      <c r="W13">
        <v>22884.73</v>
      </c>
      <c r="X13" s="297">
        <f t="shared" si="10"/>
        <v>19899.765217391305</v>
      </c>
      <c r="Z13">
        <v>30520.720000000001</v>
      </c>
      <c r="AA13" s="297">
        <f t="shared" si="11"/>
        <v>26539.756521739135</v>
      </c>
    </row>
    <row r="14" spans="1:27" ht="15.6" customHeight="1" x14ac:dyDescent="0.3">
      <c r="A14" s="409" t="s">
        <v>20</v>
      </c>
      <c r="B14" s="310">
        <v>153143.82999999999</v>
      </c>
      <c r="C14" s="311">
        <v>143750.60999999999</v>
      </c>
      <c r="D14" s="311">
        <v>115490.13</v>
      </c>
      <c r="E14" s="310">
        <v>140651.79999999999</v>
      </c>
      <c r="F14" s="310">
        <v>252572.74</v>
      </c>
      <c r="G14" s="86">
        <f t="shared" si="0"/>
        <v>-2.1556847654420373E-2</v>
      </c>
      <c r="H14" s="86">
        <f t="shared" si="1"/>
        <v>0.21786857456996528</v>
      </c>
      <c r="I14" s="86">
        <f t="shared" si="6"/>
        <v>-8.1570573231712962E-2</v>
      </c>
      <c r="J14" s="311">
        <v>469</v>
      </c>
      <c r="K14" s="63">
        <f t="shared" si="7"/>
        <v>299.8972281449893</v>
      </c>
      <c r="L14" s="61">
        <v>11</v>
      </c>
      <c r="M14" s="28">
        <f t="shared" si="2"/>
        <v>2.3454157782515993E-2</v>
      </c>
      <c r="N14" s="46">
        <v>41</v>
      </c>
      <c r="O14" s="89">
        <f t="shared" si="3"/>
        <v>8.7420042643923238E-2</v>
      </c>
      <c r="P14" s="260">
        <f t="shared" si="8"/>
        <v>33546.913043478264</v>
      </c>
      <c r="Q14" s="89">
        <f t="shared" si="4"/>
        <v>0.23851037131041528</v>
      </c>
      <c r="R14" s="260">
        <f t="shared" si="9"/>
        <v>18774.08695652174</v>
      </c>
      <c r="S14" s="89">
        <f t="shared" si="5"/>
        <v>0.13347918019194735</v>
      </c>
      <c r="T14" s="312">
        <v>5376.2</v>
      </c>
      <c r="U14" s="26"/>
      <c r="W14">
        <v>38578.949999999997</v>
      </c>
      <c r="X14" s="297">
        <f t="shared" si="10"/>
        <v>33546.913043478264</v>
      </c>
      <c r="Z14">
        <v>21590.2</v>
      </c>
      <c r="AA14" s="297">
        <f t="shared" si="11"/>
        <v>18774.08695652174</v>
      </c>
    </row>
    <row r="15" spans="1:27" ht="15.6" customHeight="1" x14ac:dyDescent="0.3">
      <c r="A15" s="198" t="s">
        <v>22</v>
      </c>
      <c r="B15" s="310">
        <v>113464.22</v>
      </c>
      <c r="C15" s="311">
        <v>125103.86</v>
      </c>
      <c r="D15" s="311">
        <v>98117.72</v>
      </c>
      <c r="E15" s="310" t="s">
        <v>59</v>
      </c>
      <c r="F15" s="310">
        <v>74982.3</v>
      </c>
      <c r="G15" s="86">
        <f t="shared" si="0"/>
        <v>0</v>
      </c>
      <c r="H15" s="86">
        <f t="shared" si="1"/>
        <v>0</v>
      </c>
      <c r="I15" s="86">
        <f t="shared" si="6"/>
        <v>0</v>
      </c>
      <c r="J15" s="311"/>
      <c r="K15" s="63">
        <f t="shared" si="7"/>
        <v>0</v>
      </c>
      <c r="L15" s="61">
        <v>6</v>
      </c>
      <c r="M15" s="28">
        <f t="shared" si="2"/>
        <v>0</v>
      </c>
      <c r="N15" s="46">
        <v>27</v>
      </c>
      <c r="O15" s="89">
        <f t="shared" si="3"/>
        <v>0</v>
      </c>
      <c r="P15" s="260">
        <f t="shared" si="8"/>
        <v>0</v>
      </c>
      <c r="Q15" s="89" t="e">
        <f t="shared" si="4"/>
        <v>#VALUE!</v>
      </c>
      <c r="R15" s="260">
        <f t="shared" si="9"/>
        <v>0</v>
      </c>
      <c r="S15" s="89" t="e">
        <f t="shared" si="5"/>
        <v>#VALUE!</v>
      </c>
      <c r="T15" s="312"/>
      <c r="U15" s="26"/>
      <c r="X15" s="297">
        <f t="shared" si="10"/>
        <v>0</v>
      </c>
      <c r="AA15" s="297">
        <f t="shared" si="11"/>
        <v>0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27" priority="4" operator="equal">
      <formula>0</formula>
    </cfRule>
  </conditionalFormatting>
  <conditionalFormatting sqref="P12:P13">
    <cfRule type="cellIs" dxfId="126" priority="2" operator="equal">
      <formula>0</formula>
    </cfRule>
  </conditionalFormatting>
  <conditionalFormatting sqref="W5">
    <cfRule type="cellIs" dxfId="12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AA37"/>
  <sheetViews>
    <sheetView zoomScale="40" zoomScaleNormal="40" workbookViewId="0">
      <pane xSplit="1" topLeftCell="B1" activePane="topRight" state="frozen"/>
      <selection pane="topRight" activeCell="C5" sqref="C5:C15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-1.6256630348687445E-2</v>
      </c>
      <c r="H2" s="413"/>
      <c r="I2" s="400">
        <f>((E4-B4)/E4)</f>
        <v>3.017055271101084E-2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1910049.7300000002</v>
      </c>
      <c r="C4" s="299">
        <f>SUM(C5:C15)</f>
        <v>2002015.7500000002</v>
      </c>
      <c r="D4" s="299">
        <f>SUM(D5:D15)</f>
        <v>1716420.96</v>
      </c>
      <c r="E4" s="299">
        <f>SUM(E5:E15)</f>
        <v>1969469.72</v>
      </c>
      <c r="F4" s="299">
        <f>SUM(F5:F15)</f>
        <v>5249831.6999999993</v>
      </c>
      <c r="G4" s="300">
        <f t="shared" ref="G4:G15" si="0">IFERROR((SUM(E4-C4)/C4),0)</f>
        <v>-1.6256630348687445E-2</v>
      </c>
      <c r="H4" s="300">
        <f t="shared" ref="H4:H15" si="1">IFERROR((SUM(E4-D4)/D4),0)</f>
        <v>0.14742814606505389</v>
      </c>
      <c r="I4" s="300">
        <f>IFERROR((SUM(E4-B4)/E4),0)</f>
        <v>3.017055271101084E-2</v>
      </c>
      <c r="J4" s="301">
        <f>SUM(J5:J15)</f>
        <v>6518</v>
      </c>
      <c r="K4" s="302">
        <f>AVERAGE(K5:K15)</f>
        <v>274.66701843935937</v>
      </c>
      <c r="L4" s="303">
        <f>SUM(L5:L15)</f>
        <v>91</v>
      </c>
      <c r="M4" s="304">
        <f t="shared" ref="M4:M15" si="2">IFERROR(L4/J4,0)</f>
        <v>1.3961337833691316E-2</v>
      </c>
      <c r="N4" s="305">
        <f>SUM(N7:N15)</f>
        <v>256</v>
      </c>
      <c r="O4" s="306">
        <f t="shared" ref="O4:O15" si="3">IFERROR(N4/SUM(J4),0)</f>
        <v>3.9275851488186561E-2</v>
      </c>
      <c r="P4" s="307">
        <f>SUM(P5:P15)</f>
        <v>301254.16521739133</v>
      </c>
      <c r="Q4" s="306">
        <f t="shared" ref="Q4:Q15" si="4">SUM(P4/E4)</f>
        <v>0.15296207002227552</v>
      </c>
      <c r="R4" s="308">
        <f>SUM(R5:R15)</f>
        <v>226873.2086956522</v>
      </c>
      <c r="S4" s="306">
        <f t="shared" ref="S4:S15" si="5">SUM(R4/E4)</f>
        <v>0.11519507326858125</v>
      </c>
      <c r="T4" s="309"/>
      <c r="U4" s="24"/>
    </row>
    <row r="5" spans="1:27" ht="15.6" customHeight="1" x14ac:dyDescent="0.3">
      <c r="A5" s="198" t="s">
        <v>26</v>
      </c>
      <c r="B5" s="310">
        <v>212271.82</v>
      </c>
      <c r="C5" s="310">
        <v>243243.69</v>
      </c>
      <c r="D5" s="310">
        <v>159561.32</v>
      </c>
      <c r="E5" s="310">
        <v>234849.7</v>
      </c>
      <c r="F5" s="310">
        <v>585036.14</v>
      </c>
      <c r="G5" s="86">
        <f t="shared" si="0"/>
        <v>-3.4508562174829657E-2</v>
      </c>
      <c r="H5" s="86">
        <f t="shared" si="1"/>
        <v>0.47184605893207704</v>
      </c>
      <c r="I5" s="86">
        <f t="shared" ref="I5:I15" si="6">IFERROR((SUM(E5-B5)/B5),0)</f>
        <v>0.10636305845966744</v>
      </c>
      <c r="J5">
        <v>706</v>
      </c>
      <c r="K5" s="63">
        <f t="shared" ref="K5:K15" si="7">IFERROR(E5/J5,0)</f>
        <v>332.64830028328612</v>
      </c>
      <c r="L5" s="61">
        <v>10</v>
      </c>
      <c r="M5" s="28">
        <f t="shared" si="2"/>
        <v>1.4164305949008499E-2</v>
      </c>
      <c r="N5" s="46">
        <v>42</v>
      </c>
      <c r="O5" s="89">
        <f t="shared" si="3"/>
        <v>5.9490084985835696E-2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22376.956521739132</v>
      </c>
      <c r="S5" s="89">
        <f t="shared" si="5"/>
        <v>9.5282031536506676E-2</v>
      </c>
      <c r="T5" s="310">
        <v>1649</v>
      </c>
      <c r="U5" s="9"/>
      <c r="W5" s="260"/>
      <c r="X5" s="297">
        <f t="shared" ref="X5:X15" si="10">W5/1.15</f>
        <v>0</v>
      </c>
      <c r="Z5">
        <v>25733.5</v>
      </c>
      <c r="AA5" s="297">
        <f t="shared" ref="AA5:AA15" si="11">Z5/1.15</f>
        <v>22376.956521739132</v>
      </c>
    </row>
    <row r="6" spans="1:27" ht="16.2" customHeight="1" thickBot="1" x14ac:dyDescent="0.35">
      <c r="A6" s="409" t="s">
        <v>21</v>
      </c>
      <c r="B6" s="310">
        <v>214856.2</v>
      </c>
      <c r="C6" s="310">
        <v>285384</v>
      </c>
      <c r="D6" s="310">
        <v>234988.31</v>
      </c>
      <c r="E6" s="310">
        <v>216677.99</v>
      </c>
      <c r="F6" s="310">
        <v>574689.03</v>
      </c>
      <c r="G6" s="86">
        <f t="shared" si="0"/>
        <v>-0.24074934123847169</v>
      </c>
      <c r="H6" s="86">
        <f t="shared" si="1"/>
        <v>-7.7920131431218884E-2</v>
      </c>
      <c r="I6" s="86">
        <f t="shared" si="6"/>
        <v>8.4791130067458087E-3</v>
      </c>
      <c r="J6">
        <v>667</v>
      </c>
      <c r="K6" s="63">
        <f t="shared" si="7"/>
        <v>324.85455772113943</v>
      </c>
      <c r="L6" s="61">
        <v>10</v>
      </c>
      <c r="M6" s="28">
        <f t="shared" si="2"/>
        <v>1.4992503748125937E-2</v>
      </c>
      <c r="N6" s="46">
        <v>42</v>
      </c>
      <c r="O6" s="89">
        <f t="shared" si="3"/>
        <v>6.296851574212893E-2</v>
      </c>
      <c r="P6" s="260">
        <f t="shared" si="8"/>
        <v>35456.034782608702</v>
      </c>
      <c r="Q6" s="89">
        <f t="shared" si="4"/>
        <v>0.16363468565777586</v>
      </c>
      <c r="R6" s="260">
        <f t="shared" si="9"/>
        <v>20071.26086956522</v>
      </c>
      <c r="S6" s="89">
        <f t="shared" si="5"/>
        <v>9.263174755112516E-2</v>
      </c>
      <c r="T6" s="310">
        <v>8772</v>
      </c>
      <c r="U6" s="26"/>
      <c r="W6">
        <v>40774.44</v>
      </c>
      <c r="X6" s="297">
        <f t="shared" si="10"/>
        <v>35456.034782608702</v>
      </c>
      <c r="Z6">
        <v>23081.95</v>
      </c>
      <c r="AA6" s="297">
        <f t="shared" si="11"/>
        <v>20071.26086956522</v>
      </c>
    </row>
    <row r="7" spans="1:27" ht="16.5" customHeight="1" x14ac:dyDescent="0.3">
      <c r="A7" s="408" t="s">
        <v>15</v>
      </c>
      <c r="B7" s="310">
        <v>225744.14</v>
      </c>
      <c r="C7" s="310">
        <v>225559.84</v>
      </c>
      <c r="D7" s="310">
        <v>175928.66</v>
      </c>
      <c r="E7" s="310">
        <v>193886.77</v>
      </c>
      <c r="F7" s="310">
        <v>593349.32999999996</v>
      </c>
      <c r="G7" s="86">
        <f t="shared" si="0"/>
        <v>-0.14041981054783514</v>
      </c>
      <c r="H7" s="86">
        <f t="shared" si="1"/>
        <v>0.10207609152482595</v>
      </c>
      <c r="I7" s="86">
        <f t="shared" si="6"/>
        <v>-0.14112158127338331</v>
      </c>
      <c r="J7">
        <v>599</v>
      </c>
      <c r="K7" s="63">
        <f t="shared" si="7"/>
        <v>323.68409015025043</v>
      </c>
      <c r="L7" s="61">
        <v>4</v>
      </c>
      <c r="M7" s="28">
        <f t="shared" si="2"/>
        <v>6.6777963272120202E-3</v>
      </c>
      <c r="N7" s="46">
        <v>24</v>
      </c>
      <c r="O7" s="89">
        <f t="shared" si="3"/>
        <v>4.006677796327212E-2</v>
      </c>
      <c r="P7" s="260">
        <f t="shared" si="8"/>
        <v>37404.330434782612</v>
      </c>
      <c r="Q7" s="89">
        <f t="shared" si="4"/>
        <v>0.19291842571198961</v>
      </c>
      <c r="R7" s="260">
        <f t="shared" si="9"/>
        <v>4325.8869565217401</v>
      </c>
      <c r="S7" s="89">
        <f t="shared" si="5"/>
        <v>2.2311408645993434E-2</v>
      </c>
      <c r="T7" s="310">
        <v>7537.28</v>
      </c>
      <c r="U7" s="26"/>
      <c r="W7">
        <v>43014.98</v>
      </c>
      <c r="X7" s="297">
        <f t="shared" si="10"/>
        <v>37404.330434782612</v>
      </c>
      <c r="Z7">
        <v>4974.7700000000004</v>
      </c>
      <c r="AA7" s="297">
        <f t="shared" si="11"/>
        <v>4325.8869565217401</v>
      </c>
    </row>
    <row r="8" spans="1:27" ht="15.6" customHeight="1" x14ac:dyDescent="0.3">
      <c r="A8" s="198" t="s">
        <v>27</v>
      </c>
      <c r="B8" s="310">
        <v>129458.37</v>
      </c>
      <c r="C8" s="310">
        <v>115075.28</v>
      </c>
      <c r="D8" s="310">
        <v>129555.26</v>
      </c>
      <c r="E8" s="310">
        <v>144551.95000000001</v>
      </c>
      <c r="F8" s="310">
        <v>373274.62</v>
      </c>
      <c r="G8" s="86">
        <f t="shared" si="0"/>
        <v>0.25615119076833887</v>
      </c>
      <c r="H8" s="86">
        <f t="shared" si="1"/>
        <v>0.11575516115671426</v>
      </c>
      <c r="I8" s="86">
        <f t="shared" si="6"/>
        <v>0.11659022124255092</v>
      </c>
      <c r="J8">
        <v>507</v>
      </c>
      <c r="K8" s="63">
        <f t="shared" si="7"/>
        <v>285.11232741617357</v>
      </c>
      <c r="L8" s="61">
        <v>11</v>
      </c>
      <c r="M8" s="28">
        <f t="shared" si="2"/>
        <v>2.1696252465483234E-2</v>
      </c>
      <c r="N8" s="46">
        <v>25</v>
      </c>
      <c r="O8" s="89">
        <f t="shared" si="3"/>
        <v>4.9309664694280081E-2</v>
      </c>
      <c r="P8" s="260">
        <f t="shared" si="8"/>
        <v>30901.973913043479</v>
      </c>
      <c r="Q8" s="89">
        <f t="shared" si="4"/>
        <v>0.213777634359436</v>
      </c>
      <c r="R8" s="260">
        <f t="shared" si="9"/>
        <v>17883.339130434782</v>
      </c>
      <c r="S8" s="89">
        <f t="shared" si="5"/>
        <v>0.12371565468632406</v>
      </c>
      <c r="T8" s="310">
        <v>7608.68</v>
      </c>
      <c r="U8" s="9"/>
      <c r="W8">
        <v>35537.269999999997</v>
      </c>
      <c r="X8" s="297">
        <f t="shared" si="10"/>
        <v>30901.973913043479</v>
      </c>
      <c r="Z8">
        <v>20565.84</v>
      </c>
      <c r="AA8" s="297">
        <f t="shared" si="11"/>
        <v>17883.339130434782</v>
      </c>
    </row>
    <row r="9" spans="1:27" ht="15.6" customHeight="1" x14ac:dyDescent="0.3">
      <c r="A9" s="198" t="s">
        <v>23</v>
      </c>
      <c r="B9" s="310">
        <v>209040.15</v>
      </c>
      <c r="C9" s="310">
        <v>171225.27</v>
      </c>
      <c r="D9" s="310">
        <v>173022.38</v>
      </c>
      <c r="E9" s="310">
        <v>213709.05</v>
      </c>
      <c r="F9" s="310">
        <v>558325.28</v>
      </c>
      <c r="G9" s="86">
        <f t="shared" si="0"/>
        <v>0.24811629731989912</v>
      </c>
      <c r="H9" s="86">
        <f t="shared" si="1"/>
        <v>0.23515264325921295</v>
      </c>
      <c r="I9" s="86">
        <f t="shared" si="6"/>
        <v>2.2334943789506439E-2</v>
      </c>
      <c r="J9">
        <v>755</v>
      </c>
      <c r="K9" s="63">
        <f t="shared" si="7"/>
        <v>283.05834437086094</v>
      </c>
      <c r="L9" s="61">
        <v>15</v>
      </c>
      <c r="M9" s="28">
        <f t="shared" si="2"/>
        <v>1.9867549668874173E-2</v>
      </c>
      <c r="N9" s="46">
        <v>48</v>
      </c>
      <c r="O9" s="89">
        <f t="shared" si="3"/>
        <v>6.3576158940397351E-2</v>
      </c>
      <c r="P9" s="260">
        <f t="shared" si="8"/>
        <v>35444.695652173919</v>
      </c>
      <c r="Q9" s="89">
        <f t="shared" si="4"/>
        <v>0.16585491186346071</v>
      </c>
      <c r="R9" s="260">
        <f t="shared" si="9"/>
        <v>22268.356521739133</v>
      </c>
      <c r="S9" s="89">
        <f t="shared" si="5"/>
        <v>0.10419940812866434</v>
      </c>
      <c r="T9" s="310">
        <v>9411</v>
      </c>
      <c r="U9" s="26"/>
      <c r="W9">
        <v>40761.4</v>
      </c>
      <c r="X9" s="297">
        <f t="shared" si="10"/>
        <v>35444.695652173919</v>
      </c>
      <c r="Z9">
        <v>25608.61</v>
      </c>
      <c r="AA9" s="297">
        <f t="shared" si="11"/>
        <v>22268.356521739133</v>
      </c>
    </row>
    <row r="10" spans="1:27" ht="15.6" customHeight="1" x14ac:dyDescent="0.3">
      <c r="A10" s="409" t="s">
        <v>16</v>
      </c>
      <c r="B10" s="310">
        <v>265191.83</v>
      </c>
      <c r="C10" s="310">
        <v>224151.46</v>
      </c>
      <c r="D10" s="310">
        <v>177196.01</v>
      </c>
      <c r="E10" s="310">
        <v>279795.20000000001</v>
      </c>
      <c r="F10" s="310">
        <v>728051.97</v>
      </c>
      <c r="G10" s="86">
        <f t="shared" si="0"/>
        <v>0.24824170228469636</v>
      </c>
      <c r="H10" s="86">
        <f t="shared" si="1"/>
        <v>0.57901523854854298</v>
      </c>
      <c r="I10" s="86">
        <f t="shared" si="6"/>
        <v>5.5067194189202563E-2</v>
      </c>
      <c r="J10">
        <v>893</v>
      </c>
      <c r="K10" s="63">
        <f t="shared" si="7"/>
        <v>313.32049272116461</v>
      </c>
      <c r="L10" s="61">
        <v>1</v>
      </c>
      <c r="M10" s="28">
        <f t="shared" si="2"/>
        <v>1.1198208286674132E-3</v>
      </c>
      <c r="N10" s="46">
        <v>15</v>
      </c>
      <c r="O10" s="89">
        <f t="shared" si="3"/>
        <v>1.6797312430011199E-2</v>
      </c>
      <c r="P10" s="260">
        <f t="shared" si="8"/>
        <v>39089.208695652174</v>
      </c>
      <c r="Q10" s="89">
        <f t="shared" si="4"/>
        <v>0.13970650209743474</v>
      </c>
      <c r="R10" s="260">
        <f t="shared" si="9"/>
        <v>28025.982608695656</v>
      </c>
      <c r="S10" s="89">
        <f t="shared" si="5"/>
        <v>0.100166059348751</v>
      </c>
      <c r="T10" s="310">
        <v>11693.6</v>
      </c>
      <c r="U10" s="26"/>
      <c r="W10">
        <v>44952.59</v>
      </c>
      <c r="X10" s="297">
        <f t="shared" si="10"/>
        <v>39089.208695652174</v>
      </c>
      <c r="Z10">
        <v>32229.88</v>
      </c>
      <c r="AA10" s="297">
        <f t="shared" si="11"/>
        <v>28025.982608695656</v>
      </c>
    </row>
    <row r="11" spans="1:27" ht="15.6" customHeight="1" x14ac:dyDescent="0.3">
      <c r="A11" s="409" t="s">
        <v>17</v>
      </c>
      <c r="B11" s="310">
        <v>133048.22</v>
      </c>
      <c r="C11" s="310">
        <v>96532.63</v>
      </c>
      <c r="D11" s="310">
        <v>110851.92</v>
      </c>
      <c r="E11" s="310">
        <v>167247.23000000001</v>
      </c>
      <c r="F11" s="310">
        <v>388891.35</v>
      </c>
      <c r="G11" s="86">
        <f t="shared" si="0"/>
        <v>0.7325460831223598</v>
      </c>
      <c r="H11" s="86">
        <f t="shared" si="1"/>
        <v>0.50874454858337148</v>
      </c>
      <c r="I11" s="86">
        <f t="shared" si="6"/>
        <v>0.25704222123377529</v>
      </c>
      <c r="J11">
        <v>575</v>
      </c>
      <c r="K11" s="63">
        <f t="shared" si="7"/>
        <v>290.86474782608695</v>
      </c>
      <c r="L11" s="61">
        <v>3</v>
      </c>
      <c r="M11" s="28">
        <f t="shared" si="2"/>
        <v>5.2173913043478265E-3</v>
      </c>
      <c r="N11" s="46">
        <v>22</v>
      </c>
      <c r="O11" s="89">
        <f t="shared" si="3"/>
        <v>3.826086956521739E-2</v>
      </c>
      <c r="P11" s="260">
        <f t="shared" si="8"/>
        <v>52313.721739130437</v>
      </c>
      <c r="Q11" s="89">
        <f t="shared" si="4"/>
        <v>0.31279275440992615</v>
      </c>
      <c r="R11" s="260">
        <f t="shared" si="9"/>
        <v>26615.634782608697</v>
      </c>
      <c r="S11" s="89">
        <f t="shared" si="5"/>
        <v>0.15913946546444263</v>
      </c>
      <c r="T11" s="310">
        <v>4317.8</v>
      </c>
      <c r="U11" s="26"/>
      <c r="W11">
        <v>60160.78</v>
      </c>
      <c r="X11" s="297">
        <f t="shared" si="10"/>
        <v>52313.721739130437</v>
      </c>
      <c r="Z11">
        <v>30607.98</v>
      </c>
      <c r="AA11" s="297">
        <f t="shared" si="11"/>
        <v>26615.634782608697</v>
      </c>
    </row>
    <row r="12" spans="1:27" ht="15.6" customHeight="1" x14ac:dyDescent="0.3">
      <c r="A12" s="198" t="s">
        <v>55</v>
      </c>
      <c r="B12" s="310">
        <v>218525.12</v>
      </c>
      <c r="C12" s="310">
        <v>213804.3</v>
      </c>
      <c r="D12" s="310">
        <v>178660.19</v>
      </c>
      <c r="E12" s="310">
        <v>218068.93</v>
      </c>
      <c r="F12" s="310">
        <v>555460.54</v>
      </c>
      <c r="G12" s="86">
        <f t="shared" si="0"/>
        <v>1.9946418289996996E-2</v>
      </c>
      <c r="H12" s="86">
        <f t="shared" si="1"/>
        <v>0.2205793019698456</v>
      </c>
      <c r="I12" s="86">
        <f t="shared" si="6"/>
        <v>-2.0875860862128908E-3</v>
      </c>
      <c r="J12">
        <v>789</v>
      </c>
      <c r="K12" s="63">
        <f t="shared" si="7"/>
        <v>276.3864765525982</v>
      </c>
      <c r="L12" s="61">
        <v>7</v>
      </c>
      <c r="M12" s="28">
        <f t="shared" si="2"/>
        <v>8.8719898605830166E-3</v>
      </c>
      <c r="N12" s="46">
        <v>17</v>
      </c>
      <c r="O12" s="89">
        <f t="shared" si="3"/>
        <v>2.1546261089987327E-2</v>
      </c>
      <c r="P12" s="260">
        <f t="shared" si="8"/>
        <v>39232.226086956522</v>
      </c>
      <c r="Q12" s="89">
        <f t="shared" si="4"/>
        <v>0.17990745443175479</v>
      </c>
      <c r="R12" s="260">
        <f t="shared" si="9"/>
        <v>27170.852173913045</v>
      </c>
      <c r="S12" s="89">
        <f t="shared" si="5"/>
        <v>0.12459753974999119</v>
      </c>
      <c r="T12" s="310">
        <v>9032</v>
      </c>
      <c r="U12" s="9"/>
      <c r="W12">
        <v>45117.06</v>
      </c>
      <c r="X12" s="297">
        <f t="shared" si="10"/>
        <v>39232.226086956522</v>
      </c>
      <c r="Z12">
        <v>31246.48</v>
      </c>
      <c r="AA12" s="297">
        <f t="shared" si="11"/>
        <v>27170.852173913045</v>
      </c>
    </row>
    <row r="13" spans="1:27" ht="16.2" customHeight="1" thickBot="1" x14ac:dyDescent="0.35">
      <c r="A13" s="199" t="s">
        <v>33</v>
      </c>
      <c r="B13" s="310">
        <v>161262.07999999999</v>
      </c>
      <c r="C13" s="310">
        <v>155970.38</v>
      </c>
      <c r="D13" s="310">
        <v>148575.59</v>
      </c>
      <c r="E13" s="310">
        <v>153393.07999999999</v>
      </c>
      <c r="F13" s="310">
        <v>417908.58</v>
      </c>
      <c r="G13" s="86">
        <f t="shared" si="0"/>
        <v>-1.6524291343010238E-2</v>
      </c>
      <c r="H13" s="86">
        <f t="shared" si="1"/>
        <v>3.2424505263616926E-2</v>
      </c>
      <c r="I13" s="86">
        <f t="shared" si="6"/>
        <v>-4.8796344435095965E-2</v>
      </c>
      <c r="J13">
        <v>570</v>
      </c>
      <c r="K13" s="63">
        <f t="shared" si="7"/>
        <v>269.11066666666665</v>
      </c>
      <c r="L13" s="61">
        <v>13</v>
      </c>
      <c r="M13" s="28">
        <f t="shared" si="2"/>
        <v>2.2807017543859651E-2</v>
      </c>
      <c r="N13" s="46">
        <v>37</v>
      </c>
      <c r="O13" s="89">
        <f t="shared" si="3"/>
        <v>6.491228070175438E-2</v>
      </c>
      <c r="P13" s="260">
        <f t="shared" si="8"/>
        <v>17043.826086956524</v>
      </c>
      <c r="Q13" s="89">
        <f t="shared" si="4"/>
        <v>0.1111120924552563</v>
      </c>
      <c r="R13" s="260">
        <f t="shared" si="9"/>
        <v>26261.547826086957</v>
      </c>
      <c r="S13" s="89">
        <f t="shared" si="5"/>
        <v>0.17120425397343192</v>
      </c>
      <c r="T13" s="310">
        <v>4995.5</v>
      </c>
      <c r="U13" s="9"/>
      <c r="W13">
        <v>19600.400000000001</v>
      </c>
      <c r="X13" s="297">
        <f t="shared" si="10"/>
        <v>17043.826086956524</v>
      </c>
      <c r="Z13">
        <v>30200.78</v>
      </c>
      <c r="AA13" s="297">
        <f t="shared" si="11"/>
        <v>26261.547826086957</v>
      </c>
    </row>
    <row r="14" spans="1:27" ht="15.6" customHeight="1" x14ac:dyDescent="0.3">
      <c r="A14" s="409" t="s">
        <v>20</v>
      </c>
      <c r="B14" s="310">
        <v>140651.79999999999</v>
      </c>
      <c r="C14" s="310">
        <v>139152.81</v>
      </c>
      <c r="D14" s="310">
        <v>123051.74</v>
      </c>
      <c r="E14" s="310">
        <v>147289.82</v>
      </c>
      <c r="F14" s="310">
        <v>399862.56</v>
      </c>
      <c r="G14" s="86">
        <f t="shared" si="0"/>
        <v>5.8475355258726068E-2</v>
      </c>
      <c r="H14" s="86">
        <f t="shared" si="1"/>
        <v>0.19697470348651713</v>
      </c>
      <c r="I14" s="86">
        <f t="shared" si="6"/>
        <v>4.7194703516058943E-2</v>
      </c>
      <c r="J14">
        <v>457</v>
      </c>
      <c r="K14" s="63">
        <f t="shared" si="7"/>
        <v>322.29719912472649</v>
      </c>
      <c r="L14" s="61">
        <v>11</v>
      </c>
      <c r="M14" s="28">
        <f t="shared" si="2"/>
        <v>2.4070021881838075E-2</v>
      </c>
      <c r="N14" s="46">
        <v>41</v>
      </c>
      <c r="O14" s="89">
        <f t="shared" si="3"/>
        <v>8.9715536105032828E-2</v>
      </c>
      <c r="P14" s="260">
        <f t="shared" si="8"/>
        <v>14368.147826086957</v>
      </c>
      <c r="Q14" s="89">
        <f t="shared" si="4"/>
        <v>9.7550175742539144E-2</v>
      </c>
      <c r="R14" s="260">
        <f t="shared" si="9"/>
        <v>31873.391304347831</v>
      </c>
      <c r="S14" s="89">
        <f t="shared" si="5"/>
        <v>0.2163991462841616</v>
      </c>
      <c r="T14" s="310">
        <v>5686.2</v>
      </c>
      <c r="U14" s="26"/>
      <c r="W14">
        <v>16523.37</v>
      </c>
      <c r="X14" s="297">
        <f t="shared" si="10"/>
        <v>14368.147826086957</v>
      </c>
      <c r="Z14">
        <v>36654.400000000001</v>
      </c>
      <c r="AA14" s="297">
        <f t="shared" si="11"/>
        <v>31873.391304347831</v>
      </c>
    </row>
    <row r="15" spans="1:27" ht="15.6" customHeight="1" x14ac:dyDescent="0.3">
      <c r="A15" s="198" t="s">
        <v>22</v>
      </c>
      <c r="B15" s="310" t="s">
        <v>59</v>
      </c>
      <c r="C15" s="310">
        <v>131916.09</v>
      </c>
      <c r="D15" s="310">
        <v>105029.58</v>
      </c>
      <c r="E15" s="310" t="s">
        <v>60</v>
      </c>
      <c r="F15" s="310">
        <v>74982.3</v>
      </c>
      <c r="G15" s="86">
        <f t="shared" si="0"/>
        <v>0</v>
      </c>
      <c r="H15" s="86">
        <f t="shared" si="1"/>
        <v>0</v>
      </c>
      <c r="I15" s="86">
        <f t="shared" si="6"/>
        <v>0</v>
      </c>
      <c r="J15" s="311"/>
      <c r="K15" s="63">
        <f t="shared" si="7"/>
        <v>0</v>
      </c>
      <c r="L15" s="61">
        <v>6</v>
      </c>
      <c r="M15" s="28">
        <f t="shared" si="2"/>
        <v>0</v>
      </c>
      <c r="N15" s="46">
        <v>27</v>
      </c>
      <c r="O15" s="89">
        <f t="shared" si="3"/>
        <v>0</v>
      </c>
      <c r="P15" s="260">
        <f t="shared" si="8"/>
        <v>0</v>
      </c>
      <c r="Q15" s="89" t="e">
        <f t="shared" si="4"/>
        <v>#VALUE!</v>
      </c>
      <c r="R15" s="260">
        <f t="shared" si="9"/>
        <v>0</v>
      </c>
      <c r="S15" s="89" t="e">
        <f t="shared" si="5"/>
        <v>#VALUE!</v>
      </c>
      <c r="T15" s="312"/>
      <c r="U15" s="26"/>
      <c r="X15" s="297">
        <f t="shared" si="10"/>
        <v>0</v>
      </c>
      <c r="AA15" s="297">
        <f t="shared" si="11"/>
        <v>0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24" priority="4" operator="equal">
      <formula>0</formula>
    </cfRule>
  </conditionalFormatting>
  <conditionalFormatting sqref="P12:P13">
    <cfRule type="cellIs" dxfId="123" priority="2" operator="equal">
      <formula>0</formula>
    </cfRule>
  </conditionalFormatting>
  <conditionalFormatting sqref="W5">
    <cfRule type="cellIs" dxfId="12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AA37"/>
  <sheetViews>
    <sheetView zoomScale="40" zoomScaleNormal="40" workbookViewId="0">
      <pane xSplit="1" topLeftCell="B1" activePane="topRight" state="frozen"/>
      <selection pane="topRight" activeCell="E14" sqref="E14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-9.2897071364200605E-3</v>
      </c>
      <c r="H2" s="413"/>
      <c r="I2" s="400">
        <f>((E4-B4)/E4)</f>
        <v>7.0322507623595707E-3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1969469.72</v>
      </c>
      <c r="C4" s="299">
        <f>SUM(C5:C15)</f>
        <v>2002015.7500000002</v>
      </c>
      <c r="D4" s="299">
        <f>SUM(D5:D15)</f>
        <v>1813821.2100000002</v>
      </c>
      <c r="E4" s="299">
        <f>SUM(E5:E15)</f>
        <v>1983417.6099999999</v>
      </c>
      <c r="F4" s="299">
        <f>SUM(F5:F15)</f>
        <v>7233249.3100000005</v>
      </c>
      <c r="G4" s="300">
        <f t="shared" ref="G4:G15" si="0">IFERROR((SUM(E4-C4)/C4),0)</f>
        <v>-9.2897071364200605E-3</v>
      </c>
      <c r="H4" s="300">
        <f t="shared" ref="H4:H15" si="1">IFERROR((SUM(E4-D4)/D4),0)</f>
        <v>9.35022697192959E-2</v>
      </c>
      <c r="I4" s="300">
        <f>IFERROR((SUM(E4-B4)/E4),0)</f>
        <v>7.0322507623595707E-3</v>
      </c>
      <c r="J4" s="301">
        <f>SUM(J5:J15)</f>
        <v>6697</v>
      </c>
      <c r="K4" s="302">
        <f>AVERAGE(K5:K15)</f>
        <v>268.92024226150983</v>
      </c>
      <c r="L4" s="303">
        <f>SUM(L5:L15)</f>
        <v>91</v>
      </c>
      <c r="M4" s="304">
        <f t="shared" ref="M4:M15" si="2">IFERROR(L4/J4,0)</f>
        <v>1.3588173809168285E-2</v>
      </c>
      <c r="N4" s="305">
        <f>SUM(N7:N15)</f>
        <v>256</v>
      </c>
      <c r="O4" s="306">
        <f t="shared" ref="O4:O15" si="3">IFERROR(N4/SUM(J4),0)</f>
        <v>3.8226071375242643E-2</v>
      </c>
      <c r="P4" s="307">
        <f>SUM(P5:P15)</f>
        <v>314415.66956521745</v>
      </c>
      <c r="Q4" s="306">
        <f t="shared" ref="Q4:Q15" si="4">SUM(P4/E4)</f>
        <v>0.15852217303103278</v>
      </c>
      <c r="R4" s="308">
        <f>SUM(R5:R15)</f>
        <v>224503.47826086957</v>
      </c>
      <c r="S4" s="306">
        <f t="shared" ref="S4:S15" si="5">SUM(R4/E4)</f>
        <v>0.11319022132755471</v>
      </c>
      <c r="T4" s="309"/>
      <c r="U4" s="24"/>
    </row>
    <row r="5" spans="1:27" ht="15.6" customHeight="1" x14ac:dyDescent="0.3">
      <c r="A5" s="198" t="s">
        <v>26</v>
      </c>
      <c r="B5" s="310">
        <v>234849.7</v>
      </c>
      <c r="C5" s="310">
        <v>243243.69</v>
      </c>
      <c r="D5" s="310">
        <v>232193.16</v>
      </c>
      <c r="E5" s="310">
        <v>244128.01</v>
      </c>
      <c r="F5" s="310">
        <v>829164.15</v>
      </c>
      <c r="G5" s="86">
        <f t="shared" si="0"/>
        <v>3.6355311005190185E-3</v>
      </c>
      <c r="H5" s="86">
        <f t="shared" si="1"/>
        <v>5.1400523598541858E-2</v>
      </c>
      <c r="I5" s="86">
        <f t="shared" ref="I5:I15" si="6">IFERROR((SUM(E5-B5)/B5),0)</f>
        <v>3.9507438161513503E-2</v>
      </c>
      <c r="J5" s="311">
        <v>747</v>
      </c>
      <c r="K5" s="63">
        <f t="shared" ref="K5:K15" si="7">IFERROR(E5/J5,0)</f>
        <v>326.81125836680053</v>
      </c>
      <c r="L5" s="61">
        <v>10</v>
      </c>
      <c r="M5" s="28">
        <f t="shared" si="2"/>
        <v>1.3386880856760375E-2</v>
      </c>
      <c r="N5" s="46">
        <v>42</v>
      </c>
      <c r="O5" s="89">
        <f t="shared" si="3"/>
        <v>5.6224899598393573E-2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23480</v>
      </c>
      <c r="S5" s="89">
        <f t="shared" si="5"/>
        <v>9.6179049671522729E-2</v>
      </c>
      <c r="T5" s="310">
        <v>1114.4000000000001</v>
      </c>
      <c r="U5" s="9"/>
      <c r="W5" s="260"/>
      <c r="X5" s="297">
        <f t="shared" ref="X5:X15" si="10">W5/1.15</f>
        <v>0</v>
      </c>
      <c r="Z5">
        <v>27002</v>
      </c>
      <c r="AA5" s="297">
        <f t="shared" ref="AA5:AA15" si="11">Z5/1.15</f>
        <v>23480</v>
      </c>
    </row>
    <row r="6" spans="1:27" ht="16.2" customHeight="1" thickBot="1" x14ac:dyDescent="0.35">
      <c r="A6" s="409" t="s">
        <v>21</v>
      </c>
      <c r="B6" s="310">
        <v>216677.99</v>
      </c>
      <c r="C6" s="310">
        <v>285384</v>
      </c>
      <c r="D6" s="310">
        <v>225388.91</v>
      </c>
      <c r="E6" s="310">
        <v>233368.03</v>
      </c>
      <c r="F6" s="310">
        <v>808057.06</v>
      </c>
      <c r="G6" s="86">
        <f t="shared" si="0"/>
        <v>-0.18226659518403274</v>
      </c>
      <c r="H6" s="86">
        <f t="shared" si="1"/>
        <v>3.5401564344936028E-2</v>
      </c>
      <c r="I6" s="86">
        <f t="shared" si="6"/>
        <v>7.7026928300377939E-2</v>
      </c>
      <c r="J6" s="311">
        <v>735</v>
      </c>
      <c r="K6" s="63">
        <f t="shared" si="7"/>
        <v>317.50752380952383</v>
      </c>
      <c r="L6" s="61">
        <v>10</v>
      </c>
      <c r="M6" s="28">
        <f t="shared" si="2"/>
        <v>1.3605442176870748E-2</v>
      </c>
      <c r="N6" s="46">
        <v>42</v>
      </c>
      <c r="O6" s="89">
        <f t="shared" si="3"/>
        <v>5.7142857142857141E-2</v>
      </c>
      <c r="P6" s="260">
        <f t="shared" si="8"/>
        <v>41645.034782608702</v>
      </c>
      <c r="Q6" s="89">
        <f t="shared" si="4"/>
        <v>0.17845218465703594</v>
      </c>
      <c r="R6" s="260">
        <f t="shared" si="9"/>
        <v>22324.947826086958</v>
      </c>
      <c r="S6" s="89">
        <f t="shared" si="5"/>
        <v>9.5664122571060647E-2</v>
      </c>
      <c r="T6" s="310">
        <v>7873.6</v>
      </c>
      <c r="U6" s="26"/>
      <c r="W6">
        <v>47891.79</v>
      </c>
      <c r="X6" s="297">
        <f t="shared" si="10"/>
        <v>41645.034782608702</v>
      </c>
      <c r="Z6">
        <v>25673.69</v>
      </c>
      <c r="AA6" s="297">
        <f t="shared" si="11"/>
        <v>22324.947826086958</v>
      </c>
    </row>
    <row r="7" spans="1:27" ht="16.5" customHeight="1" x14ac:dyDescent="0.3">
      <c r="A7" s="408" t="s">
        <v>15</v>
      </c>
      <c r="B7" s="310">
        <v>193886.77</v>
      </c>
      <c r="C7" s="310">
        <v>225559.84</v>
      </c>
      <c r="D7" s="310">
        <v>197034.69</v>
      </c>
      <c r="E7" s="310">
        <v>226256.61</v>
      </c>
      <c r="F7" s="310">
        <v>819605.94</v>
      </c>
      <c r="G7" s="86">
        <f t="shared" si="0"/>
        <v>3.0890694017161454E-3</v>
      </c>
      <c r="H7" s="86">
        <f t="shared" si="1"/>
        <v>0.14830850344170352</v>
      </c>
      <c r="I7" s="86">
        <f t="shared" si="6"/>
        <v>0.16695228869922377</v>
      </c>
      <c r="J7" s="311">
        <v>699</v>
      </c>
      <c r="K7" s="63">
        <f t="shared" si="7"/>
        <v>323.68613733905579</v>
      </c>
      <c r="L7" s="61">
        <v>4</v>
      </c>
      <c r="M7" s="28">
        <f t="shared" si="2"/>
        <v>5.7224606580829757E-3</v>
      </c>
      <c r="N7" s="46">
        <v>24</v>
      </c>
      <c r="O7" s="89">
        <f t="shared" si="3"/>
        <v>3.4334763948497854E-2</v>
      </c>
      <c r="P7" s="260">
        <f t="shared" si="8"/>
        <v>35771.634782608693</v>
      </c>
      <c r="Q7" s="89">
        <f t="shared" si="4"/>
        <v>0.15810205404654784</v>
      </c>
      <c r="R7" s="260">
        <f t="shared" si="9"/>
        <v>8552.7739130434802</v>
      </c>
      <c r="S7" s="89">
        <f t="shared" si="5"/>
        <v>3.7801211257622397E-2</v>
      </c>
      <c r="T7" s="310">
        <v>18049</v>
      </c>
      <c r="U7" s="26"/>
      <c r="W7">
        <v>41137.379999999997</v>
      </c>
      <c r="X7" s="297">
        <f t="shared" si="10"/>
        <v>35771.634782608693</v>
      </c>
      <c r="Z7">
        <v>9835.69</v>
      </c>
      <c r="AA7" s="297">
        <f t="shared" si="11"/>
        <v>8552.7739130434802</v>
      </c>
    </row>
    <row r="8" spans="1:27" ht="15.6" customHeight="1" x14ac:dyDescent="0.3">
      <c r="A8" s="198" t="s">
        <v>27</v>
      </c>
      <c r="B8" s="310">
        <v>144551.95000000001</v>
      </c>
      <c r="C8" s="310">
        <v>115075.28</v>
      </c>
      <c r="D8" s="310">
        <v>145486.31</v>
      </c>
      <c r="E8" s="310">
        <v>168556.25</v>
      </c>
      <c r="F8" s="310">
        <v>541830.87</v>
      </c>
      <c r="G8" s="86">
        <f t="shared" si="0"/>
        <v>0.46474768516748344</v>
      </c>
      <c r="H8" s="86">
        <f t="shared" si="1"/>
        <v>0.15857120852126913</v>
      </c>
      <c r="I8" s="86">
        <f t="shared" si="6"/>
        <v>0.16606002201976511</v>
      </c>
      <c r="J8" s="311">
        <v>577</v>
      </c>
      <c r="K8" s="63">
        <f t="shared" si="7"/>
        <v>292.12521663778165</v>
      </c>
      <c r="L8" s="61">
        <v>11</v>
      </c>
      <c r="M8" s="28">
        <f t="shared" si="2"/>
        <v>1.9064124783362217E-2</v>
      </c>
      <c r="N8" s="46">
        <v>25</v>
      </c>
      <c r="O8" s="89">
        <f t="shared" si="3"/>
        <v>4.3327556325823226E-2</v>
      </c>
      <c r="P8" s="260">
        <f t="shared" si="8"/>
        <v>33632.965217391313</v>
      </c>
      <c r="Q8" s="89">
        <f t="shared" si="4"/>
        <v>0.1995355569276803</v>
      </c>
      <c r="R8" s="260">
        <f t="shared" si="9"/>
        <v>20722.17391304348</v>
      </c>
      <c r="S8" s="89">
        <f t="shared" si="5"/>
        <v>0.12293922007070922</v>
      </c>
      <c r="T8" s="310">
        <v>8761.66</v>
      </c>
      <c r="U8" s="9"/>
      <c r="W8">
        <v>38677.910000000003</v>
      </c>
      <c r="X8" s="297">
        <f t="shared" si="10"/>
        <v>33632.965217391313</v>
      </c>
      <c r="Z8">
        <v>23830.5</v>
      </c>
      <c r="AA8" s="297">
        <f t="shared" si="11"/>
        <v>20722.17391304348</v>
      </c>
    </row>
    <row r="9" spans="1:27" ht="15.6" customHeight="1" x14ac:dyDescent="0.3">
      <c r="A9" s="198" t="s">
        <v>23</v>
      </c>
      <c r="B9" s="310">
        <v>213709.05</v>
      </c>
      <c r="C9" s="310">
        <v>171225.27</v>
      </c>
      <c r="D9" s="310">
        <v>171278.52</v>
      </c>
      <c r="E9" s="310">
        <v>202119.65</v>
      </c>
      <c r="F9" s="310">
        <v>760444.93</v>
      </c>
      <c r="G9" s="86">
        <f t="shared" si="0"/>
        <v>0.18043119453104092</v>
      </c>
      <c r="H9" s="86">
        <f t="shared" si="1"/>
        <v>0.18006420186255701</v>
      </c>
      <c r="I9" s="86">
        <f t="shared" si="6"/>
        <v>-5.4229804493539209E-2</v>
      </c>
      <c r="J9" s="311">
        <v>741</v>
      </c>
      <c r="K9" s="63">
        <f t="shared" si="7"/>
        <v>272.76605937921727</v>
      </c>
      <c r="L9" s="61">
        <v>15</v>
      </c>
      <c r="M9" s="28">
        <f t="shared" si="2"/>
        <v>2.0242914979757085E-2</v>
      </c>
      <c r="N9" s="46">
        <v>48</v>
      </c>
      <c r="O9" s="89">
        <f t="shared" si="3"/>
        <v>6.4777327935222673E-2</v>
      </c>
      <c r="P9" s="260">
        <f t="shared" si="8"/>
        <v>34027.182608695657</v>
      </c>
      <c r="Q9" s="89">
        <f t="shared" si="4"/>
        <v>0.16835167985248173</v>
      </c>
      <c r="R9" s="260">
        <f t="shared" si="9"/>
        <v>24932.808695652177</v>
      </c>
      <c r="S9" s="89">
        <f t="shared" si="5"/>
        <v>0.12335667855971538</v>
      </c>
      <c r="T9" s="310">
        <v>8583.5</v>
      </c>
      <c r="U9" s="26"/>
      <c r="W9">
        <v>39131.26</v>
      </c>
      <c r="X9" s="297">
        <f t="shared" si="10"/>
        <v>34027.182608695657</v>
      </c>
      <c r="Z9">
        <v>28672.73</v>
      </c>
      <c r="AA9" s="297">
        <f t="shared" si="11"/>
        <v>24932.808695652177</v>
      </c>
    </row>
    <row r="10" spans="1:27" ht="15.6" customHeight="1" x14ac:dyDescent="0.3">
      <c r="A10" s="409" t="s">
        <v>16</v>
      </c>
      <c r="B10" s="310">
        <v>279795.20000000001</v>
      </c>
      <c r="C10" s="310">
        <v>224151.46</v>
      </c>
      <c r="D10" s="310">
        <v>175937.8</v>
      </c>
      <c r="E10" s="310">
        <v>248762.9</v>
      </c>
      <c r="F10" s="310">
        <v>976814.87</v>
      </c>
      <c r="G10" s="86">
        <f t="shared" si="0"/>
        <v>0.10979825873094917</v>
      </c>
      <c r="H10" s="86">
        <f t="shared" si="1"/>
        <v>0.41392526222335402</v>
      </c>
      <c r="I10" s="86">
        <f t="shared" si="6"/>
        <v>-0.11091076616039165</v>
      </c>
      <c r="J10" s="311">
        <v>864</v>
      </c>
      <c r="K10" s="63">
        <f t="shared" si="7"/>
        <v>287.92002314814812</v>
      </c>
      <c r="L10" s="61">
        <v>1</v>
      </c>
      <c r="M10" s="28">
        <f t="shared" si="2"/>
        <v>1.1574074074074073E-3</v>
      </c>
      <c r="N10" s="46">
        <v>15</v>
      </c>
      <c r="O10" s="89">
        <f t="shared" si="3"/>
        <v>1.7361111111111112E-2</v>
      </c>
      <c r="P10" s="260">
        <f t="shared" si="8"/>
        <v>42443.260869565223</v>
      </c>
      <c r="Q10" s="89">
        <f t="shared" si="4"/>
        <v>0.17061732625550363</v>
      </c>
      <c r="R10" s="260">
        <f t="shared" si="9"/>
        <v>31742.052173913045</v>
      </c>
      <c r="S10" s="89">
        <f t="shared" si="5"/>
        <v>0.12759962266846481</v>
      </c>
      <c r="T10" s="310">
        <v>10418</v>
      </c>
      <c r="U10" s="26"/>
      <c r="W10">
        <v>48809.75</v>
      </c>
      <c r="X10" s="297">
        <f t="shared" si="10"/>
        <v>42443.260869565223</v>
      </c>
      <c r="Z10">
        <v>36503.360000000001</v>
      </c>
      <c r="AA10" s="297">
        <f t="shared" si="11"/>
        <v>31742.052173913045</v>
      </c>
    </row>
    <row r="11" spans="1:27" ht="15.6" customHeight="1" x14ac:dyDescent="0.3">
      <c r="A11" s="409" t="s">
        <v>17</v>
      </c>
      <c r="B11" s="310">
        <v>167247.23000000001</v>
      </c>
      <c r="C11" s="310">
        <v>96532.63</v>
      </c>
      <c r="D11" s="310">
        <v>116334.7</v>
      </c>
      <c r="E11" s="310">
        <v>118205.75999999999</v>
      </c>
      <c r="F11" s="310">
        <v>507097.11</v>
      </c>
      <c r="G11" s="86">
        <f t="shared" si="0"/>
        <v>0.22451610403653136</v>
      </c>
      <c r="H11" s="86">
        <f t="shared" si="1"/>
        <v>1.6083421369548361E-2</v>
      </c>
      <c r="I11" s="86">
        <f t="shared" si="6"/>
        <v>-0.29322739754792959</v>
      </c>
      <c r="J11" s="311">
        <v>442</v>
      </c>
      <c r="K11" s="63">
        <f t="shared" si="7"/>
        <v>267.43384615384616</v>
      </c>
      <c r="L11" s="61">
        <v>3</v>
      </c>
      <c r="M11" s="28">
        <f t="shared" si="2"/>
        <v>6.7873303167420816E-3</v>
      </c>
      <c r="N11" s="46">
        <v>22</v>
      </c>
      <c r="O11" s="89">
        <f t="shared" si="3"/>
        <v>4.9773755656108594E-2</v>
      </c>
      <c r="P11" s="260">
        <f t="shared" si="8"/>
        <v>42590.269565217393</v>
      </c>
      <c r="Q11" s="89">
        <f t="shared" si="4"/>
        <v>0.36030621151809689</v>
      </c>
      <c r="R11" s="260">
        <f t="shared" si="9"/>
        <v>20046.4347826087</v>
      </c>
      <c r="S11" s="89">
        <f t="shared" si="5"/>
        <v>0.16958932274204488</v>
      </c>
      <c r="T11" s="310">
        <v>4313.45</v>
      </c>
      <c r="U11" s="26"/>
      <c r="W11">
        <v>48978.81</v>
      </c>
      <c r="X11" s="297">
        <f t="shared" si="10"/>
        <v>42590.269565217393</v>
      </c>
      <c r="Z11">
        <v>23053.4</v>
      </c>
      <c r="AA11" s="297">
        <f t="shared" si="11"/>
        <v>20046.4347826087</v>
      </c>
    </row>
    <row r="12" spans="1:27" ht="15.6" customHeight="1" x14ac:dyDescent="0.3">
      <c r="A12" s="198" t="s">
        <v>55</v>
      </c>
      <c r="B12" s="310">
        <v>218068.93</v>
      </c>
      <c r="C12" s="310">
        <v>213804.3</v>
      </c>
      <c r="D12" s="310">
        <v>181897.73</v>
      </c>
      <c r="E12" s="310">
        <v>211345.95</v>
      </c>
      <c r="F12" s="310">
        <v>766806.49</v>
      </c>
      <c r="G12" s="86">
        <f t="shared" si="0"/>
        <v>-1.1498131702683139E-2</v>
      </c>
      <c r="H12" s="86">
        <f t="shared" si="1"/>
        <v>0.16189437878086768</v>
      </c>
      <c r="I12" s="86">
        <f t="shared" si="6"/>
        <v>-3.0829609701849694E-2</v>
      </c>
      <c r="J12" s="311">
        <v>770</v>
      </c>
      <c r="K12" s="63">
        <f t="shared" si="7"/>
        <v>274.47525974025973</v>
      </c>
      <c r="L12" s="61">
        <v>7</v>
      </c>
      <c r="M12" s="28">
        <f t="shared" si="2"/>
        <v>9.0909090909090905E-3</v>
      </c>
      <c r="N12" s="46">
        <v>17</v>
      </c>
      <c r="O12" s="89">
        <f t="shared" si="3"/>
        <v>2.2077922077922078E-2</v>
      </c>
      <c r="P12" s="260">
        <f t="shared" si="8"/>
        <v>36993.408695652179</v>
      </c>
      <c r="Q12" s="89">
        <f t="shared" si="4"/>
        <v>0.1750372254384443</v>
      </c>
      <c r="R12" s="260">
        <f t="shared" si="9"/>
        <v>29483.878260869566</v>
      </c>
      <c r="S12" s="89">
        <f t="shared" si="5"/>
        <v>0.13950529102104661</v>
      </c>
      <c r="T12" s="310">
        <v>7111.5</v>
      </c>
      <c r="U12" s="9"/>
      <c r="W12">
        <v>42542.42</v>
      </c>
      <c r="X12" s="297">
        <f t="shared" si="10"/>
        <v>36993.408695652179</v>
      </c>
      <c r="Z12">
        <v>33906.46</v>
      </c>
      <c r="AA12" s="297">
        <f t="shared" si="11"/>
        <v>29483.878260869566</v>
      </c>
    </row>
    <row r="13" spans="1:27" ht="16.2" customHeight="1" thickBot="1" x14ac:dyDescent="0.35">
      <c r="A13" s="199" t="s">
        <v>33</v>
      </c>
      <c r="B13" s="310">
        <v>153393.07999999999</v>
      </c>
      <c r="C13" s="310">
        <v>155970.38</v>
      </c>
      <c r="D13" s="310">
        <v>148055.01999999999</v>
      </c>
      <c r="E13" s="310">
        <v>172286.55</v>
      </c>
      <c r="F13" s="310">
        <v>590195.13</v>
      </c>
      <c r="G13" s="86">
        <f t="shared" si="0"/>
        <v>0.10461069595393679</v>
      </c>
      <c r="H13" s="86">
        <f t="shared" si="1"/>
        <v>0.16366571022043022</v>
      </c>
      <c r="I13" s="86">
        <f t="shared" si="6"/>
        <v>0.12317028903781059</v>
      </c>
      <c r="J13" s="311">
        <v>630</v>
      </c>
      <c r="K13" s="63">
        <f t="shared" si="7"/>
        <v>273.47071428571428</v>
      </c>
      <c r="L13" s="61">
        <v>13</v>
      </c>
      <c r="M13" s="28">
        <f t="shared" si="2"/>
        <v>2.0634920634920634E-2</v>
      </c>
      <c r="N13" s="46">
        <v>37</v>
      </c>
      <c r="O13" s="89">
        <f t="shared" si="3"/>
        <v>5.873015873015873E-2</v>
      </c>
      <c r="P13" s="260">
        <f t="shared" si="8"/>
        <v>13405.860869565218</v>
      </c>
      <c r="Q13" s="89">
        <f t="shared" si="4"/>
        <v>7.7811418648555092E-2</v>
      </c>
      <c r="R13" s="260">
        <f t="shared" si="9"/>
        <v>28386.017391304347</v>
      </c>
      <c r="S13" s="89">
        <f t="shared" si="5"/>
        <v>0.1647604957630433</v>
      </c>
      <c r="T13" s="310">
        <v>3983.32</v>
      </c>
      <c r="U13" s="9"/>
      <c r="W13">
        <v>15416.74</v>
      </c>
      <c r="X13" s="297">
        <f t="shared" si="10"/>
        <v>13405.860869565218</v>
      </c>
      <c r="Z13">
        <v>32643.919999999998</v>
      </c>
      <c r="AA13" s="297">
        <f t="shared" si="11"/>
        <v>28386.017391304347</v>
      </c>
    </row>
    <row r="14" spans="1:27" ht="15.6" customHeight="1" x14ac:dyDescent="0.3">
      <c r="A14" s="409" t="s">
        <v>20</v>
      </c>
      <c r="B14" s="310">
        <v>147289.82</v>
      </c>
      <c r="C14" s="310">
        <v>139152.81</v>
      </c>
      <c r="D14" s="310">
        <v>119605.31</v>
      </c>
      <c r="E14" s="314">
        <v>158387.9</v>
      </c>
      <c r="F14" s="310">
        <v>558250.46</v>
      </c>
      <c r="G14" s="86">
        <f t="shared" si="0"/>
        <v>0.13822997897060071</v>
      </c>
      <c r="H14" s="86">
        <f t="shared" si="1"/>
        <v>0.32425475089692923</v>
      </c>
      <c r="I14" s="86">
        <f t="shared" si="6"/>
        <v>7.5348588245949297E-2</v>
      </c>
      <c r="J14" s="311">
        <v>492</v>
      </c>
      <c r="K14" s="63">
        <f t="shared" si="7"/>
        <v>321.92662601626017</v>
      </c>
      <c r="L14" s="61">
        <v>11</v>
      </c>
      <c r="M14" s="28">
        <f t="shared" si="2"/>
        <v>2.2357723577235773E-2</v>
      </c>
      <c r="N14" s="46">
        <v>41</v>
      </c>
      <c r="O14" s="89">
        <f t="shared" si="3"/>
        <v>8.3333333333333329E-2</v>
      </c>
      <c r="P14" s="260">
        <f t="shared" si="8"/>
        <v>33906.052173913042</v>
      </c>
      <c r="Q14" s="89">
        <f t="shared" si="4"/>
        <v>0.21406971223125656</v>
      </c>
      <c r="R14" s="260">
        <f t="shared" si="9"/>
        <v>14832.391304347828</v>
      </c>
      <c r="S14" s="89">
        <f t="shared" si="5"/>
        <v>9.3645987505029282E-2</v>
      </c>
      <c r="T14" s="310">
        <v>6386.5</v>
      </c>
      <c r="U14" s="26"/>
      <c r="W14">
        <v>38991.96</v>
      </c>
      <c r="X14" s="297">
        <f t="shared" si="10"/>
        <v>33906.052173913042</v>
      </c>
      <c r="Z14">
        <v>17057.25</v>
      </c>
      <c r="AA14" s="297">
        <f t="shared" si="11"/>
        <v>14832.391304347828</v>
      </c>
    </row>
    <row r="15" spans="1:27" ht="15.6" customHeight="1" x14ac:dyDescent="0.3">
      <c r="A15" s="198" t="s">
        <v>22</v>
      </c>
      <c r="B15" s="313" t="s">
        <v>59</v>
      </c>
      <c r="C15" s="310">
        <v>131916.09</v>
      </c>
      <c r="D15" s="310">
        <v>100609.06</v>
      </c>
      <c r="E15" s="313" t="s">
        <v>60</v>
      </c>
      <c r="F15" s="310">
        <v>74982.3</v>
      </c>
      <c r="G15" s="86">
        <f t="shared" si="0"/>
        <v>0</v>
      </c>
      <c r="H15" s="86">
        <f t="shared" si="1"/>
        <v>0</v>
      </c>
      <c r="I15" s="86">
        <f t="shared" si="6"/>
        <v>0</v>
      </c>
      <c r="J15" s="311"/>
      <c r="K15" s="63">
        <f t="shared" si="7"/>
        <v>0</v>
      </c>
      <c r="L15" s="61">
        <v>6</v>
      </c>
      <c r="M15" s="28">
        <f t="shared" si="2"/>
        <v>0</v>
      </c>
      <c r="N15" s="46">
        <v>27</v>
      </c>
      <c r="O15" s="89">
        <f t="shared" si="3"/>
        <v>0</v>
      </c>
      <c r="P15" s="260">
        <f t="shared" si="8"/>
        <v>0</v>
      </c>
      <c r="Q15" s="89" t="e">
        <f t="shared" si="4"/>
        <v>#VALUE!</v>
      </c>
      <c r="R15" s="260">
        <f t="shared" si="9"/>
        <v>0</v>
      </c>
      <c r="S15" s="89" t="e">
        <f t="shared" si="5"/>
        <v>#VALUE!</v>
      </c>
      <c r="T15" s="312"/>
      <c r="U15" s="26"/>
      <c r="X15" s="297">
        <f t="shared" si="10"/>
        <v>0</v>
      </c>
      <c r="AA15" s="297">
        <f t="shared" si="11"/>
        <v>0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21" priority="4" operator="equal">
      <formula>0</formula>
    </cfRule>
  </conditionalFormatting>
  <conditionalFormatting sqref="P12:P13">
    <cfRule type="cellIs" dxfId="120" priority="2" operator="equal">
      <formula>0</formula>
    </cfRule>
  </conditionalFormatting>
  <conditionalFormatting sqref="W5">
    <cfRule type="cellIs" dxfId="11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0.10170537241044436</v>
      </c>
      <c r="H2" s="413"/>
      <c r="I2" s="400">
        <f>((E4-B4)/E4)</f>
        <v>0.10094633510468699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1983417.6099999999</v>
      </c>
      <c r="C4" s="299">
        <f>SUM(C5:C15)</f>
        <v>2002456.46</v>
      </c>
      <c r="D4" s="299">
        <f>SUM(D5:D15)</f>
        <v>1964789.97</v>
      </c>
      <c r="E4" s="299">
        <f>SUM(E5:E15)</f>
        <v>2206117.04</v>
      </c>
      <c r="F4" s="299">
        <f>SUM(F5:F15)</f>
        <v>694173.72</v>
      </c>
      <c r="G4" s="300">
        <f t="shared" ref="G4:G15" si="0">IFERROR((SUM(E4-C4)/C4),0)</f>
        <v>0.10170537241044436</v>
      </c>
      <c r="H4" s="300">
        <f t="shared" ref="H4:H15" si="1">IFERROR((SUM(E4-D4)/D4),0)</f>
        <v>0.12282588657555091</v>
      </c>
      <c r="I4" s="300">
        <f>IFERROR((SUM(E4-B4)/E4),0)</f>
        <v>0.10094633510468699</v>
      </c>
      <c r="J4" s="301">
        <f>SUM(J5:J15)</f>
        <v>7254</v>
      </c>
      <c r="K4" s="302">
        <f>AVERAGE(K5:K15)</f>
        <v>268.0284072227771</v>
      </c>
      <c r="L4" s="303">
        <f>SUM(L5:L15)</f>
        <v>91</v>
      </c>
      <c r="M4" s="304">
        <f t="shared" ref="M4:M15" si="2">IFERROR(L4/J4,0)</f>
        <v>1.2544802867383513E-2</v>
      </c>
      <c r="N4" s="305">
        <f>SUM(N7:N15)</f>
        <v>256</v>
      </c>
      <c r="O4" s="306">
        <f t="shared" ref="O4:O15" si="3">IFERROR(N4/SUM(J4),0)</f>
        <v>3.529087400055142E-2</v>
      </c>
      <c r="P4" s="307">
        <f>SUM(P5:P15)</f>
        <v>371980.29565217398</v>
      </c>
      <c r="Q4" s="306">
        <f t="shared" ref="Q4:Q15" si="4">SUM(P4/E4)</f>
        <v>0.16861312836429293</v>
      </c>
      <c r="R4" s="308">
        <f>SUM(R5:R15)</f>
        <v>216682.51304347828</v>
      </c>
      <c r="S4" s="306">
        <f t="shared" ref="S4:S15" si="5">SUM(R4/E4)</f>
        <v>9.8218956254233131E-2</v>
      </c>
      <c r="T4" s="309"/>
      <c r="U4" s="24"/>
    </row>
    <row r="5" spans="1:27" ht="15.6" customHeight="1" x14ac:dyDescent="0.3">
      <c r="A5" s="198" t="s">
        <v>26</v>
      </c>
      <c r="B5" s="310">
        <v>244128.01</v>
      </c>
      <c r="C5" s="310">
        <v>146491.63</v>
      </c>
      <c r="D5" s="310">
        <v>217130.21</v>
      </c>
      <c r="E5" s="310">
        <v>335499.3</v>
      </c>
      <c r="F5" s="310">
        <v>143489.84</v>
      </c>
      <c r="G5" s="86">
        <f t="shared" si="0"/>
        <v>1.2902284587863482</v>
      </c>
      <c r="H5" s="86">
        <f t="shared" si="1"/>
        <v>0.54515256076066065</v>
      </c>
      <c r="I5" s="86">
        <f t="shared" ref="I5:I15" si="6">IFERROR((SUM(E5-B5)/B5),0)</f>
        <v>0.37427614307755991</v>
      </c>
      <c r="J5" s="311">
        <v>999</v>
      </c>
      <c r="K5" s="63">
        <f t="shared" ref="K5:K15" si="7">IFERROR(E5/J5,0)</f>
        <v>335.83513513513515</v>
      </c>
      <c r="L5" s="61">
        <v>10</v>
      </c>
      <c r="M5" s="28">
        <f t="shared" si="2"/>
        <v>1.001001001001001E-2</v>
      </c>
      <c r="N5" s="46">
        <v>42</v>
      </c>
      <c r="O5" s="89">
        <f t="shared" si="3"/>
        <v>4.2042042042042045E-2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30442.17391304348</v>
      </c>
      <c r="S5" s="89">
        <f t="shared" si="5"/>
        <v>9.0736922291770744E-2</v>
      </c>
      <c r="T5" s="310">
        <v>1805.75</v>
      </c>
      <c r="U5" s="9"/>
      <c r="W5" s="260"/>
      <c r="X5" s="297">
        <f t="shared" ref="X5:X15" si="10">W5/1.15</f>
        <v>0</v>
      </c>
      <c r="Z5">
        <v>35008.5</v>
      </c>
      <c r="AA5" s="297">
        <f t="shared" ref="AA5:AA15" si="11">Z5/1.15</f>
        <v>30442.17391304348</v>
      </c>
    </row>
    <row r="6" spans="1:27" ht="16.2" customHeight="1" thickBot="1" x14ac:dyDescent="0.35">
      <c r="A6" s="409" t="s">
        <v>21</v>
      </c>
      <c r="B6" s="310">
        <v>233368.03</v>
      </c>
      <c r="C6" s="310">
        <v>310363.95</v>
      </c>
      <c r="D6" s="310">
        <v>241827.03</v>
      </c>
      <c r="E6" s="310">
        <v>261348.81</v>
      </c>
      <c r="F6" s="310">
        <v>84193.49</v>
      </c>
      <c r="G6" s="86">
        <f t="shared" si="0"/>
        <v>-0.15792794233995286</v>
      </c>
      <c r="H6" s="86">
        <f t="shared" si="1"/>
        <v>8.0726211623241617E-2</v>
      </c>
      <c r="I6" s="86">
        <f t="shared" si="6"/>
        <v>0.1198997994712472</v>
      </c>
      <c r="J6" s="311">
        <v>824</v>
      </c>
      <c r="K6" s="63">
        <f t="shared" si="7"/>
        <v>317.17088592233011</v>
      </c>
      <c r="L6" s="61">
        <v>10</v>
      </c>
      <c r="M6" s="28">
        <f t="shared" si="2"/>
        <v>1.2135922330097087E-2</v>
      </c>
      <c r="N6" s="46">
        <v>42</v>
      </c>
      <c r="O6" s="89">
        <f t="shared" si="3"/>
        <v>5.0970873786407765E-2</v>
      </c>
      <c r="P6" s="260">
        <f t="shared" si="8"/>
        <v>56695.52173913044</v>
      </c>
      <c r="Q6" s="89">
        <f t="shared" si="4"/>
        <v>0.21693430224201304</v>
      </c>
      <c r="R6" s="260">
        <f t="shared" si="9"/>
        <v>20848.808695652177</v>
      </c>
      <c r="S6" s="89">
        <f t="shared" si="5"/>
        <v>7.9773880338893363E-2</v>
      </c>
      <c r="T6" s="310">
        <v>9368.98</v>
      </c>
      <c r="U6" s="26"/>
      <c r="W6">
        <v>65199.85</v>
      </c>
      <c r="X6" s="297">
        <f t="shared" si="10"/>
        <v>56695.52173913044</v>
      </c>
      <c r="Z6">
        <v>23976.13</v>
      </c>
      <c r="AA6" s="297">
        <f t="shared" si="11"/>
        <v>20848.808695652177</v>
      </c>
    </row>
    <row r="7" spans="1:27" ht="16.5" customHeight="1" x14ac:dyDescent="0.3">
      <c r="A7" s="408" t="s">
        <v>15</v>
      </c>
      <c r="B7" s="310">
        <v>226256.61</v>
      </c>
      <c r="C7" s="310">
        <v>247392.33</v>
      </c>
      <c r="D7" s="310">
        <v>222289.96</v>
      </c>
      <c r="E7" s="310">
        <v>209389.69</v>
      </c>
      <c r="F7" s="310">
        <v>45285.65</v>
      </c>
      <c r="G7" s="86">
        <f t="shared" si="0"/>
        <v>-0.15361284644515855</v>
      </c>
      <c r="H7" s="86">
        <f t="shared" si="1"/>
        <v>-5.8033525220842139E-2</v>
      </c>
      <c r="I7" s="86">
        <f t="shared" si="6"/>
        <v>-7.4547744704563476E-2</v>
      </c>
      <c r="J7" s="311">
        <v>640</v>
      </c>
      <c r="K7" s="63">
        <f t="shared" si="7"/>
        <v>327.17139062500002</v>
      </c>
      <c r="L7" s="61">
        <v>4</v>
      </c>
      <c r="M7" s="28">
        <f t="shared" si="2"/>
        <v>6.2500000000000003E-3</v>
      </c>
      <c r="N7" s="46">
        <v>24</v>
      </c>
      <c r="O7" s="89">
        <f t="shared" si="3"/>
        <v>3.7499999999999999E-2</v>
      </c>
      <c r="P7" s="260">
        <f t="shared" si="8"/>
        <v>45677.478260869568</v>
      </c>
      <c r="Q7" s="89">
        <f t="shared" si="4"/>
        <v>0.21814578483243166</v>
      </c>
      <c r="R7" s="260">
        <f t="shared" si="9"/>
        <v>2161.2521739130439</v>
      </c>
      <c r="S7" s="89">
        <f t="shared" si="5"/>
        <v>1.0321674261579181E-2</v>
      </c>
      <c r="T7" s="310">
        <v>9294.2800000000007</v>
      </c>
      <c r="U7" s="26"/>
      <c r="W7">
        <v>52529.1</v>
      </c>
      <c r="X7" s="297">
        <f t="shared" si="10"/>
        <v>45677.478260869568</v>
      </c>
      <c r="Z7">
        <v>2485.44</v>
      </c>
      <c r="AA7" s="297">
        <f t="shared" si="11"/>
        <v>2161.2521739130439</v>
      </c>
    </row>
    <row r="8" spans="1:27" ht="15.6" customHeight="1" x14ac:dyDescent="0.3">
      <c r="A8" s="198" t="s">
        <v>27</v>
      </c>
      <c r="B8" s="310">
        <v>168556.25</v>
      </c>
      <c r="C8" s="310">
        <v>124737.19</v>
      </c>
      <c r="D8" s="310">
        <v>142521.04</v>
      </c>
      <c r="E8" s="310">
        <v>181834.26</v>
      </c>
      <c r="F8" s="310">
        <v>63163.49</v>
      </c>
      <c r="G8" s="86">
        <f t="shared" si="0"/>
        <v>0.45773894698124917</v>
      </c>
      <c r="H8" s="86">
        <f t="shared" si="1"/>
        <v>0.2758415178558899</v>
      </c>
      <c r="I8" s="86">
        <f t="shared" si="6"/>
        <v>7.8774949015536416E-2</v>
      </c>
      <c r="J8" s="311">
        <v>638</v>
      </c>
      <c r="K8" s="63">
        <f t="shared" si="7"/>
        <v>285.00667711598749</v>
      </c>
      <c r="L8" s="61">
        <v>11</v>
      </c>
      <c r="M8" s="28">
        <f t="shared" si="2"/>
        <v>1.7241379310344827E-2</v>
      </c>
      <c r="N8" s="46">
        <v>25</v>
      </c>
      <c r="O8" s="89">
        <f t="shared" si="3"/>
        <v>3.918495297805643E-2</v>
      </c>
      <c r="P8" s="260">
        <f t="shared" si="8"/>
        <v>55329.64347826087</v>
      </c>
      <c r="Q8" s="89">
        <f t="shared" si="4"/>
        <v>0.3042861311078609</v>
      </c>
      <c r="R8" s="260">
        <f t="shared" si="9"/>
        <v>5883.3391304347833</v>
      </c>
      <c r="S8" s="89">
        <f t="shared" si="5"/>
        <v>3.2355504020170803E-2</v>
      </c>
      <c r="T8" s="310">
        <v>6765.84</v>
      </c>
      <c r="U8" s="9"/>
      <c r="W8">
        <v>63629.09</v>
      </c>
      <c r="X8" s="297">
        <f t="shared" si="10"/>
        <v>55329.64347826087</v>
      </c>
      <c r="Z8">
        <v>6765.84</v>
      </c>
      <c r="AA8" s="297">
        <f t="shared" si="11"/>
        <v>5883.3391304347833</v>
      </c>
    </row>
    <row r="9" spans="1:27" ht="15.6" customHeight="1" x14ac:dyDescent="0.3">
      <c r="A9" s="198" t="s">
        <v>23</v>
      </c>
      <c r="B9" s="310">
        <v>202119.65</v>
      </c>
      <c r="C9" s="310">
        <v>203625.52</v>
      </c>
      <c r="D9" s="310">
        <v>196532.85</v>
      </c>
      <c r="E9" s="310">
        <v>221588.5</v>
      </c>
      <c r="F9" s="310">
        <v>64707.66</v>
      </c>
      <c r="G9" s="86">
        <f t="shared" si="0"/>
        <v>8.8215759989219489E-2</v>
      </c>
      <c r="H9" s="86">
        <f t="shared" si="1"/>
        <v>0.12748835627224656</v>
      </c>
      <c r="I9" s="86">
        <f t="shared" si="6"/>
        <v>9.6323390625305386E-2</v>
      </c>
      <c r="J9" s="311">
        <v>796</v>
      </c>
      <c r="K9" s="63">
        <f t="shared" si="7"/>
        <v>278.37751256281405</v>
      </c>
      <c r="L9" s="61">
        <v>15</v>
      </c>
      <c r="M9" s="28">
        <f t="shared" si="2"/>
        <v>1.8844221105527637E-2</v>
      </c>
      <c r="N9" s="46">
        <v>48</v>
      </c>
      <c r="O9" s="89">
        <f t="shared" si="3"/>
        <v>6.030150753768844E-2</v>
      </c>
      <c r="P9" s="260">
        <f t="shared" si="8"/>
        <v>34041.686956521742</v>
      </c>
      <c r="Q9" s="89">
        <f t="shared" si="4"/>
        <v>0.15362569337543122</v>
      </c>
      <c r="R9" s="260">
        <f t="shared" si="9"/>
        <v>25002.026086956525</v>
      </c>
      <c r="S9" s="89">
        <f t="shared" si="5"/>
        <v>0.11283088286150465</v>
      </c>
      <c r="T9" s="310">
        <v>8651.85</v>
      </c>
      <c r="U9" s="26"/>
      <c r="W9">
        <v>39147.94</v>
      </c>
      <c r="X9" s="297">
        <f t="shared" si="10"/>
        <v>34041.686956521742</v>
      </c>
      <c r="Z9">
        <v>28752.33</v>
      </c>
      <c r="AA9" s="297">
        <f t="shared" si="11"/>
        <v>25002.026086956525</v>
      </c>
    </row>
    <row r="10" spans="1:27" ht="15.6" customHeight="1" x14ac:dyDescent="0.3">
      <c r="A10" s="409" t="s">
        <v>16</v>
      </c>
      <c r="B10" s="310">
        <v>248762.9</v>
      </c>
      <c r="C10" s="310">
        <v>220441.59</v>
      </c>
      <c r="D10" s="310">
        <v>195010.91</v>
      </c>
      <c r="E10" s="310">
        <v>287917.17</v>
      </c>
      <c r="F10" s="310">
        <v>99588.58</v>
      </c>
      <c r="G10" s="86">
        <f t="shared" si="0"/>
        <v>0.30609278403408352</v>
      </c>
      <c r="H10" s="86">
        <f t="shared" si="1"/>
        <v>0.47641570412650236</v>
      </c>
      <c r="I10" s="86">
        <f t="shared" si="6"/>
        <v>0.15739593805989555</v>
      </c>
      <c r="J10" s="311">
        <v>1024</v>
      </c>
      <c r="K10" s="63">
        <f t="shared" si="7"/>
        <v>281.16911132812498</v>
      </c>
      <c r="L10" s="61">
        <v>1</v>
      </c>
      <c r="M10" s="28">
        <f t="shared" si="2"/>
        <v>9.765625E-4</v>
      </c>
      <c r="N10" s="46">
        <v>15</v>
      </c>
      <c r="O10" s="89">
        <f t="shared" si="3"/>
        <v>1.46484375E-2</v>
      </c>
      <c r="P10" s="260">
        <f t="shared" si="8"/>
        <v>43309.295652173918</v>
      </c>
      <c r="Q10" s="89">
        <f t="shared" si="4"/>
        <v>0.15042276100509713</v>
      </c>
      <c r="R10" s="260">
        <f t="shared" si="9"/>
        <v>30372.46086956522</v>
      </c>
      <c r="S10" s="89">
        <f t="shared" si="5"/>
        <v>0.10549027301694172</v>
      </c>
      <c r="T10" s="310">
        <v>13947</v>
      </c>
      <c r="U10" s="26"/>
      <c r="W10">
        <v>49805.69</v>
      </c>
      <c r="X10" s="297">
        <f t="shared" si="10"/>
        <v>43309.295652173918</v>
      </c>
      <c r="Z10">
        <v>34928.33</v>
      </c>
      <c r="AA10" s="297">
        <f t="shared" si="11"/>
        <v>30372.46086956522</v>
      </c>
    </row>
    <row r="11" spans="1:27" ht="15.6" customHeight="1" x14ac:dyDescent="0.3">
      <c r="A11" s="409" t="s">
        <v>17</v>
      </c>
      <c r="B11" s="310">
        <v>118205.75999999999</v>
      </c>
      <c r="C11" s="310">
        <v>107107.59</v>
      </c>
      <c r="D11" s="310">
        <v>130492.05</v>
      </c>
      <c r="E11" s="310">
        <v>160500.79999999999</v>
      </c>
      <c r="F11" s="310">
        <v>55987.09</v>
      </c>
      <c r="G11" s="86">
        <f t="shared" si="0"/>
        <v>0.49850071316141081</v>
      </c>
      <c r="H11" s="86">
        <f t="shared" si="1"/>
        <v>0.22996611670979178</v>
      </c>
      <c r="I11" s="86">
        <f t="shared" si="6"/>
        <v>0.35780862117040657</v>
      </c>
      <c r="J11" s="311">
        <v>541</v>
      </c>
      <c r="K11" s="63">
        <f t="shared" si="7"/>
        <v>296.67430683918667</v>
      </c>
      <c r="L11" s="61">
        <v>3</v>
      </c>
      <c r="M11" s="28">
        <f t="shared" si="2"/>
        <v>5.5452865064695009E-3</v>
      </c>
      <c r="N11" s="46">
        <v>22</v>
      </c>
      <c r="O11" s="89">
        <f t="shared" si="3"/>
        <v>4.0665434380776341E-2</v>
      </c>
      <c r="P11" s="260">
        <f t="shared" si="8"/>
        <v>53327.400000000009</v>
      </c>
      <c r="Q11" s="89">
        <f t="shared" si="4"/>
        <v>0.33225628781912619</v>
      </c>
      <c r="R11" s="260">
        <f t="shared" si="9"/>
        <v>22016.382608695654</v>
      </c>
      <c r="S11" s="89">
        <f t="shared" si="5"/>
        <v>0.13717303969011779</v>
      </c>
      <c r="T11" s="310">
        <v>3612.5</v>
      </c>
      <c r="U11" s="26"/>
      <c r="W11">
        <v>61326.51</v>
      </c>
      <c r="X11" s="297">
        <f t="shared" si="10"/>
        <v>53327.400000000009</v>
      </c>
      <c r="Z11">
        <v>25318.84</v>
      </c>
      <c r="AA11" s="297">
        <f t="shared" si="11"/>
        <v>22016.382608695654</v>
      </c>
    </row>
    <row r="12" spans="1:27" ht="15.6" customHeight="1" x14ac:dyDescent="0.3">
      <c r="A12" s="198" t="s">
        <v>55</v>
      </c>
      <c r="B12" s="310">
        <v>211345.95</v>
      </c>
      <c r="C12" s="310">
        <v>187465.36</v>
      </c>
      <c r="D12" s="310">
        <v>177000.68</v>
      </c>
      <c r="E12" s="310">
        <v>189395.77</v>
      </c>
      <c r="F12" s="310">
        <v>28783.88</v>
      </c>
      <c r="G12" s="86">
        <f t="shared" si="0"/>
        <v>1.0297422414466351E-2</v>
      </c>
      <c r="H12" s="86">
        <f t="shared" si="1"/>
        <v>7.0028488026147681E-2</v>
      </c>
      <c r="I12" s="86">
        <f t="shared" si="6"/>
        <v>-0.10385900463197908</v>
      </c>
      <c r="J12" s="311">
        <v>720</v>
      </c>
      <c r="K12" s="63">
        <f t="shared" si="7"/>
        <v>263.04968055555554</v>
      </c>
      <c r="L12" s="61">
        <v>7</v>
      </c>
      <c r="M12" s="28">
        <f t="shared" si="2"/>
        <v>9.7222222222222224E-3</v>
      </c>
      <c r="N12" s="46">
        <v>17</v>
      </c>
      <c r="O12" s="89">
        <f t="shared" si="3"/>
        <v>2.361111111111111E-2</v>
      </c>
      <c r="P12" s="260">
        <f t="shared" si="8"/>
        <v>33329.017391304355</v>
      </c>
      <c r="Q12" s="89">
        <f t="shared" si="4"/>
        <v>0.17597551091718869</v>
      </c>
      <c r="R12" s="260">
        <f t="shared" si="9"/>
        <v>28868.643478260874</v>
      </c>
      <c r="S12" s="89">
        <f t="shared" si="5"/>
        <v>0.15242496428648261</v>
      </c>
      <c r="T12" s="310">
        <v>7202</v>
      </c>
      <c r="U12" s="9"/>
      <c r="W12">
        <v>38328.370000000003</v>
      </c>
      <c r="X12" s="297">
        <f t="shared" si="10"/>
        <v>33329.017391304355</v>
      </c>
      <c r="Z12">
        <v>33198.94</v>
      </c>
      <c r="AA12" s="297">
        <f t="shared" si="11"/>
        <v>28868.643478260874</v>
      </c>
    </row>
    <row r="13" spans="1:27" ht="16.2" customHeight="1" thickBot="1" x14ac:dyDescent="0.35">
      <c r="A13" s="199" t="s">
        <v>33</v>
      </c>
      <c r="B13" s="310">
        <v>172286.55</v>
      </c>
      <c r="C13" s="310">
        <v>161171.99</v>
      </c>
      <c r="D13" s="310">
        <v>174402.94</v>
      </c>
      <c r="E13" s="310">
        <v>154435.76</v>
      </c>
      <c r="F13" s="310">
        <v>55761.95</v>
      </c>
      <c r="G13" s="86">
        <f t="shared" si="0"/>
        <v>-4.1795289615769969E-2</v>
      </c>
      <c r="H13" s="86">
        <f t="shared" si="1"/>
        <v>-0.11448878098041233</v>
      </c>
      <c r="I13" s="86">
        <f t="shared" si="6"/>
        <v>-0.10361104798952664</v>
      </c>
      <c r="J13" s="311">
        <v>580</v>
      </c>
      <c r="K13" s="63">
        <f t="shared" si="7"/>
        <v>266.26855172413792</v>
      </c>
      <c r="L13" s="61">
        <v>13</v>
      </c>
      <c r="M13" s="28">
        <f t="shared" si="2"/>
        <v>2.2413793103448276E-2</v>
      </c>
      <c r="N13" s="46">
        <v>37</v>
      </c>
      <c r="O13" s="89">
        <f t="shared" si="3"/>
        <v>6.3793103448275865E-2</v>
      </c>
      <c r="P13" s="260">
        <f t="shared" si="8"/>
        <v>17972.321739130435</v>
      </c>
      <c r="Q13" s="89">
        <f t="shared" si="4"/>
        <v>0.11637409456935643</v>
      </c>
      <c r="R13" s="260">
        <f t="shared" si="9"/>
        <v>25524.695652173916</v>
      </c>
      <c r="S13" s="89">
        <f t="shared" si="5"/>
        <v>0.16527710714263272</v>
      </c>
      <c r="T13" s="310">
        <v>4792.5</v>
      </c>
      <c r="U13" s="9"/>
      <c r="W13">
        <v>20668.169999999998</v>
      </c>
      <c r="X13" s="297">
        <f t="shared" si="10"/>
        <v>17972.321739130435</v>
      </c>
      <c r="Z13">
        <v>29353.4</v>
      </c>
      <c r="AA13" s="297">
        <f t="shared" si="11"/>
        <v>25524.695652173916</v>
      </c>
    </row>
    <row r="14" spans="1:27" ht="15.6" customHeight="1" x14ac:dyDescent="0.3">
      <c r="A14" s="409" t="s">
        <v>20</v>
      </c>
      <c r="B14" s="310">
        <v>158387.9</v>
      </c>
      <c r="C14" s="310">
        <v>147789.66</v>
      </c>
      <c r="D14" s="310">
        <v>135563.96</v>
      </c>
      <c r="E14" s="314">
        <v>146413.9</v>
      </c>
      <c r="F14" s="310">
        <v>22310.6</v>
      </c>
      <c r="G14" s="86">
        <f t="shared" si="0"/>
        <v>-9.3089056433312677E-3</v>
      </c>
      <c r="H14" s="86">
        <f t="shared" si="1"/>
        <v>8.0035578777722355E-2</v>
      </c>
      <c r="I14" s="86">
        <f t="shared" si="6"/>
        <v>-7.5599209283032362E-2</v>
      </c>
      <c r="J14" s="311">
        <v>492</v>
      </c>
      <c r="K14" s="63">
        <f t="shared" si="7"/>
        <v>297.5892276422764</v>
      </c>
      <c r="L14" s="61">
        <v>11</v>
      </c>
      <c r="M14" s="28">
        <f t="shared" si="2"/>
        <v>2.2357723577235773E-2</v>
      </c>
      <c r="N14" s="46">
        <v>41</v>
      </c>
      <c r="O14" s="89">
        <f t="shared" si="3"/>
        <v>8.3333333333333329E-2</v>
      </c>
      <c r="P14" s="260">
        <f t="shared" si="8"/>
        <v>32297.930434782615</v>
      </c>
      <c r="Q14" s="89">
        <f t="shared" si="4"/>
        <v>0.22059333461360306</v>
      </c>
      <c r="R14" s="260">
        <f t="shared" si="9"/>
        <v>25562.73043478261</v>
      </c>
      <c r="S14" s="89">
        <f t="shared" si="5"/>
        <v>0.17459223772321214</v>
      </c>
      <c r="T14" s="310">
        <v>4840.5</v>
      </c>
      <c r="U14" s="26"/>
      <c r="W14">
        <v>37142.620000000003</v>
      </c>
      <c r="X14" s="297">
        <f t="shared" si="10"/>
        <v>32297.930434782615</v>
      </c>
      <c r="Z14">
        <v>29397.14</v>
      </c>
      <c r="AA14" s="297">
        <f t="shared" si="11"/>
        <v>25562.73043478261</v>
      </c>
    </row>
    <row r="15" spans="1:27" ht="15.6" customHeight="1" x14ac:dyDescent="0.3">
      <c r="A15" s="198" t="s">
        <v>22</v>
      </c>
      <c r="B15" s="313" t="s">
        <v>60</v>
      </c>
      <c r="C15" s="310">
        <v>145869.65</v>
      </c>
      <c r="D15" s="310">
        <v>132018.34</v>
      </c>
      <c r="E15" s="311">
        <v>57793.08</v>
      </c>
      <c r="F15" s="310">
        <v>30901.49</v>
      </c>
      <c r="G15" s="86">
        <f t="shared" si="0"/>
        <v>-0.60380325859423123</v>
      </c>
      <c r="H15" s="86">
        <f t="shared" si="1"/>
        <v>-0.56223445924255677</v>
      </c>
      <c r="I15" s="86">
        <f t="shared" si="6"/>
        <v>0</v>
      </c>
      <c r="J15" s="311">
        <v>0</v>
      </c>
      <c r="K15" s="63">
        <f t="shared" si="7"/>
        <v>0</v>
      </c>
      <c r="L15" s="61">
        <v>6</v>
      </c>
      <c r="M15" s="28">
        <f t="shared" si="2"/>
        <v>0</v>
      </c>
      <c r="N15" s="46">
        <v>27</v>
      </c>
      <c r="O15" s="89">
        <f t="shared" si="3"/>
        <v>0</v>
      </c>
      <c r="P15" s="260">
        <f t="shared" si="8"/>
        <v>0</v>
      </c>
      <c r="Q15" s="89">
        <f t="shared" si="4"/>
        <v>0</v>
      </c>
      <c r="R15" s="260">
        <f t="shared" si="9"/>
        <v>0</v>
      </c>
      <c r="S15" s="89">
        <f t="shared" si="5"/>
        <v>0</v>
      </c>
      <c r="T15" s="312">
        <v>0</v>
      </c>
      <c r="U15" s="26"/>
      <c r="X15" s="297">
        <f t="shared" si="10"/>
        <v>0</v>
      </c>
      <c r="AA15" s="297">
        <f t="shared" si="11"/>
        <v>0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18" priority="4" operator="equal">
      <formula>0</formula>
    </cfRule>
  </conditionalFormatting>
  <conditionalFormatting sqref="P12:P13">
    <cfRule type="cellIs" dxfId="117" priority="2" operator="equal">
      <formula>0</formula>
    </cfRule>
  </conditionalFormatting>
  <conditionalFormatting sqref="W5">
    <cfRule type="cellIs" dxfId="11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AA37"/>
  <sheetViews>
    <sheetView zoomScale="80" zoomScaleNormal="80" workbookViewId="0">
      <pane xSplit="1" topLeftCell="E1" activePane="topRight" state="frozen"/>
      <selection pane="topRight" activeCell="I9" sqref="I9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0.21101113368441743</v>
      </c>
      <c r="H2" s="413"/>
      <c r="I2" s="400">
        <f>((E4-B4)/E4)</f>
        <v>6.9129651005599688E-2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2206117.04</v>
      </c>
      <c r="C4" s="299">
        <f>SUM(C5:C15)</f>
        <v>1957001.7599999998</v>
      </c>
      <c r="D4" s="299">
        <f>SUM(D5:D15)</f>
        <v>2042846.1</v>
      </c>
      <c r="E4" s="299">
        <f>SUM(E5:E15)</f>
        <v>2369950.92</v>
      </c>
      <c r="F4" s="299">
        <f>SUM(F5:F15)</f>
        <v>3340863.3799999994</v>
      </c>
      <c r="G4" s="300">
        <f t="shared" ref="G4:G15" si="0">IFERROR((SUM(E4-C4)/C4),0)</f>
        <v>0.21101113368441743</v>
      </c>
      <c r="H4" s="300">
        <f t="shared" ref="H4:H15" si="1">IFERROR((SUM(E4-D4)/D4),0)</f>
        <v>0.16012210611460151</v>
      </c>
      <c r="I4" s="300">
        <f>IFERROR((SUM(E4-B4)/E4),0)</f>
        <v>6.9129651005599688E-2</v>
      </c>
      <c r="J4" s="301">
        <f>SUM(J5:J15)</f>
        <v>8138</v>
      </c>
      <c r="K4" s="302">
        <f>AVERAGE(K5:K15)</f>
        <v>286.6874220892463</v>
      </c>
      <c r="L4" s="303">
        <f>SUM(L5:L15)</f>
        <v>91</v>
      </c>
      <c r="M4" s="304">
        <f t="shared" ref="M4:M15" si="2">IFERROR(L4/J4,0)</f>
        <v>1.1182108626198083E-2</v>
      </c>
      <c r="N4" s="305">
        <f>SUM(N7:N15)</f>
        <v>256</v>
      </c>
      <c r="O4" s="306">
        <f t="shared" ref="O4:O15" si="3">IFERROR(N4/SUM(J4),0)</f>
        <v>3.1457360530842957E-2</v>
      </c>
      <c r="P4" s="307">
        <f>SUM(P5:P15)</f>
        <v>405477.48695652175</v>
      </c>
      <c r="Q4" s="306">
        <f t="shared" ref="Q4:Q15" si="4">SUM(P4/E4)</f>
        <v>0.17109109034060577</v>
      </c>
      <c r="R4" s="308">
        <f>SUM(R5:R15)</f>
        <v>254341.11304347831</v>
      </c>
      <c r="S4" s="306">
        <f t="shared" ref="S4:S15" si="5">SUM(R4/E4)</f>
        <v>0.10731914779208944</v>
      </c>
      <c r="T4" s="315"/>
      <c r="U4" s="24"/>
    </row>
    <row r="5" spans="1:27" ht="15.6" customHeight="1" x14ac:dyDescent="0.3">
      <c r="A5" s="198" t="s">
        <v>26</v>
      </c>
      <c r="B5" s="310">
        <v>335499.3</v>
      </c>
      <c r="C5" s="310">
        <v>163134.85999999999</v>
      </c>
      <c r="D5" s="310">
        <v>294560.02</v>
      </c>
      <c r="E5" s="310">
        <v>418554.29</v>
      </c>
      <c r="F5" s="310">
        <v>590895.94999999995</v>
      </c>
      <c r="G5" s="86">
        <f t="shared" si="0"/>
        <v>1.5656949716326727</v>
      </c>
      <c r="H5" s="86">
        <f t="shared" si="1"/>
        <v>0.42094738450927577</v>
      </c>
      <c r="I5" s="86">
        <f t="shared" ref="I5:I15" si="6">IFERROR((SUM(E5-B5)/B5),0)</f>
        <v>0.24755637344101758</v>
      </c>
      <c r="J5" s="311">
        <v>1245</v>
      </c>
      <c r="K5" s="63">
        <f t="shared" ref="K5:K15" si="7">IFERROR(E5/J5,0)</f>
        <v>336.18818473895578</v>
      </c>
      <c r="L5" s="61">
        <v>10</v>
      </c>
      <c r="M5" s="28">
        <f t="shared" si="2"/>
        <v>8.0321285140562242E-3</v>
      </c>
      <c r="N5" s="46">
        <v>42</v>
      </c>
      <c r="O5" s="89">
        <f t="shared" si="3"/>
        <v>3.3734939759036145E-2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42631.478260869568</v>
      </c>
      <c r="S5" s="89">
        <f t="shared" si="5"/>
        <v>0.1018541185203706</v>
      </c>
      <c r="T5" s="310">
        <v>3175.8</v>
      </c>
      <c r="U5" s="9"/>
      <c r="W5" s="260"/>
      <c r="X5" s="297">
        <f t="shared" ref="X5:X15" si="10">W5/1.15</f>
        <v>0</v>
      </c>
      <c r="Z5">
        <v>49026.2</v>
      </c>
      <c r="AA5" s="297">
        <f t="shared" ref="AA5:AA15" si="11">Z5/1.15</f>
        <v>42631.478260869568</v>
      </c>
    </row>
    <row r="6" spans="1:27" ht="16.2" customHeight="1" thickBot="1" x14ac:dyDescent="0.35">
      <c r="A6" s="409" t="s">
        <v>21</v>
      </c>
      <c r="B6" s="310">
        <v>261348.81</v>
      </c>
      <c r="C6" s="310">
        <v>330816.71999999997</v>
      </c>
      <c r="D6" s="310">
        <v>266901.90999999997</v>
      </c>
      <c r="E6" s="310">
        <v>239054.84</v>
      </c>
      <c r="F6" s="310">
        <v>340705.43</v>
      </c>
      <c r="G6" s="86">
        <f t="shared" si="0"/>
        <v>-0.27737981320895749</v>
      </c>
      <c r="H6" s="86">
        <f t="shared" si="1"/>
        <v>-0.1043344725408671</v>
      </c>
      <c r="I6" s="86">
        <f t="shared" si="6"/>
        <v>-8.5303506834410306E-2</v>
      </c>
      <c r="J6" s="311">
        <v>745</v>
      </c>
      <c r="K6" s="63">
        <f t="shared" si="7"/>
        <v>320.87897986577178</v>
      </c>
      <c r="L6" s="61">
        <v>10</v>
      </c>
      <c r="M6" s="28">
        <f t="shared" si="2"/>
        <v>1.3422818791946308E-2</v>
      </c>
      <c r="N6" s="46">
        <v>42</v>
      </c>
      <c r="O6" s="89">
        <f t="shared" si="3"/>
        <v>5.6375838926174496E-2</v>
      </c>
      <c r="P6" s="260">
        <f t="shared" si="8"/>
        <v>48428.878260869569</v>
      </c>
      <c r="Q6" s="89">
        <f t="shared" si="4"/>
        <v>0.20258480548174457</v>
      </c>
      <c r="R6" s="260">
        <f t="shared" si="9"/>
        <v>18339.565217391304</v>
      </c>
      <c r="S6" s="89">
        <f t="shared" si="5"/>
        <v>7.6716979323201762E-2</v>
      </c>
      <c r="T6" s="310">
        <v>8893.7800000000007</v>
      </c>
      <c r="U6" s="26"/>
      <c r="W6">
        <v>55693.21</v>
      </c>
      <c r="X6" s="297">
        <f t="shared" si="10"/>
        <v>48428.878260869569</v>
      </c>
      <c r="Z6">
        <v>21090.5</v>
      </c>
      <c r="AA6" s="297">
        <f t="shared" si="11"/>
        <v>18339.565217391304</v>
      </c>
    </row>
    <row r="7" spans="1:27" ht="16.5" customHeight="1" x14ac:dyDescent="0.3">
      <c r="A7" s="408" t="s">
        <v>15</v>
      </c>
      <c r="B7" s="310">
        <v>209389.69</v>
      </c>
      <c r="C7" s="310">
        <v>234693.29</v>
      </c>
      <c r="D7" s="310">
        <v>239454.65</v>
      </c>
      <c r="E7" s="310">
        <v>264026.69</v>
      </c>
      <c r="F7" s="310">
        <v>370735.79</v>
      </c>
      <c r="G7" s="86">
        <f t="shared" si="0"/>
        <v>0.12498610420434259</v>
      </c>
      <c r="H7" s="86">
        <f t="shared" si="1"/>
        <v>0.1026166750154988</v>
      </c>
      <c r="I7" s="86">
        <f t="shared" si="6"/>
        <v>0.26093452834282338</v>
      </c>
      <c r="J7" s="311">
        <v>811</v>
      </c>
      <c r="K7" s="63">
        <f t="shared" si="7"/>
        <v>325.55695437731197</v>
      </c>
      <c r="L7" s="61">
        <v>4</v>
      </c>
      <c r="M7" s="28">
        <f t="shared" si="2"/>
        <v>4.9321824907521579E-3</v>
      </c>
      <c r="N7" s="46">
        <v>24</v>
      </c>
      <c r="O7" s="89">
        <f t="shared" si="3"/>
        <v>2.9593094944512947E-2</v>
      </c>
      <c r="P7" s="260">
        <f t="shared" si="8"/>
        <v>42550.078260869566</v>
      </c>
      <c r="Q7" s="89">
        <f t="shared" si="4"/>
        <v>0.16115824601243747</v>
      </c>
      <c r="R7" s="260">
        <f t="shared" si="9"/>
        <v>9817.7739130434802</v>
      </c>
      <c r="S7" s="89">
        <f t="shared" si="5"/>
        <v>3.7184778224669181E-2</v>
      </c>
      <c r="T7" s="310">
        <v>22041.97</v>
      </c>
      <c r="U7" s="26"/>
      <c r="W7">
        <v>48932.59</v>
      </c>
      <c r="X7" s="297">
        <f t="shared" si="10"/>
        <v>42550.078260869566</v>
      </c>
      <c r="Z7">
        <v>11290.44</v>
      </c>
      <c r="AA7" s="297">
        <f t="shared" si="11"/>
        <v>9817.7739130434802</v>
      </c>
    </row>
    <row r="8" spans="1:27" ht="15.6" customHeight="1" x14ac:dyDescent="0.3">
      <c r="A8" s="198" t="s">
        <v>27</v>
      </c>
      <c r="B8" s="310">
        <v>181834.26</v>
      </c>
      <c r="C8" s="310">
        <v>113246.57</v>
      </c>
      <c r="D8" s="310">
        <v>154455.85</v>
      </c>
      <c r="E8" s="310">
        <v>163139.71</v>
      </c>
      <c r="F8" s="310">
        <v>236657.96</v>
      </c>
      <c r="G8" s="86">
        <f t="shared" si="0"/>
        <v>0.44057087115309523</v>
      </c>
      <c r="H8" s="86">
        <f t="shared" si="1"/>
        <v>5.6222279699991849E-2</v>
      </c>
      <c r="I8" s="86">
        <f t="shared" si="6"/>
        <v>-0.10281093342915695</v>
      </c>
      <c r="J8" s="311">
        <v>586</v>
      </c>
      <c r="K8" s="63">
        <f t="shared" si="7"/>
        <v>278.39540955631401</v>
      </c>
      <c r="L8" s="61">
        <v>11</v>
      </c>
      <c r="M8" s="28">
        <f t="shared" si="2"/>
        <v>1.877133105802048E-2</v>
      </c>
      <c r="N8" s="46">
        <v>25</v>
      </c>
      <c r="O8" s="89">
        <f t="shared" si="3"/>
        <v>4.2662116040955635E-2</v>
      </c>
      <c r="P8" s="260">
        <f t="shared" si="8"/>
        <v>48440.478260869575</v>
      </c>
      <c r="Q8" s="89">
        <f t="shared" si="4"/>
        <v>0.29692634773513804</v>
      </c>
      <c r="R8" s="260">
        <f t="shared" si="9"/>
        <v>20415.130434782612</v>
      </c>
      <c r="S8" s="89">
        <f t="shared" si="5"/>
        <v>0.12513894032778783</v>
      </c>
      <c r="T8" s="310">
        <v>8169.58</v>
      </c>
      <c r="U8" s="9"/>
      <c r="W8">
        <v>55706.55</v>
      </c>
      <c r="X8" s="297">
        <f t="shared" si="10"/>
        <v>48440.478260869575</v>
      </c>
      <c r="Z8">
        <v>23477.4</v>
      </c>
      <c r="AA8" s="297">
        <f t="shared" si="11"/>
        <v>20415.130434782612</v>
      </c>
    </row>
    <row r="9" spans="1:27" ht="15.6" customHeight="1" x14ac:dyDescent="0.3">
      <c r="A9" s="198" t="s">
        <v>23</v>
      </c>
      <c r="B9" s="310">
        <v>221588.5</v>
      </c>
      <c r="C9" s="310">
        <v>196053.8</v>
      </c>
      <c r="D9" s="310">
        <v>185099.2</v>
      </c>
      <c r="E9" s="310">
        <v>203154.9</v>
      </c>
      <c r="F9" s="310">
        <v>285267.28000000003</v>
      </c>
      <c r="G9" s="86">
        <f t="shared" si="0"/>
        <v>3.6220159976496281E-2</v>
      </c>
      <c r="H9" s="86">
        <f t="shared" si="1"/>
        <v>9.7546072592426009E-2</v>
      </c>
      <c r="I9" s="86">
        <f t="shared" si="6"/>
        <v>-8.3188432612703297E-2</v>
      </c>
      <c r="J9" s="311">
        <v>761</v>
      </c>
      <c r="K9" s="63">
        <f t="shared" si="7"/>
        <v>266.95781865965836</v>
      </c>
      <c r="L9" s="61">
        <v>15</v>
      </c>
      <c r="M9" s="28">
        <f t="shared" si="2"/>
        <v>1.9710906701708279E-2</v>
      </c>
      <c r="N9" s="46">
        <v>48</v>
      </c>
      <c r="O9" s="89">
        <f t="shared" si="3"/>
        <v>6.3074901445466486E-2</v>
      </c>
      <c r="P9" s="260">
        <f t="shared" si="8"/>
        <v>36398.504347826092</v>
      </c>
      <c r="Q9" s="89">
        <f t="shared" si="4"/>
        <v>0.17916626351530823</v>
      </c>
      <c r="R9" s="260">
        <f t="shared" si="9"/>
        <v>20139.834782608697</v>
      </c>
      <c r="S9" s="89">
        <f t="shared" si="5"/>
        <v>9.9135363127390463E-2</v>
      </c>
      <c r="T9" s="310">
        <v>7273</v>
      </c>
      <c r="U9" s="26"/>
      <c r="W9">
        <v>41858.28</v>
      </c>
      <c r="X9" s="297">
        <f t="shared" si="10"/>
        <v>36398.504347826092</v>
      </c>
      <c r="Z9">
        <v>23160.81</v>
      </c>
      <c r="AA9" s="297">
        <f t="shared" si="11"/>
        <v>20139.834782608697</v>
      </c>
    </row>
    <row r="10" spans="1:27" ht="15.6" customHeight="1" x14ac:dyDescent="0.3">
      <c r="A10" s="409" t="s">
        <v>16</v>
      </c>
      <c r="B10" s="310">
        <v>287917.17</v>
      </c>
      <c r="C10" s="310">
        <v>178156.7</v>
      </c>
      <c r="D10" s="310">
        <v>186940.81</v>
      </c>
      <c r="E10" s="310">
        <v>247618.57</v>
      </c>
      <c r="F10" s="310">
        <v>366499.8</v>
      </c>
      <c r="G10" s="86">
        <f t="shared" si="0"/>
        <v>0.38989198834509164</v>
      </c>
      <c r="H10" s="86">
        <f t="shared" si="1"/>
        <v>0.32458273824746992</v>
      </c>
      <c r="I10" s="86">
        <f t="shared" si="6"/>
        <v>-0.13996594923463571</v>
      </c>
      <c r="J10" s="311">
        <v>906</v>
      </c>
      <c r="K10" s="63">
        <f t="shared" si="7"/>
        <v>273.30967991169979</v>
      </c>
      <c r="L10" s="61">
        <v>1</v>
      </c>
      <c r="M10" s="28">
        <f t="shared" si="2"/>
        <v>1.1037527593818985E-3</v>
      </c>
      <c r="N10" s="46">
        <v>15</v>
      </c>
      <c r="O10" s="89">
        <f t="shared" si="3"/>
        <v>1.6556291390728478E-2</v>
      </c>
      <c r="P10" s="260">
        <f t="shared" si="8"/>
        <v>40751.069565217396</v>
      </c>
      <c r="Q10" s="89">
        <f t="shared" si="4"/>
        <v>0.16457194452426324</v>
      </c>
      <c r="R10" s="260">
        <f t="shared" si="9"/>
        <v>33641.53913043478</v>
      </c>
      <c r="S10" s="89">
        <f t="shared" si="5"/>
        <v>0.13586032392657296</v>
      </c>
      <c r="T10" s="310">
        <v>13841.85</v>
      </c>
      <c r="U10" s="26"/>
      <c r="W10">
        <v>46863.73</v>
      </c>
      <c r="X10" s="297">
        <f t="shared" si="10"/>
        <v>40751.069565217396</v>
      </c>
      <c r="Z10">
        <v>38687.769999999997</v>
      </c>
      <c r="AA10" s="297">
        <f t="shared" si="11"/>
        <v>33641.53913043478</v>
      </c>
    </row>
    <row r="11" spans="1:27" ht="15.6" customHeight="1" x14ac:dyDescent="0.3">
      <c r="A11" s="409" t="s">
        <v>17</v>
      </c>
      <c r="B11" s="310">
        <v>160500.79999999999</v>
      </c>
      <c r="C11" s="310">
        <v>104958.15</v>
      </c>
      <c r="D11" s="310">
        <v>119671.55</v>
      </c>
      <c r="E11" s="310">
        <v>142414.60999999999</v>
      </c>
      <c r="F11" s="310">
        <v>213403.19</v>
      </c>
      <c r="G11" s="86">
        <f t="shared" si="0"/>
        <v>0.35687042883282521</v>
      </c>
      <c r="H11" s="86">
        <f t="shared" si="1"/>
        <v>0.1900456708382233</v>
      </c>
      <c r="I11" s="86">
        <f t="shared" si="6"/>
        <v>-0.11268598038140622</v>
      </c>
      <c r="J11" s="311">
        <v>575</v>
      </c>
      <c r="K11" s="63">
        <f t="shared" si="7"/>
        <v>247.67758260869562</v>
      </c>
      <c r="L11" s="61">
        <v>3</v>
      </c>
      <c r="M11" s="28">
        <f t="shared" si="2"/>
        <v>5.2173913043478265E-3</v>
      </c>
      <c r="N11" s="46">
        <v>22</v>
      </c>
      <c r="O11" s="89">
        <f t="shared" si="3"/>
        <v>3.826086956521739E-2</v>
      </c>
      <c r="P11" s="260">
        <f t="shared" si="8"/>
        <v>64478.704347826089</v>
      </c>
      <c r="Q11" s="89">
        <f t="shared" si="4"/>
        <v>0.45275343834334197</v>
      </c>
      <c r="R11" s="260">
        <f t="shared" si="9"/>
        <v>17458.286956521741</v>
      </c>
      <c r="S11" s="89">
        <f t="shared" si="5"/>
        <v>0.12258775245406171</v>
      </c>
      <c r="T11" s="310">
        <v>4545</v>
      </c>
      <c r="U11" s="26"/>
      <c r="W11">
        <v>74150.509999999995</v>
      </c>
      <c r="X11" s="297">
        <f t="shared" si="10"/>
        <v>64478.704347826089</v>
      </c>
      <c r="Z11">
        <v>20077.03</v>
      </c>
      <c r="AA11" s="297">
        <f t="shared" si="11"/>
        <v>17458.286956521741</v>
      </c>
    </row>
    <row r="12" spans="1:27" ht="15.6" customHeight="1" x14ac:dyDescent="0.3">
      <c r="A12" s="198" t="s">
        <v>55</v>
      </c>
      <c r="B12" s="310">
        <v>189395.77</v>
      </c>
      <c r="C12" s="310">
        <v>201796.54</v>
      </c>
      <c r="D12" s="310">
        <v>181127.08</v>
      </c>
      <c r="E12" s="310">
        <v>214740.55</v>
      </c>
      <c r="F12" s="310">
        <v>282169.75</v>
      </c>
      <c r="G12" s="86">
        <f t="shared" si="0"/>
        <v>6.4143864904720266E-2</v>
      </c>
      <c r="H12" s="86">
        <f t="shared" si="1"/>
        <v>0.18557948375251235</v>
      </c>
      <c r="I12" s="86">
        <f t="shared" si="6"/>
        <v>0.1338191449576725</v>
      </c>
      <c r="J12" s="311">
        <v>782</v>
      </c>
      <c r="K12" s="63">
        <f t="shared" si="7"/>
        <v>274.604283887468</v>
      </c>
      <c r="L12" s="61">
        <v>7</v>
      </c>
      <c r="M12" s="28">
        <f t="shared" si="2"/>
        <v>8.9514066496163679E-3</v>
      </c>
      <c r="N12" s="46">
        <v>17</v>
      </c>
      <c r="O12" s="89">
        <f t="shared" si="3"/>
        <v>2.1739130434782608E-2</v>
      </c>
      <c r="P12" s="260">
        <f t="shared" si="8"/>
        <v>42895.060869565219</v>
      </c>
      <c r="Q12" s="89">
        <f t="shared" si="4"/>
        <v>0.1997529617464667</v>
      </c>
      <c r="R12" s="260">
        <f t="shared" si="9"/>
        <v>32656.347826086963</v>
      </c>
      <c r="S12" s="89">
        <f t="shared" si="5"/>
        <v>0.15207350370522457</v>
      </c>
      <c r="T12" s="310">
        <v>7606</v>
      </c>
      <c r="U12" s="9"/>
      <c r="W12">
        <v>49329.32</v>
      </c>
      <c r="X12" s="297">
        <f t="shared" si="10"/>
        <v>42895.060869565219</v>
      </c>
      <c r="Z12">
        <v>37554.800000000003</v>
      </c>
      <c r="AA12" s="297">
        <f t="shared" si="11"/>
        <v>32656.347826086963</v>
      </c>
    </row>
    <row r="13" spans="1:27" ht="16.2" customHeight="1" thickBot="1" x14ac:dyDescent="0.35">
      <c r="A13" s="199" t="s">
        <v>33</v>
      </c>
      <c r="B13" s="310">
        <v>154435.76</v>
      </c>
      <c r="C13" s="310">
        <v>148910.85999999999</v>
      </c>
      <c r="D13" s="310">
        <v>151769.5</v>
      </c>
      <c r="E13" s="310">
        <v>184125.86</v>
      </c>
      <c r="F13" s="310">
        <v>256790.24</v>
      </c>
      <c r="G13" s="86">
        <f t="shared" si="0"/>
        <v>0.23648375947865724</v>
      </c>
      <c r="H13" s="86">
        <f t="shared" si="1"/>
        <v>0.21319408708600862</v>
      </c>
      <c r="I13" s="86">
        <f t="shared" si="6"/>
        <v>0.19224886774928276</v>
      </c>
      <c r="J13" s="311">
        <v>688</v>
      </c>
      <c r="K13" s="63">
        <f t="shared" si="7"/>
        <v>267.62479651162789</v>
      </c>
      <c r="L13" s="61">
        <v>13</v>
      </c>
      <c r="M13" s="28">
        <f t="shared" si="2"/>
        <v>1.8895348837209301E-2</v>
      </c>
      <c r="N13" s="46">
        <v>37</v>
      </c>
      <c r="O13" s="89">
        <f t="shared" si="3"/>
        <v>5.3779069767441859E-2</v>
      </c>
      <c r="P13" s="260">
        <f t="shared" si="8"/>
        <v>24593.591304347829</v>
      </c>
      <c r="Q13" s="89">
        <f t="shared" si="4"/>
        <v>0.13356945789335528</v>
      </c>
      <c r="R13" s="260">
        <f t="shared" si="9"/>
        <v>27447.513043478262</v>
      </c>
      <c r="S13" s="89">
        <f t="shared" si="5"/>
        <v>0.14906929989887496</v>
      </c>
      <c r="T13" s="310">
        <v>4851.5</v>
      </c>
      <c r="U13" s="9"/>
      <c r="W13">
        <v>28282.63</v>
      </c>
      <c r="X13" s="297">
        <f t="shared" si="10"/>
        <v>24593.591304347829</v>
      </c>
      <c r="Z13">
        <v>31564.639999999999</v>
      </c>
      <c r="AA13" s="297">
        <f t="shared" si="11"/>
        <v>27447.513043478262</v>
      </c>
    </row>
    <row r="14" spans="1:27" ht="15.6" customHeight="1" x14ac:dyDescent="0.3">
      <c r="A14" s="409" t="s">
        <v>20</v>
      </c>
      <c r="B14" s="314">
        <v>146413.9</v>
      </c>
      <c r="C14" s="310">
        <v>152374.91</v>
      </c>
      <c r="D14" s="310">
        <v>147008.95999999999</v>
      </c>
      <c r="E14" s="310">
        <v>163402.9</v>
      </c>
      <c r="F14" s="310">
        <v>223230.19</v>
      </c>
      <c r="G14" s="86">
        <f t="shared" si="0"/>
        <v>7.2374054232419174E-2</v>
      </c>
      <c r="H14" s="86">
        <f t="shared" si="1"/>
        <v>0.11151660415800509</v>
      </c>
      <c r="I14" s="86">
        <f t="shared" si="6"/>
        <v>0.1160340650716906</v>
      </c>
      <c r="J14" s="311">
        <v>549</v>
      </c>
      <c r="K14" s="63">
        <f t="shared" si="7"/>
        <v>297.63734061930785</v>
      </c>
      <c r="L14" s="61">
        <v>11</v>
      </c>
      <c r="M14" s="28">
        <f t="shared" si="2"/>
        <v>2.0036429872495445E-2</v>
      </c>
      <c r="N14" s="46">
        <v>41</v>
      </c>
      <c r="O14" s="89">
        <f t="shared" si="3"/>
        <v>7.4681238615664849E-2</v>
      </c>
      <c r="P14" s="260">
        <f t="shared" si="8"/>
        <v>42516.226086956529</v>
      </c>
      <c r="Q14" s="89">
        <f t="shared" si="4"/>
        <v>0.26019260421300067</v>
      </c>
      <c r="R14" s="260">
        <f t="shared" si="9"/>
        <v>16220.434782608698</v>
      </c>
      <c r="S14" s="89">
        <f t="shared" si="5"/>
        <v>9.9266504955595636E-2</v>
      </c>
      <c r="T14" s="310">
        <v>6058.25</v>
      </c>
      <c r="U14" s="26"/>
      <c r="W14">
        <v>48893.66</v>
      </c>
      <c r="X14" s="297">
        <f t="shared" si="10"/>
        <v>42516.226086956529</v>
      </c>
      <c r="Z14">
        <v>18653.5</v>
      </c>
      <c r="AA14" s="297">
        <f t="shared" si="11"/>
        <v>16220.434782608698</v>
      </c>
    </row>
    <row r="15" spans="1:27" ht="15.6" customHeight="1" x14ac:dyDescent="0.3">
      <c r="A15" s="198" t="s">
        <v>22</v>
      </c>
      <c r="B15" s="310">
        <v>57793.08</v>
      </c>
      <c r="C15" s="310">
        <v>132859.35999999999</v>
      </c>
      <c r="D15" s="310">
        <v>115856.57</v>
      </c>
      <c r="E15" s="310">
        <v>129718</v>
      </c>
      <c r="F15" s="310">
        <v>174507.8</v>
      </c>
      <c r="G15" s="86">
        <f t="shared" si="0"/>
        <v>-2.364425058196868E-2</v>
      </c>
      <c r="H15" s="86">
        <f t="shared" si="1"/>
        <v>0.11964302067634137</v>
      </c>
      <c r="I15" s="86">
        <f t="shared" si="6"/>
        <v>1.244524777014826</v>
      </c>
      <c r="J15" s="311">
        <v>490</v>
      </c>
      <c r="K15" s="63">
        <f t="shared" si="7"/>
        <v>264.73061224489794</v>
      </c>
      <c r="L15" s="61">
        <v>6</v>
      </c>
      <c r="M15" s="28">
        <f t="shared" si="2"/>
        <v>1.2244897959183673E-2</v>
      </c>
      <c r="N15" s="46">
        <v>27</v>
      </c>
      <c r="O15" s="89">
        <f t="shared" si="3"/>
        <v>5.5102040816326532E-2</v>
      </c>
      <c r="P15" s="260">
        <f t="shared" si="8"/>
        <v>14424.895652173915</v>
      </c>
      <c r="Q15" s="89">
        <f t="shared" si="4"/>
        <v>0.11120195849592127</v>
      </c>
      <c r="R15" s="260">
        <f t="shared" si="9"/>
        <v>15573.208695652174</v>
      </c>
      <c r="S15" s="89">
        <f t="shared" si="5"/>
        <v>0.12005433860876806</v>
      </c>
      <c r="T15" s="310">
        <v>8166.3</v>
      </c>
      <c r="U15" s="26"/>
      <c r="W15">
        <v>16588.63</v>
      </c>
      <c r="X15" s="297">
        <f t="shared" si="10"/>
        <v>14424.895652173915</v>
      </c>
      <c r="Z15">
        <v>17909.189999999999</v>
      </c>
      <c r="AA15" s="297">
        <f t="shared" si="11"/>
        <v>15573.208695652174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15" priority="4" operator="equal">
      <formula>0</formula>
    </cfRule>
  </conditionalFormatting>
  <conditionalFormatting sqref="P12:P13">
    <cfRule type="cellIs" dxfId="114" priority="2" operator="equal">
      <formula>0</formula>
    </cfRule>
  </conditionalFormatting>
  <conditionalFormatting sqref="W5">
    <cfRule type="cellIs" dxfId="11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3.4918457456252799E-2</v>
      </c>
      <c r="H2" s="413"/>
      <c r="I2" s="400">
        <f>((E4-B4)/E4)</f>
        <v>-0.13155901174044471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2369950.92</v>
      </c>
      <c r="C4" s="299">
        <f>SUM(C5:C15)</f>
        <v>2023746.04</v>
      </c>
      <c r="D4" s="299">
        <f>SUM(D5:D15)</f>
        <v>1828636.9800000002</v>
      </c>
      <c r="E4" s="299">
        <f>SUM(E5:E15)</f>
        <v>2094412.1300000001</v>
      </c>
      <c r="F4" s="299">
        <f>SUM(F5:F15)</f>
        <v>5241010.3999999994</v>
      </c>
      <c r="G4" s="300">
        <f t="shared" ref="G4:G15" si="0">IFERROR((SUM(E4-C4)/C4),0)</f>
        <v>3.4918457456252799E-2</v>
      </c>
      <c r="H4" s="300">
        <f t="shared" ref="H4:H15" si="1">IFERROR((SUM(E4-D4)/D4),0)</f>
        <v>0.14534057492373356</v>
      </c>
      <c r="I4" s="300">
        <f>IFERROR((SUM(E4-B4)/E4),0)</f>
        <v>-0.13155901174044471</v>
      </c>
      <c r="J4" s="301">
        <f>SUM(J5:J15)</f>
        <v>7311</v>
      </c>
      <c r="K4" s="302">
        <f>AVERAGE(K5:K15)</f>
        <v>286.06631000182136</v>
      </c>
      <c r="L4" s="303">
        <f>SUM(L5:L15)</f>
        <v>91</v>
      </c>
      <c r="M4" s="304">
        <f t="shared" ref="M4:M15" si="2">IFERROR(L4/J4,0)</f>
        <v>1.2446997674736698E-2</v>
      </c>
      <c r="N4" s="305">
        <f>SUM(N7:N15)</f>
        <v>256</v>
      </c>
      <c r="O4" s="306">
        <f t="shared" ref="O4:O15" si="3">IFERROR(N4/SUM(J4),0)</f>
        <v>3.5015729722336207E-2</v>
      </c>
      <c r="P4" s="307">
        <f>SUM(P5:P15)</f>
        <v>393005.2</v>
      </c>
      <c r="Q4" s="306">
        <f t="shared" ref="Q4:Q15" si="4">SUM(P4/E4)</f>
        <v>0.18764463515592797</v>
      </c>
      <c r="R4" s="308">
        <f>SUM(R5:R15)</f>
        <v>228132.71304347826</v>
      </c>
      <c r="S4" s="306">
        <f t="shared" ref="S4:S15" si="5">SUM(R4/E4)</f>
        <v>0.1089244613205512</v>
      </c>
      <c r="T4" s="315"/>
      <c r="U4" s="24"/>
    </row>
    <row r="5" spans="1:27" ht="15.6" customHeight="1" x14ac:dyDescent="0.3">
      <c r="A5" s="198" t="s">
        <v>26</v>
      </c>
      <c r="B5" s="310">
        <v>418554.29</v>
      </c>
      <c r="C5" s="310">
        <v>180048.8</v>
      </c>
      <c r="D5" s="310">
        <v>172063.63</v>
      </c>
      <c r="E5" s="310">
        <v>265670.71999999997</v>
      </c>
      <c r="F5" s="310">
        <v>827714.85</v>
      </c>
      <c r="G5" s="86">
        <f t="shared" si="0"/>
        <v>0.47554840687635791</v>
      </c>
      <c r="H5" s="86">
        <f t="shared" si="1"/>
        <v>0.54402600944778379</v>
      </c>
      <c r="I5" s="86">
        <f t="shared" ref="I5:I15" si="6">IFERROR((SUM(E5-B5)/B5),0)</f>
        <v>-0.36526580578113299</v>
      </c>
      <c r="J5" s="311">
        <v>801</v>
      </c>
      <c r="K5" s="63">
        <f t="shared" ref="K5:K15" si="7">IFERROR(E5/J5,0)</f>
        <v>331.67380774032455</v>
      </c>
      <c r="L5" s="61">
        <v>10</v>
      </c>
      <c r="M5" s="28">
        <f t="shared" si="2"/>
        <v>1.2484394506866416E-2</v>
      </c>
      <c r="N5" s="46">
        <v>42</v>
      </c>
      <c r="O5" s="89">
        <f t="shared" si="3"/>
        <v>5.2434456928838954E-2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19960</v>
      </c>
      <c r="S5" s="89">
        <f t="shared" si="5"/>
        <v>7.5130597756500994E-2</v>
      </c>
      <c r="T5" s="310">
        <v>2019.35</v>
      </c>
      <c r="U5" s="9"/>
      <c r="W5" s="260"/>
      <c r="X5" s="297">
        <f t="shared" ref="X5:X15" si="10">W5/1.15</f>
        <v>0</v>
      </c>
      <c r="Z5" s="238">
        <v>22954</v>
      </c>
      <c r="AA5" s="297">
        <f t="shared" ref="AA5:AA15" si="11">SUM(Z5)/1.15</f>
        <v>19960</v>
      </c>
    </row>
    <row r="6" spans="1:27" ht="16.2" customHeight="1" thickBot="1" x14ac:dyDescent="0.35">
      <c r="A6" s="409" t="s">
        <v>21</v>
      </c>
      <c r="B6" s="310">
        <v>239054.84</v>
      </c>
      <c r="C6" s="310">
        <v>325751.75</v>
      </c>
      <c r="D6" s="310">
        <v>235839.13</v>
      </c>
      <c r="E6" s="310">
        <v>202954.8</v>
      </c>
      <c r="F6" s="310">
        <v>526203.13</v>
      </c>
      <c r="G6" s="86">
        <f t="shared" si="0"/>
        <v>-0.37696482060341968</v>
      </c>
      <c r="H6" s="86">
        <f t="shared" si="1"/>
        <v>-0.13943542786983659</v>
      </c>
      <c r="I6" s="86">
        <f t="shared" si="6"/>
        <v>-0.1510115419541391</v>
      </c>
      <c r="J6" s="311">
        <v>679</v>
      </c>
      <c r="K6" s="63">
        <f t="shared" si="7"/>
        <v>298.90250368188509</v>
      </c>
      <c r="L6" s="61">
        <v>10</v>
      </c>
      <c r="M6" s="28">
        <f t="shared" si="2"/>
        <v>1.4727540500736377E-2</v>
      </c>
      <c r="N6" s="46">
        <v>42</v>
      </c>
      <c r="O6" s="89">
        <f t="shared" si="3"/>
        <v>6.1855670103092786E-2</v>
      </c>
      <c r="P6" s="260">
        <f t="shared" si="8"/>
        <v>48361.878260869569</v>
      </c>
      <c r="Q6" s="89">
        <f t="shared" si="4"/>
        <v>0.2382889109342059</v>
      </c>
      <c r="R6" s="260">
        <f t="shared" si="9"/>
        <v>14958.782608695652</v>
      </c>
      <c r="S6" s="89">
        <f t="shared" si="5"/>
        <v>7.3704995440835364E-2</v>
      </c>
      <c r="T6" s="310">
        <v>9903.94</v>
      </c>
      <c r="U6" s="26"/>
      <c r="W6">
        <v>55616.160000000003</v>
      </c>
      <c r="X6" s="297">
        <f t="shared" si="10"/>
        <v>48361.878260869569</v>
      </c>
      <c r="Z6" s="238">
        <v>17202.599999999999</v>
      </c>
      <c r="AA6" s="297">
        <f t="shared" si="11"/>
        <v>14958.782608695652</v>
      </c>
    </row>
    <row r="7" spans="1:27" ht="16.5" customHeight="1" x14ac:dyDescent="0.3">
      <c r="A7" s="408" t="s">
        <v>15</v>
      </c>
      <c r="B7" s="310">
        <v>264026.69</v>
      </c>
      <c r="C7" s="310">
        <v>220957.5</v>
      </c>
      <c r="D7" s="310">
        <v>210772.29</v>
      </c>
      <c r="E7" s="310">
        <v>215927.33</v>
      </c>
      <c r="F7" s="310">
        <v>568570.34</v>
      </c>
      <c r="G7" s="86">
        <f t="shared" si="0"/>
        <v>-2.2765328173970166E-2</v>
      </c>
      <c r="H7" s="86">
        <f t="shared" si="1"/>
        <v>2.4457863982025242E-2</v>
      </c>
      <c r="I7" s="86">
        <f t="shared" si="6"/>
        <v>-0.18217612772405706</v>
      </c>
      <c r="J7" s="311">
        <v>701</v>
      </c>
      <c r="K7" s="63">
        <f t="shared" si="7"/>
        <v>308.02757489300996</v>
      </c>
      <c r="L7" s="61">
        <v>4</v>
      </c>
      <c r="M7" s="28">
        <f t="shared" si="2"/>
        <v>5.7061340941512127E-3</v>
      </c>
      <c r="N7" s="46">
        <v>24</v>
      </c>
      <c r="O7" s="89">
        <f t="shared" si="3"/>
        <v>3.4236804564907276E-2</v>
      </c>
      <c r="P7" s="260">
        <f t="shared" si="8"/>
        <v>37659.060869565219</v>
      </c>
      <c r="Q7" s="89">
        <f t="shared" si="4"/>
        <v>0.17440618040136568</v>
      </c>
      <c r="R7" s="260">
        <f t="shared" si="9"/>
        <v>6047.6260869565222</v>
      </c>
      <c r="S7" s="89">
        <f t="shared" si="5"/>
        <v>2.8007691694036704E-2</v>
      </c>
      <c r="T7" s="310">
        <v>15777.49</v>
      </c>
      <c r="U7" s="26"/>
      <c r="W7">
        <v>43307.92</v>
      </c>
      <c r="X7" s="297">
        <f t="shared" si="10"/>
        <v>37659.060869565219</v>
      </c>
      <c r="Z7" s="238">
        <v>6954.77</v>
      </c>
      <c r="AA7" s="297">
        <f t="shared" si="11"/>
        <v>6047.6260869565222</v>
      </c>
    </row>
    <row r="8" spans="1:27" ht="15.6" customHeight="1" x14ac:dyDescent="0.3">
      <c r="A8" s="198" t="s">
        <v>27</v>
      </c>
      <c r="B8" s="310">
        <v>163139.71</v>
      </c>
      <c r="C8" s="310">
        <v>117244.55</v>
      </c>
      <c r="D8" s="310">
        <v>153694.29</v>
      </c>
      <c r="E8" s="310">
        <v>143769.19</v>
      </c>
      <c r="F8" s="310">
        <v>370072.39</v>
      </c>
      <c r="G8" s="86">
        <f t="shared" si="0"/>
        <v>0.22623345818632934</v>
      </c>
      <c r="H8" s="86">
        <f t="shared" si="1"/>
        <v>-6.4576894821531797E-2</v>
      </c>
      <c r="I8" s="86">
        <f t="shared" si="6"/>
        <v>-0.11873577561220373</v>
      </c>
      <c r="J8" s="311">
        <v>526</v>
      </c>
      <c r="K8" s="63">
        <f t="shared" si="7"/>
        <v>273.32545627376425</v>
      </c>
      <c r="L8" s="61">
        <v>11</v>
      </c>
      <c r="M8" s="28">
        <f t="shared" si="2"/>
        <v>2.0912547528517109E-2</v>
      </c>
      <c r="N8" s="46">
        <v>25</v>
      </c>
      <c r="O8" s="89">
        <f t="shared" si="3"/>
        <v>4.7528517110266157E-2</v>
      </c>
      <c r="P8" s="260">
        <f t="shared" si="8"/>
        <v>43398.721739130437</v>
      </c>
      <c r="Q8" s="89">
        <f t="shared" si="4"/>
        <v>0.30186385371671381</v>
      </c>
      <c r="R8" s="260">
        <f t="shared" si="9"/>
        <v>18440</v>
      </c>
      <c r="S8" s="89">
        <f t="shared" si="5"/>
        <v>0.12826113856522389</v>
      </c>
      <c r="T8" s="310">
        <v>10620.61</v>
      </c>
      <c r="U8" s="9"/>
      <c r="W8">
        <v>49908.53</v>
      </c>
      <c r="X8" s="297">
        <f t="shared" si="10"/>
        <v>43398.721739130437</v>
      </c>
      <c r="Z8" s="238">
        <v>21206</v>
      </c>
      <c r="AA8" s="297">
        <f t="shared" si="11"/>
        <v>18440</v>
      </c>
    </row>
    <row r="9" spans="1:27" ht="15.6" customHeight="1" x14ac:dyDescent="0.3">
      <c r="A9" s="198" t="s">
        <v>23</v>
      </c>
      <c r="B9" s="310">
        <v>203154.9</v>
      </c>
      <c r="C9" s="310">
        <v>204599.91</v>
      </c>
      <c r="D9" s="310">
        <v>184530.42</v>
      </c>
      <c r="E9" s="310">
        <v>198012.81</v>
      </c>
      <c r="F9" s="310">
        <v>465875.37</v>
      </c>
      <c r="G9" s="86">
        <f t="shared" si="0"/>
        <v>-3.2195028824792769E-2</v>
      </c>
      <c r="H9" s="86">
        <f t="shared" si="1"/>
        <v>7.306323802872168E-2</v>
      </c>
      <c r="I9" s="86">
        <f t="shared" si="6"/>
        <v>-2.5311178809863787E-2</v>
      </c>
      <c r="J9" s="311">
        <v>753</v>
      </c>
      <c r="K9" s="63">
        <f t="shared" si="7"/>
        <v>262.96521912350596</v>
      </c>
      <c r="L9" s="61">
        <v>15</v>
      </c>
      <c r="M9" s="28">
        <f t="shared" si="2"/>
        <v>1.9920318725099601E-2</v>
      </c>
      <c r="N9" s="46">
        <v>48</v>
      </c>
      <c r="O9" s="89">
        <f t="shared" si="3"/>
        <v>6.3745019920318724E-2</v>
      </c>
      <c r="P9" s="260">
        <f t="shared" si="8"/>
        <v>41197.408695652171</v>
      </c>
      <c r="Q9" s="89">
        <f t="shared" si="4"/>
        <v>0.20805426020494416</v>
      </c>
      <c r="R9" s="260">
        <f t="shared" si="9"/>
        <v>22923.582608695651</v>
      </c>
      <c r="S9" s="89">
        <f t="shared" si="5"/>
        <v>0.11576817989046088</v>
      </c>
      <c r="T9" s="310">
        <v>6698.5</v>
      </c>
      <c r="U9" s="26"/>
      <c r="W9">
        <v>47377.02</v>
      </c>
      <c r="X9" s="297">
        <f t="shared" si="10"/>
        <v>41197.408695652171</v>
      </c>
      <c r="Z9" s="238">
        <v>26362.12</v>
      </c>
      <c r="AA9" s="297">
        <f t="shared" si="11"/>
        <v>22923.582608695651</v>
      </c>
    </row>
    <row r="10" spans="1:27" ht="15.6" customHeight="1" x14ac:dyDescent="0.3">
      <c r="A10" s="409" t="s">
        <v>16</v>
      </c>
      <c r="B10" s="310">
        <v>247618.57</v>
      </c>
      <c r="C10" s="310">
        <v>212391.65</v>
      </c>
      <c r="D10" s="310">
        <v>168351.72</v>
      </c>
      <c r="E10" s="310">
        <v>223354.08</v>
      </c>
      <c r="F10" s="310">
        <v>570561.23</v>
      </c>
      <c r="G10" s="86">
        <f t="shared" si="0"/>
        <v>5.1614223063853937E-2</v>
      </c>
      <c r="H10" s="86">
        <f t="shared" si="1"/>
        <v>0.32671100716998902</v>
      </c>
      <c r="I10" s="86">
        <f t="shared" si="6"/>
        <v>-9.7991398625717041E-2</v>
      </c>
      <c r="J10" s="311">
        <v>795</v>
      </c>
      <c r="K10" s="63">
        <f t="shared" si="7"/>
        <v>280.94852830188677</v>
      </c>
      <c r="L10" s="61">
        <v>1</v>
      </c>
      <c r="M10" s="28">
        <f t="shared" si="2"/>
        <v>1.2578616352201257E-3</v>
      </c>
      <c r="N10" s="46">
        <v>15</v>
      </c>
      <c r="O10" s="89">
        <f t="shared" si="3"/>
        <v>1.8867924528301886E-2</v>
      </c>
      <c r="P10" s="260">
        <f t="shared" si="8"/>
        <v>37177.130434782608</v>
      </c>
      <c r="Q10" s="89">
        <f t="shared" si="4"/>
        <v>0.16644930074607373</v>
      </c>
      <c r="R10" s="260">
        <f t="shared" si="9"/>
        <v>26431.782608695652</v>
      </c>
      <c r="S10" s="89">
        <f t="shared" si="5"/>
        <v>0.11834027213067097</v>
      </c>
      <c r="T10" s="310">
        <v>11607.23</v>
      </c>
      <c r="U10" s="26"/>
      <c r="W10">
        <v>42753.7</v>
      </c>
      <c r="X10" s="297">
        <f t="shared" si="10"/>
        <v>37177.130434782608</v>
      </c>
      <c r="Z10" s="238">
        <v>30396.55</v>
      </c>
      <c r="AA10" s="297">
        <f t="shared" si="11"/>
        <v>26431.782608695652</v>
      </c>
    </row>
    <row r="11" spans="1:27" ht="15.6" customHeight="1" x14ac:dyDescent="0.3">
      <c r="A11" s="409" t="s">
        <v>17</v>
      </c>
      <c r="B11" s="310">
        <v>142414.60999999999</v>
      </c>
      <c r="C11" s="310">
        <v>108340.48</v>
      </c>
      <c r="D11" s="310">
        <v>123446.2</v>
      </c>
      <c r="E11" s="310">
        <v>146513.73000000001</v>
      </c>
      <c r="F11" s="310">
        <v>344915.43</v>
      </c>
      <c r="G11" s="86">
        <f t="shared" si="0"/>
        <v>0.3523452175954917</v>
      </c>
      <c r="H11" s="86">
        <f t="shared" si="1"/>
        <v>0.18686302211003672</v>
      </c>
      <c r="I11" s="86">
        <f t="shared" si="6"/>
        <v>2.8783001968688639E-2</v>
      </c>
      <c r="J11" s="311">
        <v>470</v>
      </c>
      <c r="K11" s="63">
        <f t="shared" si="7"/>
        <v>311.73134042553193</v>
      </c>
      <c r="L11" s="61">
        <v>3</v>
      </c>
      <c r="M11" s="28">
        <f t="shared" si="2"/>
        <v>6.382978723404255E-3</v>
      </c>
      <c r="N11" s="46">
        <v>22</v>
      </c>
      <c r="O11" s="89">
        <f t="shared" si="3"/>
        <v>4.6808510638297871E-2</v>
      </c>
      <c r="P11" s="260">
        <f t="shared" si="8"/>
        <v>50143.078260869566</v>
      </c>
      <c r="Q11" s="89">
        <f t="shared" si="4"/>
        <v>0.34224149682674493</v>
      </c>
      <c r="R11" s="260">
        <f t="shared" si="9"/>
        <v>29818.26086956522</v>
      </c>
      <c r="S11" s="89">
        <f t="shared" si="5"/>
        <v>0.2035185430714597</v>
      </c>
      <c r="T11" s="310">
        <v>3419.34</v>
      </c>
      <c r="U11" s="26"/>
      <c r="W11">
        <v>57664.54</v>
      </c>
      <c r="X11" s="297">
        <f t="shared" si="10"/>
        <v>50143.078260869566</v>
      </c>
      <c r="Z11" s="238">
        <v>34291</v>
      </c>
      <c r="AA11" s="297">
        <f t="shared" si="11"/>
        <v>29818.26086956522</v>
      </c>
    </row>
    <row r="12" spans="1:27" ht="15.6" customHeight="1" x14ac:dyDescent="0.3">
      <c r="A12" s="198" t="s">
        <v>55</v>
      </c>
      <c r="B12" s="310">
        <v>214740.55</v>
      </c>
      <c r="C12" s="310">
        <v>219205.08</v>
      </c>
      <c r="D12" s="310">
        <v>180670.32</v>
      </c>
      <c r="E12" s="310">
        <v>206967.02</v>
      </c>
      <c r="F12" s="310">
        <v>472044.36</v>
      </c>
      <c r="G12" s="86">
        <f t="shared" si="0"/>
        <v>-5.5829271839867939E-2</v>
      </c>
      <c r="H12" s="86">
        <f t="shared" si="1"/>
        <v>0.14555074679670674</v>
      </c>
      <c r="I12" s="86">
        <f t="shared" si="6"/>
        <v>-3.6199637190088223E-2</v>
      </c>
      <c r="J12" s="311">
        <v>741</v>
      </c>
      <c r="K12" s="63">
        <f t="shared" si="7"/>
        <v>279.30771929824562</v>
      </c>
      <c r="L12" s="61">
        <v>7</v>
      </c>
      <c r="M12" s="28">
        <f t="shared" si="2"/>
        <v>9.4466936572199737E-3</v>
      </c>
      <c r="N12" s="46">
        <v>17</v>
      </c>
      <c r="O12" s="89">
        <f t="shared" si="3"/>
        <v>2.2941970310391364E-2</v>
      </c>
      <c r="P12" s="260">
        <f t="shared" si="8"/>
        <v>43596.008695652177</v>
      </c>
      <c r="Q12" s="89">
        <f t="shared" si="4"/>
        <v>0.21064229796443984</v>
      </c>
      <c r="R12" s="260">
        <f t="shared" si="9"/>
        <v>27662.626086956523</v>
      </c>
      <c r="S12" s="89">
        <f t="shared" si="5"/>
        <v>0.13365716956719251</v>
      </c>
      <c r="T12" s="310">
        <v>5084</v>
      </c>
      <c r="U12" s="9"/>
      <c r="W12">
        <v>50135.41</v>
      </c>
      <c r="X12" s="297">
        <f t="shared" si="10"/>
        <v>43596.008695652177</v>
      </c>
      <c r="Z12" s="238">
        <v>31812.02</v>
      </c>
      <c r="AA12" s="297">
        <f t="shared" si="11"/>
        <v>27662.626086956523</v>
      </c>
    </row>
    <row r="13" spans="1:27" ht="16.2" customHeight="1" thickBot="1" x14ac:dyDescent="0.35">
      <c r="A13" s="199" t="s">
        <v>33</v>
      </c>
      <c r="B13" s="310">
        <v>184125.86</v>
      </c>
      <c r="C13" s="310">
        <v>152946.78</v>
      </c>
      <c r="D13" s="310">
        <v>150727.65</v>
      </c>
      <c r="E13" s="310">
        <v>189315.43</v>
      </c>
      <c r="F13" s="310">
        <v>429203.24</v>
      </c>
      <c r="G13" s="86">
        <f t="shared" si="0"/>
        <v>0.23778630710630191</v>
      </c>
      <c r="H13" s="86">
        <f t="shared" si="1"/>
        <v>0.25600996233935847</v>
      </c>
      <c r="I13" s="86">
        <f t="shared" si="6"/>
        <v>2.8184905694398427E-2</v>
      </c>
      <c r="J13" s="311">
        <v>716</v>
      </c>
      <c r="K13" s="63">
        <f t="shared" si="7"/>
        <v>264.40702513966477</v>
      </c>
      <c r="L13" s="61">
        <v>13</v>
      </c>
      <c r="M13" s="28">
        <f t="shared" si="2"/>
        <v>1.8156424581005588E-2</v>
      </c>
      <c r="N13" s="46">
        <v>37</v>
      </c>
      <c r="O13" s="89">
        <f t="shared" si="3"/>
        <v>5.1675977653631286E-2</v>
      </c>
      <c r="P13" s="260">
        <f t="shared" si="8"/>
        <v>25733.765217391308</v>
      </c>
      <c r="Q13" s="89">
        <f t="shared" si="4"/>
        <v>0.13593062761651975</v>
      </c>
      <c r="R13" s="260">
        <f t="shared" si="9"/>
        <v>28891.104347826087</v>
      </c>
      <c r="S13" s="89">
        <f t="shared" si="5"/>
        <v>0.15260829161059977</v>
      </c>
      <c r="T13" s="310">
        <v>6735.5</v>
      </c>
      <c r="U13" s="9"/>
      <c r="W13">
        <v>29593.83</v>
      </c>
      <c r="X13" s="297">
        <f t="shared" si="10"/>
        <v>25733.765217391308</v>
      </c>
      <c r="Z13" s="238">
        <v>33224.769999999997</v>
      </c>
      <c r="AA13" s="297">
        <f t="shared" si="11"/>
        <v>28891.104347826087</v>
      </c>
    </row>
    <row r="14" spans="1:27" ht="15.6" customHeight="1" x14ac:dyDescent="0.3">
      <c r="A14" s="409" t="s">
        <v>20</v>
      </c>
      <c r="B14" s="314">
        <v>163402.9</v>
      </c>
      <c r="C14" s="310">
        <v>138165.29</v>
      </c>
      <c r="D14" s="310">
        <v>139222.34</v>
      </c>
      <c r="E14" s="310">
        <v>151030.04999999999</v>
      </c>
      <c r="F14" s="310">
        <v>354333.6</v>
      </c>
      <c r="G14" s="86">
        <f t="shared" si="0"/>
        <v>9.3111374065077995E-2</v>
      </c>
      <c r="H14" s="86">
        <f t="shared" si="1"/>
        <v>8.4811891539820355E-2</v>
      </c>
      <c r="I14" s="86">
        <f t="shared" si="6"/>
        <v>-7.571989236421145E-2</v>
      </c>
      <c r="J14" s="311">
        <v>546</v>
      </c>
      <c r="K14" s="63">
        <f t="shared" si="7"/>
        <v>276.61181318681315</v>
      </c>
      <c r="L14" s="61">
        <v>11</v>
      </c>
      <c r="M14" s="28">
        <f t="shared" si="2"/>
        <v>2.0146520146520148E-2</v>
      </c>
      <c r="N14" s="46">
        <v>41</v>
      </c>
      <c r="O14" s="89">
        <f t="shared" si="3"/>
        <v>7.5091575091575088E-2</v>
      </c>
      <c r="P14" s="260">
        <f t="shared" si="8"/>
        <v>42296.913043478264</v>
      </c>
      <c r="Q14" s="89">
        <f t="shared" si="4"/>
        <v>0.28005627385727722</v>
      </c>
      <c r="R14" s="260">
        <f t="shared" si="9"/>
        <v>15982.973913043477</v>
      </c>
      <c r="S14" s="89">
        <f t="shared" si="5"/>
        <v>0.10582644919367688</v>
      </c>
      <c r="T14" s="310">
        <v>5650.47</v>
      </c>
      <c r="U14" s="26"/>
      <c r="W14">
        <v>48641.45</v>
      </c>
      <c r="X14" s="297">
        <f t="shared" si="10"/>
        <v>42296.913043478264</v>
      </c>
      <c r="Z14" s="238">
        <v>18380.419999999998</v>
      </c>
      <c r="AA14" s="297">
        <f t="shared" si="11"/>
        <v>15982.973913043477</v>
      </c>
    </row>
    <row r="15" spans="1:27" ht="15.6" customHeight="1" x14ac:dyDescent="0.3">
      <c r="A15" s="198" t="s">
        <v>22</v>
      </c>
      <c r="B15" s="310">
        <v>129718</v>
      </c>
      <c r="C15" s="310">
        <v>144094.25</v>
      </c>
      <c r="D15" s="310">
        <v>109318.99</v>
      </c>
      <c r="E15" s="310">
        <v>150896.97</v>
      </c>
      <c r="F15" s="310">
        <v>311516.46000000002</v>
      </c>
      <c r="G15" s="86">
        <f t="shared" si="0"/>
        <v>4.7210211372070716E-2</v>
      </c>
      <c r="H15" s="86">
        <f t="shared" si="1"/>
        <v>0.38033629838694993</v>
      </c>
      <c r="I15" s="86">
        <f t="shared" si="6"/>
        <v>0.16326932268459274</v>
      </c>
      <c r="J15" s="311">
        <v>583</v>
      </c>
      <c r="K15" s="63">
        <f t="shared" si="7"/>
        <v>258.82842195540309</v>
      </c>
      <c r="L15" s="61">
        <v>6</v>
      </c>
      <c r="M15" s="28">
        <f t="shared" si="2"/>
        <v>1.0291595197255575E-2</v>
      </c>
      <c r="N15" s="46">
        <v>27</v>
      </c>
      <c r="O15" s="89">
        <f t="shared" si="3"/>
        <v>4.6312178387650088E-2</v>
      </c>
      <c r="P15" s="260">
        <f t="shared" si="8"/>
        <v>23441.234782608695</v>
      </c>
      <c r="Q15" s="89">
        <f t="shared" si="4"/>
        <v>0.15534596077448537</v>
      </c>
      <c r="R15" s="260">
        <f t="shared" si="9"/>
        <v>17015.973913043479</v>
      </c>
      <c r="S15" s="89">
        <f t="shared" si="5"/>
        <v>0.1127655108849666</v>
      </c>
      <c r="T15" s="310">
        <v>10784</v>
      </c>
      <c r="U15" s="26"/>
      <c r="W15">
        <v>26957.42</v>
      </c>
      <c r="X15" s="297">
        <f t="shared" si="10"/>
        <v>23441.234782608695</v>
      </c>
      <c r="Z15" s="238">
        <v>19568.37</v>
      </c>
      <c r="AA15" s="297">
        <f t="shared" si="11"/>
        <v>17015.973913043479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12" priority="4" operator="equal">
      <formula>0</formula>
    </cfRule>
  </conditionalFormatting>
  <conditionalFormatting sqref="P12:P13">
    <cfRule type="cellIs" dxfId="111" priority="2" operator="equal">
      <formula>0</formula>
    </cfRule>
  </conditionalFormatting>
  <conditionalFormatting sqref="W5">
    <cfRule type="cellIs" dxfId="11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AA37"/>
  <sheetViews>
    <sheetView zoomScale="80" zoomScaleNormal="80" workbookViewId="0">
      <pane xSplit="1" topLeftCell="B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4.2274267730560929E-2</v>
      </c>
      <c r="H2" s="413"/>
      <c r="I2" s="400">
        <f>((E4-B4)/E4)</f>
        <v>-4.1464828704716829E-2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2094412.1300000001</v>
      </c>
      <c r="C4" s="299">
        <f>SUM(C5:C15)</f>
        <v>1929458.8499999999</v>
      </c>
      <c r="D4" s="299">
        <f>SUM(D5:D15)</f>
        <v>1884212.6999999997</v>
      </c>
      <c r="E4" s="299">
        <f>SUM(E5:E15)</f>
        <v>2011025.31</v>
      </c>
      <c r="F4" s="299">
        <f>SUM(F5:F15)</f>
        <v>7252035.709999999</v>
      </c>
      <c r="G4" s="300">
        <f t="shared" ref="G4:G15" si="0">IFERROR((SUM(E4-C4)/C4),0)</f>
        <v>4.2274267730560929E-2</v>
      </c>
      <c r="H4" s="300">
        <f t="shared" ref="H4:H15" si="1">IFERROR((SUM(E4-D4)/D4),0)</f>
        <v>6.7302704201070485E-2</v>
      </c>
      <c r="I4" s="300">
        <f>IFERROR((SUM(E4-B4)/E4),0)</f>
        <v>-4.1464828704716829E-2</v>
      </c>
      <c r="J4" s="301">
        <f>SUM(J5:J15)</f>
        <v>7052</v>
      </c>
      <c r="K4" s="302">
        <f>AVERAGE(K5:K15)</f>
        <v>285.20872793217819</v>
      </c>
      <c r="L4" s="303">
        <f>SUM(L5:L15)</f>
        <v>91</v>
      </c>
      <c r="M4" s="304">
        <f t="shared" ref="M4:M15" si="2">IFERROR(L4/J4,0)</f>
        <v>1.290414066931367E-2</v>
      </c>
      <c r="N4" s="305">
        <f>SUM(N7:N15)</f>
        <v>256</v>
      </c>
      <c r="O4" s="306">
        <f t="shared" ref="O4:O15" si="3">IFERROR(N4/SUM(J4),0)</f>
        <v>3.6301758366420876E-2</v>
      </c>
      <c r="P4" s="307">
        <f>SUM(P5:P15)</f>
        <v>355946.06086956518</v>
      </c>
      <c r="Q4" s="306">
        <f t="shared" ref="Q4:Q15" si="4">SUM(P4/E4)</f>
        <v>0.17699730535443395</v>
      </c>
      <c r="R4" s="308">
        <f>SUM(R5:R15)</f>
        <v>226123.72173913044</v>
      </c>
      <c r="S4" s="306">
        <f t="shared" ref="S4:S15" si="5">SUM(R4/E4)</f>
        <v>0.11244200687813842</v>
      </c>
      <c r="T4" s="315"/>
      <c r="U4" s="24"/>
    </row>
    <row r="5" spans="1:27" ht="15.6" customHeight="1" x14ac:dyDescent="0.3">
      <c r="A5" s="198" t="s">
        <v>26</v>
      </c>
      <c r="B5" s="310">
        <v>265670.71999999997</v>
      </c>
      <c r="C5" s="310">
        <v>142533.66</v>
      </c>
      <c r="D5" s="310">
        <v>163321.62</v>
      </c>
      <c r="E5" s="310">
        <v>231222.07</v>
      </c>
      <c r="F5" s="310">
        <v>1058936.92</v>
      </c>
      <c r="G5" s="86">
        <f t="shared" si="0"/>
        <v>0.6222278302542712</v>
      </c>
      <c r="H5" s="86">
        <f t="shared" si="1"/>
        <v>0.41574685580512866</v>
      </c>
      <c r="I5" s="86">
        <f t="shared" ref="I5:I15" si="6">IFERROR((SUM(E5-B5)/B5),0)</f>
        <v>-0.12966671675373173</v>
      </c>
      <c r="J5" s="311">
        <v>790</v>
      </c>
      <c r="K5" s="63">
        <f t="shared" ref="K5:K15" si="7">IFERROR(E5/J5,0)</f>
        <v>292.68616455696201</v>
      </c>
      <c r="L5" s="61">
        <v>10</v>
      </c>
      <c r="M5" s="28">
        <f t="shared" si="2"/>
        <v>1.2658227848101266E-2</v>
      </c>
      <c r="N5" s="46">
        <v>42</v>
      </c>
      <c r="O5" s="89">
        <f t="shared" si="3"/>
        <v>5.3164556962025315E-2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20703.043478260872</v>
      </c>
      <c r="S5" s="89">
        <f t="shared" si="5"/>
        <v>8.9537488693275991E-2</v>
      </c>
      <c r="T5" s="310">
        <v>2185.15</v>
      </c>
      <c r="U5" s="9"/>
      <c r="W5" s="260"/>
      <c r="X5" s="297">
        <f t="shared" ref="X5:X15" si="10">W5/1.15</f>
        <v>0</v>
      </c>
      <c r="Z5" s="238">
        <v>23808.5</v>
      </c>
      <c r="AA5" s="297">
        <f t="shared" ref="AA5:AA15" si="11">SUM(Z5)/1.15</f>
        <v>20703.043478260872</v>
      </c>
    </row>
    <row r="6" spans="1:27" ht="16.2" customHeight="1" thickBot="1" x14ac:dyDescent="0.35">
      <c r="A6" s="409" t="s">
        <v>21</v>
      </c>
      <c r="B6" s="310">
        <v>202954.8</v>
      </c>
      <c r="C6" s="310">
        <v>315240.34999999998</v>
      </c>
      <c r="D6" s="310">
        <v>233857.32</v>
      </c>
      <c r="E6" s="310">
        <v>204863.42</v>
      </c>
      <c r="F6" s="310">
        <v>731066.55</v>
      </c>
      <c r="G6" s="86">
        <f t="shared" si="0"/>
        <v>-0.35013579321301974</v>
      </c>
      <c r="H6" s="86">
        <f t="shared" si="1"/>
        <v>-0.1239811522684002</v>
      </c>
      <c r="I6" s="86">
        <f t="shared" si="6"/>
        <v>9.4041628973546062E-3</v>
      </c>
      <c r="J6" s="311">
        <v>691</v>
      </c>
      <c r="K6" s="63">
        <f t="shared" si="7"/>
        <v>296.47383502170771</v>
      </c>
      <c r="L6" s="61">
        <v>10</v>
      </c>
      <c r="M6" s="28">
        <f t="shared" si="2"/>
        <v>1.4471780028943559E-2</v>
      </c>
      <c r="N6" s="46">
        <v>42</v>
      </c>
      <c r="O6" s="89">
        <f t="shared" si="3"/>
        <v>6.0781476121562955E-2</v>
      </c>
      <c r="P6" s="260">
        <f t="shared" si="8"/>
        <v>43223.46956521739</v>
      </c>
      <c r="Q6" s="89">
        <f t="shared" si="4"/>
        <v>0.21098676164450142</v>
      </c>
      <c r="R6" s="260">
        <f t="shared" si="9"/>
        <v>17481.008695652174</v>
      </c>
      <c r="S6" s="89">
        <f t="shared" si="5"/>
        <v>8.5330063784213761E-2</v>
      </c>
      <c r="T6" s="310">
        <v>9206.75</v>
      </c>
      <c r="U6" s="26"/>
      <c r="W6">
        <v>49706.99</v>
      </c>
      <c r="X6" s="297">
        <f t="shared" si="10"/>
        <v>43223.46956521739</v>
      </c>
      <c r="Z6" s="238">
        <v>20103.16</v>
      </c>
      <c r="AA6" s="297">
        <f t="shared" si="11"/>
        <v>17481.008695652174</v>
      </c>
    </row>
    <row r="7" spans="1:27" ht="16.5" customHeight="1" x14ac:dyDescent="0.3">
      <c r="A7" s="408" t="s">
        <v>15</v>
      </c>
      <c r="B7" s="310">
        <v>215927.33</v>
      </c>
      <c r="C7" s="310">
        <v>235865.33</v>
      </c>
      <c r="D7" s="310">
        <v>202623.52</v>
      </c>
      <c r="E7" s="310">
        <v>212169.11</v>
      </c>
      <c r="F7" s="310">
        <v>780739.45</v>
      </c>
      <c r="G7" s="86">
        <f t="shared" si="0"/>
        <v>-0.10046504079255736</v>
      </c>
      <c r="H7" s="86">
        <f t="shared" si="1"/>
        <v>4.7109980124716011E-2</v>
      </c>
      <c r="I7" s="86">
        <f t="shared" si="6"/>
        <v>-1.7405022328576939E-2</v>
      </c>
      <c r="J7" s="311">
        <v>677</v>
      </c>
      <c r="K7" s="63">
        <f t="shared" si="7"/>
        <v>313.39602658788772</v>
      </c>
      <c r="L7" s="61">
        <v>4</v>
      </c>
      <c r="M7" s="28">
        <f t="shared" si="2"/>
        <v>5.9084194977843431E-3</v>
      </c>
      <c r="N7" s="46">
        <v>24</v>
      </c>
      <c r="O7" s="89">
        <f t="shared" si="3"/>
        <v>3.5450516986706058E-2</v>
      </c>
      <c r="P7" s="260">
        <f t="shared" si="8"/>
        <v>41337.573913043481</v>
      </c>
      <c r="Q7" s="89">
        <f t="shared" si="4"/>
        <v>0.19483314000347876</v>
      </c>
      <c r="R7" s="260">
        <f t="shared" si="9"/>
        <v>1852.1391304347828</v>
      </c>
      <c r="S7" s="89">
        <f t="shared" si="5"/>
        <v>8.7295418755104492E-3</v>
      </c>
      <c r="T7" s="310">
        <v>11628.17</v>
      </c>
      <c r="U7" s="26"/>
      <c r="W7">
        <v>47538.21</v>
      </c>
      <c r="X7" s="297">
        <f t="shared" si="10"/>
        <v>41337.573913043481</v>
      </c>
      <c r="Z7" s="238">
        <v>2129.96</v>
      </c>
      <c r="AA7" s="297">
        <f t="shared" si="11"/>
        <v>1852.1391304347828</v>
      </c>
    </row>
    <row r="8" spans="1:27" ht="15.6" customHeight="1" x14ac:dyDescent="0.3">
      <c r="A8" s="198" t="s">
        <v>27</v>
      </c>
      <c r="B8" s="310">
        <v>143769.19</v>
      </c>
      <c r="C8" s="310">
        <v>39018.33</v>
      </c>
      <c r="D8" s="310">
        <v>142695.09</v>
      </c>
      <c r="E8" s="310">
        <v>126392.36</v>
      </c>
      <c r="F8" s="310">
        <v>496464.75</v>
      </c>
      <c r="G8" s="86">
        <f t="shared" si="0"/>
        <v>2.2393072691732319</v>
      </c>
      <c r="H8" s="86">
        <f t="shared" si="1"/>
        <v>-0.11424871030951378</v>
      </c>
      <c r="I8" s="86">
        <f t="shared" si="6"/>
        <v>-0.12086616054524618</v>
      </c>
      <c r="J8" s="311">
        <v>470</v>
      </c>
      <c r="K8" s="63">
        <f t="shared" si="7"/>
        <v>268.91991489361703</v>
      </c>
      <c r="L8" s="61">
        <v>11</v>
      </c>
      <c r="M8" s="28">
        <f t="shared" si="2"/>
        <v>2.3404255319148935E-2</v>
      </c>
      <c r="N8" s="46">
        <v>25</v>
      </c>
      <c r="O8" s="89">
        <f t="shared" si="3"/>
        <v>5.3191489361702128E-2</v>
      </c>
      <c r="P8" s="260">
        <f t="shared" si="8"/>
        <v>41401.739130434784</v>
      </c>
      <c r="Q8" s="89">
        <f t="shared" si="4"/>
        <v>0.32756520354897073</v>
      </c>
      <c r="R8" s="260">
        <f t="shared" si="9"/>
        <v>19698.521739130436</v>
      </c>
      <c r="S8" s="89">
        <f t="shared" si="5"/>
        <v>0.15585215545568132</v>
      </c>
      <c r="T8" s="310">
        <v>6966.03</v>
      </c>
      <c r="U8" s="9"/>
      <c r="W8">
        <v>47612</v>
      </c>
      <c r="X8" s="297">
        <f t="shared" si="10"/>
        <v>41401.739130434784</v>
      </c>
      <c r="Z8" s="238">
        <v>22653.3</v>
      </c>
      <c r="AA8" s="297">
        <f t="shared" si="11"/>
        <v>19698.521739130436</v>
      </c>
    </row>
    <row r="9" spans="1:27" ht="15.6" customHeight="1" x14ac:dyDescent="0.3">
      <c r="A9" s="198" t="s">
        <v>23</v>
      </c>
      <c r="B9" s="310">
        <v>198012.81</v>
      </c>
      <c r="C9" s="310">
        <v>194970.43</v>
      </c>
      <c r="D9" s="310">
        <v>206050.19</v>
      </c>
      <c r="E9" s="310">
        <v>189835.14</v>
      </c>
      <c r="F9" s="310">
        <v>655710.51</v>
      </c>
      <c r="G9" s="86">
        <f t="shared" si="0"/>
        <v>-2.63388145576741E-2</v>
      </c>
      <c r="H9" s="86">
        <f t="shared" si="1"/>
        <v>-7.8694661722952003E-2</v>
      </c>
      <c r="I9" s="86">
        <f t="shared" si="6"/>
        <v>-4.1298691736155774E-2</v>
      </c>
      <c r="J9" s="311">
        <v>736</v>
      </c>
      <c r="K9" s="63">
        <f t="shared" si="7"/>
        <v>257.92817934782613</v>
      </c>
      <c r="L9" s="61">
        <v>15</v>
      </c>
      <c r="M9" s="28">
        <f t="shared" si="2"/>
        <v>2.0380434782608696E-2</v>
      </c>
      <c r="N9" s="46">
        <v>48</v>
      </c>
      <c r="O9" s="89">
        <f t="shared" si="3"/>
        <v>6.5217391304347824E-2</v>
      </c>
      <c r="P9" s="260">
        <f t="shared" si="8"/>
        <v>37143.556521739127</v>
      </c>
      <c r="Q9" s="89">
        <f t="shared" si="4"/>
        <v>0.19566217572647046</v>
      </c>
      <c r="R9" s="260">
        <f t="shared" si="9"/>
        <v>18180.104347826087</v>
      </c>
      <c r="S9" s="89">
        <f t="shared" si="5"/>
        <v>9.5767855981911912E-2</v>
      </c>
      <c r="T9" s="310">
        <v>8975.5</v>
      </c>
      <c r="U9" s="26"/>
      <c r="W9">
        <v>42715.09</v>
      </c>
      <c r="X9" s="297">
        <f t="shared" si="10"/>
        <v>37143.556521739127</v>
      </c>
      <c r="Z9" s="238">
        <v>20907.12</v>
      </c>
      <c r="AA9" s="297">
        <f t="shared" si="11"/>
        <v>18180.104347826087</v>
      </c>
    </row>
    <row r="10" spans="1:27" ht="15.6" customHeight="1" x14ac:dyDescent="0.3">
      <c r="A10" s="409" t="s">
        <v>16</v>
      </c>
      <c r="B10" s="310">
        <v>223354.08</v>
      </c>
      <c r="C10" s="310">
        <v>214438.21</v>
      </c>
      <c r="D10" s="310">
        <v>214773.59</v>
      </c>
      <c r="E10" s="310">
        <v>214335.12</v>
      </c>
      <c r="F10" s="310">
        <v>784896.35</v>
      </c>
      <c r="G10" s="86">
        <f t="shared" si="0"/>
        <v>-4.807445464126776E-4</v>
      </c>
      <c r="H10" s="86">
        <f t="shared" si="1"/>
        <v>-2.0415452384066456E-3</v>
      </c>
      <c r="I10" s="86">
        <f t="shared" si="6"/>
        <v>-4.0379651896217846E-2</v>
      </c>
      <c r="J10" s="311">
        <v>730</v>
      </c>
      <c r="K10" s="63">
        <f t="shared" si="7"/>
        <v>293.60975342465753</v>
      </c>
      <c r="L10" s="61">
        <v>1</v>
      </c>
      <c r="M10" s="28">
        <f t="shared" si="2"/>
        <v>1.3698630136986301E-3</v>
      </c>
      <c r="N10" s="46">
        <v>15</v>
      </c>
      <c r="O10" s="89">
        <f t="shared" si="3"/>
        <v>2.0547945205479451E-2</v>
      </c>
      <c r="P10" s="260">
        <f t="shared" si="8"/>
        <v>38043.895652173916</v>
      </c>
      <c r="Q10" s="89">
        <f t="shared" si="4"/>
        <v>0.17749725594281476</v>
      </c>
      <c r="R10" s="260">
        <f t="shared" si="9"/>
        <v>18277.391304347828</v>
      </c>
      <c r="S10" s="89">
        <f t="shared" si="5"/>
        <v>8.5274831788406058E-2</v>
      </c>
      <c r="T10" s="310">
        <v>12131.95</v>
      </c>
      <c r="U10" s="26"/>
      <c r="W10">
        <v>43750.48</v>
      </c>
      <c r="X10" s="297">
        <f t="shared" si="10"/>
        <v>38043.895652173916</v>
      </c>
      <c r="Z10" s="238">
        <v>21019</v>
      </c>
      <c r="AA10" s="297">
        <f t="shared" si="11"/>
        <v>18277.391304347828</v>
      </c>
    </row>
    <row r="11" spans="1:27" ht="15.6" customHeight="1" x14ac:dyDescent="0.3">
      <c r="A11" s="409" t="s">
        <v>17</v>
      </c>
      <c r="B11" s="310">
        <v>146513.73000000001</v>
      </c>
      <c r="C11" s="310">
        <v>120214.26</v>
      </c>
      <c r="D11" s="310">
        <v>127214.41</v>
      </c>
      <c r="E11" s="310">
        <v>142345.79</v>
      </c>
      <c r="F11" s="310">
        <v>487261.22</v>
      </c>
      <c r="G11" s="86">
        <f t="shared" si="0"/>
        <v>0.18410070485814256</v>
      </c>
      <c r="H11" s="86">
        <f t="shared" si="1"/>
        <v>0.11894391523727543</v>
      </c>
      <c r="I11" s="86">
        <f t="shared" si="6"/>
        <v>-2.8447436291465667E-2</v>
      </c>
      <c r="J11" s="311">
        <v>480</v>
      </c>
      <c r="K11" s="63">
        <f t="shared" si="7"/>
        <v>296.5537291666667</v>
      </c>
      <c r="L11" s="61">
        <v>3</v>
      </c>
      <c r="M11" s="28">
        <f t="shared" si="2"/>
        <v>6.2500000000000003E-3</v>
      </c>
      <c r="N11" s="46">
        <v>22</v>
      </c>
      <c r="O11" s="89">
        <f t="shared" si="3"/>
        <v>4.583333333333333E-2</v>
      </c>
      <c r="P11" s="260">
        <f t="shared" si="8"/>
        <v>37060.356521739137</v>
      </c>
      <c r="Q11" s="89">
        <f t="shared" si="4"/>
        <v>0.26035442651123814</v>
      </c>
      <c r="R11" s="260">
        <f t="shared" si="9"/>
        <v>21181.747826086958</v>
      </c>
      <c r="S11" s="89">
        <f t="shared" si="5"/>
        <v>0.14880487737703346</v>
      </c>
      <c r="T11" s="310">
        <v>6859.25</v>
      </c>
      <c r="U11" s="26"/>
      <c r="W11">
        <v>42619.41</v>
      </c>
      <c r="X11" s="297">
        <f t="shared" si="10"/>
        <v>37060.356521739137</v>
      </c>
      <c r="Z11" s="238">
        <v>24359.01</v>
      </c>
      <c r="AA11" s="297">
        <f t="shared" si="11"/>
        <v>21181.747826086958</v>
      </c>
    </row>
    <row r="12" spans="1:27" ht="15.6" customHeight="1" x14ac:dyDescent="0.3">
      <c r="A12" s="198" t="s">
        <v>55</v>
      </c>
      <c r="B12" s="310">
        <v>206967.02</v>
      </c>
      <c r="C12" s="310">
        <v>227123.11</v>
      </c>
      <c r="D12" s="310">
        <v>194587.65</v>
      </c>
      <c r="E12" s="310">
        <v>211661.8</v>
      </c>
      <c r="F12" s="310">
        <v>683706.16</v>
      </c>
      <c r="G12" s="86">
        <f t="shared" si="0"/>
        <v>-6.8074578584275278E-2</v>
      </c>
      <c r="H12" s="86">
        <f t="shared" si="1"/>
        <v>8.774529113229948E-2</v>
      </c>
      <c r="I12" s="86">
        <f t="shared" si="6"/>
        <v>2.2683710670424684E-2</v>
      </c>
      <c r="J12" s="311">
        <v>780</v>
      </c>
      <c r="K12" s="63">
        <f t="shared" si="7"/>
        <v>271.36128205128205</v>
      </c>
      <c r="L12" s="61">
        <v>7</v>
      </c>
      <c r="M12" s="28">
        <f t="shared" si="2"/>
        <v>8.9743589743589737E-3</v>
      </c>
      <c r="N12" s="46">
        <v>17</v>
      </c>
      <c r="O12" s="89">
        <f t="shared" si="3"/>
        <v>2.1794871794871794E-2</v>
      </c>
      <c r="P12" s="260">
        <f t="shared" si="8"/>
        <v>33238.869565217392</v>
      </c>
      <c r="Q12" s="89">
        <f t="shared" si="4"/>
        <v>0.15703764007117674</v>
      </c>
      <c r="R12" s="260">
        <f t="shared" si="9"/>
        <v>37145.80869565218</v>
      </c>
      <c r="S12" s="89">
        <f t="shared" si="5"/>
        <v>0.17549604461292581</v>
      </c>
      <c r="T12" s="310">
        <v>7761.9</v>
      </c>
      <c r="U12" s="9"/>
      <c r="W12">
        <v>38224.699999999997</v>
      </c>
      <c r="X12" s="297">
        <f t="shared" si="10"/>
        <v>33238.869565217392</v>
      </c>
      <c r="Z12" s="238">
        <v>42717.68</v>
      </c>
      <c r="AA12" s="297">
        <f t="shared" si="11"/>
        <v>37145.80869565218</v>
      </c>
    </row>
    <row r="13" spans="1:27" ht="16.2" customHeight="1" thickBot="1" x14ac:dyDescent="0.35">
      <c r="A13" s="199" t="s">
        <v>33</v>
      </c>
      <c r="B13" s="310">
        <v>189315.43</v>
      </c>
      <c r="C13" s="310">
        <v>161595.07</v>
      </c>
      <c r="D13" s="310">
        <v>164997.15</v>
      </c>
      <c r="E13" s="310">
        <v>159981.17000000001</v>
      </c>
      <c r="F13" s="310">
        <v>589184.41</v>
      </c>
      <c r="G13" s="86">
        <f t="shared" si="0"/>
        <v>-9.9873096376021497E-3</v>
      </c>
      <c r="H13" s="86">
        <f t="shared" si="1"/>
        <v>-3.0400403885763976E-2</v>
      </c>
      <c r="I13" s="86">
        <f t="shared" si="6"/>
        <v>-0.15494912379830836</v>
      </c>
      <c r="J13" s="311">
        <v>604</v>
      </c>
      <c r="K13" s="63">
        <f t="shared" si="7"/>
        <v>264.86948675496689</v>
      </c>
      <c r="L13" s="61">
        <v>13</v>
      </c>
      <c r="M13" s="28">
        <f t="shared" si="2"/>
        <v>2.1523178807947019E-2</v>
      </c>
      <c r="N13" s="46">
        <v>37</v>
      </c>
      <c r="O13" s="89">
        <f t="shared" si="3"/>
        <v>6.1258278145695365E-2</v>
      </c>
      <c r="P13" s="260">
        <f t="shared" si="8"/>
        <v>17175.191304347827</v>
      </c>
      <c r="Q13" s="89">
        <f t="shared" si="4"/>
        <v>0.10735758029740516</v>
      </c>
      <c r="R13" s="260">
        <f t="shared" si="9"/>
        <v>26819.182608695657</v>
      </c>
      <c r="S13" s="89">
        <f t="shared" si="5"/>
        <v>0.16763962039217276</v>
      </c>
      <c r="T13" s="310">
        <v>6611.42</v>
      </c>
      <c r="U13" s="9"/>
      <c r="W13">
        <v>19751.47</v>
      </c>
      <c r="X13" s="297">
        <f t="shared" si="10"/>
        <v>17175.191304347827</v>
      </c>
      <c r="Z13" s="238">
        <v>30842.06</v>
      </c>
      <c r="AA13" s="297">
        <f t="shared" si="11"/>
        <v>26819.182608695657</v>
      </c>
    </row>
    <row r="14" spans="1:27" ht="15.6" customHeight="1" x14ac:dyDescent="0.3">
      <c r="A14" s="409" t="s">
        <v>20</v>
      </c>
      <c r="B14" s="314">
        <v>151030.04999999999</v>
      </c>
      <c r="C14" s="310">
        <v>136515.1</v>
      </c>
      <c r="D14" s="310">
        <v>133813.39000000001</v>
      </c>
      <c r="E14" s="310">
        <v>167241.45000000001</v>
      </c>
      <c r="F14" s="310">
        <v>521575.05</v>
      </c>
      <c r="G14" s="86">
        <f t="shared" si="0"/>
        <v>0.22507656662156791</v>
      </c>
      <c r="H14" s="86">
        <f t="shared" si="1"/>
        <v>0.24981102414339845</v>
      </c>
      <c r="I14" s="86">
        <f t="shared" si="6"/>
        <v>0.1073389037479629</v>
      </c>
      <c r="J14" s="311">
        <v>553</v>
      </c>
      <c r="K14" s="63">
        <f t="shared" si="7"/>
        <v>302.42576853526225</v>
      </c>
      <c r="L14" s="61">
        <v>11</v>
      </c>
      <c r="M14" s="28">
        <f t="shared" si="2"/>
        <v>1.9891500904159132E-2</v>
      </c>
      <c r="N14" s="46">
        <v>41</v>
      </c>
      <c r="O14" s="89">
        <f t="shared" si="3"/>
        <v>7.4141048824593131E-2</v>
      </c>
      <c r="P14" s="260">
        <f t="shared" si="8"/>
        <v>43714.095652173914</v>
      </c>
      <c r="Q14" s="89">
        <f t="shared" si="4"/>
        <v>0.26138314187167061</v>
      </c>
      <c r="R14" s="260">
        <f t="shared" si="9"/>
        <v>23032.600000000002</v>
      </c>
      <c r="S14" s="89">
        <f t="shared" si="5"/>
        <v>0.13772064281910973</v>
      </c>
      <c r="T14" s="310">
        <v>8590.5</v>
      </c>
      <c r="U14" s="26"/>
      <c r="W14">
        <v>50271.21</v>
      </c>
      <c r="X14" s="297">
        <f t="shared" si="10"/>
        <v>43714.095652173914</v>
      </c>
      <c r="Z14" s="238">
        <v>26487.49</v>
      </c>
      <c r="AA14" s="297">
        <f t="shared" si="11"/>
        <v>23032.600000000002</v>
      </c>
    </row>
    <row r="15" spans="1:27" ht="15.6" customHeight="1" x14ac:dyDescent="0.3">
      <c r="A15" s="198" t="s">
        <v>22</v>
      </c>
      <c r="B15" s="310">
        <v>150896.97</v>
      </c>
      <c r="C15" s="310">
        <v>141945</v>
      </c>
      <c r="D15" s="310">
        <v>100278.77</v>
      </c>
      <c r="E15" s="310">
        <v>150977.88</v>
      </c>
      <c r="F15" s="310">
        <v>462494.34</v>
      </c>
      <c r="G15" s="86">
        <f t="shared" si="0"/>
        <v>6.363647891789076E-2</v>
      </c>
      <c r="H15" s="86">
        <f t="shared" si="1"/>
        <v>0.50558168992300168</v>
      </c>
      <c r="I15" s="86">
        <f t="shared" si="6"/>
        <v>5.3619366909755375E-4</v>
      </c>
      <c r="J15" s="311">
        <v>541</v>
      </c>
      <c r="K15" s="63">
        <f t="shared" si="7"/>
        <v>279.07186691312387</v>
      </c>
      <c r="L15" s="61">
        <v>6</v>
      </c>
      <c r="M15" s="28">
        <f t="shared" si="2"/>
        <v>1.1090573012939002E-2</v>
      </c>
      <c r="N15" s="46">
        <v>27</v>
      </c>
      <c r="O15" s="89">
        <f t="shared" si="3"/>
        <v>4.9907578558225509E-2</v>
      </c>
      <c r="P15" s="260">
        <f t="shared" si="8"/>
        <v>23607.313043478262</v>
      </c>
      <c r="Q15" s="89">
        <f t="shared" si="4"/>
        <v>0.15636272706623155</v>
      </c>
      <c r="R15" s="260">
        <f t="shared" si="9"/>
        <v>21752.17391304348</v>
      </c>
      <c r="S15" s="89">
        <f t="shared" si="5"/>
        <v>0.14407523746553785</v>
      </c>
      <c r="T15" s="310">
        <v>9105</v>
      </c>
      <c r="U15" s="26"/>
      <c r="W15">
        <v>27148.41</v>
      </c>
      <c r="X15" s="297">
        <f t="shared" si="10"/>
        <v>23607.313043478262</v>
      </c>
      <c r="Z15" s="238">
        <v>25015</v>
      </c>
      <c r="AA15" s="297">
        <f t="shared" si="11"/>
        <v>21752.17391304348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09" priority="4" operator="equal">
      <formula>0</formula>
    </cfRule>
  </conditionalFormatting>
  <conditionalFormatting sqref="P12:P13">
    <cfRule type="cellIs" dxfId="108" priority="2" operator="equal">
      <formula>0</formula>
    </cfRule>
  </conditionalFormatting>
  <conditionalFormatting sqref="W5">
    <cfRule type="cellIs" dxfId="10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AA37"/>
  <sheetViews>
    <sheetView zoomScale="80" zoomScaleNormal="80" workbookViewId="0">
      <pane xSplit="1" topLeftCell="B1" activePane="topRight" state="frozen"/>
      <selection pane="topRight" activeCell="D10" sqref="D10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0.12224236863097646</v>
      </c>
      <c r="H2" s="413"/>
      <c r="I2" s="400">
        <f>((E4-B4)/E4)</f>
        <v>7.1257424541873796E-2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2011025.31</v>
      </c>
      <c r="C4" s="299">
        <f>SUM(C5:C15)</f>
        <v>1929458.8499999999</v>
      </c>
      <c r="D4" s="299">
        <f>SUM(D5:D15)</f>
        <v>2041608.9699999997</v>
      </c>
      <c r="E4" s="299">
        <f>SUM(E5:E15)</f>
        <v>2165320.4699999997</v>
      </c>
      <c r="F4" s="299">
        <f>SUM(F5:F15)</f>
        <v>9417356.1799999997</v>
      </c>
      <c r="G4" s="300">
        <f t="shared" ref="G4:G15" si="0">IFERROR((SUM(E4-C4)/C4),0)</f>
        <v>0.12224236863097646</v>
      </c>
      <c r="H4" s="300">
        <f t="shared" ref="H4:H15" si="1">IFERROR((SUM(E4-D4)/D4),0)</f>
        <v>6.0595100147899532E-2</v>
      </c>
      <c r="I4" s="300">
        <f>IFERROR((SUM(E4-B4)/E4),0)</f>
        <v>7.1257424541873796E-2</v>
      </c>
      <c r="J4" s="301">
        <f>SUM(J5:J15)</f>
        <v>7518</v>
      </c>
      <c r="K4" s="302">
        <f>AVERAGE(K5:K15)</f>
        <v>286.62196265152289</v>
      </c>
      <c r="L4" s="303">
        <f>SUM(L5:L15)</f>
        <v>91</v>
      </c>
      <c r="M4" s="304">
        <f t="shared" ref="M4:M15" si="2">IFERROR(L4/J4,0)</f>
        <v>1.2104283054003724E-2</v>
      </c>
      <c r="N4" s="305">
        <f>SUM(N7:N15)</f>
        <v>256</v>
      </c>
      <c r="O4" s="306">
        <f t="shared" ref="O4:O15" si="3">IFERROR(N4/SUM(J4),0)</f>
        <v>3.4051609470603886E-2</v>
      </c>
      <c r="P4" s="307">
        <f>SUM(P5:P15)</f>
        <v>346184.52173913049</v>
      </c>
      <c r="Q4" s="306">
        <f t="shared" ref="Q4:Q15" si="4">SUM(P4/E4)</f>
        <v>0.15987680647526994</v>
      </c>
      <c r="R4" s="308">
        <f>SUM(R5:R15)</f>
        <v>254016.6434782609</v>
      </c>
      <c r="S4" s="306">
        <f t="shared" ref="S4:S15" si="5">SUM(R4/E4)</f>
        <v>0.11731133889768332</v>
      </c>
      <c r="T4" s="311"/>
      <c r="U4" s="24"/>
    </row>
    <row r="5" spans="1:27" ht="15.6" customHeight="1" x14ac:dyDescent="0.3">
      <c r="A5" s="198" t="s">
        <v>26</v>
      </c>
      <c r="B5" s="310">
        <v>231222.07</v>
      </c>
      <c r="C5" s="310">
        <v>142533.66</v>
      </c>
      <c r="D5" s="310">
        <v>176192.07</v>
      </c>
      <c r="E5" s="311">
        <v>257455.68</v>
      </c>
      <c r="F5" s="310">
        <v>1316392.6000000001</v>
      </c>
      <c r="G5" s="86">
        <f t="shared" si="0"/>
        <v>0.80627986399844065</v>
      </c>
      <c r="H5" s="86">
        <f t="shared" si="1"/>
        <v>0.4612217224078245</v>
      </c>
      <c r="I5" s="86">
        <f t="shared" ref="I5:I15" si="6">IFERROR((SUM(E5-B5)/B5),0)</f>
        <v>0.11345634091070972</v>
      </c>
      <c r="J5" s="311">
        <v>843</v>
      </c>
      <c r="K5" s="63">
        <f t="shared" ref="K5:K15" si="7">IFERROR(E5/J5,0)</f>
        <v>305.40412811387898</v>
      </c>
      <c r="L5" s="61">
        <v>10</v>
      </c>
      <c r="M5" s="28">
        <f t="shared" si="2"/>
        <v>1.1862396204033215E-2</v>
      </c>
      <c r="N5" s="46">
        <v>42</v>
      </c>
      <c r="O5" s="89">
        <f t="shared" si="3"/>
        <v>4.9822064056939501E-2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28415.652173913044</v>
      </c>
      <c r="S5" s="89">
        <f t="shared" si="5"/>
        <v>0.11037104395565499</v>
      </c>
      <c r="T5" s="310">
        <v>3031.5</v>
      </c>
      <c r="U5" s="9"/>
      <c r="W5" s="260"/>
      <c r="X5" s="297">
        <f t="shared" ref="X5:X15" si="10">W5/1.15</f>
        <v>0</v>
      </c>
      <c r="Z5">
        <v>32678</v>
      </c>
      <c r="AA5" s="297">
        <f t="shared" ref="AA5:AA15" si="11">SUM(Z5)/1.15</f>
        <v>28415.652173913044</v>
      </c>
    </row>
    <row r="6" spans="1:27" ht="16.2" customHeight="1" thickBot="1" x14ac:dyDescent="0.35">
      <c r="A6" s="409" t="s">
        <v>21</v>
      </c>
      <c r="B6" s="310">
        <v>204863.42</v>
      </c>
      <c r="C6" s="310">
        <v>315240.34999999998</v>
      </c>
      <c r="D6" s="310">
        <v>237797.15</v>
      </c>
      <c r="E6" s="310">
        <v>227257.39</v>
      </c>
      <c r="F6" s="310">
        <v>958323.94</v>
      </c>
      <c r="G6" s="86">
        <f t="shared" si="0"/>
        <v>-0.27909802790156768</v>
      </c>
      <c r="H6" s="86">
        <f t="shared" si="1"/>
        <v>-4.4322482418313172E-2</v>
      </c>
      <c r="I6" s="86">
        <f t="shared" si="6"/>
        <v>0.10931170630657244</v>
      </c>
      <c r="J6" s="311">
        <v>745</v>
      </c>
      <c r="K6" s="63">
        <f t="shared" si="7"/>
        <v>305.04347651006714</v>
      </c>
      <c r="L6" s="61">
        <v>10</v>
      </c>
      <c r="M6" s="28">
        <f t="shared" si="2"/>
        <v>1.3422818791946308E-2</v>
      </c>
      <c r="N6" s="46">
        <v>42</v>
      </c>
      <c r="O6" s="89">
        <f t="shared" si="3"/>
        <v>5.6375838926174496E-2</v>
      </c>
      <c r="P6" s="260">
        <f t="shared" si="8"/>
        <v>50839.773913043478</v>
      </c>
      <c r="Q6" s="89">
        <f t="shared" si="4"/>
        <v>0.22371010206991937</v>
      </c>
      <c r="R6" s="260">
        <f t="shared" si="9"/>
        <v>26549.26086956522</v>
      </c>
      <c r="S6" s="89">
        <f t="shared" si="5"/>
        <v>0.11682463161952718</v>
      </c>
      <c r="T6" s="310">
        <v>11398.27</v>
      </c>
      <c r="U6" s="26"/>
      <c r="W6">
        <v>58465.74</v>
      </c>
      <c r="X6" s="297">
        <f t="shared" si="10"/>
        <v>50839.773913043478</v>
      </c>
      <c r="Z6">
        <v>30531.65</v>
      </c>
      <c r="AA6" s="297">
        <f t="shared" si="11"/>
        <v>26549.26086956522</v>
      </c>
    </row>
    <row r="7" spans="1:27" ht="16.5" customHeight="1" x14ac:dyDescent="0.3">
      <c r="A7" s="408" t="s">
        <v>15</v>
      </c>
      <c r="B7" s="310">
        <v>212169.11</v>
      </c>
      <c r="C7" s="310">
        <v>235865.33</v>
      </c>
      <c r="D7" s="310">
        <v>239634.11</v>
      </c>
      <c r="E7" s="311">
        <v>223446.27</v>
      </c>
      <c r="F7" s="310">
        <v>1004185.72</v>
      </c>
      <c r="G7" s="86">
        <f t="shared" si="0"/>
        <v>-5.2653181372607827E-2</v>
      </c>
      <c r="H7" s="86">
        <f t="shared" si="1"/>
        <v>-6.7552319659333962E-2</v>
      </c>
      <c r="I7" s="86">
        <f t="shared" si="6"/>
        <v>5.3151752392230918E-2</v>
      </c>
      <c r="J7" s="311">
        <v>741</v>
      </c>
      <c r="K7" s="63">
        <f t="shared" si="7"/>
        <v>301.54692307692306</v>
      </c>
      <c r="L7" s="61">
        <v>4</v>
      </c>
      <c r="M7" s="28">
        <f t="shared" si="2"/>
        <v>5.3981106612685558E-3</v>
      </c>
      <c r="N7" s="46">
        <v>24</v>
      </c>
      <c r="O7" s="89">
        <f t="shared" si="3"/>
        <v>3.2388663967611336E-2</v>
      </c>
      <c r="P7" s="260">
        <f t="shared" si="8"/>
        <v>31919.521739130436</v>
      </c>
      <c r="Q7" s="89">
        <f t="shared" si="4"/>
        <v>0.14285099383905775</v>
      </c>
      <c r="R7" s="260">
        <f t="shared" si="9"/>
        <v>4614.0695652173918</v>
      </c>
      <c r="S7" s="89">
        <f t="shared" si="5"/>
        <v>2.0649570768030239E-2</v>
      </c>
      <c r="T7" s="310">
        <v>12570.5</v>
      </c>
      <c r="U7" s="26"/>
      <c r="W7">
        <v>36707.449999999997</v>
      </c>
      <c r="X7" s="297">
        <f t="shared" si="10"/>
        <v>31919.521739130436</v>
      </c>
      <c r="Z7">
        <v>5306.18</v>
      </c>
      <c r="AA7" s="297">
        <f t="shared" si="11"/>
        <v>4614.0695652173918</v>
      </c>
    </row>
    <row r="8" spans="1:27" ht="15.6" customHeight="1" x14ac:dyDescent="0.3">
      <c r="A8" s="198" t="s">
        <v>27</v>
      </c>
      <c r="B8" s="310">
        <v>126392.36</v>
      </c>
      <c r="C8" s="310">
        <v>39018.33</v>
      </c>
      <c r="D8" s="310">
        <v>155405.21</v>
      </c>
      <c r="E8" s="311">
        <v>138079.70000000001</v>
      </c>
      <c r="F8" s="310">
        <v>634544.44999999995</v>
      </c>
      <c r="G8" s="86">
        <f t="shared" si="0"/>
        <v>2.5388418725250417</v>
      </c>
      <c r="H8" s="86">
        <f t="shared" si="1"/>
        <v>-0.11148603061634794</v>
      </c>
      <c r="I8" s="86">
        <f t="shared" si="6"/>
        <v>9.2468722001867926E-2</v>
      </c>
      <c r="J8" s="311">
        <v>498</v>
      </c>
      <c r="K8" s="63">
        <f t="shared" si="7"/>
        <v>277.26847389558236</v>
      </c>
      <c r="L8" s="61">
        <v>11</v>
      </c>
      <c r="M8" s="28">
        <f t="shared" si="2"/>
        <v>2.2088353413654619E-2</v>
      </c>
      <c r="N8" s="46">
        <v>25</v>
      </c>
      <c r="O8" s="89">
        <f t="shared" si="3"/>
        <v>5.0200803212851405E-2</v>
      </c>
      <c r="P8" s="260">
        <f t="shared" si="8"/>
        <v>34341.017391304347</v>
      </c>
      <c r="Q8" s="89">
        <f t="shared" si="4"/>
        <v>0.24870431635717882</v>
      </c>
      <c r="R8" s="260">
        <f t="shared" si="9"/>
        <v>15187.391304347828</v>
      </c>
      <c r="S8" s="89">
        <f t="shared" si="5"/>
        <v>0.10999003694495155</v>
      </c>
      <c r="T8" s="310">
        <v>4869.5</v>
      </c>
      <c r="U8" s="9"/>
      <c r="W8">
        <v>39492.17</v>
      </c>
      <c r="X8" s="297">
        <f t="shared" si="10"/>
        <v>34341.017391304347</v>
      </c>
      <c r="Z8">
        <v>17465.5</v>
      </c>
      <c r="AA8" s="297">
        <f t="shared" si="11"/>
        <v>15187.391304347828</v>
      </c>
    </row>
    <row r="9" spans="1:27" ht="15.6" customHeight="1" x14ac:dyDescent="0.3">
      <c r="A9" s="198" t="s">
        <v>23</v>
      </c>
      <c r="B9" s="310">
        <v>189835.14</v>
      </c>
      <c r="C9" s="310">
        <v>194970.43</v>
      </c>
      <c r="D9" s="310">
        <v>193734.78</v>
      </c>
      <c r="E9" s="311">
        <v>231936.32</v>
      </c>
      <c r="F9" s="310">
        <v>887646.83</v>
      </c>
      <c r="G9" s="86">
        <f t="shared" si="0"/>
        <v>0.18959741741350222</v>
      </c>
      <c r="H9" s="86">
        <f t="shared" si="1"/>
        <v>0.1971847285242227</v>
      </c>
      <c r="I9" s="86">
        <f t="shared" si="6"/>
        <v>0.22177759080852991</v>
      </c>
      <c r="J9" s="311">
        <v>826</v>
      </c>
      <c r="K9" s="63">
        <f t="shared" si="7"/>
        <v>280.79457627118643</v>
      </c>
      <c r="L9" s="61">
        <v>15</v>
      </c>
      <c r="M9" s="28">
        <f t="shared" si="2"/>
        <v>1.8159806295399514E-2</v>
      </c>
      <c r="N9" s="46">
        <v>48</v>
      </c>
      <c r="O9" s="89">
        <f t="shared" si="3"/>
        <v>5.8111380145278453E-2</v>
      </c>
      <c r="P9" s="260">
        <f t="shared" si="8"/>
        <v>36542.591304347829</v>
      </c>
      <c r="Q9" s="89">
        <f t="shared" si="4"/>
        <v>0.15755441538586035</v>
      </c>
      <c r="R9" s="260">
        <f t="shared" si="9"/>
        <v>30654.382608695654</v>
      </c>
      <c r="S9" s="89">
        <f t="shared" si="5"/>
        <v>0.13216723714809156</v>
      </c>
      <c r="T9" s="310">
        <v>8934</v>
      </c>
      <c r="U9" s="26"/>
      <c r="W9">
        <v>42023.98</v>
      </c>
      <c r="X9" s="297">
        <f t="shared" si="10"/>
        <v>36542.591304347829</v>
      </c>
      <c r="Z9">
        <v>35252.54</v>
      </c>
      <c r="AA9" s="297">
        <f t="shared" si="11"/>
        <v>30654.382608695654</v>
      </c>
    </row>
    <row r="10" spans="1:27" ht="15.6" customHeight="1" x14ac:dyDescent="0.3">
      <c r="A10" s="409" t="s">
        <v>16</v>
      </c>
      <c r="B10" s="310">
        <v>214335.12</v>
      </c>
      <c r="C10" s="310">
        <v>214438.21</v>
      </c>
      <c r="D10" s="310">
        <v>202838.8</v>
      </c>
      <c r="E10" s="311">
        <v>248519.64</v>
      </c>
      <c r="F10" s="310">
        <v>1033415.99</v>
      </c>
      <c r="G10" s="86">
        <f t="shared" si="0"/>
        <v>0.1589335687888834</v>
      </c>
      <c r="H10" s="86">
        <f t="shared" si="1"/>
        <v>0.2252076032790572</v>
      </c>
      <c r="I10" s="86">
        <f t="shared" si="6"/>
        <v>0.15949098775786263</v>
      </c>
      <c r="J10" s="311">
        <v>869</v>
      </c>
      <c r="K10" s="63">
        <f t="shared" si="7"/>
        <v>285.9834752589183</v>
      </c>
      <c r="L10" s="61">
        <v>1</v>
      </c>
      <c r="M10" s="28">
        <f t="shared" si="2"/>
        <v>1.1507479861910242E-3</v>
      </c>
      <c r="N10" s="46">
        <v>15</v>
      </c>
      <c r="O10" s="89">
        <f t="shared" si="3"/>
        <v>1.7261219792865361E-2</v>
      </c>
      <c r="P10" s="260">
        <f t="shared" si="8"/>
        <v>45091.8</v>
      </c>
      <c r="Q10" s="89">
        <f t="shared" si="4"/>
        <v>0.18144159552138414</v>
      </c>
      <c r="R10" s="260">
        <f t="shared" si="9"/>
        <v>23876.156521739133</v>
      </c>
      <c r="S10" s="89">
        <f t="shared" si="5"/>
        <v>9.6073519669266902E-2</v>
      </c>
      <c r="T10" s="310">
        <v>12630</v>
      </c>
      <c r="U10" s="26"/>
      <c r="W10">
        <v>51855.57</v>
      </c>
      <c r="X10" s="297">
        <f t="shared" si="10"/>
        <v>45091.8</v>
      </c>
      <c r="Z10">
        <v>27457.58</v>
      </c>
      <c r="AA10" s="297">
        <f t="shared" si="11"/>
        <v>23876.156521739133</v>
      </c>
    </row>
    <row r="11" spans="1:27" ht="15.6" customHeight="1" x14ac:dyDescent="0.3">
      <c r="A11" s="409" t="s">
        <v>17</v>
      </c>
      <c r="B11" s="310">
        <v>142345.79</v>
      </c>
      <c r="C11" s="310">
        <v>120214.26</v>
      </c>
      <c r="D11" s="310">
        <v>150231.94</v>
      </c>
      <c r="E11" s="311">
        <v>118378.17</v>
      </c>
      <c r="F11" s="310">
        <v>605639.39</v>
      </c>
      <c r="G11" s="86">
        <f t="shared" si="0"/>
        <v>-1.5273479202883224E-2</v>
      </c>
      <c r="H11" s="86">
        <f t="shared" si="1"/>
        <v>-0.21203061080087232</v>
      </c>
      <c r="I11" s="86">
        <f t="shared" si="6"/>
        <v>-0.16837603697306402</v>
      </c>
      <c r="J11" s="311">
        <v>439</v>
      </c>
      <c r="K11" s="63">
        <f t="shared" si="7"/>
        <v>269.65414578587701</v>
      </c>
      <c r="L11" s="61">
        <v>3</v>
      </c>
      <c r="M11" s="28">
        <f t="shared" si="2"/>
        <v>6.8337129840546698E-3</v>
      </c>
      <c r="N11" s="46">
        <v>22</v>
      </c>
      <c r="O11" s="89">
        <f t="shared" si="3"/>
        <v>5.011389521640091E-2</v>
      </c>
      <c r="P11" s="260">
        <f t="shared" si="8"/>
        <v>33999.686956521742</v>
      </c>
      <c r="Q11" s="89">
        <f t="shared" si="4"/>
        <v>0.28721247301357794</v>
      </c>
      <c r="R11" s="260">
        <f t="shared" si="9"/>
        <v>18008.095652173917</v>
      </c>
      <c r="S11" s="89">
        <f t="shared" si="5"/>
        <v>0.15212345022882104</v>
      </c>
      <c r="T11" s="310">
        <v>2440</v>
      </c>
      <c r="U11" s="26"/>
      <c r="W11">
        <v>39099.64</v>
      </c>
      <c r="X11" s="297">
        <f t="shared" si="10"/>
        <v>33999.686956521742</v>
      </c>
      <c r="Z11">
        <v>20709.310000000001</v>
      </c>
      <c r="AA11" s="297">
        <f t="shared" si="11"/>
        <v>18008.095652173917</v>
      </c>
    </row>
    <row r="12" spans="1:27" ht="15.6" customHeight="1" x14ac:dyDescent="0.3">
      <c r="A12" s="198" t="s">
        <v>55</v>
      </c>
      <c r="B12" s="310">
        <v>211661.8</v>
      </c>
      <c r="C12" s="310">
        <v>227123.11</v>
      </c>
      <c r="D12" s="310">
        <v>193364.19</v>
      </c>
      <c r="E12" s="311">
        <v>224024.94</v>
      </c>
      <c r="F12" s="310">
        <v>907731.1</v>
      </c>
      <c r="G12" s="86">
        <f t="shared" si="0"/>
        <v>-1.3640928041184289E-2</v>
      </c>
      <c r="H12" s="86">
        <f t="shared" si="1"/>
        <v>0.15856477872143751</v>
      </c>
      <c r="I12" s="86">
        <f t="shared" si="6"/>
        <v>5.8409878400353839E-2</v>
      </c>
      <c r="J12" s="311">
        <v>795</v>
      </c>
      <c r="K12" s="63">
        <f t="shared" si="7"/>
        <v>281.79237735849057</v>
      </c>
      <c r="L12" s="61">
        <v>7</v>
      </c>
      <c r="M12" s="28">
        <f t="shared" si="2"/>
        <v>8.8050314465408803E-3</v>
      </c>
      <c r="N12" s="46">
        <v>17</v>
      </c>
      <c r="O12" s="89">
        <f t="shared" si="3"/>
        <v>2.1383647798742137E-2</v>
      </c>
      <c r="P12" s="260">
        <f t="shared" si="8"/>
        <v>40945.417391304356</v>
      </c>
      <c r="Q12" s="89">
        <f t="shared" si="4"/>
        <v>0.18277169225580131</v>
      </c>
      <c r="R12" s="260">
        <f t="shared" si="9"/>
        <v>33880.139130434785</v>
      </c>
      <c r="S12" s="89">
        <f t="shared" si="5"/>
        <v>0.15123378285665331</v>
      </c>
      <c r="T12" s="310">
        <v>2665</v>
      </c>
      <c r="U12" s="9"/>
      <c r="W12">
        <v>47087.23</v>
      </c>
      <c r="X12" s="297">
        <f t="shared" si="10"/>
        <v>40945.417391304356</v>
      </c>
      <c r="Z12">
        <v>38962.160000000003</v>
      </c>
      <c r="AA12" s="297">
        <f t="shared" si="11"/>
        <v>33880.139130434785</v>
      </c>
    </row>
    <row r="13" spans="1:27" ht="16.2" customHeight="1" thickBot="1" x14ac:dyDescent="0.35">
      <c r="A13" s="199" t="s">
        <v>33</v>
      </c>
      <c r="B13" s="310">
        <v>159981.17000000001</v>
      </c>
      <c r="C13" s="310">
        <v>161595.07</v>
      </c>
      <c r="D13" s="310">
        <v>182521.14</v>
      </c>
      <c r="E13" s="311">
        <v>195536.13</v>
      </c>
      <c r="F13" s="310">
        <v>784720.54</v>
      </c>
      <c r="G13" s="86">
        <f t="shared" si="0"/>
        <v>0.21003771959132167</v>
      </c>
      <c r="H13" s="86">
        <f t="shared" si="1"/>
        <v>7.1306753836843179E-2</v>
      </c>
      <c r="I13" s="86">
        <f t="shared" si="6"/>
        <v>0.22224465541788443</v>
      </c>
      <c r="J13" s="311">
        <v>701</v>
      </c>
      <c r="K13" s="63">
        <f t="shared" si="7"/>
        <v>278.93884450784594</v>
      </c>
      <c r="L13" s="61">
        <v>13</v>
      </c>
      <c r="M13" s="28">
        <f t="shared" si="2"/>
        <v>1.8544935805991442E-2</v>
      </c>
      <c r="N13" s="46">
        <v>37</v>
      </c>
      <c r="O13" s="89">
        <f t="shared" si="3"/>
        <v>5.2781740370898715E-2</v>
      </c>
      <c r="P13" s="260">
        <f t="shared" si="8"/>
        <v>16736.113043478261</v>
      </c>
      <c r="Q13" s="89">
        <f t="shared" si="4"/>
        <v>8.559089843640795E-2</v>
      </c>
      <c r="R13" s="260">
        <f t="shared" si="9"/>
        <v>35832.886956521739</v>
      </c>
      <c r="S13" s="89">
        <f t="shared" si="5"/>
        <v>0.18325455738804761</v>
      </c>
      <c r="T13" s="310">
        <v>7150.15</v>
      </c>
      <c r="U13" s="9"/>
      <c r="W13">
        <v>19246.53</v>
      </c>
      <c r="X13" s="297">
        <f t="shared" si="10"/>
        <v>16736.113043478261</v>
      </c>
      <c r="Z13">
        <v>41207.82</v>
      </c>
      <c r="AA13" s="297">
        <f t="shared" si="11"/>
        <v>35832.886956521739</v>
      </c>
    </row>
    <row r="14" spans="1:27" ht="15.6" customHeight="1" x14ac:dyDescent="0.3">
      <c r="A14" s="409" t="s">
        <v>20</v>
      </c>
      <c r="B14" s="314">
        <v>167241.45000000001</v>
      </c>
      <c r="C14" s="310">
        <v>136515.1</v>
      </c>
      <c r="D14" s="310">
        <v>173613.53</v>
      </c>
      <c r="E14" s="311">
        <v>159646.01</v>
      </c>
      <c r="F14" s="310">
        <v>681221.06</v>
      </c>
      <c r="G14" s="86">
        <f t="shared" si="0"/>
        <v>0.16943847237411833</v>
      </c>
      <c r="H14" s="86">
        <f t="shared" si="1"/>
        <v>-8.045179428124058E-2</v>
      </c>
      <c r="I14" s="86">
        <f t="shared" si="6"/>
        <v>-4.5416013793231291E-2</v>
      </c>
      <c r="J14" s="311">
        <v>538</v>
      </c>
      <c r="K14" s="63">
        <f t="shared" si="7"/>
        <v>296.73979553903348</v>
      </c>
      <c r="L14" s="61">
        <v>11</v>
      </c>
      <c r="M14" s="28">
        <f t="shared" si="2"/>
        <v>2.0446096654275093E-2</v>
      </c>
      <c r="N14" s="46">
        <v>41</v>
      </c>
      <c r="O14" s="89">
        <f t="shared" si="3"/>
        <v>7.6208178438661706E-2</v>
      </c>
      <c r="P14" s="260">
        <f t="shared" si="8"/>
        <v>39405.791304347833</v>
      </c>
      <c r="Q14" s="89">
        <f t="shared" si="4"/>
        <v>0.24683229668156337</v>
      </c>
      <c r="R14" s="260">
        <f t="shared" si="9"/>
        <v>20205.652173913044</v>
      </c>
      <c r="S14" s="89">
        <f t="shared" si="5"/>
        <v>0.12656534400022301</v>
      </c>
      <c r="T14" s="310">
        <v>4638</v>
      </c>
      <c r="U14" s="26"/>
      <c r="W14">
        <v>45316.66</v>
      </c>
      <c r="X14" s="297">
        <f t="shared" si="10"/>
        <v>39405.791304347833</v>
      </c>
      <c r="Z14">
        <v>23236.5</v>
      </c>
      <c r="AA14" s="297">
        <f t="shared" si="11"/>
        <v>20205.652173913044</v>
      </c>
    </row>
    <row r="15" spans="1:27" ht="15.6" customHeight="1" x14ac:dyDescent="0.3">
      <c r="A15" s="198" t="s">
        <v>22</v>
      </c>
      <c r="B15" s="310">
        <v>150977.88</v>
      </c>
      <c r="C15" s="310">
        <v>141945</v>
      </c>
      <c r="D15" s="310">
        <v>136276.04999999999</v>
      </c>
      <c r="E15" s="311">
        <v>141040.22</v>
      </c>
      <c r="F15" s="310">
        <v>603534.56000000006</v>
      </c>
      <c r="G15" s="86">
        <f t="shared" si="0"/>
        <v>-6.3741590052485038E-3</v>
      </c>
      <c r="H15" s="86">
        <f t="shared" si="1"/>
        <v>3.4959701282800709E-2</v>
      </c>
      <c r="I15" s="86">
        <f t="shared" si="6"/>
        <v>-6.5821960144095304E-2</v>
      </c>
      <c r="J15" s="311">
        <v>523</v>
      </c>
      <c r="K15" s="63">
        <f t="shared" si="7"/>
        <v>269.67537284894837</v>
      </c>
      <c r="L15" s="61">
        <v>6</v>
      </c>
      <c r="M15" s="28">
        <f t="shared" si="2"/>
        <v>1.1472275334608031E-2</v>
      </c>
      <c r="N15" s="46">
        <v>27</v>
      </c>
      <c r="O15" s="89">
        <f t="shared" si="3"/>
        <v>5.1625239005736137E-2</v>
      </c>
      <c r="P15" s="260">
        <f t="shared" si="8"/>
        <v>16362.808695652175</v>
      </c>
      <c r="Q15" s="89">
        <f t="shared" si="4"/>
        <v>0.116015195492833</v>
      </c>
      <c r="R15" s="260">
        <f t="shared" si="9"/>
        <v>16792.956521739132</v>
      </c>
      <c r="S15" s="89">
        <f t="shared" si="5"/>
        <v>0.1190650193380238</v>
      </c>
      <c r="T15" s="310">
        <v>8176.5</v>
      </c>
      <c r="U15" s="26"/>
      <c r="W15">
        <v>18817.23</v>
      </c>
      <c r="X15" s="297">
        <f t="shared" si="10"/>
        <v>16362.808695652175</v>
      </c>
      <c r="Z15">
        <v>19311.900000000001</v>
      </c>
      <c r="AA15" s="297">
        <f t="shared" si="11"/>
        <v>16792.956521739132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06" priority="4" operator="equal">
      <formula>0</formula>
    </cfRule>
  </conditionalFormatting>
  <conditionalFormatting sqref="P12:P13">
    <cfRule type="cellIs" dxfId="105" priority="2" operator="equal">
      <formula>0</formula>
    </cfRule>
  </conditionalFormatting>
  <conditionalFormatting sqref="W5">
    <cfRule type="cellIs" dxfId="10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AA37"/>
  <sheetViews>
    <sheetView zoomScale="80" zoomScaleNormal="80" workbookViewId="0">
      <pane xSplit="1" topLeftCell="B1" activePane="topRight" state="frozen"/>
      <selection pane="topRight" activeCell="D9" sqref="D9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16.44140625" customWidth="1"/>
    <col min="6" max="6" width="19.441406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4.6640625" bestFit="1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1.5975494283807633E-2</v>
      </c>
      <c r="H2" s="413"/>
      <c r="I2" s="400">
        <f>((E4-B4)/E4)</f>
        <v>-6.5881317824044425E-2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01"/>
      <c r="B3" s="113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398" t="s">
        <v>13</v>
      </c>
      <c r="B4" s="299">
        <f>SUM(B5:B15)</f>
        <v>2165320.4699999997</v>
      </c>
      <c r="C4" s="299">
        <f>SUM(C5:C15)</f>
        <v>1999540.0100000002</v>
      </c>
      <c r="D4" s="299">
        <f>SUM(D5:D15)</f>
        <v>1953037.15</v>
      </c>
      <c r="E4" s="299">
        <f>SUM(E5:E15)</f>
        <v>2031483.65</v>
      </c>
      <c r="F4" s="299">
        <f>SUM(F5:F15)</f>
        <v>1853318.7199999997</v>
      </c>
      <c r="G4" s="300">
        <f t="shared" ref="G4:G15" si="0">IFERROR((SUM(E4-C4)/C4),0)</f>
        <v>1.5975494283807633E-2</v>
      </c>
      <c r="H4" s="300">
        <f t="shared" ref="H4:H15" si="1">IFERROR((SUM(E4-D4)/D4),0)</f>
        <v>4.0166414653197972E-2</v>
      </c>
      <c r="I4" s="300">
        <f>IFERROR((SUM(E4-B4)/E4),0)</f>
        <v>-6.5881317824044425E-2</v>
      </c>
      <c r="J4" s="301">
        <f>SUM(J5:J15)</f>
        <v>6667</v>
      </c>
      <c r="K4" s="302">
        <f>AVERAGE(K5:K15)</f>
        <v>301.41303502522226</v>
      </c>
      <c r="L4" s="303">
        <f>SUM(L5:L15)</f>
        <v>91</v>
      </c>
      <c r="M4" s="304">
        <f t="shared" ref="M4:M15" si="2">IFERROR(L4/J4,0)</f>
        <v>1.3649317534123294E-2</v>
      </c>
      <c r="N4" s="305">
        <f>SUM(N7:N15)</f>
        <v>256</v>
      </c>
      <c r="O4" s="306">
        <f t="shared" ref="O4:O15" si="3">IFERROR(N4/SUM(J4),0)</f>
        <v>3.8398080095995199E-2</v>
      </c>
      <c r="P4" s="307">
        <f>SUM(P5:P15)</f>
        <v>326125.48695652181</v>
      </c>
      <c r="Q4" s="306">
        <f t="shared" ref="Q4:Q15" si="4">SUM(P4/E4)</f>
        <v>0.16053561984440379</v>
      </c>
      <c r="R4" s="308">
        <f>SUM(R5:R15)</f>
        <v>222663.42608695658</v>
      </c>
      <c r="S4" s="306">
        <f t="shared" ref="S4:S15" si="5">SUM(R4/E4)</f>
        <v>0.10960630969732717</v>
      </c>
      <c r="T4" s="310">
        <f>SUM(T5:T15)</f>
        <v>69165.510000000009</v>
      </c>
      <c r="U4" s="24"/>
    </row>
    <row r="5" spans="1:27" ht="15.6" customHeight="1" x14ac:dyDescent="0.3">
      <c r="A5" s="198" t="s">
        <v>26</v>
      </c>
      <c r="B5" s="310">
        <v>257455.68</v>
      </c>
      <c r="C5" s="310">
        <v>165767.19</v>
      </c>
      <c r="D5" s="310">
        <v>170291.99</v>
      </c>
      <c r="E5" s="310">
        <v>336758.14</v>
      </c>
      <c r="F5" s="310">
        <v>317546.77</v>
      </c>
      <c r="G5" s="86">
        <f t="shared" si="0"/>
        <v>1.031512629248285</v>
      </c>
      <c r="H5" s="86">
        <f t="shared" si="1"/>
        <v>0.97753364676753163</v>
      </c>
      <c r="I5" s="86">
        <f t="shared" ref="I5:I15" si="6">IFERROR((SUM(E5-B5)/B5),0)</f>
        <v>0.30802373441518177</v>
      </c>
      <c r="J5" s="311">
        <v>965</v>
      </c>
      <c r="K5" s="63">
        <f t="shared" ref="K5:K15" si="7">IFERROR(E5/J5,0)</f>
        <v>348.97216580310885</v>
      </c>
      <c r="L5" s="61">
        <v>10</v>
      </c>
      <c r="M5" s="28">
        <f t="shared" si="2"/>
        <v>1.0362694300518135E-2</v>
      </c>
      <c r="N5" s="46">
        <v>42</v>
      </c>
      <c r="O5" s="89">
        <f t="shared" si="3"/>
        <v>4.3523316062176166E-2</v>
      </c>
      <c r="P5" s="260">
        <f t="shared" ref="P5:P15" si="8">SUM(X5)</f>
        <v>0</v>
      </c>
      <c r="Q5" s="89">
        <f t="shared" si="4"/>
        <v>0</v>
      </c>
      <c r="R5" s="260">
        <f t="shared" ref="R5:R15" si="9">SUM(AA5)</f>
        <v>33349.130434782608</v>
      </c>
      <c r="S5" s="89">
        <f t="shared" si="5"/>
        <v>9.9029916351190822E-2</v>
      </c>
      <c r="T5" s="310">
        <v>3410.88</v>
      </c>
      <c r="U5" s="9"/>
      <c r="W5" s="260"/>
      <c r="X5" s="297">
        <f t="shared" ref="X5:X15" si="10">W5/1.15</f>
        <v>0</v>
      </c>
      <c r="Z5">
        <v>38351.5</v>
      </c>
      <c r="AA5" s="297">
        <f t="shared" ref="AA5:AA15" si="11">SUM(Z5)/1.15</f>
        <v>33349.130434782608</v>
      </c>
    </row>
    <row r="6" spans="1:27" ht="16.2" customHeight="1" thickBot="1" x14ac:dyDescent="0.35">
      <c r="A6" s="409" t="s">
        <v>21</v>
      </c>
      <c r="B6" s="310">
        <v>227257.39</v>
      </c>
      <c r="C6" s="310">
        <v>308365.96000000002</v>
      </c>
      <c r="D6" s="310">
        <v>243978.34</v>
      </c>
      <c r="E6" s="310">
        <v>220235.36</v>
      </c>
      <c r="F6" s="310">
        <v>199624.68</v>
      </c>
      <c r="G6" s="86">
        <f t="shared" si="0"/>
        <v>-0.28579873083267698</v>
      </c>
      <c r="H6" s="86">
        <f t="shared" si="1"/>
        <v>-9.7315933865276774E-2</v>
      </c>
      <c r="I6" s="86">
        <f t="shared" si="6"/>
        <v>-3.0899017189276123E-2</v>
      </c>
      <c r="J6" s="311">
        <v>691</v>
      </c>
      <c r="K6" s="63">
        <f t="shared" si="7"/>
        <v>318.71976845151954</v>
      </c>
      <c r="L6" s="61">
        <v>10</v>
      </c>
      <c r="M6" s="28">
        <f t="shared" si="2"/>
        <v>1.4471780028943559E-2</v>
      </c>
      <c r="N6" s="46">
        <v>42</v>
      </c>
      <c r="O6" s="89">
        <f t="shared" si="3"/>
        <v>6.0781476121562955E-2</v>
      </c>
      <c r="P6" s="260">
        <f t="shared" si="8"/>
        <v>44211.35652173913</v>
      </c>
      <c r="Q6" s="89">
        <f t="shared" si="4"/>
        <v>0.20074594979543309</v>
      </c>
      <c r="R6" s="260">
        <f t="shared" si="9"/>
        <v>21132.208695652178</v>
      </c>
      <c r="S6" s="89">
        <f t="shared" si="5"/>
        <v>9.5952841976203004E-2</v>
      </c>
      <c r="T6" s="310">
        <v>8612.1</v>
      </c>
      <c r="U6" s="26"/>
      <c r="W6">
        <v>50843.06</v>
      </c>
      <c r="X6" s="297">
        <f t="shared" si="10"/>
        <v>44211.35652173913</v>
      </c>
      <c r="Z6">
        <v>24302.04</v>
      </c>
      <c r="AA6" s="297">
        <f t="shared" si="11"/>
        <v>21132.208695652178</v>
      </c>
    </row>
    <row r="7" spans="1:27" ht="16.5" customHeight="1" x14ac:dyDescent="0.3">
      <c r="A7" s="408" t="s">
        <v>15</v>
      </c>
      <c r="B7" s="310">
        <v>223446.27</v>
      </c>
      <c r="C7" s="310">
        <v>228976.77</v>
      </c>
      <c r="D7" s="310">
        <v>220251.26</v>
      </c>
      <c r="E7" s="310">
        <v>196319.56</v>
      </c>
      <c r="F7" s="310">
        <v>185104.51</v>
      </c>
      <c r="G7" s="86">
        <f t="shared" si="0"/>
        <v>-0.14262237169298875</v>
      </c>
      <c r="H7" s="86">
        <f t="shared" si="1"/>
        <v>-0.10865635910550528</v>
      </c>
      <c r="I7" s="86">
        <f t="shared" si="6"/>
        <v>-0.12140148949454378</v>
      </c>
      <c r="J7" s="311">
        <v>578</v>
      </c>
      <c r="K7" s="63">
        <f t="shared" si="7"/>
        <v>339.65321799307958</v>
      </c>
      <c r="L7" s="61">
        <v>4</v>
      </c>
      <c r="M7" s="28">
        <f t="shared" si="2"/>
        <v>6.920415224913495E-3</v>
      </c>
      <c r="N7" s="46">
        <v>24</v>
      </c>
      <c r="O7" s="89">
        <f t="shared" si="3"/>
        <v>4.1522491349480967E-2</v>
      </c>
      <c r="P7" s="260">
        <f t="shared" si="8"/>
        <v>31748.573913043481</v>
      </c>
      <c r="Q7" s="89">
        <f t="shared" si="4"/>
        <v>0.16171885222768165</v>
      </c>
      <c r="R7" s="260">
        <f t="shared" si="9"/>
        <v>3476.5826086956527</v>
      </c>
      <c r="S7" s="89">
        <f t="shared" si="5"/>
        <v>1.7708793808908562E-2</v>
      </c>
      <c r="T7" s="310">
        <v>10156.200000000001</v>
      </c>
      <c r="U7" s="26"/>
      <c r="W7">
        <v>36510.86</v>
      </c>
      <c r="X7" s="297">
        <f t="shared" si="10"/>
        <v>31748.573913043481</v>
      </c>
      <c r="Z7">
        <v>3998.07</v>
      </c>
      <c r="AA7" s="297">
        <f t="shared" si="11"/>
        <v>3476.5826086956527</v>
      </c>
    </row>
    <row r="8" spans="1:27" ht="15.6" customHeight="1" x14ac:dyDescent="0.3">
      <c r="A8" s="198" t="s">
        <v>27</v>
      </c>
      <c r="B8" s="310">
        <v>138079.70000000001</v>
      </c>
      <c r="C8" s="310">
        <v>122700.03</v>
      </c>
      <c r="D8" s="310">
        <v>138958.96</v>
      </c>
      <c r="E8" s="310">
        <v>121044.86</v>
      </c>
      <c r="F8" s="310">
        <v>111107.79</v>
      </c>
      <c r="G8" s="86">
        <f t="shared" si="0"/>
        <v>-1.3489564753977633E-2</v>
      </c>
      <c r="H8" s="86">
        <f t="shared" si="1"/>
        <v>-0.12891648008879739</v>
      </c>
      <c r="I8" s="86">
        <f t="shared" si="6"/>
        <v>-0.12336961914025023</v>
      </c>
      <c r="J8" s="311">
        <v>417</v>
      </c>
      <c r="K8" s="63">
        <f t="shared" si="7"/>
        <v>290.27544364508395</v>
      </c>
      <c r="L8" s="61">
        <v>11</v>
      </c>
      <c r="M8" s="28">
        <f t="shared" si="2"/>
        <v>2.6378896882494004E-2</v>
      </c>
      <c r="N8" s="46">
        <v>25</v>
      </c>
      <c r="O8" s="89">
        <f t="shared" si="3"/>
        <v>5.9952038369304558E-2</v>
      </c>
      <c r="P8" s="260">
        <f t="shared" si="8"/>
        <v>31936.556521739134</v>
      </c>
      <c r="Q8" s="89">
        <f t="shared" si="4"/>
        <v>0.26384066635906006</v>
      </c>
      <c r="R8" s="260">
        <f t="shared" si="9"/>
        <v>14153.04347826087</v>
      </c>
      <c r="S8" s="89">
        <f t="shared" si="5"/>
        <v>0.11692395264252335</v>
      </c>
      <c r="T8" s="310">
        <v>5316.65</v>
      </c>
      <c r="U8" s="9"/>
      <c r="W8">
        <v>36727.040000000001</v>
      </c>
      <c r="X8" s="297">
        <f t="shared" si="10"/>
        <v>31936.556521739134</v>
      </c>
      <c r="Z8">
        <v>16276</v>
      </c>
      <c r="AA8" s="297">
        <f t="shared" si="11"/>
        <v>14153.04347826087</v>
      </c>
    </row>
    <row r="9" spans="1:27" ht="15.6" customHeight="1" x14ac:dyDescent="0.3">
      <c r="A9" s="198" t="s">
        <v>23</v>
      </c>
      <c r="B9" s="310">
        <v>231936.32</v>
      </c>
      <c r="C9" s="310">
        <v>215493.07</v>
      </c>
      <c r="D9" s="310">
        <v>192441.7</v>
      </c>
      <c r="E9" s="310">
        <v>207860.17</v>
      </c>
      <c r="F9" s="310">
        <v>187624.52</v>
      </c>
      <c r="G9" s="86">
        <f t="shared" si="0"/>
        <v>-3.5420628607685592E-2</v>
      </c>
      <c r="H9" s="86">
        <f t="shared" si="1"/>
        <v>8.0120213030751647E-2</v>
      </c>
      <c r="I9" s="86">
        <f t="shared" si="6"/>
        <v>-0.10380500130380611</v>
      </c>
      <c r="J9" s="311">
        <v>675</v>
      </c>
      <c r="K9" s="63">
        <f t="shared" si="7"/>
        <v>307.94099259259264</v>
      </c>
      <c r="L9" s="61">
        <v>15</v>
      </c>
      <c r="M9" s="28">
        <f t="shared" si="2"/>
        <v>2.2222222222222223E-2</v>
      </c>
      <c r="N9" s="46">
        <v>48</v>
      </c>
      <c r="O9" s="89">
        <f t="shared" si="3"/>
        <v>7.1111111111111111E-2</v>
      </c>
      <c r="P9" s="260">
        <f t="shared" si="8"/>
        <v>29295.64347826087</v>
      </c>
      <c r="Q9" s="89">
        <f t="shared" si="4"/>
        <v>0.14093918752332815</v>
      </c>
      <c r="R9" s="260">
        <f t="shared" si="9"/>
        <v>21999.365217391307</v>
      </c>
      <c r="S9" s="89">
        <f t="shared" si="5"/>
        <v>0.10583732909191455</v>
      </c>
      <c r="T9" s="310">
        <v>6512</v>
      </c>
      <c r="U9" s="26"/>
      <c r="W9">
        <v>33689.99</v>
      </c>
      <c r="X9" s="297">
        <f t="shared" si="10"/>
        <v>29295.64347826087</v>
      </c>
      <c r="Z9">
        <v>25299.27</v>
      </c>
      <c r="AA9" s="297">
        <f t="shared" si="11"/>
        <v>21999.365217391307</v>
      </c>
    </row>
    <row r="10" spans="1:27" ht="15.6" customHeight="1" x14ac:dyDescent="0.3">
      <c r="A10" s="409" t="s">
        <v>16</v>
      </c>
      <c r="B10" s="310">
        <v>248519.64</v>
      </c>
      <c r="C10" s="310">
        <v>203728.44</v>
      </c>
      <c r="D10" s="310">
        <v>208284.54</v>
      </c>
      <c r="E10" s="310">
        <v>206956.47</v>
      </c>
      <c r="F10" s="310">
        <v>184409.42</v>
      </c>
      <c r="G10" s="86">
        <f t="shared" si="0"/>
        <v>1.5844768653802084E-2</v>
      </c>
      <c r="H10" s="86">
        <f t="shared" si="1"/>
        <v>-6.3762293639268997E-3</v>
      </c>
      <c r="I10" s="86">
        <f t="shared" si="6"/>
        <v>-0.16724299938628598</v>
      </c>
      <c r="J10" s="311">
        <v>717</v>
      </c>
      <c r="K10" s="63">
        <f t="shared" si="7"/>
        <v>288.64221757322179</v>
      </c>
      <c r="L10" s="61">
        <v>1</v>
      </c>
      <c r="M10" s="28">
        <f t="shared" si="2"/>
        <v>1.3947001394700139E-3</v>
      </c>
      <c r="N10" s="46">
        <v>15</v>
      </c>
      <c r="O10" s="89">
        <f t="shared" si="3"/>
        <v>2.0920502092050208E-2</v>
      </c>
      <c r="P10" s="260">
        <f t="shared" si="8"/>
        <v>30252.104347826087</v>
      </c>
      <c r="Q10" s="89">
        <f t="shared" si="4"/>
        <v>0.14617617099782426</v>
      </c>
      <c r="R10" s="260">
        <f t="shared" si="9"/>
        <v>35765.217391304352</v>
      </c>
      <c r="S10" s="89">
        <f t="shared" si="5"/>
        <v>0.1728151692542125</v>
      </c>
      <c r="T10" s="310">
        <v>14717.93</v>
      </c>
      <c r="U10" s="26"/>
      <c r="W10">
        <v>34789.919999999998</v>
      </c>
      <c r="X10" s="297">
        <f t="shared" si="10"/>
        <v>30252.104347826087</v>
      </c>
      <c r="Z10">
        <v>41130</v>
      </c>
      <c r="AA10" s="297">
        <f t="shared" si="11"/>
        <v>35765.217391304352</v>
      </c>
    </row>
    <row r="11" spans="1:27" ht="15.6" customHeight="1" x14ac:dyDescent="0.3">
      <c r="A11" s="409" t="s">
        <v>17</v>
      </c>
      <c r="B11" s="310">
        <v>118378.17</v>
      </c>
      <c r="C11" s="310">
        <v>108699.37</v>
      </c>
      <c r="D11" s="310">
        <v>132640.10999999999</v>
      </c>
      <c r="E11" s="310">
        <v>131127.53</v>
      </c>
      <c r="F11" s="310">
        <v>118017.95</v>
      </c>
      <c r="G11" s="86">
        <f t="shared" si="0"/>
        <v>0.20633201461977199</v>
      </c>
      <c r="H11" s="86">
        <f t="shared" si="1"/>
        <v>-1.1403639517488242E-2</v>
      </c>
      <c r="I11" s="86">
        <f t="shared" si="6"/>
        <v>0.10770026264132991</v>
      </c>
      <c r="J11" s="311">
        <v>472</v>
      </c>
      <c r="K11" s="63">
        <f t="shared" si="7"/>
        <v>277.81256355932203</v>
      </c>
      <c r="L11" s="61">
        <v>3</v>
      </c>
      <c r="M11" s="28">
        <f t="shared" si="2"/>
        <v>6.3559322033898309E-3</v>
      </c>
      <c r="N11" s="46">
        <v>22</v>
      </c>
      <c r="O11" s="89">
        <f t="shared" si="3"/>
        <v>4.6610169491525424E-2</v>
      </c>
      <c r="P11" s="260">
        <f t="shared" si="8"/>
        <v>48180.965217391305</v>
      </c>
      <c r="Q11" s="89">
        <f t="shared" si="4"/>
        <v>0.36743592453385882</v>
      </c>
      <c r="R11" s="260">
        <f t="shared" si="9"/>
        <v>20811.556521739134</v>
      </c>
      <c r="S11" s="89">
        <f t="shared" si="5"/>
        <v>0.15871233540156773</v>
      </c>
      <c r="T11" s="310">
        <v>2875.5</v>
      </c>
      <c r="U11" s="26"/>
      <c r="W11">
        <v>55408.11</v>
      </c>
      <c r="X11" s="297">
        <f t="shared" si="10"/>
        <v>48180.965217391305</v>
      </c>
      <c r="Z11">
        <v>23933.29</v>
      </c>
      <c r="AA11" s="297">
        <f t="shared" si="11"/>
        <v>20811.556521739134</v>
      </c>
    </row>
    <row r="12" spans="1:27" ht="15.6" customHeight="1" x14ac:dyDescent="0.3">
      <c r="A12" s="198" t="s">
        <v>55</v>
      </c>
      <c r="B12" s="310">
        <v>224024.94</v>
      </c>
      <c r="C12" s="310">
        <v>201597.1</v>
      </c>
      <c r="D12" s="310">
        <v>193925.84</v>
      </c>
      <c r="E12" s="310">
        <v>182201.77</v>
      </c>
      <c r="F12" s="310">
        <v>164796.43</v>
      </c>
      <c r="G12" s="86">
        <f t="shared" si="0"/>
        <v>-9.6208377997501038E-2</v>
      </c>
      <c r="H12" s="86">
        <f t="shared" si="1"/>
        <v>-6.0456461088424354E-2</v>
      </c>
      <c r="I12" s="86">
        <f t="shared" si="6"/>
        <v>-0.18668979444877884</v>
      </c>
      <c r="J12" s="311">
        <v>689</v>
      </c>
      <c r="K12" s="63">
        <f t="shared" si="7"/>
        <v>264.44378809869374</v>
      </c>
      <c r="L12" s="61">
        <v>7</v>
      </c>
      <c r="M12" s="28">
        <f t="shared" si="2"/>
        <v>1.0159651669085631E-2</v>
      </c>
      <c r="N12" s="46">
        <v>17</v>
      </c>
      <c r="O12" s="89">
        <f t="shared" si="3"/>
        <v>2.4673439767779391E-2</v>
      </c>
      <c r="P12" s="260">
        <f t="shared" si="8"/>
        <v>30219.834782608697</v>
      </c>
      <c r="Q12" s="89">
        <f t="shared" si="4"/>
        <v>0.16585917240325765</v>
      </c>
      <c r="R12" s="260">
        <f t="shared" si="9"/>
        <v>29636.939130434788</v>
      </c>
      <c r="S12" s="89">
        <f t="shared" si="5"/>
        <v>0.16265999573129716</v>
      </c>
      <c r="T12" s="310">
        <v>689</v>
      </c>
      <c r="U12" s="9"/>
      <c r="W12">
        <v>34752.81</v>
      </c>
      <c r="X12" s="297">
        <f t="shared" si="10"/>
        <v>30219.834782608697</v>
      </c>
      <c r="Z12">
        <v>34082.480000000003</v>
      </c>
      <c r="AA12" s="297">
        <f t="shared" si="11"/>
        <v>29636.939130434788</v>
      </c>
    </row>
    <row r="13" spans="1:27" ht="16.2" customHeight="1" thickBot="1" x14ac:dyDescent="0.35">
      <c r="A13" s="199" t="s">
        <v>33</v>
      </c>
      <c r="B13" s="310">
        <v>195536.13</v>
      </c>
      <c r="C13" s="310">
        <v>164475.29999999999</v>
      </c>
      <c r="D13" s="310">
        <v>186189.33</v>
      </c>
      <c r="E13" s="310">
        <v>157829.48000000001</v>
      </c>
      <c r="F13" s="310">
        <v>143219.97</v>
      </c>
      <c r="G13" s="86">
        <f t="shared" si="0"/>
        <v>-4.0406188649602576E-2</v>
      </c>
      <c r="H13" s="86">
        <f t="shared" si="1"/>
        <v>-0.15231726758993105</v>
      </c>
      <c r="I13" s="86">
        <f t="shared" si="6"/>
        <v>-0.19283725212317537</v>
      </c>
      <c r="J13" s="311">
        <v>550</v>
      </c>
      <c r="K13" s="63">
        <f t="shared" si="7"/>
        <v>286.96269090909095</v>
      </c>
      <c r="L13" s="61">
        <v>13</v>
      </c>
      <c r="M13" s="28">
        <f t="shared" si="2"/>
        <v>2.3636363636363636E-2</v>
      </c>
      <c r="N13" s="46">
        <v>37</v>
      </c>
      <c r="O13" s="89">
        <f t="shared" si="3"/>
        <v>6.7272727272727276E-2</v>
      </c>
      <c r="P13" s="260">
        <f t="shared" si="8"/>
        <v>28407.973913043479</v>
      </c>
      <c r="Q13" s="89">
        <f t="shared" si="4"/>
        <v>0.17999155742668274</v>
      </c>
      <c r="R13" s="260">
        <f t="shared" si="9"/>
        <v>14656.765217391305</v>
      </c>
      <c r="S13" s="89">
        <f t="shared" si="5"/>
        <v>9.2864560013701525E-2</v>
      </c>
      <c r="T13" s="310">
        <v>4638.75</v>
      </c>
      <c r="U13" s="9"/>
      <c r="W13">
        <v>32669.17</v>
      </c>
      <c r="X13" s="297">
        <f t="shared" si="10"/>
        <v>28407.973913043479</v>
      </c>
      <c r="Z13">
        <v>16855.28</v>
      </c>
      <c r="AA13" s="297">
        <f t="shared" si="11"/>
        <v>14656.765217391305</v>
      </c>
    </row>
    <row r="14" spans="1:27" ht="15.6" customHeight="1" x14ac:dyDescent="0.3">
      <c r="A14" s="409" t="s">
        <v>20</v>
      </c>
      <c r="B14" s="314">
        <v>159646.01</v>
      </c>
      <c r="C14" s="310">
        <v>132983.03</v>
      </c>
      <c r="D14" s="310">
        <v>147310.94</v>
      </c>
      <c r="E14" s="310">
        <v>151265.91</v>
      </c>
      <c r="F14" s="310">
        <v>138170.43</v>
      </c>
      <c r="G14" s="86">
        <f t="shared" si="0"/>
        <v>0.137482805136866</v>
      </c>
      <c r="H14" s="86">
        <f t="shared" si="1"/>
        <v>2.6847768400636105E-2</v>
      </c>
      <c r="I14" s="86">
        <f t="shared" si="6"/>
        <v>-5.2491759737684676E-2</v>
      </c>
      <c r="J14" s="311">
        <v>476</v>
      </c>
      <c r="K14" s="63">
        <f t="shared" si="7"/>
        <v>317.78552521008402</v>
      </c>
      <c r="L14" s="61">
        <v>11</v>
      </c>
      <c r="M14" s="28">
        <f t="shared" si="2"/>
        <v>2.3109243697478993E-2</v>
      </c>
      <c r="N14" s="46">
        <v>41</v>
      </c>
      <c r="O14" s="89">
        <f t="shared" si="3"/>
        <v>8.6134453781512604E-2</v>
      </c>
      <c r="P14" s="260">
        <f t="shared" si="8"/>
        <v>33102.217391304352</v>
      </c>
      <c r="Q14" s="89">
        <f t="shared" si="4"/>
        <v>0.21883461641360138</v>
      </c>
      <c r="R14" s="260">
        <f t="shared" si="9"/>
        <v>17290.226086956522</v>
      </c>
      <c r="S14" s="89">
        <f t="shared" si="5"/>
        <v>0.11430352077977464</v>
      </c>
      <c r="T14" s="310">
        <v>4844</v>
      </c>
      <c r="U14" s="26"/>
      <c r="W14">
        <v>38067.550000000003</v>
      </c>
      <c r="X14" s="297">
        <f t="shared" si="10"/>
        <v>33102.217391304352</v>
      </c>
      <c r="Z14">
        <v>19883.759999999998</v>
      </c>
      <c r="AA14" s="297">
        <f t="shared" si="11"/>
        <v>17290.226086956522</v>
      </c>
    </row>
    <row r="15" spans="1:27" ht="15.6" customHeight="1" x14ac:dyDescent="0.3">
      <c r="A15" s="198" t="s">
        <v>22</v>
      </c>
      <c r="B15" s="310">
        <v>141040.22</v>
      </c>
      <c r="C15" s="310">
        <v>146753.75</v>
      </c>
      <c r="D15" s="310">
        <v>118764.14</v>
      </c>
      <c r="E15" s="310">
        <v>119884.4</v>
      </c>
      <c r="F15" s="310">
        <v>103696.25</v>
      </c>
      <c r="G15" s="86">
        <f t="shared" si="0"/>
        <v>-0.18309140311576369</v>
      </c>
      <c r="H15" s="86">
        <f t="shared" si="1"/>
        <v>9.4326452412318625E-3</v>
      </c>
      <c r="I15" s="86">
        <f t="shared" si="6"/>
        <v>-0.1499984897924862</v>
      </c>
      <c r="J15" s="311">
        <v>437</v>
      </c>
      <c r="K15" s="63">
        <f t="shared" si="7"/>
        <v>274.33501144164757</v>
      </c>
      <c r="L15" s="61">
        <v>6</v>
      </c>
      <c r="M15" s="28">
        <f t="shared" si="2"/>
        <v>1.3729977116704805E-2</v>
      </c>
      <c r="N15" s="46">
        <v>27</v>
      </c>
      <c r="O15" s="89">
        <f t="shared" si="3"/>
        <v>6.1784897025171627E-2</v>
      </c>
      <c r="P15" s="260">
        <f t="shared" si="8"/>
        <v>18770.26086956522</v>
      </c>
      <c r="Q15" s="89">
        <f t="shared" si="4"/>
        <v>0.15656966936119479</v>
      </c>
      <c r="R15" s="260">
        <f t="shared" si="9"/>
        <v>10392.391304347826</v>
      </c>
      <c r="S15" s="89">
        <f t="shared" si="5"/>
        <v>8.6686769123821172E-2</v>
      </c>
      <c r="T15" s="310">
        <v>7392.5</v>
      </c>
      <c r="U15" s="26"/>
      <c r="W15">
        <v>21585.8</v>
      </c>
      <c r="X15" s="297">
        <f t="shared" si="10"/>
        <v>18770.26086956522</v>
      </c>
      <c r="Z15">
        <v>11951.25</v>
      </c>
      <c r="AA15" s="297">
        <f t="shared" si="11"/>
        <v>10392.391304347826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03" priority="4" operator="equal">
      <formula>0</formula>
    </cfRule>
  </conditionalFormatting>
  <conditionalFormatting sqref="P12:P13">
    <cfRule type="cellIs" dxfId="102" priority="2" operator="equal">
      <formula>0</formula>
    </cfRule>
  </conditionalFormatting>
  <conditionalFormatting sqref="W5">
    <cfRule type="cellIs" dxfId="10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AA37"/>
  <sheetViews>
    <sheetView zoomScale="60" zoomScaleNormal="60" workbookViewId="0">
      <pane xSplit="1" topLeftCell="B1" activePane="topRight" state="frozen"/>
      <selection pane="topRight" activeCell="E8" sqref="E8"/>
    </sheetView>
  </sheetViews>
  <sheetFormatPr defaultRowHeight="14.4" x14ac:dyDescent="0.3"/>
  <cols>
    <col min="1" max="1" width="23" customWidth="1"/>
    <col min="2" max="2" width="19" customWidth="1"/>
    <col min="3" max="3" width="17.3320312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0.11702515456266138</v>
      </c>
      <c r="H2" s="413"/>
      <c r="I2" s="400">
        <f>((E4-B4)/E4)</f>
        <v>2.5070035112398258E-2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2031483.65</v>
      </c>
      <c r="C4" s="299">
        <f>SUM(C5:C15)</f>
        <v>1865421.4200000002</v>
      </c>
      <c r="D4" s="299">
        <f>SUM(D5:D15)</f>
        <v>1956895.21</v>
      </c>
      <c r="E4" s="299">
        <f>SUM(E5:E15)</f>
        <v>2083722.6499999994</v>
      </c>
      <c r="F4" s="299">
        <f>SUM(F5:F15)</f>
        <v>4068198.5999999996</v>
      </c>
      <c r="G4" s="300">
        <f t="shared" ref="G4:G15" si="0">IFERROR((SUM(E4-C4)/C4),0)</f>
        <v>0.11702515456266138</v>
      </c>
      <c r="H4" s="300">
        <f t="shared" ref="H4:H15" si="1">IFERROR((SUM(E4-D4)/D4),0)</f>
        <v>6.4810542410188368E-2</v>
      </c>
      <c r="I4" s="324">
        <f>IFERROR((SUM(E4-B4)/E4),0)</f>
        <v>2.5070035112398258E-2</v>
      </c>
      <c r="J4" s="325">
        <f>SUM(J5:J15)</f>
        <v>6444</v>
      </c>
      <c r="K4" s="326">
        <f>AVERAGE(K5:K15)</f>
        <v>343.8840572713209</v>
      </c>
      <c r="L4" s="327">
        <f>SUM(L5:L15)</f>
        <v>91</v>
      </c>
      <c r="M4" s="328">
        <f t="shared" ref="M4:M15" si="2">IFERROR(L4/J4,0)</f>
        <v>1.4121663563004346E-2</v>
      </c>
      <c r="N4" s="329">
        <f>SUM(N7:N15)</f>
        <v>256</v>
      </c>
      <c r="O4" s="330">
        <f t="shared" ref="O4:O15" si="3">IFERROR(N4/SUM(J4),0)</f>
        <v>3.9726877715704531E-2</v>
      </c>
      <c r="P4" s="331">
        <f>SUM(P5:P15)</f>
        <v>568960.46086956526</v>
      </c>
      <c r="Q4" s="330">
        <f t="shared" ref="Q4:Q15" si="4">SUM(P4/E4)</f>
        <v>0.27304999581857281</v>
      </c>
      <c r="R4" s="331">
        <f>SUM(R5:R15)</f>
        <v>270915.66956521745</v>
      </c>
      <c r="S4" s="330">
        <f t="shared" ref="S4:S15" si="5">SUM(R4/E4)</f>
        <v>0.13001522518614342</v>
      </c>
      <c r="T4" s="332">
        <f>SUM(T5:T15)</f>
        <v>86494.88</v>
      </c>
      <c r="U4" s="24"/>
    </row>
    <row r="5" spans="1:27" ht="15.6" customHeight="1" x14ac:dyDescent="0.3">
      <c r="A5" s="416" t="s">
        <v>26</v>
      </c>
      <c r="B5" s="343">
        <v>336758.14</v>
      </c>
      <c r="C5" s="316">
        <v>187730</v>
      </c>
      <c r="D5" s="317">
        <v>182462.52</v>
      </c>
      <c r="E5" s="316">
        <v>243627.61</v>
      </c>
      <c r="F5" s="318">
        <v>561174.38</v>
      </c>
      <c r="G5" s="335">
        <f t="shared" si="0"/>
        <v>0.29775534011612415</v>
      </c>
      <c r="H5" s="336">
        <f t="shared" si="1"/>
        <v>0.33522002217222474</v>
      </c>
      <c r="I5" s="337">
        <f t="shared" ref="I5:I15" si="6">IFERROR((SUM(E5-B5)/B5),0)</f>
        <v>-0.27655019712366868</v>
      </c>
      <c r="J5" s="333">
        <v>765</v>
      </c>
      <c r="K5" s="63">
        <f t="shared" ref="K5:K15" si="7">IFERROR(E5/J5,0)</f>
        <v>318.46746405228754</v>
      </c>
      <c r="L5" s="61">
        <v>10</v>
      </c>
      <c r="M5" s="28">
        <f t="shared" si="2"/>
        <v>1.3071895424836602E-2</v>
      </c>
      <c r="N5" s="46">
        <v>42</v>
      </c>
      <c r="O5" s="89">
        <f t="shared" si="3"/>
        <v>5.4901960784313725E-2</v>
      </c>
      <c r="P5" s="260">
        <f t="shared" ref="P5:P15" si="8">SUM(X5+AA5)</f>
        <v>25040.869565217392</v>
      </c>
      <c r="Q5" s="89">
        <f t="shared" si="4"/>
        <v>0.1027833814288019</v>
      </c>
      <c r="R5" s="260">
        <f t="shared" ref="R5:R15" si="9">SUM(AA5)</f>
        <v>25040.869565217392</v>
      </c>
      <c r="S5" s="89">
        <f t="shared" si="5"/>
        <v>0.1027833814288019</v>
      </c>
      <c r="T5" s="320">
        <v>1228.3</v>
      </c>
      <c r="U5" s="9"/>
      <c r="W5" s="260"/>
      <c r="X5" s="297">
        <f t="shared" ref="X5:X15" si="10">W5/1.15</f>
        <v>0</v>
      </c>
      <c r="Z5">
        <v>28797</v>
      </c>
      <c r="AA5" s="297">
        <f t="shared" ref="AA5:AA15" si="11">SUM(Z5)/1.15</f>
        <v>25040.869565217392</v>
      </c>
    </row>
    <row r="6" spans="1:27" ht="15.6" customHeight="1" x14ac:dyDescent="0.3">
      <c r="A6" s="406" t="s">
        <v>21</v>
      </c>
      <c r="B6" s="344">
        <v>220235.36</v>
      </c>
      <c r="C6" s="310">
        <v>311032.46000000002</v>
      </c>
      <c r="D6" s="310">
        <v>220256.34</v>
      </c>
      <c r="E6" s="310">
        <v>244982.86</v>
      </c>
      <c r="F6" s="319">
        <v>444607.54</v>
      </c>
      <c r="G6" s="338">
        <f t="shared" si="0"/>
        <v>-0.21235597082053762</v>
      </c>
      <c r="H6" s="86">
        <f t="shared" si="1"/>
        <v>0.11226246654239325</v>
      </c>
      <c r="I6" s="339">
        <f t="shared" si="6"/>
        <v>0.11236842258209581</v>
      </c>
      <c r="J6" s="333">
        <v>719</v>
      </c>
      <c r="K6" s="63">
        <f t="shared" si="7"/>
        <v>340.72720445062583</v>
      </c>
      <c r="L6" s="61">
        <v>10</v>
      </c>
      <c r="M6" s="28">
        <f t="shared" si="2"/>
        <v>1.3908205841446454E-2</v>
      </c>
      <c r="N6" s="46">
        <v>42</v>
      </c>
      <c r="O6" s="89">
        <f t="shared" si="3"/>
        <v>5.8414464534075103E-2</v>
      </c>
      <c r="P6" s="260">
        <f t="shared" si="8"/>
        <v>74097.182608695657</v>
      </c>
      <c r="Q6" s="89">
        <f t="shared" si="4"/>
        <v>0.30245863979502752</v>
      </c>
      <c r="R6" s="260">
        <f t="shared" si="9"/>
        <v>26139.060869565219</v>
      </c>
      <c r="S6" s="89">
        <f t="shared" si="5"/>
        <v>0.1066975088361905</v>
      </c>
      <c r="T6" s="320">
        <v>12416.25</v>
      </c>
      <c r="U6" s="26"/>
      <c r="W6">
        <v>55151.839999999997</v>
      </c>
      <c r="X6" s="297">
        <f t="shared" si="10"/>
        <v>47958.121739130438</v>
      </c>
      <c r="Z6">
        <v>30059.919999999998</v>
      </c>
      <c r="AA6" s="297">
        <f t="shared" si="11"/>
        <v>26139.060869565219</v>
      </c>
    </row>
    <row r="7" spans="1:27" ht="16.5" customHeight="1" x14ac:dyDescent="0.3">
      <c r="A7" s="406" t="s">
        <v>15</v>
      </c>
      <c r="B7" s="344">
        <v>196319.56</v>
      </c>
      <c r="C7" s="310">
        <v>289568.69</v>
      </c>
      <c r="D7" s="310">
        <v>193086.26</v>
      </c>
      <c r="E7" s="310">
        <v>213466.9</v>
      </c>
      <c r="F7" s="319">
        <v>446990.28</v>
      </c>
      <c r="G7" s="338">
        <f t="shared" si="0"/>
        <v>-0.26281083773249109</v>
      </c>
      <c r="H7" s="86">
        <f t="shared" si="1"/>
        <v>0.10555199525849215</v>
      </c>
      <c r="I7" s="339">
        <f t="shared" si="6"/>
        <v>8.7344022164678833E-2</v>
      </c>
      <c r="J7" s="333">
        <v>619</v>
      </c>
      <c r="K7" s="63">
        <f t="shared" si="7"/>
        <v>344.85767366720518</v>
      </c>
      <c r="L7" s="61">
        <v>4</v>
      </c>
      <c r="M7" s="28">
        <f t="shared" si="2"/>
        <v>6.462035541195477E-3</v>
      </c>
      <c r="N7" s="46">
        <v>24</v>
      </c>
      <c r="O7" s="89">
        <f t="shared" si="3"/>
        <v>3.8772213247172858E-2</v>
      </c>
      <c r="P7" s="260">
        <f t="shared" si="8"/>
        <v>40520.3652173913</v>
      </c>
      <c r="Q7" s="89">
        <f t="shared" si="4"/>
        <v>0.18982036661136364</v>
      </c>
      <c r="R7" s="260">
        <f t="shared" si="9"/>
        <v>6958.6347826086967</v>
      </c>
      <c r="S7" s="89">
        <f t="shared" si="5"/>
        <v>3.259819101981945E-2</v>
      </c>
      <c r="T7" s="320">
        <v>10169</v>
      </c>
      <c r="U7" s="26"/>
      <c r="W7">
        <v>38595.99</v>
      </c>
      <c r="X7" s="297">
        <f t="shared" si="10"/>
        <v>33561.730434782607</v>
      </c>
      <c r="Z7">
        <v>8002.43</v>
      </c>
      <c r="AA7" s="297">
        <f t="shared" si="11"/>
        <v>6958.6347826086967</v>
      </c>
    </row>
    <row r="8" spans="1:27" ht="15.6" customHeight="1" x14ac:dyDescent="0.3">
      <c r="A8" s="160" t="s">
        <v>27</v>
      </c>
      <c r="B8" s="344">
        <v>121044.86</v>
      </c>
      <c r="C8" s="310">
        <v>117265.60000000001</v>
      </c>
      <c r="D8" s="310">
        <v>144976.69</v>
      </c>
      <c r="E8" s="310">
        <f>126982.33+22739.15</f>
        <v>149721.48000000001</v>
      </c>
      <c r="F8" s="319">
        <v>195487.42</v>
      </c>
      <c r="G8" s="338">
        <f t="shared" si="0"/>
        <v>0.2767723867869179</v>
      </c>
      <c r="H8" s="86">
        <f t="shared" si="1"/>
        <v>3.2727950955426063E-2</v>
      </c>
      <c r="I8" s="339">
        <f t="shared" si="6"/>
        <v>0.23690902695083468</v>
      </c>
      <c r="J8" s="333">
        <v>223</v>
      </c>
      <c r="K8" s="63">
        <f t="shared" si="7"/>
        <v>671.39677130044845</v>
      </c>
      <c r="L8" s="61">
        <v>11</v>
      </c>
      <c r="M8" s="28">
        <f t="shared" si="2"/>
        <v>4.9327354260089683E-2</v>
      </c>
      <c r="N8" s="46">
        <v>25</v>
      </c>
      <c r="O8" s="89">
        <f t="shared" si="3"/>
        <v>0.11210762331838565</v>
      </c>
      <c r="P8" s="260">
        <f t="shared" si="8"/>
        <v>25061.156521739133</v>
      </c>
      <c r="Q8" s="89">
        <f t="shared" si="4"/>
        <v>0.16738517760937929</v>
      </c>
      <c r="R8" s="260">
        <f t="shared" si="9"/>
        <v>8093.4173913043487</v>
      </c>
      <c r="S8" s="89">
        <f t="shared" si="5"/>
        <v>5.4056488029001239E-2</v>
      </c>
      <c r="T8" s="320">
        <v>4019.25</v>
      </c>
      <c r="U8" s="9"/>
      <c r="W8">
        <v>19512.900000000001</v>
      </c>
      <c r="X8" s="297">
        <f t="shared" si="10"/>
        <v>16967.739130434784</v>
      </c>
      <c r="Z8">
        <v>9307.43</v>
      </c>
      <c r="AA8" s="297">
        <f t="shared" si="11"/>
        <v>8093.4173913043487</v>
      </c>
    </row>
    <row r="9" spans="1:27" ht="15.6" customHeight="1" x14ac:dyDescent="0.3">
      <c r="A9" s="160" t="s">
        <v>23</v>
      </c>
      <c r="B9" s="344">
        <v>207860.17</v>
      </c>
      <c r="C9" s="310">
        <v>202568.82</v>
      </c>
      <c r="D9" s="311">
        <v>194468.69</v>
      </c>
      <c r="E9" s="310">
        <v>205442.02</v>
      </c>
      <c r="F9" s="319">
        <v>418187.37</v>
      </c>
      <c r="G9" s="338">
        <f t="shared" si="0"/>
        <v>1.418382157727918E-2</v>
      </c>
      <c r="H9" s="86">
        <f t="shared" si="1"/>
        <v>5.6427232579187872E-2</v>
      </c>
      <c r="I9" s="339">
        <f t="shared" si="6"/>
        <v>-1.1633541914259105E-2</v>
      </c>
      <c r="J9" s="333">
        <v>713</v>
      </c>
      <c r="K9" s="63">
        <f t="shared" si="7"/>
        <v>288.13747545582044</v>
      </c>
      <c r="L9" s="61">
        <v>15</v>
      </c>
      <c r="M9" s="28">
        <f t="shared" si="2"/>
        <v>2.1037868162692847E-2</v>
      </c>
      <c r="N9" s="46">
        <v>48</v>
      </c>
      <c r="O9" s="89">
        <f t="shared" si="3"/>
        <v>6.7321178120617109E-2</v>
      </c>
      <c r="P9" s="260">
        <f t="shared" si="8"/>
        <v>63639.139130434793</v>
      </c>
      <c r="Q9" s="89">
        <f t="shared" si="4"/>
        <v>0.3097669071324104</v>
      </c>
      <c r="R9" s="260">
        <f t="shared" si="9"/>
        <v>25489.808695652177</v>
      </c>
      <c r="S9" s="89">
        <f t="shared" si="5"/>
        <v>0.12407300461537604</v>
      </c>
      <c r="T9" s="320">
        <v>10730.75</v>
      </c>
      <c r="U9" s="26"/>
      <c r="W9">
        <v>43871.73</v>
      </c>
      <c r="X9" s="297">
        <f t="shared" si="10"/>
        <v>38149.330434782612</v>
      </c>
      <c r="Z9">
        <v>29313.279999999999</v>
      </c>
      <c r="AA9" s="297">
        <f t="shared" si="11"/>
        <v>25489.808695652177</v>
      </c>
    </row>
    <row r="10" spans="1:27" ht="15.6" customHeight="1" x14ac:dyDescent="0.3">
      <c r="A10" s="406" t="s">
        <v>16</v>
      </c>
      <c r="B10" s="344">
        <v>206956.47</v>
      </c>
      <c r="C10" s="310">
        <v>209028.31</v>
      </c>
      <c r="D10" s="311">
        <v>245963.82</v>
      </c>
      <c r="E10" s="310">
        <v>225543.9</v>
      </c>
      <c r="F10" s="319">
        <v>443361.36</v>
      </c>
      <c r="G10" s="338">
        <f t="shared" si="0"/>
        <v>7.9011259288275335E-2</v>
      </c>
      <c r="H10" s="86">
        <f t="shared" si="1"/>
        <v>-8.3020014894873609E-2</v>
      </c>
      <c r="I10" s="339">
        <f t="shared" si="6"/>
        <v>8.9813234638182568E-2</v>
      </c>
      <c r="J10" s="333">
        <v>740</v>
      </c>
      <c r="K10" s="63">
        <f t="shared" si="7"/>
        <v>304.78905405405402</v>
      </c>
      <c r="L10" s="61">
        <v>1</v>
      </c>
      <c r="M10" s="28">
        <f t="shared" si="2"/>
        <v>1.3513513513513514E-3</v>
      </c>
      <c r="N10" s="46">
        <v>15</v>
      </c>
      <c r="O10" s="89">
        <f t="shared" si="3"/>
        <v>2.0270270270270271E-2</v>
      </c>
      <c r="P10" s="260">
        <f t="shared" si="8"/>
        <v>65947.243478260876</v>
      </c>
      <c r="Q10" s="89">
        <f t="shared" si="4"/>
        <v>0.29239205085245434</v>
      </c>
      <c r="R10" s="260">
        <f t="shared" si="9"/>
        <v>28466.669565217391</v>
      </c>
      <c r="S10" s="89">
        <f t="shared" si="5"/>
        <v>0.12621343146596911</v>
      </c>
      <c r="T10" s="320">
        <v>15754.93</v>
      </c>
      <c r="U10" s="26"/>
      <c r="W10">
        <v>43102.66</v>
      </c>
      <c r="X10" s="297">
        <f t="shared" si="10"/>
        <v>37480.573913043481</v>
      </c>
      <c r="Z10">
        <v>32736.67</v>
      </c>
      <c r="AA10" s="297">
        <f t="shared" si="11"/>
        <v>28466.669565217391</v>
      </c>
    </row>
    <row r="11" spans="1:27" ht="15.6" customHeight="1" x14ac:dyDescent="0.3">
      <c r="A11" s="406" t="s">
        <v>17</v>
      </c>
      <c r="B11" s="344">
        <v>131127.53</v>
      </c>
      <c r="C11" s="310">
        <v>101423.55</v>
      </c>
      <c r="D11" s="311">
        <v>118190.42</v>
      </c>
      <c r="E11" s="310">
        <v>138644.67000000001</v>
      </c>
      <c r="F11" s="319">
        <v>256662.62</v>
      </c>
      <c r="G11" s="338">
        <f t="shared" si="0"/>
        <v>0.36698695717118962</v>
      </c>
      <c r="H11" s="86">
        <f t="shared" si="1"/>
        <v>0.173061826838419</v>
      </c>
      <c r="I11" s="339">
        <f t="shared" si="6"/>
        <v>5.7326939659429366E-2</v>
      </c>
      <c r="J11" s="333">
        <v>450</v>
      </c>
      <c r="K11" s="63">
        <f t="shared" si="7"/>
        <v>308.09926666666672</v>
      </c>
      <c r="L11" s="61">
        <v>3</v>
      </c>
      <c r="M11" s="28">
        <f t="shared" si="2"/>
        <v>6.6666666666666671E-3</v>
      </c>
      <c r="N11" s="46">
        <v>22</v>
      </c>
      <c r="O11" s="89">
        <f t="shared" si="3"/>
        <v>4.8888888888888891E-2</v>
      </c>
      <c r="P11" s="260">
        <f t="shared" si="8"/>
        <v>70755.33913043479</v>
      </c>
      <c r="Q11" s="89">
        <f t="shared" si="4"/>
        <v>0.51033580396876987</v>
      </c>
      <c r="R11" s="260">
        <f t="shared" si="9"/>
        <v>45784.226086956529</v>
      </c>
      <c r="S11" s="89">
        <f t="shared" si="5"/>
        <v>0.33022709121783422</v>
      </c>
      <c r="T11" s="320">
        <v>3741.3</v>
      </c>
      <c r="U11" s="26"/>
      <c r="W11">
        <v>28716.78</v>
      </c>
      <c r="X11" s="297">
        <f t="shared" si="10"/>
        <v>24971.113043478261</v>
      </c>
      <c r="Z11">
        <v>52651.86</v>
      </c>
      <c r="AA11" s="297">
        <f t="shared" si="11"/>
        <v>45784.226086956529</v>
      </c>
    </row>
    <row r="12" spans="1:27" ht="15.6" customHeight="1" x14ac:dyDescent="0.3">
      <c r="A12" s="160" t="s">
        <v>55</v>
      </c>
      <c r="B12" s="344">
        <v>182201.77</v>
      </c>
      <c r="C12" s="310">
        <v>0</v>
      </c>
      <c r="D12" s="311">
        <v>195032.18</v>
      </c>
      <c r="E12" s="310">
        <v>192337.39</v>
      </c>
      <c r="F12" s="319">
        <v>379454.27</v>
      </c>
      <c r="G12" s="338">
        <f t="shared" si="0"/>
        <v>0</v>
      </c>
      <c r="H12" s="86">
        <f t="shared" si="1"/>
        <v>-1.3817155712457192E-2</v>
      </c>
      <c r="I12" s="339">
        <f t="shared" si="6"/>
        <v>5.5628548504221581E-2</v>
      </c>
      <c r="J12" s="333">
        <v>687</v>
      </c>
      <c r="K12" s="63">
        <f t="shared" si="7"/>
        <v>279.96708879184865</v>
      </c>
      <c r="L12" s="61">
        <v>7</v>
      </c>
      <c r="M12" s="28">
        <f t="shared" si="2"/>
        <v>1.0189228529839884E-2</v>
      </c>
      <c r="N12" s="46">
        <v>17</v>
      </c>
      <c r="O12" s="89">
        <f t="shared" si="3"/>
        <v>2.4745269286754003E-2</v>
      </c>
      <c r="P12" s="260">
        <f t="shared" si="8"/>
        <v>60303.304347826095</v>
      </c>
      <c r="Q12" s="89">
        <f t="shared" si="4"/>
        <v>0.31352876498857601</v>
      </c>
      <c r="R12" s="260">
        <f t="shared" si="9"/>
        <v>29930.791304347833</v>
      </c>
      <c r="S12" s="89">
        <f t="shared" si="5"/>
        <v>0.15561608330209653</v>
      </c>
      <c r="T12" s="320">
        <v>6300</v>
      </c>
      <c r="U12" s="9"/>
      <c r="W12">
        <v>34928.39</v>
      </c>
      <c r="X12" s="297">
        <f t="shared" si="10"/>
        <v>30372.513043478262</v>
      </c>
      <c r="Z12">
        <v>34420.410000000003</v>
      </c>
      <c r="AA12" s="297">
        <f t="shared" si="11"/>
        <v>29930.791304347833</v>
      </c>
    </row>
    <row r="13" spans="1:27" ht="15.6" customHeight="1" x14ac:dyDescent="0.3">
      <c r="A13" s="160" t="s">
        <v>33</v>
      </c>
      <c r="B13" s="344">
        <v>157829.48000000001</v>
      </c>
      <c r="C13" s="310">
        <v>165084.29</v>
      </c>
      <c r="D13" s="310">
        <v>195032.18</v>
      </c>
      <c r="E13" s="310">
        <v>157111.85999999999</v>
      </c>
      <c r="F13" s="320">
        <v>327896.64</v>
      </c>
      <c r="G13" s="338">
        <f t="shared" si="0"/>
        <v>-4.8293087125371059E-2</v>
      </c>
      <c r="H13" s="86">
        <f t="shared" si="1"/>
        <v>-0.19443109337136061</v>
      </c>
      <c r="I13" s="339">
        <f t="shared" si="6"/>
        <v>-4.5468058312048195E-3</v>
      </c>
      <c r="J13" s="333">
        <v>550</v>
      </c>
      <c r="K13" s="63">
        <f t="shared" si="7"/>
        <v>285.65792727272725</v>
      </c>
      <c r="L13" s="61">
        <v>13</v>
      </c>
      <c r="M13" s="28">
        <f t="shared" si="2"/>
        <v>2.3636363636363636E-2</v>
      </c>
      <c r="N13" s="46">
        <v>37</v>
      </c>
      <c r="O13" s="89">
        <f t="shared" si="3"/>
        <v>6.7272727272727276E-2</v>
      </c>
      <c r="P13" s="260">
        <f t="shared" si="8"/>
        <v>46815.904347826094</v>
      </c>
      <c r="Q13" s="89">
        <f t="shared" si="4"/>
        <v>0.29797816885260031</v>
      </c>
      <c r="R13" s="260">
        <f t="shared" si="9"/>
        <v>16528.452173913047</v>
      </c>
      <c r="S13" s="89">
        <f t="shared" si="5"/>
        <v>0.10520181082391265</v>
      </c>
      <c r="T13" s="320">
        <v>5179</v>
      </c>
      <c r="U13" s="9"/>
      <c r="W13">
        <v>34830.57</v>
      </c>
      <c r="X13" s="297">
        <f t="shared" si="10"/>
        <v>30287.452173913047</v>
      </c>
      <c r="Z13">
        <v>19007.72</v>
      </c>
      <c r="AA13" s="297">
        <f t="shared" si="11"/>
        <v>16528.452173913047</v>
      </c>
    </row>
    <row r="14" spans="1:27" ht="15.6" customHeight="1" x14ac:dyDescent="0.3">
      <c r="A14" s="406" t="s">
        <v>20</v>
      </c>
      <c r="B14" s="345">
        <v>151265.91</v>
      </c>
      <c r="C14" s="310">
        <v>137768.23000000001</v>
      </c>
      <c r="D14" s="310">
        <v>149959.23000000001</v>
      </c>
      <c r="E14" s="310">
        <v>163525.03</v>
      </c>
      <c r="F14" s="319">
        <v>325121</v>
      </c>
      <c r="G14" s="338">
        <f t="shared" si="0"/>
        <v>0.18695747198029608</v>
      </c>
      <c r="H14" s="86">
        <f t="shared" si="1"/>
        <v>9.0463254579261229E-2</v>
      </c>
      <c r="I14" s="339">
        <f t="shared" si="6"/>
        <v>8.1043508084537988E-2</v>
      </c>
      <c r="J14" s="333">
        <v>479</v>
      </c>
      <c r="K14" s="63">
        <f t="shared" si="7"/>
        <v>341.38837160751564</v>
      </c>
      <c r="L14" s="61">
        <v>11</v>
      </c>
      <c r="M14" s="28">
        <f t="shared" si="2"/>
        <v>2.2964509394572025E-2</v>
      </c>
      <c r="N14" s="46">
        <v>41</v>
      </c>
      <c r="O14" s="89">
        <f t="shared" si="3"/>
        <v>8.5594989561586635E-2</v>
      </c>
      <c r="P14" s="260">
        <f t="shared" si="8"/>
        <v>60351.921739130441</v>
      </c>
      <c r="Q14" s="89">
        <f t="shared" si="4"/>
        <v>0.36906840340668606</v>
      </c>
      <c r="R14" s="260">
        <f t="shared" si="9"/>
        <v>39899.313043478265</v>
      </c>
      <c r="S14" s="89">
        <f t="shared" si="5"/>
        <v>0.24399514278320736</v>
      </c>
      <c r="T14" s="320">
        <v>7280.6</v>
      </c>
      <c r="U14" s="26"/>
      <c r="W14">
        <v>23520.5</v>
      </c>
      <c r="X14" s="297">
        <f t="shared" si="10"/>
        <v>20452.608695652176</v>
      </c>
      <c r="Z14">
        <v>45884.21</v>
      </c>
      <c r="AA14" s="297">
        <f t="shared" si="11"/>
        <v>39899.313043478265</v>
      </c>
    </row>
    <row r="15" spans="1:27" ht="16.2" customHeight="1" thickBot="1" x14ac:dyDescent="0.35">
      <c r="A15" s="161" t="s">
        <v>22</v>
      </c>
      <c r="B15" s="346">
        <v>119884.4</v>
      </c>
      <c r="C15" s="321">
        <v>143951.47</v>
      </c>
      <c r="D15" s="322">
        <v>117466.88</v>
      </c>
      <c r="E15" s="321">
        <v>149318.93</v>
      </c>
      <c r="F15" s="323">
        <v>269255.71999999997</v>
      </c>
      <c r="G15" s="340">
        <f t="shared" si="0"/>
        <v>3.7286593877783894E-2</v>
      </c>
      <c r="H15" s="341">
        <f t="shared" si="1"/>
        <v>0.27115770845365084</v>
      </c>
      <c r="I15" s="342">
        <f t="shared" si="6"/>
        <v>0.24552427171508553</v>
      </c>
      <c r="J15" s="334">
        <v>499</v>
      </c>
      <c r="K15" s="132">
        <f t="shared" si="7"/>
        <v>299.23633266533062</v>
      </c>
      <c r="L15" s="133">
        <v>6</v>
      </c>
      <c r="M15" s="114">
        <f t="shared" si="2"/>
        <v>1.2024048096192385E-2</v>
      </c>
      <c r="N15" s="115">
        <v>27</v>
      </c>
      <c r="O15" s="116">
        <f t="shared" si="3"/>
        <v>5.410821643286573E-2</v>
      </c>
      <c r="P15" s="261">
        <f t="shared" si="8"/>
        <v>36428.034782608695</v>
      </c>
      <c r="Q15" s="116">
        <f t="shared" si="4"/>
        <v>0.24396126320091294</v>
      </c>
      <c r="R15" s="261">
        <f t="shared" si="9"/>
        <v>18584.426086956522</v>
      </c>
      <c r="S15" s="116">
        <f t="shared" si="5"/>
        <v>0.12446128623448161</v>
      </c>
      <c r="T15" s="323">
        <v>9675.5</v>
      </c>
      <c r="U15" s="26"/>
      <c r="W15">
        <v>20520.150000000001</v>
      </c>
      <c r="X15" s="297">
        <f t="shared" si="10"/>
        <v>17843.608695652176</v>
      </c>
      <c r="Z15">
        <v>21372.09</v>
      </c>
      <c r="AA15" s="297">
        <f t="shared" si="11"/>
        <v>18584.426086956522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100" priority="4" operator="equal">
      <formula>0</formula>
    </cfRule>
  </conditionalFormatting>
  <conditionalFormatting sqref="P12:P13">
    <cfRule type="cellIs" dxfId="99" priority="2" operator="equal">
      <formula>0</formula>
    </cfRule>
  </conditionalFormatting>
  <conditionalFormatting sqref="W5">
    <cfRule type="cellIs" dxfId="9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AA37"/>
  <sheetViews>
    <sheetView zoomScale="80" zoomScaleNormal="80" workbookViewId="0">
      <pane xSplit="1" topLeftCell="B1" activePane="topRight" state="frozen"/>
      <selection pane="topRight" activeCell="T4" sqref="T4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-5.4693232272277972E-2</v>
      </c>
      <c r="H2" s="413"/>
      <c r="I2" s="400">
        <f>((E4-B4)/E4)</f>
        <v>2.2347746521272045E-2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2083722.6499999994</v>
      </c>
      <c r="C4" s="299">
        <f>SUM(C5:C15)</f>
        <v>2254668.7199999997</v>
      </c>
      <c r="D4" s="299">
        <f>SUM(D5:D15)</f>
        <v>1888377.28</v>
      </c>
      <c r="E4" s="299">
        <f>SUM(E5:E15)</f>
        <v>2131353.6000000001</v>
      </c>
      <c r="F4" s="299">
        <f>SUM(F5:F15)</f>
        <v>6289976.9799999995</v>
      </c>
      <c r="G4" s="300">
        <f t="shared" ref="G4:G15" si="0">IFERROR((SUM(E4-C4)/C4),0)</f>
        <v>-5.4693232272277972E-2</v>
      </c>
      <c r="H4" s="300">
        <f t="shared" ref="H4:H15" si="1">IFERROR((SUM(E4-D4)/D4),0)</f>
        <v>0.12866937267959508</v>
      </c>
      <c r="I4" s="324">
        <f>IFERROR((SUM(E4-B4)/E4),0)</f>
        <v>2.2347746521272045E-2</v>
      </c>
      <c r="J4" s="325">
        <f>SUM(J5:J15)</f>
        <v>6978</v>
      </c>
      <c r="K4" s="326">
        <f>AVERAGE(K5:K15)</f>
        <v>304.46052138208063</v>
      </c>
      <c r="L4" s="327">
        <f>SUM(L5:L15)</f>
        <v>91</v>
      </c>
      <c r="M4" s="328">
        <f t="shared" ref="M4:M15" si="2">IFERROR(L4/J4,0)</f>
        <v>1.3040985955861279E-2</v>
      </c>
      <c r="N4" s="329">
        <f>SUM(N7:N15)</f>
        <v>256</v>
      </c>
      <c r="O4" s="330">
        <f t="shared" ref="O4:O15" si="3">IFERROR(N4/SUM(J4),0)</f>
        <v>3.6686729721983377E-2</v>
      </c>
      <c r="P4" s="331">
        <f>SUM(P5:P15)</f>
        <v>538939.09565217386</v>
      </c>
      <c r="Q4" s="330">
        <f t="shared" ref="Q4:Q15" si="4">SUM(P4/E4)</f>
        <v>0.25286235735458151</v>
      </c>
      <c r="R4" s="331">
        <f>SUM(R5:R15)</f>
        <v>216586.14782608696</v>
      </c>
      <c r="S4" s="330">
        <f t="shared" ref="S4:S15" si="5">SUM(R4/E4)</f>
        <v>0.10161905928049056</v>
      </c>
      <c r="T4" s="353">
        <f>SUM(T5:T15)</f>
        <v>89167.610000000015</v>
      </c>
      <c r="U4" s="24"/>
    </row>
    <row r="5" spans="1:27" ht="15.6" customHeight="1" x14ac:dyDescent="0.3">
      <c r="A5" s="416" t="s">
        <v>26</v>
      </c>
      <c r="B5" s="343">
        <v>243627.61</v>
      </c>
      <c r="C5" s="310">
        <v>203493.11</v>
      </c>
      <c r="D5" s="310">
        <v>183104.61</v>
      </c>
      <c r="E5" s="310">
        <v>249994.6</v>
      </c>
      <c r="F5" s="310">
        <v>811168.98</v>
      </c>
      <c r="G5" s="348">
        <f t="shared" si="0"/>
        <v>0.22851628735734603</v>
      </c>
      <c r="H5" s="336">
        <f t="shared" si="1"/>
        <v>0.36531024532915923</v>
      </c>
      <c r="I5" s="351">
        <f t="shared" ref="I5:I15" si="6">IFERROR((SUM(E5-B5)/B5),0)</f>
        <v>2.6134106885504563E-2</v>
      </c>
      <c r="J5" s="311">
        <v>748</v>
      </c>
      <c r="K5" s="63">
        <f t="shared" ref="K5:K15" si="7">IFERROR(E5/J5,0)</f>
        <v>334.21737967914441</v>
      </c>
      <c r="L5" s="61">
        <v>10</v>
      </c>
      <c r="M5" s="28">
        <f t="shared" si="2"/>
        <v>1.3368983957219251E-2</v>
      </c>
      <c r="N5" s="46">
        <v>42</v>
      </c>
      <c r="O5" s="89">
        <f t="shared" si="3"/>
        <v>5.6149732620320858E-2</v>
      </c>
      <c r="P5" s="260">
        <f t="shared" ref="P5:P15" si="8">SUM(X5+AA5)</f>
        <v>22389.565217391308</v>
      </c>
      <c r="Q5" s="89">
        <f t="shared" si="4"/>
        <v>8.9560195369785212E-2</v>
      </c>
      <c r="R5" s="260">
        <f t="shared" ref="R5:R15" si="9">SUM(AA5)</f>
        <v>22389.565217391308</v>
      </c>
      <c r="S5" s="89">
        <f t="shared" si="5"/>
        <v>8.9560195369785212E-2</v>
      </c>
      <c r="T5" s="310">
        <v>2697</v>
      </c>
      <c r="U5" s="9"/>
      <c r="W5" s="260"/>
      <c r="X5" s="297">
        <f t="shared" ref="X5:X15" si="10">W5/1.15</f>
        <v>0</v>
      </c>
      <c r="Z5" s="238">
        <v>25748</v>
      </c>
      <c r="AA5" s="297">
        <f t="shared" ref="AA5:AA15" si="11">SUM(Z5)/1.15</f>
        <v>22389.565217391308</v>
      </c>
    </row>
    <row r="6" spans="1:27" ht="15.6" customHeight="1" x14ac:dyDescent="0.3">
      <c r="A6" s="406" t="s">
        <v>21</v>
      </c>
      <c r="B6" s="344">
        <v>244982.86</v>
      </c>
      <c r="C6" s="310">
        <v>372731.86</v>
      </c>
      <c r="D6" s="310">
        <v>235541.57</v>
      </c>
      <c r="E6" s="310">
        <v>237635.66</v>
      </c>
      <c r="F6" s="310">
        <v>682243.2</v>
      </c>
      <c r="G6" s="349">
        <f t="shared" si="0"/>
        <v>-0.3624487587403985</v>
      </c>
      <c r="H6" s="86">
        <f t="shared" si="1"/>
        <v>8.8905325713843058E-3</v>
      </c>
      <c r="I6" s="77">
        <f t="shared" si="6"/>
        <v>-2.9990669551330992E-2</v>
      </c>
      <c r="J6" s="311">
        <v>685</v>
      </c>
      <c r="K6" s="63">
        <f t="shared" si="7"/>
        <v>346.91337226277375</v>
      </c>
      <c r="L6" s="61">
        <v>10</v>
      </c>
      <c r="M6" s="28">
        <f t="shared" si="2"/>
        <v>1.4598540145985401E-2</v>
      </c>
      <c r="N6" s="46">
        <v>42</v>
      </c>
      <c r="O6" s="89">
        <f t="shared" si="3"/>
        <v>6.1313868613138686E-2</v>
      </c>
      <c r="P6" s="260">
        <f t="shared" si="8"/>
        <v>56758.086956521744</v>
      </c>
      <c r="Q6" s="89">
        <f t="shared" si="4"/>
        <v>0.23884499050572519</v>
      </c>
      <c r="R6" s="260">
        <f t="shared" si="9"/>
        <v>16444.756521739131</v>
      </c>
      <c r="S6" s="89">
        <f t="shared" si="5"/>
        <v>6.9201552164936578E-2</v>
      </c>
      <c r="T6" s="310">
        <v>14849.6</v>
      </c>
      <c r="U6" s="26"/>
      <c r="W6" s="238">
        <v>46360.33</v>
      </c>
      <c r="X6" s="297">
        <f t="shared" si="10"/>
        <v>40313.330434782612</v>
      </c>
      <c r="Z6" s="238">
        <v>18911.47</v>
      </c>
      <c r="AA6" s="297">
        <f t="shared" si="11"/>
        <v>16444.756521739131</v>
      </c>
    </row>
    <row r="7" spans="1:27" ht="16.5" customHeight="1" x14ac:dyDescent="0.3">
      <c r="A7" s="406" t="s">
        <v>15</v>
      </c>
      <c r="B7" s="344">
        <v>213466.9</v>
      </c>
      <c r="C7" s="310">
        <v>249420.07</v>
      </c>
      <c r="D7" s="310">
        <v>212158.9</v>
      </c>
      <c r="E7" s="310">
        <v>230492.54</v>
      </c>
      <c r="F7" s="310">
        <v>677482.82</v>
      </c>
      <c r="G7" s="349">
        <f t="shared" si="0"/>
        <v>-7.5886154630619734E-2</v>
      </c>
      <c r="H7" s="86">
        <f t="shared" si="1"/>
        <v>8.6414663726103472E-2</v>
      </c>
      <c r="I7" s="77">
        <f t="shared" si="6"/>
        <v>7.9757751670165328E-2</v>
      </c>
      <c r="J7" s="311">
        <v>683</v>
      </c>
      <c r="K7" s="63">
        <f t="shared" si="7"/>
        <v>337.47077598828696</v>
      </c>
      <c r="L7" s="61">
        <v>4</v>
      </c>
      <c r="M7" s="28">
        <f t="shared" si="2"/>
        <v>5.8565153733528552E-3</v>
      </c>
      <c r="N7" s="46">
        <v>24</v>
      </c>
      <c r="O7" s="89">
        <f t="shared" si="3"/>
        <v>3.5139092240117131E-2</v>
      </c>
      <c r="P7" s="260">
        <f t="shared" si="8"/>
        <v>52007.747826086961</v>
      </c>
      <c r="Q7" s="89">
        <f t="shared" si="4"/>
        <v>0.22563744503872862</v>
      </c>
      <c r="R7" s="260">
        <f t="shared" si="9"/>
        <v>9259.8173913043502</v>
      </c>
      <c r="S7" s="89">
        <f t="shared" si="5"/>
        <v>4.017404377297569E-2</v>
      </c>
      <c r="T7" s="310">
        <v>9734.5</v>
      </c>
      <c r="U7" s="26"/>
      <c r="W7" s="238">
        <v>49160.12</v>
      </c>
      <c r="X7" s="297">
        <f t="shared" si="10"/>
        <v>42747.930434782611</v>
      </c>
      <c r="Z7" s="238">
        <v>10648.79</v>
      </c>
      <c r="AA7" s="297">
        <f t="shared" si="11"/>
        <v>9259.8173913043502</v>
      </c>
    </row>
    <row r="8" spans="1:27" ht="15.6" customHeight="1" x14ac:dyDescent="0.3">
      <c r="A8" s="160" t="s">
        <v>27</v>
      </c>
      <c r="B8" s="344">
        <v>149721.48000000001</v>
      </c>
      <c r="C8" s="310">
        <v>130233.66</v>
      </c>
      <c r="D8" s="310">
        <v>128705.38</v>
      </c>
      <c r="E8" s="310">
        <v>128763.54</v>
      </c>
      <c r="F8" s="310">
        <v>414675.74</v>
      </c>
      <c r="G8" s="349">
        <f t="shared" si="0"/>
        <v>-1.128832592127112E-2</v>
      </c>
      <c r="H8" s="86">
        <f t="shared" si="1"/>
        <v>4.5188476192672706E-4</v>
      </c>
      <c r="I8" s="77">
        <f t="shared" si="6"/>
        <v>-0.13997951396152386</v>
      </c>
      <c r="J8" s="311">
        <v>466</v>
      </c>
      <c r="K8" s="63">
        <f t="shared" si="7"/>
        <v>276.3166094420601</v>
      </c>
      <c r="L8" s="61">
        <v>11</v>
      </c>
      <c r="M8" s="28">
        <f t="shared" si="2"/>
        <v>2.3605150214592276E-2</v>
      </c>
      <c r="N8" s="46">
        <v>25</v>
      </c>
      <c r="O8" s="89">
        <f t="shared" si="3"/>
        <v>5.3648068669527899E-2</v>
      </c>
      <c r="P8" s="260">
        <f t="shared" si="8"/>
        <v>46647.321739130435</v>
      </c>
      <c r="Q8" s="89">
        <f t="shared" si="4"/>
        <v>0.36227119679321057</v>
      </c>
      <c r="R8" s="260">
        <f t="shared" si="9"/>
        <v>14443.478260869566</v>
      </c>
      <c r="S8" s="89">
        <f t="shared" si="5"/>
        <v>0.11217055900194703</v>
      </c>
      <c r="T8" s="310">
        <v>7014.25</v>
      </c>
      <c r="U8" s="9"/>
      <c r="W8" s="238">
        <v>37034.42</v>
      </c>
      <c r="X8" s="297">
        <f t="shared" si="10"/>
        <v>32203.843478260871</v>
      </c>
      <c r="Z8" s="238">
        <v>16610</v>
      </c>
      <c r="AA8" s="297">
        <f t="shared" si="11"/>
        <v>14443.478260869566</v>
      </c>
    </row>
    <row r="9" spans="1:27" ht="15.6" customHeight="1" x14ac:dyDescent="0.3">
      <c r="A9" s="160" t="s">
        <v>23</v>
      </c>
      <c r="B9" s="344">
        <v>205442.02</v>
      </c>
      <c r="C9" s="310">
        <v>218108.55</v>
      </c>
      <c r="D9" s="310">
        <v>191383.89</v>
      </c>
      <c r="E9" s="310">
        <v>205833.28</v>
      </c>
      <c r="F9" s="310">
        <v>624020.65</v>
      </c>
      <c r="G9" s="349">
        <f t="shared" si="0"/>
        <v>-5.6280553880166506E-2</v>
      </c>
      <c r="H9" s="86">
        <f t="shared" si="1"/>
        <v>7.549951043423761E-2</v>
      </c>
      <c r="I9" s="77">
        <f t="shared" si="6"/>
        <v>1.9044789376584661E-3</v>
      </c>
      <c r="J9" s="311">
        <v>684</v>
      </c>
      <c r="K9" s="63">
        <f t="shared" si="7"/>
        <v>300.92584795321636</v>
      </c>
      <c r="L9" s="61">
        <v>15</v>
      </c>
      <c r="M9" s="28">
        <f t="shared" si="2"/>
        <v>2.1929824561403508E-2</v>
      </c>
      <c r="N9" s="46">
        <v>48</v>
      </c>
      <c r="O9" s="89">
        <f t="shared" si="3"/>
        <v>7.0175438596491224E-2</v>
      </c>
      <c r="P9" s="260">
        <f t="shared" si="8"/>
        <v>58397.921739130441</v>
      </c>
      <c r="Q9" s="89">
        <f t="shared" si="4"/>
        <v>0.28371467305544779</v>
      </c>
      <c r="R9" s="260">
        <f t="shared" si="9"/>
        <v>28205.026086956525</v>
      </c>
      <c r="S9" s="89">
        <f t="shared" si="5"/>
        <v>0.13702850232458291</v>
      </c>
      <c r="T9" s="310">
        <v>6945.5</v>
      </c>
      <c r="U9" s="26"/>
      <c r="W9" s="238">
        <v>34721.83</v>
      </c>
      <c r="X9" s="297">
        <f t="shared" si="10"/>
        <v>30192.895652173916</v>
      </c>
      <c r="Z9" s="238">
        <v>32435.78</v>
      </c>
      <c r="AA9" s="297">
        <f t="shared" si="11"/>
        <v>28205.026086956525</v>
      </c>
    </row>
    <row r="10" spans="1:27" ht="15.6" customHeight="1" x14ac:dyDescent="0.3">
      <c r="A10" s="406" t="s">
        <v>16</v>
      </c>
      <c r="B10" s="344">
        <v>225543.9</v>
      </c>
      <c r="C10" s="310">
        <v>277083.59000000003</v>
      </c>
      <c r="D10" s="310">
        <v>191383.89</v>
      </c>
      <c r="E10" s="310">
        <v>215357.09</v>
      </c>
      <c r="F10" s="310">
        <v>658718.44999999995</v>
      </c>
      <c r="G10" s="349">
        <f t="shared" si="0"/>
        <v>-0.22277212446973141</v>
      </c>
      <c r="H10" s="86">
        <f t="shared" si="1"/>
        <v>0.12526237187466499</v>
      </c>
      <c r="I10" s="77">
        <f t="shared" si="6"/>
        <v>-4.5165530967585459E-2</v>
      </c>
      <c r="J10" s="311">
        <v>750</v>
      </c>
      <c r="K10" s="63">
        <f t="shared" si="7"/>
        <v>287.14278666666667</v>
      </c>
      <c r="L10" s="61">
        <v>1</v>
      </c>
      <c r="M10" s="28">
        <f t="shared" si="2"/>
        <v>1.3333333333333333E-3</v>
      </c>
      <c r="N10" s="46">
        <v>15</v>
      </c>
      <c r="O10" s="89">
        <f t="shared" si="3"/>
        <v>0.02</v>
      </c>
      <c r="P10" s="260">
        <f t="shared" si="8"/>
        <v>49299.99130434783</v>
      </c>
      <c r="Q10" s="89">
        <f t="shared" si="4"/>
        <v>0.22892207219343386</v>
      </c>
      <c r="R10" s="260">
        <f t="shared" si="9"/>
        <v>23260</v>
      </c>
      <c r="S10" s="89">
        <f t="shared" si="5"/>
        <v>0.10800666000826813</v>
      </c>
      <c r="T10" s="310">
        <v>11516.51</v>
      </c>
      <c r="U10" s="26"/>
      <c r="W10" s="238">
        <v>29945.99</v>
      </c>
      <c r="X10" s="297">
        <f t="shared" si="10"/>
        <v>26039.99130434783</v>
      </c>
      <c r="Z10" s="238">
        <v>26749</v>
      </c>
      <c r="AA10" s="297">
        <f t="shared" si="11"/>
        <v>23260</v>
      </c>
    </row>
    <row r="11" spans="1:27" ht="15.6" customHeight="1" x14ac:dyDescent="0.3">
      <c r="A11" s="406" t="s">
        <v>17</v>
      </c>
      <c r="B11" s="344">
        <v>138644.67000000001</v>
      </c>
      <c r="C11" s="310">
        <v>126423.17</v>
      </c>
      <c r="D11" s="310">
        <v>125078.1</v>
      </c>
      <c r="E11" s="310">
        <v>162221.22</v>
      </c>
      <c r="F11" s="310">
        <v>418883.84000000003</v>
      </c>
      <c r="G11" s="349">
        <f t="shared" si="0"/>
        <v>0.28316051559219724</v>
      </c>
      <c r="H11" s="86">
        <f t="shared" si="1"/>
        <v>0.29695941975453732</v>
      </c>
      <c r="I11" s="77">
        <f t="shared" si="6"/>
        <v>0.17005017214148938</v>
      </c>
      <c r="J11" s="311">
        <v>516</v>
      </c>
      <c r="K11" s="63">
        <f t="shared" si="7"/>
        <v>314.38220930232558</v>
      </c>
      <c r="L11" s="61">
        <v>3</v>
      </c>
      <c r="M11" s="28">
        <f t="shared" si="2"/>
        <v>5.8139534883720929E-3</v>
      </c>
      <c r="N11" s="46">
        <v>22</v>
      </c>
      <c r="O11" s="89">
        <f t="shared" si="3"/>
        <v>4.2635658914728682E-2</v>
      </c>
      <c r="P11" s="260">
        <f t="shared" si="8"/>
        <v>60260.365217391307</v>
      </c>
      <c r="Q11" s="89">
        <f t="shared" si="4"/>
        <v>0.37147029973878454</v>
      </c>
      <c r="R11" s="260">
        <f t="shared" si="9"/>
        <v>19207.773913043478</v>
      </c>
      <c r="S11" s="89">
        <f t="shared" si="5"/>
        <v>0.11840481728002956</v>
      </c>
      <c r="T11" s="310">
        <v>5951.4</v>
      </c>
      <c r="U11" s="26"/>
      <c r="W11" s="238">
        <v>47210.48</v>
      </c>
      <c r="X11" s="297">
        <f t="shared" si="10"/>
        <v>41052.591304347829</v>
      </c>
      <c r="Z11" s="238">
        <v>22088.94</v>
      </c>
      <c r="AA11" s="297">
        <f t="shared" si="11"/>
        <v>19207.773913043478</v>
      </c>
    </row>
    <row r="12" spans="1:27" ht="15.6" customHeight="1" x14ac:dyDescent="0.3">
      <c r="A12" s="160" t="s">
        <v>55</v>
      </c>
      <c r="B12" s="344">
        <v>192337.39</v>
      </c>
      <c r="C12" s="310">
        <v>214348.71</v>
      </c>
      <c r="D12" s="310">
        <v>199114.42</v>
      </c>
      <c r="E12" s="310">
        <v>209808.55</v>
      </c>
      <c r="F12" s="310">
        <v>589262.81999999995</v>
      </c>
      <c r="G12" s="349">
        <f t="shared" si="0"/>
        <v>-2.1181186488129569E-2</v>
      </c>
      <c r="H12" s="86">
        <f t="shared" si="1"/>
        <v>5.3708465715340832E-2</v>
      </c>
      <c r="I12" s="77">
        <f t="shared" si="6"/>
        <v>9.083600437751585E-2</v>
      </c>
      <c r="J12" s="311">
        <v>735</v>
      </c>
      <c r="K12" s="63">
        <f t="shared" si="7"/>
        <v>285.45380952380953</v>
      </c>
      <c r="L12" s="61">
        <v>7</v>
      </c>
      <c r="M12" s="28">
        <f t="shared" si="2"/>
        <v>9.5238095238095247E-3</v>
      </c>
      <c r="N12" s="46">
        <v>17</v>
      </c>
      <c r="O12" s="89">
        <f t="shared" si="3"/>
        <v>2.3129251700680271E-2</v>
      </c>
      <c r="P12" s="260">
        <f t="shared" si="8"/>
        <v>53513.895652173916</v>
      </c>
      <c r="Q12" s="89">
        <f t="shared" si="4"/>
        <v>0.25506060478552434</v>
      </c>
      <c r="R12" s="260">
        <f t="shared" si="9"/>
        <v>28408.365217391307</v>
      </c>
      <c r="S12" s="89">
        <f t="shared" si="5"/>
        <v>0.13540137052275186</v>
      </c>
      <c r="T12" s="310">
        <v>6644</v>
      </c>
      <c r="U12" s="9"/>
      <c r="W12" s="238">
        <v>28871.360000000001</v>
      </c>
      <c r="X12" s="297">
        <f t="shared" si="10"/>
        <v>25105.53043478261</v>
      </c>
      <c r="Z12" s="238">
        <v>32669.62</v>
      </c>
      <c r="AA12" s="297">
        <f t="shared" si="11"/>
        <v>28408.365217391307</v>
      </c>
    </row>
    <row r="13" spans="1:27" ht="15.6" customHeight="1" x14ac:dyDescent="0.3">
      <c r="A13" s="160" t="s">
        <v>33</v>
      </c>
      <c r="B13" s="344">
        <v>157111.85999999999</v>
      </c>
      <c r="C13" s="310">
        <v>167548.26999999999</v>
      </c>
      <c r="D13" s="310">
        <v>152715.91</v>
      </c>
      <c r="E13" s="310">
        <v>172334.61</v>
      </c>
      <c r="F13" s="310">
        <v>500231.25</v>
      </c>
      <c r="G13" s="349">
        <f t="shared" si="0"/>
        <v>2.8566931786284614E-2</v>
      </c>
      <c r="H13" s="86">
        <f t="shared" si="1"/>
        <v>0.12846533147725067</v>
      </c>
      <c r="I13" s="77">
        <f t="shared" si="6"/>
        <v>9.6891157675811371E-2</v>
      </c>
      <c r="J13" s="311">
        <v>632</v>
      </c>
      <c r="K13" s="63">
        <f t="shared" si="7"/>
        <v>272.68134493670885</v>
      </c>
      <c r="L13" s="61">
        <v>13</v>
      </c>
      <c r="M13" s="28">
        <f t="shared" si="2"/>
        <v>2.0569620253164556E-2</v>
      </c>
      <c r="N13" s="46">
        <v>37</v>
      </c>
      <c r="O13" s="89">
        <f t="shared" si="3"/>
        <v>5.8544303797468354E-2</v>
      </c>
      <c r="P13" s="260">
        <f t="shared" si="8"/>
        <v>49517.043478260879</v>
      </c>
      <c r="Q13" s="89">
        <f t="shared" si="4"/>
        <v>0.28733081229743046</v>
      </c>
      <c r="R13" s="260">
        <f t="shared" si="9"/>
        <v>20971.130434782608</v>
      </c>
      <c r="S13" s="89">
        <f t="shared" si="5"/>
        <v>0.12168844339963174</v>
      </c>
      <c r="T13" s="310">
        <v>7492.75</v>
      </c>
      <c r="U13" s="9"/>
      <c r="W13" s="238">
        <v>32827.800000000003</v>
      </c>
      <c r="X13" s="297">
        <f t="shared" si="10"/>
        <v>28545.913043478267</v>
      </c>
      <c r="Z13" s="238">
        <v>24116.799999999999</v>
      </c>
      <c r="AA13" s="297">
        <f t="shared" si="11"/>
        <v>20971.130434782608</v>
      </c>
    </row>
    <row r="14" spans="1:27" ht="15.6" customHeight="1" x14ac:dyDescent="0.3">
      <c r="A14" s="406" t="s">
        <v>20</v>
      </c>
      <c r="B14" s="345">
        <v>163525.03</v>
      </c>
      <c r="C14" s="310">
        <v>151772.76999999999</v>
      </c>
      <c r="D14" s="310">
        <v>155534.25</v>
      </c>
      <c r="E14" s="310">
        <v>158904.88</v>
      </c>
      <c r="F14" s="310">
        <v>484025.88</v>
      </c>
      <c r="G14" s="349">
        <f t="shared" si="0"/>
        <v>4.6992026303532677E-2</v>
      </c>
      <c r="H14" s="86">
        <f t="shared" si="1"/>
        <v>2.167130390894613E-2</v>
      </c>
      <c r="I14" s="77">
        <f t="shared" si="6"/>
        <v>-2.8253472878127552E-2</v>
      </c>
      <c r="J14" s="311">
        <v>504</v>
      </c>
      <c r="K14" s="63">
        <f t="shared" si="7"/>
        <v>315.28746031746033</v>
      </c>
      <c r="L14" s="61">
        <v>11</v>
      </c>
      <c r="M14" s="28">
        <f t="shared" si="2"/>
        <v>2.1825396825396824E-2</v>
      </c>
      <c r="N14" s="46">
        <v>41</v>
      </c>
      <c r="O14" s="89">
        <f t="shared" si="3"/>
        <v>8.1349206349206352E-2</v>
      </c>
      <c r="P14" s="260">
        <f t="shared" si="8"/>
        <v>51750.330434782612</v>
      </c>
      <c r="Q14" s="89">
        <f t="shared" si="4"/>
        <v>0.32566860397731406</v>
      </c>
      <c r="R14" s="260">
        <f t="shared" si="9"/>
        <v>16079.278260869565</v>
      </c>
      <c r="S14" s="89">
        <f t="shared" si="5"/>
        <v>0.10118807088158378</v>
      </c>
      <c r="T14" s="310">
        <v>7740.6</v>
      </c>
      <c r="U14" s="26"/>
      <c r="W14" s="238">
        <v>41021.71</v>
      </c>
      <c r="X14" s="297">
        <f t="shared" si="10"/>
        <v>35671.052173913049</v>
      </c>
      <c r="Z14" s="238">
        <v>18491.169999999998</v>
      </c>
      <c r="AA14" s="297">
        <f t="shared" si="11"/>
        <v>16079.278260869565</v>
      </c>
    </row>
    <row r="15" spans="1:27" ht="16.2" customHeight="1" thickBot="1" x14ac:dyDescent="0.35">
      <c r="A15" s="161" t="s">
        <v>22</v>
      </c>
      <c r="B15" s="346">
        <v>149318.93</v>
      </c>
      <c r="C15" s="310">
        <v>143504.95999999999</v>
      </c>
      <c r="D15" s="310">
        <v>113656.36</v>
      </c>
      <c r="E15" s="310">
        <v>160007.63</v>
      </c>
      <c r="F15" s="310">
        <v>429263.35</v>
      </c>
      <c r="G15" s="350">
        <f t="shared" si="0"/>
        <v>0.1149972098525376</v>
      </c>
      <c r="H15" s="341">
        <f t="shared" si="1"/>
        <v>0.40781941283356254</v>
      </c>
      <c r="I15" s="352">
        <f t="shared" si="6"/>
        <v>7.1583020317651708E-2</v>
      </c>
      <c r="J15" s="311">
        <v>575</v>
      </c>
      <c r="K15" s="132">
        <f t="shared" si="7"/>
        <v>278.27413913043478</v>
      </c>
      <c r="L15" s="133">
        <v>6</v>
      </c>
      <c r="M15" s="114">
        <f t="shared" si="2"/>
        <v>1.0434782608695653E-2</v>
      </c>
      <c r="N15" s="115">
        <v>27</v>
      </c>
      <c r="O15" s="116">
        <f t="shared" si="3"/>
        <v>4.6956521739130432E-2</v>
      </c>
      <c r="P15" s="261">
        <f t="shared" si="8"/>
        <v>38396.826086956527</v>
      </c>
      <c r="Q15" s="116">
        <f t="shared" si="4"/>
        <v>0.23996871953516546</v>
      </c>
      <c r="R15" s="261">
        <f t="shared" si="9"/>
        <v>17916.956521739132</v>
      </c>
      <c r="S15" s="116">
        <f t="shared" si="5"/>
        <v>0.11197563842261229</v>
      </c>
      <c r="T15" s="310">
        <v>8581.5</v>
      </c>
      <c r="U15" s="26"/>
      <c r="W15" s="238">
        <v>23551.85</v>
      </c>
      <c r="X15" s="297">
        <f t="shared" si="10"/>
        <v>20479.869565217392</v>
      </c>
      <c r="Z15" s="238">
        <v>20604.5</v>
      </c>
      <c r="AA15" s="297">
        <f t="shared" si="11"/>
        <v>17916.956521739132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97" priority="4" operator="equal">
      <formula>0</formula>
    </cfRule>
  </conditionalFormatting>
  <conditionalFormatting sqref="P12:P13">
    <cfRule type="cellIs" dxfId="96" priority="2" operator="equal">
      <formula>0</formula>
    </cfRule>
  </conditionalFormatting>
  <conditionalFormatting sqref="W5">
    <cfRule type="cellIs" dxfId="9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AA37"/>
  <sheetViews>
    <sheetView zoomScale="80" zoomScaleNormal="80" workbookViewId="0">
      <pane xSplit="1" topLeftCell="I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6.8544499965387654E-2</v>
      </c>
      <c r="H2" s="413"/>
      <c r="I2" s="400">
        <f>((E4-B4)/E4)</f>
        <v>0.11533233500491326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2131353.6000000001</v>
      </c>
      <c r="C4" s="299">
        <f>SUM(C5:C15)</f>
        <v>2254668.7199999997</v>
      </c>
      <c r="D4" s="299">
        <f>SUM(D5:D15)</f>
        <v>2113842.48</v>
      </c>
      <c r="E4" s="299">
        <f>SUM(E5:E15)</f>
        <v>2409213.8600000003</v>
      </c>
      <c r="F4" s="299">
        <f>SUM(F5:F15)</f>
        <v>8699190.8399999999</v>
      </c>
      <c r="G4" s="300">
        <f t="shared" ref="G4:G15" si="0">IFERROR((SUM(E4-C4)/C4),0)</f>
        <v>6.8544499965387654E-2</v>
      </c>
      <c r="H4" s="300">
        <f t="shared" ref="H4:H15" si="1">IFERROR((SUM(E4-D4)/D4),0)</f>
        <v>0.13973197283839256</v>
      </c>
      <c r="I4" s="324">
        <f>IFERROR((SUM(E4-B4)/E4),0)</f>
        <v>0.11533233500491326</v>
      </c>
      <c r="J4" s="325">
        <f>SUM(J5:J15)</f>
        <v>7605</v>
      </c>
      <c r="K4" s="326">
        <f>AVERAGE(K5:K15)</f>
        <v>315.74115654523621</v>
      </c>
      <c r="L4" s="327">
        <f>SUM(L5:L15)</f>
        <v>91</v>
      </c>
      <c r="M4" s="328">
        <f t="shared" ref="M4:M15" si="2">IFERROR(L4/J4,0)</f>
        <v>1.1965811965811967E-2</v>
      </c>
      <c r="N4" s="329">
        <f>SUM(N7:N15)</f>
        <v>256</v>
      </c>
      <c r="O4" s="330">
        <f t="shared" ref="O4:O15" si="3">IFERROR(N4/SUM(J4),0)</f>
        <v>3.3662064431295199E-2</v>
      </c>
      <c r="P4" s="331">
        <f>SUM(P5:P15)</f>
        <v>602662.73043478257</v>
      </c>
      <c r="Q4" s="330">
        <f t="shared" ref="Q4:Q15" si="4">SUM(P4/E4)</f>
        <v>0.25014912143780482</v>
      </c>
      <c r="R4" s="331">
        <f>SUM(R5:R15)</f>
        <v>251143.82608695654</v>
      </c>
      <c r="S4" s="330">
        <f t="shared" ref="S4:S15" si="5">SUM(R4/E4)</f>
        <v>0.10424306046743252</v>
      </c>
      <c r="T4" s="353">
        <f>SUM(T5:T15)</f>
        <v>99587.86</v>
      </c>
      <c r="U4" s="24"/>
    </row>
    <row r="5" spans="1:27" ht="15.6" customHeight="1" x14ac:dyDescent="0.3">
      <c r="A5" s="416" t="s">
        <v>26</v>
      </c>
      <c r="B5" s="343">
        <v>249994.6</v>
      </c>
      <c r="C5" s="310">
        <v>203493.11</v>
      </c>
      <c r="D5" s="310">
        <v>174615.21</v>
      </c>
      <c r="E5" s="310">
        <v>285667.40999999997</v>
      </c>
      <c r="F5" s="310">
        <v>1096836.3899999999</v>
      </c>
      <c r="G5" s="348">
        <f t="shared" si="0"/>
        <v>0.40381858629021883</v>
      </c>
      <c r="H5" s="336">
        <f t="shared" si="1"/>
        <v>0.63598239809693546</v>
      </c>
      <c r="I5" s="351">
        <f t="shared" ref="I5:I15" si="6">IFERROR((SUM(E5-B5)/B5),0)</f>
        <v>0.14269432219735934</v>
      </c>
      <c r="J5" s="311">
        <v>826</v>
      </c>
      <c r="K5" s="63">
        <f t="shared" ref="K5:K15" si="7">IFERROR(E5/J5,0)</f>
        <v>345.84432203389827</v>
      </c>
      <c r="L5" s="61">
        <v>10</v>
      </c>
      <c r="M5" s="28">
        <f t="shared" si="2"/>
        <v>1.2106537530266344E-2</v>
      </c>
      <c r="N5" s="46">
        <v>42</v>
      </c>
      <c r="O5" s="89">
        <f t="shared" si="3"/>
        <v>5.0847457627118647E-2</v>
      </c>
      <c r="P5" s="260">
        <f t="shared" ref="P5:P15" si="8">SUM(X5+AA5)</f>
        <v>23716.08695652174</v>
      </c>
      <c r="Q5" s="89">
        <f t="shared" si="4"/>
        <v>8.3019925011823162E-2</v>
      </c>
      <c r="R5" s="260">
        <f t="shared" ref="R5:R15" si="9">SUM(AA5)</f>
        <v>23716.08695652174</v>
      </c>
      <c r="S5" s="89">
        <f t="shared" si="5"/>
        <v>8.3019925011823162E-2</v>
      </c>
      <c r="T5" s="310">
        <v>1495.65</v>
      </c>
      <c r="U5" s="9"/>
      <c r="W5" s="260"/>
      <c r="X5" s="297">
        <f t="shared" ref="X5:X15" si="10">W5/1.15</f>
        <v>0</v>
      </c>
      <c r="Z5" s="238">
        <v>27273.5</v>
      </c>
      <c r="AA5" s="297">
        <f t="shared" ref="AA5:AA15" si="11">SUM(Z5)/1.15</f>
        <v>23716.08695652174</v>
      </c>
    </row>
    <row r="6" spans="1:27" ht="15.6" customHeight="1" x14ac:dyDescent="0.3">
      <c r="A6" s="406" t="s">
        <v>21</v>
      </c>
      <c r="B6" s="344">
        <v>237635.66</v>
      </c>
      <c r="C6" s="310">
        <v>372731.86</v>
      </c>
      <c r="D6" s="310">
        <v>249927.98</v>
      </c>
      <c r="E6" s="310">
        <v>241715.58</v>
      </c>
      <c r="F6" s="310">
        <v>923958.78</v>
      </c>
      <c r="G6" s="349">
        <f t="shared" si="0"/>
        <v>-0.35150276662692587</v>
      </c>
      <c r="H6" s="86">
        <f t="shared" si="1"/>
        <v>-3.2859066039744825E-2</v>
      </c>
      <c r="I6" s="77">
        <f t="shared" si="6"/>
        <v>1.7168803705639061E-2</v>
      </c>
      <c r="J6" s="311">
        <v>735</v>
      </c>
      <c r="K6" s="63">
        <f t="shared" si="7"/>
        <v>328.86473469387755</v>
      </c>
      <c r="L6" s="61">
        <v>10</v>
      </c>
      <c r="M6" s="28">
        <f t="shared" si="2"/>
        <v>1.3605442176870748E-2</v>
      </c>
      <c r="N6" s="46">
        <v>42</v>
      </c>
      <c r="O6" s="89">
        <f t="shared" si="3"/>
        <v>5.7142857142857141E-2</v>
      </c>
      <c r="P6" s="260">
        <f t="shared" si="8"/>
        <v>61258.904347826086</v>
      </c>
      <c r="Q6" s="89">
        <f t="shared" si="4"/>
        <v>0.25343382643281037</v>
      </c>
      <c r="R6" s="260">
        <f t="shared" si="9"/>
        <v>21291.486956521741</v>
      </c>
      <c r="S6" s="89">
        <f t="shared" si="5"/>
        <v>8.8084876268719386E-2</v>
      </c>
      <c r="T6" s="310">
        <v>7779.14</v>
      </c>
      <c r="U6" s="26"/>
      <c r="W6" s="238">
        <v>45962.53</v>
      </c>
      <c r="X6" s="297">
        <f t="shared" si="10"/>
        <v>39967.417391304349</v>
      </c>
      <c r="Z6" s="238">
        <v>24485.21</v>
      </c>
      <c r="AA6" s="297">
        <f t="shared" si="11"/>
        <v>21291.486956521741</v>
      </c>
    </row>
    <row r="7" spans="1:27" ht="16.5" customHeight="1" x14ac:dyDescent="0.3">
      <c r="A7" s="406" t="s">
        <v>15</v>
      </c>
      <c r="B7" s="344">
        <v>230492.54</v>
      </c>
      <c r="C7" s="310">
        <v>249420.07</v>
      </c>
      <c r="D7" s="310">
        <v>224536.32000000001</v>
      </c>
      <c r="E7" s="310">
        <v>248794.84</v>
      </c>
      <c r="F7" s="310">
        <v>926277.66</v>
      </c>
      <c r="G7" s="349">
        <f t="shared" si="0"/>
        <v>-2.5067349231359388E-3</v>
      </c>
      <c r="H7" s="86">
        <f t="shared" si="1"/>
        <v>0.10803828975196525</v>
      </c>
      <c r="I7" s="77">
        <f t="shared" si="6"/>
        <v>7.9405172939653434E-2</v>
      </c>
      <c r="J7" s="311">
        <v>719</v>
      </c>
      <c r="K7" s="63">
        <f t="shared" si="7"/>
        <v>346.02898470097358</v>
      </c>
      <c r="L7" s="61">
        <v>4</v>
      </c>
      <c r="M7" s="28">
        <f t="shared" si="2"/>
        <v>5.5632823365785811E-3</v>
      </c>
      <c r="N7" s="46">
        <v>24</v>
      </c>
      <c r="O7" s="89">
        <f t="shared" si="3"/>
        <v>3.3379694019471488E-2</v>
      </c>
      <c r="P7" s="260">
        <f t="shared" si="8"/>
        <v>42924.252173913053</v>
      </c>
      <c r="Q7" s="89">
        <f t="shared" si="4"/>
        <v>0.17252870748409835</v>
      </c>
      <c r="R7" s="260">
        <f t="shared" si="9"/>
        <v>2707.1913043478262</v>
      </c>
      <c r="S7" s="89">
        <f t="shared" si="5"/>
        <v>1.0881219660133732E-2</v>
      </c>
      <c r="T7" s="310">
        <v>14971.5</v>
      </c>
      <c r="U7" s="26"/>
      <c r="W7" s="238">
        <v>46249.62</v>
      </c>
      <c r="X7" s="297">
        <f t="shared" si="10"/>
        <v>40217.060869565226</v>
      </c>
      <c r="Z7" s="238">
        <v>3113.27</v>
      </c>
      <c r="AA7" s="297">
        <f t="shared" si="11"/>
        <v>2707.1913043478262</v>
      </c>
    </row>
    <row r="8" spans="1:27" ht="15.6" customHeight="1" x14ac:dyDescent="0.3">
      <c r="A8" s="160" t="s">
        <v>27</v>
      </c>
      <c r="B8" s="344">
        <v>128763.54</v>
      </c>
      <c r="C8" s="310">
        <v>130233.66</v>
      </c>
      <c r="D8" s="310">
        <v>159324.35</v>
      </c>
      <c r="E8" s="310">
        <v>163499.22</v>
      </c>
      <c r="F8" s="310">
        <v>578174.96</v>
      </c>
      <c r="G8" s="349">
        <f t="shared" si="0"/>
        <v>0.25542981745272303</v>
      </c>
      <c r="H8" s="86">
        <f t="shared" si="1"/>
        <v>2.6203590348870057E-2</v>
      </c>
      <c r="I8" s="77">
        <f t="shared" si="6"/>
        <v>0.26976331964778233</v>
      </c>
      <c r="J8" s="311">
        <v>543</v>
      </c>
      <c r="K8" s="63">
        <f t="shared" si="7"/>
        <v>301.10353591160219</v>
      </c>
      <c r="L8" s="61">
        <v>11</v>
      </c>
      <c r="M8" s="28">
        <f t="shared" si="2"/>
        <v>2.0257826887661142E-2</v>
      </c>
      <c r="N8" s="46">
        <v>25</v>
      </c>
      <c r="O8" s="89">
        <f t="shared" si="3"/>
        <v>4.6040515653775323E-2</v>
      </c>
      <c r="P8" s="260">
        <f t="shared" si="8"/>
        <v>51875.965217391305</v>
      </c>
      <c r="Q8" s="89">
        <f t="shared" si="4"/>
        <v>0.31728570458862926</v>
      </c>
      <c r="R8" s="260">
        <f t="shared" si="9"/>
        <v>22280.243478260869</v>
      </c>
      <c r="S8" s="89">
        <f t="shared" si="5"/>
        <v>0.13627125241490981</v>
      </c>
      <c r="T8" s="310">
        <v>8588.51</v>
      </c>
      <c r="U8" s="9"/>
      <c r="W8" s="238">
        <v>34035.08</v>
      </c>
      <c r="X8" s="297">
        <f t="shared" si="10"/>
        <v>29595.72173913044</v>
      </c>
      <c r="Z8" s="238">
        <v>25622.28</v>
      </c>
      <c r="AA8" s="297">
        <f t="shared" si="11"/>
        <v>22280.243478260869</v>
      </c>
    </row>
    <row r="9" spans="1:27" ht="15.6" customHeight="1" x14ac:dyDescent="0.3">
      <c r="A9" s="160" t="s">
        <v>23</v>
      </c>
      <c r="B9" s="344">
        <v>205833.28</v>
      </c>
      <c r="C9" s="310">
        <v>218108.55</v>
      </c>
      <c r="D9" s="310">
        <v>230348.64</v>
      </c>
      <c r="E9" s="310">
        <v>231934.4</v>
      </c>
      <c r="F9" s="310">
        <v>855955.05</v>
      </c>
      <c r="G9" s="349">
        <f t="shared" si="0"/>
        <v>6.3389766242543027E-2</v>
      </c>
      <c r="H9" s="86">
        <f t="shared" si="1"/>
        <v>6.8841734858950329E-3</v>
      </c>
      <c r="I9" s="77">
        <f t="shared" si="6"/>
        <v>0.12680709358564365</v>
      </c>
      <c r="J9" s="311">
        <v>752</v>
      </c>
      <c r="K9" s="63">
        <f t="shared" si="7"/>
        <v>308.42340425531916</v>
      </c>
      <c r="L9" s="61">
        <v>15</v>
      </c>
      <c r="M9" s="28">
        <f t="shared" si="2"/>
        <v>1.9946808510638299E-2</v>
      </c>
      <c r="N9" s="46">
        <v>48</v>
      </c>
      <c r="O9" s="89">
        <f t="shared" si="3"/>
        <v>6.3829787234042548E-2</v>
      </c>
      <c r="P9" s="260">
        <f t="shared" si="8"/>
        <v>52256.686956521742</v>
      </c>
      <c r="Q9" s="89">
        <f t="shared" si="4"/>
        <v>0.22530804812275257</v>
      </c>
      <c r="R9" s="260">
        <f t="shared" si="9"/>
        <v>23139.64347826087</v>
      </c>
      <c r="S9" s="89">
        <f t="shared" si="5"/>
        <v>9.9768052855725028E-2</v>
      </c>
      <c r="T9" s="310">
        <v>11857.75</v>
      </c>
      <c r="U9" s="26"/>
      <c r="W9" s="238">
        <v>33484.6</v>
      </c>
      <c r="X9" s="297">
        <f t="shared" si="10"/>
        <v>29117.043478260872</v>
      </c>
      <c r="Z9" s="238">
        <v>26610.59</v>
      </c>
      <c r="AA9" s="297">
        <f t="shared" si="11"/>
        <v>23139.64347826087</v>
      </c>
    </row>
    <row r="10" spans="1:27" ht="15.6" customHeight="1" x14ac:dyDescent="0.3">
      <c r="A10" s="406" t="s">
        <v>16</v>
      </c>
      <c r="B10" s="344">
        <v>215357.09</v>
      </c>
      <c r="C10" s="310">
        <v>277083.59000000003</v>
      </c>
      <c r="D10" s="310">
        <v>275338.65000000002</v>
      </c>
      <c r="E10" s="310">
        <v>313779.59000000003</v>
      </c>
      <c r="F10" s="310">
        <v>972498.04</v>
      </c>
      <c r="G10" s="349">
        <f t="shared" si="0"/>
        <v>0.13243656905123827</v>
      </c>
      <c r="H10" s="86">
        <f t="shared" si="1"/>
        <v>0.13961330891976118</v>
      </c>
      <c r="I10" s="77">
        <f t="shared" si="6"/>
        <v>0.45702001266826198</v>
      </c>
      <c r="J10" s="311">
        <v>957</v>
      </c>
      <c r="K10" s="63">
        <f t="shared" si="7"/>
        <v>327.87835945663534</v>
      </c>
      <c r="L10" s="61">
        <v>1</v>
      </c>
      <c r="M10" s="28">
        <f t="shared" si="2"/>
        <v>1.0449320794148381E-3</v>
      </c>
      <c r="N10" s="46">
        <v>15</v>
      </c>
      <c r="O10" s="89">
        <f t="shared" si="3"/>
        <v>1.5673981191222569E-2</v>
      </c>
      <c r="P10" s="260">
        <f t="shared" si="8"/>
        <v>54674.400000000009</v>
      </c>
      <c r="Q10" s="89">
        <f t="shared" si="4"/>
        <v>0.17424460271619324</v>
      </c>
      <c r="R10" s="260">
        <f t="shared" si="9"/>
        <v>26435.313043478265</v>
      </c>
      <c r="S10" s="89">
        <f t="shared" si="5"/>
        <v>8.4248032332116515E-2</v>
      </c>
      <c r="T10" s="310">
        <v>19752.060000000001</v>
      </c>
      <c r="U10" s="26"/>
      <c r="W10" s="238">
        <v>32474.95</v>
      </c>
      <c r="X10" s="297">
        <f t="shared" si="10"/>
        <v>28239.086956521744</v>
      </c>
      <c r="Z10" s="238">
        <v>30400.61</v>
      </c>
      <c r="AA10" s="297">
        <f t="shared" si="11"/>
        <v>26435.313043478265</v>
      </c>
    </row>
    <row r="11" spans="1:27" ht="15.6" customHeight="1" x14ac:dyDescent="0.3">
      <c r="A11" s="406" t="s">
        <v>17</v>
      </c>
      <c r="B11" s="344">
        <v>162221.22</v>
      </c>
      <c r="C11" s="310">
        <v>126423.17</v>
      </c>
      <c r="D11" s="310">
        <v>122785.28</v>
      </c>
      <c r="E11" s="310">
        <v>188003.06</v>
      </c>
      <c r="F11" s="310">
        <v>606886.9</v>
      </c>
      <c r="G11" s="349">
        <f t="shared" si="0"/>
        <v>0.48709338644174166</v>
      </c>
      <c r="H11" s="86">
        <f t="shared" si="1"/>
        <v>0.53115308284510976</v>
      </c>
      <c r="I11" s="77">
        <f t="shared" si="6"/>
        <v>0.15893013256835326</v>
      </c>
      <c r="J11" s="311">
        <v>558</v>
      </c>
      <c r="K11" s="63">
        <f t="shared" si="7"/>
        <v>336.92304659498205</v>
      </c>
      <c r="L11" s="61">
        <v>3</v>
      </c>
      <c r="M11" s="28">
        <f t="shared" si="2"/>
        <v>5.3763440860215058E-3</v>
      </c>
      <c r="N11" s="46">
        <v>22</v>
      </c>
      <c r="O11" s="89">
        <f t="shared" si="3"/>
        <v>3.9426523297491037E-2</v>
      </c>
      <c r="P11" s="260">
        <f t="shared" si="8"/>
        <v>93236.426086956519</v>
      </c>
      <c r="Q11" s="89">
        <f t="shared" si="4"/>
        <v>0.49593036457468576</v>
      </c>
      <c r="R11" s="260">
        <f t="shared" si="9"/>
        <v>36622.669565217395</v>
      </c>
      <c r="S11" s="89">
        <f t="shared" si="5"/>
        <v>0.19479826320495738</v>
      </c>
      <c r="T11" s="310">
        <v>5617.5</v>
      </c>
      <c r="U11" s="26"/>
      <c r="W11" s="238">
        <v>65105.82</v>
      </c>
      <c r="X11" s="297">
        <f t="shared" si="10"/>
        <v>56613.756521739131</v>
      </c>
      <c r="Z11" s="238">
        <v>42116.07</v>
      </c>
      <c r="AA11" s="297">
        <f t="shared" si="11"/>
        <v>36622.669565217395</v>
      </c>
    </row>
    <row r="12" spans="1:27" ht="15.6" customHeight="1" x14ac:dyDescent="0.3">
      <c r="A12" s="160" t="s">
        <v>55</v>
      </c>
      <c r="B12" s="344">
        <v>209808.55</v>
      </c>
      <c r="C12" s="310">
        <v>214348.71</v>
      </c>
      <c r="D12" s="310">
        <v>198093.56</v>
      </c>
      <c r="E12" s="310">
        <v>222526.87</v>
      </c>
      <c r="F12" s="310">
        <v>811789.69</v>
      </c>
      <c r="G12" s="349">
        <f t="shared" si="0"/>
        <v>3.8153530291831494E-2</v>
      </c>
      <c r="H12" s="86">
        <f t="shared" si="1"/>
        <v>0.12334227321675675</v>
      </c>
      <c r="I12" s="77">
        <f t="shared" si="6"/>
        <v>6.0618692612860667E-2</v>
      </c>
      <c r="J12" s="311">
        <v>793</v>
      </c>
      <c r="K12" s="63">
        <f t="shared" si="7"/>
        <v>280.61395964691047</v>
      </c>
      <c r="L12" s="61">
        <v>7</v>
      </c>
      <c r="M12" s="28">
        <f t="shared" si="2"/>
        <v>8.8272383354350576E-3</v>
      </c>
      <c r="N12" s="46">
        <v>17</v>
      </c>
      <c r="O12" s="89">
        <f t="shared" si="3"/>
        <v>2.1437578814627996E-2</v>
      </c>
      <c r="P12" s="260">
        <f t="shared" si="8"/>
        <v>68068.139130434793</v>
      </c>
      <c r="Q12" s="89">
        <f t="shared" si="4"/>
        <v>0.30588728062563769</v>
      </c>
      <c r="R12" s="260">
        <f t="shared" si="9"/>
        <v>32275.269565217393</v>
      </c>
      <c r="S12" s="89">
        <f t="shared" si="5"/>
        <v>0.14503987570227989</v>
      </c>
      <c r="T12" s="310">
        <v>6548</v>
      </c>
      <c r="U12" s="9"/>
      <c r="W12" s="238">
        <v>41161.800000000003</v>
      </c>
      <c r="X12" s="297">
        <f t="shared" si="10"/>
        <v>35792.869565217399</v>
      </c>
      <c r="Z12" s="238">
        <v>37116.559999999998</v>
      </c>
      <c r="AA12" s="297">
        <f t="shared" si="11"/>
        <v>32275.269565217393</v>
      </c>
    </row>
    <row r="13" spans="1:27" ht="15.6" customHeight="1" x14ac:dyDescent="0.3">
      <c r="A13" s="160" t="s">
        <v>33</v>
      </c>
      <c r="B13" s="344">
        <v>172334.61</v>
      </c>
      <c r="C13" s="310">
        <v>167548.26999999999</v>
      </c>
      <c r="D13" s="310">
        <v>180473.33</v>
      </c>
      <c r="E13" s="310">
        <v>196663.77</v>
      </c>
      <c r="F13" s="310">
        <v>696895.02</v>
      </c>
      <c r="G13" s="349">
        <f t="shared" si="0"/>
        <v>0.17377380261819475</v>
      </c>
      <c r="H13" s="86">
        <f t="shared" si="1"/>
        <v>8.971098388886603E-2</v>
      </c>
      <c r="I13" s="77">
        <f t="shared" si="6"/>
        <v>0.14117396383697972</v>
      </c>
      <c r="J13" s="311">
        <v>697</v>
      </c>
      <c r="K13" s="63">
        <f t="shared" si="7"/>
        <v>282.15748923959825</v>
      </c>
      <c r="L13" s="61">
        <v>13</v>
      </c>
      <c r="M13" s="28">
        <f t="shared" si="2"/>
        <v>1.8651362984218076E-2</v>
      </c>
      <c r="N13" s="46">
        <v>37</v>
      </c>
      <c r="O13" s="89">
        <f t="shared" si="3"/>
        <v>5.308464849354376E-2</v>
      </c>
      <c r="P13" s="260">
        <f t="shared" si="8"/>
        <v>59590.095652173914</v>
      </c>
      <c r="Q13" s="89">
        <f t="shared" si="4"/>
        <v>0.3030049492703914</v>
      </c>
      <c r="R13" s="260">
        <f t="shared" si="9"/>
        <v>30270.156521739133</v>
      </c>
      <c r="S13" s="89">
        <f t="shared" si="5"/>
        <v>0.15391831714473456</v>
      </c>
      <c r="T13" s="310">
        <v>6952</v>
      </c>
      <c r="U13" s="9"/>
      <c r="W13" s="238">
        <v>33717.93</v>
      </c>
      <c r="X13" s="297">
        <f t="shared" si="10"/>
        <v>29319.939130434785</v>
      </c>
      <c r="Z13" s="238">
        <v>34810.68</v>
      </c>
      <c r="AA13" s="297">
        <f t="shared" si="11"/>
        <v>30270.156521739133</v>
      </c>
    </row>
    <row r="14" spans="1:27" ht="15.6" customHeight="1" x14ac:dyDescent="0.3">
      <c r="A14" s="406" t="s">
        <v>20</v>
      </c>
      <c r="B14" s="345">
        <v>158904.88</v>
      </c>
      <c r="C14" s="310">
        <v>151772.76999999999</v>
      </c>
      <c r="D14" s="310">
        <v>167295.85999999999</v>
      </c>
      <c r="E14" s="310">
        <v>178420.43</v>
      </c>
      <c r="F14" s="310">
        <v>662446.31000000006</v>
      </c>
      <c r="G14" s="349">
        <f t="shared" si="0"/>
        <v>0.17557602724125024</v>
      </c>
      <c r="H14" s="86">
        <f t="shared" si="1"/>
        <v>6.649638550529588E-2</v>
      </c>
      <c r="I14" s="77">
        <f t="shared" si="6"/>
        <v>0.12281277956976518</v>
      </c>
      <c r="J14" s="311">
        <v>544</v>
      </c>
      <c r="K14" s="63">
        <f t="shared" si="7"/>
        <v>327.97873161764704</v>
      </c>
      <c r="L14" s="61">
        <v>11</v>
      </c>
      <c r="M14" s="28">
        <f t="shared" si="2"/>
        <v>2.0220588235294119E-2</v>
      </c>
      <c r="N14" s="46">
        <v>41</v>
      </c>
      <c r="O14" s="89">
        <f t="shared" si="3"/>
        <v>7.5367647058823525E-2</v>
      </c>
      <c r="P14" s="260">
        <f t="shared" si="8"/>
        <v>61413.64347826087</v>
      </c>
      <c r="Q14" s="89">
        <f t="shared" si="4"/>
        <v>0.34420746255493762</v>
      </c>
      <c r="R14" s="260">
        <f t="shared" si="9"/>
        <v>18430.2</v>
      </c>
      <c r="S14" s="89">
        <f t="shared" si="5"/>
        <v>0.10329646666584091</v>
      </c>
      <c r="T14" s="310">
        <v>6181</v>
      </c>
      <c r="U14" s="26"/>
      <c r="W14" s="238">
        <v>49430.96</v>
      </c>
      <c r="X14" s="297">
        <f t="shared" si="10"/>
        <v>42983.443478260873</v>
      </c>
      <c r="Z14" s="238">
        <v>21194.73</v>
      </c>
      <c r="AA14" s="297">
        <f t="shared" si="11"/>
        <v>18430.2</v>
      </c>
    </row>
    <row r="15" spans="1:27" ht="16.2" customHeight="1" thickBot="1" x14ac:dyDescent="0.35">
      <c r="A15" s="161" t="s">
        <v>22</v>
      </c>
      <c r="B15" s="346">
        <v>160007.63</v>
      </c>
      <c r="C15" s="310">
        <v>143504.95999999999</v>
      </c>
      <c r="D15" s="310">
        <v>131103.29999999999</v>
      </c>
      <c r="E15" s="310">
        <v>138208.69</v>
      </c>
      <c r="F15" s="310">
        <v>567472.04</v>
      </c>
      <c r="G15" s="350">
        <f t="shared" si="0"/>
        <v>-3.6906529223798189E-2</v>
      </c>
      <c r="H15" s="341">
        <f t="shared" si="1"/>
        <v>5.4196881390476175E-2</v>
      </c>
      <c r="I15" s="352">
        <f t="shared" si="6"/>
        <v>-0.13623687820387068</v>
      </c>
      <c r="J15" s="311">
        <v>481</v>
      </c>
      <c r="K15" s="132">
        <f t="shared" si="7"/>
        <v>287.33615384615388</v>
      </c>
      <c r="L15" s="133">
        <v>6</v>
      </c>
      <c r="M15" s="114">
        <f t="shared" si="2"/>
        <v>1.2474012474012475E-2</v>
      </c>
      <c r="N15" s="115">
        <v>27</v>
      </c>
      <c r="O15" s="116">
        <f t="shared" si="3"/>
        <v>5.6133056133056136E-2</v>
      </c>
      <c r="P15" s="261">
        <f t="shared" si="8"/>
        <v>33648.130434782615</v>
      </c>
      <c r="Q15" s="116">
        <f t="shared" si="4"/>
        <v>0.24345886235360897</v>
      </c>
      <c r="R15" s="261">
        <f t="shared" si="9"/>
        <v>13975.565217391306</v>
      </c>
      <c r="S15" s="116">
        <f t="shared" si="5"/>
        <v>0.10111929443359391</v>
      </c>
      <c r="T15" s="310">
        <v>9844.75</v>
      </c>
      <c r="U15" s="26"/>
      <c r="W15" s="238">
        <v>22623.45</v>
      </c>
      <c r="X15" s="297">
        <f t="shared" si="10"/>
        <v>19672.565217391308</v>
      </c>
      <c r="Z15" s="238">
        <v>16071.9</v>
      </c>
      <c r="AA15" s="297">
        <f t="shared" si="11"/>
        <v>13975.565217391306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94" priority="4" operator="equal">
      <formula>0</formula>
    </cfRule>
  </conditionalFormatting>
  <conditionalFormatting sqref="P12:P13">
    <cfRule type="cellIs" dxfId="93" priority="2" operator="equal">
      <formula>0</formula>
    </cfRule>
  </conditionalFormatting>
  <conditionalFormatting sqref="W5">
    <cfRule type="cellIs" dxfId="9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AA37"/>
  <sheetViews>
    <sheetView zoomScale="80" zoomScaleNormal="80" workbookViewId="0">
      <pane xSplit="1" topLeftCell="C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6.7677950998961636E-2</v>
      </c>
      <c r="H2" s="413"/>
      <c r="I2" s="400">
        <f>((E4-B4)/E4)</f>
        <v>0.13742542677199679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2409213.8600000003</v>
      </c>
      <c r="C4" s="299">
        <f>SUM(C5:C15)</f>
        <v>2616004.1399999997</v>
      </c>
      <c r="D4" s="299">
        <f>SUM(D5:D15)</f>
        <v>2201814.2599999998</v>
      </c>
      <c r="E4" s="299">
        <f>SUM(E5:E15)</f>
        <v>2793049.9400000004</v>
      </c>
      <c r="F4" s="299">
        <f>SUM(F5:F15)</f>
        <v>1891924.63</v>
      </c>
      <c r="G4" s="300">
        <f t="shared" ref="G4:G15" si="0">IFERROR((SUM(E4-C4)/C4),0)</f>
        <v>6.7677950998961636E-2</v>
      </c>
      <c r="H4" s="300">
        <f t="shared" ref="H4:H15" si="1">IFERROR((SUM(E4-D4)/D4),0)</f>
        <v>0.26852205053845035</v>
      </c>
      <c r="I4" s="324">
        <f>IFERROR((SUM(E4-B4)/E4),0)</f>
        <v>0.13742542677199679</v>
      </c>
      <c r="J4" s="325">
        <f>SUM(J5:J15)</f>
        <v>8469</v>
      </c>
      <c r="K4" s="326">
        <f>AVERAGE(K5:K15)</f>
        <v>326.46614163369901</v>
      </c>
      <c r="L4" s="327">
        <f>SUM(L5:L15)</f>
        <v>91</v>
      </c>
      <c r="M4" s="328">
        <f t="shared" ref="M4:M15" si="2">IFERROR(L4/J4,0)</f>
        <v>1.0745070256228598E-2</v>
      </c>
      <c r="N4" s="329">
        <f>SUM(N7:N15)</f>
        <v>256</v>
      </c>
      <c r="O4" s="330">
        <f t="shared" ref="O4:O15" si="3">IFERROR(N4/SUM(J4),0)</f>
        <v>3.0227889951588146E-2</v>
      </c>
      <c r="P4" s="331">
        <f>SUM(P5:P15)</f>
        <v>660246.63478260883</v>
      </c>
      <c r="Q4" s="330">
        <f t="shared" ref="Q4:Q15" si="4">SUM(P4/E4)</f>
        <v>0.23638912621183161</v>
      </c>
      <c r="R4" s="331">
        <f>SUM(R5:R15)</f>
        <v>269979.37391304353</v>
      </c>
      <c r="S4" s="330">
        <f t="shared" ref="S4:S15" si="5">SUM(R4/E4)</f>
        <v>9.6661133783037007E-2</v>
      </c>
      <c r="T4" s="353">
        <f>SUM(T5:T15)</f>
        <v>100309.37000000001</v>
      </c>
      <c r="U4" s="24"/>
    </row>
    <row r="5" spans="1:27" ht="15.6" customHeight="1" x14ac:dyDescent="0.3">
      <c r="A5" s="416" t="s">
        <v>26</v>
      </c>
      <c r="B5" s="343">
        <v>285667.40999999997</v>
      </c>
      <c r="C5" s="310">
        <v>234804.6</v>
      </c>
      <c r="D5" s="310">
        <v>215508.03</v>
      </c>
      <c r="E5" s="310">
        <v>316746.09999999998</v>
      </c>
      <c r="F5" s="310">
        <v>223634.12</v>
      </c>
      <c r="G5" s="348">
        <f t="shared" si="0"/>
        <v>0.34897740504232017</v>
      </c>
      <c r="H5" s="336">
        <f t="shared" si="1"/>
        <v>0.46976472292006927</v>
      </c>
      <c r="I5" s="351">
        <f t="shared" ref="I5:I15" si="6">IFERROR((SUM(E5-B5)/B5),0)</f>
        <v>0.10879326416688556</v>
      </c>
      <c r="J5" s="311">
        <v>941</v>
      </c>
      <c r="K5" s="63">
        <f t="shared" ref="K5:K15" si="7">IFERROR(E5/J5,0)</f>
        <v>336.60584484590856</v>
      </c>
      <c r="L5" s="61">
        <v>10</v>
      </c>
      <c r="M5" s="28">
        <f t="shared" si="2"/>
        <v>1.0626992561105207E-2</v>
      </c>
      <c r="N5" s="46">
        <v>42</v>
      </c>
      <c r="O5" s="89">
        <f t="shared" si="3"/>
        <v>4.4633368756641874E-2</v>
      </c>
      <c r="P5" s="260">
        <f t="shared" ref="P5:P15" si="8">SUM(X5+AA5)</f>
        <v>25580.434782608696</v>
      </c>
      <c r="Q5" s="89">
        <f t="shared" si="4"/>
        <v>8.0760062342073655E-2</v>
      </c>
      <c r="R5" s="260">
        <f t="shared" ref="R5:R15" si="9">SUM(AA5)</f>
        <v>25580.434782608696</v>
      </c>
      <c r="S5" s="89">
        <f t="shared" si="5"/>
        <v>8.0760062342073655E-2</v>
      </c>
      <c r="T5" s="310">
        <v>3679.79</v>
      </c>
      <c r="U5" s="9"/>
      <c r="W5" s="260"/>
      <c r="X5" s="297">
        <f t="shared" ref="X5:X15" si="10">W5/1.15</f>
        <v>0</v>
      </c>
      <c r="Z5" s="238">
        <v>29417.5</v>
      </c>
      <c r="AA5" s="297">
        <f t="shared" ref="AA5:AA15" si="11">SUM(Z5)/1.15</f>
        <v>25580.434782608696</v>
      </c>
    </row>
    <row r="6" spans="1:27" ht="15.6" customHeight="1" x14ac:dyDescent="0.3">
      <c r="A6" s="406" t="s">
        <v>21</v>
      </c>
      <c r="B6" s="344">
        <v>241715.58</v>
      </c>
      <c r="C6" s="310">
        <v>383307.6</v>
      </c>
      <c r="D6" s="310">
        <v>276171.59000000003</v>
      </c>
      <c r="E6" s="310">
        <v>255825.42</v>
      </c>
      <c r="F6" s="310">
        <v>179143.91</v>
      </c>
      <c r="G6" s="349">
        <f t="shared" si="0"/>
        <v>-0.33258453524010473</v>
      </c>
      <c r="H6" s="86">
        <f t="shared" si="1"/>
        <v>-7.3672205022971449E-2</v>
      </c>
      <c r="I6" s="77">
        <f t="shared" si="6"/>
        <v>5.8373729984637426E-2</v>
      </c>
      <c r="J6" s="311">
        <v>741</v>
      </c>
      <c r="K6" s="63">
        <f t="shared" si="7"/>
        <v>345.24348178137654</v>
      </c>
      <c r="L6" s="61">
        <v>10</v>
      </c>
      <c r="M6" s="28">
        <f t="shared" si="2"/>
        <v>1.3495276653171391E-2</v>
      </c>
      <c r="N6" s="46">
        <v>42</v>
      </c>
      <c r="O6" s="89">
        <f t="shared" si="3"/>
        <v>5.6680161943319839E-2</v>
      </c>
      <c r="P6" s="260">
        <f t="shared" si="8"/>
        <v>63306.139130434778</v>
      </c>
      <c r="Q6" s="89">
        <f t="shared" si="4"/>
        <v>0.24745836098083909</v>
      </c>
      <c r="R6" s="260">
        <f t="shared" si="9"/>
        <v>20220.121739130434</v>
      </c>
      <c r="S6" s="89">
        <f t="shared" si="5"/>
        <v>7.9038751266900811E-2</v>
      </c>
      <c r="T6" s="310">
        <v>12777.54</v>
      </c>
      <c r="U6" s="26"/>
      <c r="W6" s="238">
        <v>49548.92</v>
      </c>
      <c r="X6" s="297">
        <f t="shared" si="10"/>
        <v>43086.017391304347</v>
      </c>
      <c r="Z6" s="238">
        <v>23253.14</v>
      </c>
      <c r="AA6" s="297">
        <f t="shared" si="11"/>
        <v>20220.121739130434</v>
      </c>
    </row>
    <row r="7" spans="1:27" ht="16.5" customHeight="1" x14ac:dyDescent="0.3">
      <c r="A7" s="406" t="s">
        <v>15</v>
      </c>
      <c r="B7" s="344">
        <v>248794.84</v>
      </c>
      <c r="C7" s="310">
        <v>296557.98</v>
      </c>
      <c r="D7" s="310">
        <v>249569.36</v>
      </c>
      <c r="E7" s="310">
        <v>299885.07</v>
      </c>
      <c r="F7" s="310">
        <v>214093.1</v>
      </c>
      <c r="G7" s="349">
        <f t="shared" si="0"/>
        <v>1.1219020307597272E-2</v>
      </c>
      <c r="H7" s="86">
        <f t="shared" si="1"/>
        <v>0.20161012553784657</v>
      </c>
      <c r="I7" s="77">
        <f t="shared" si="6"/>
        <v>0.20535084248531846</v>
      </c>
      <c r="J7" s="311">
        <v>832</v>
      </c>
      <c r="K7" s="63">
        <f t="shared" si="7"/>
        <v>360.43878605769231</v>
      </c>
      <c r="L7" s="61">
        <v>4</v>
      </c>
      <c r="M7" s="28">
        <f t="shared" si="2"/>
        <v>4.807692307692308E-3</v>
      </c>
      <c r="N7" s="46">
        <v>24</v>
      </c>
      <c r="O7" s="89">
        <f t="shared" si="3"/>
        <v>2.8846153846153848E-2</v>
      </c>
      <c r="P7" s="260">
        <f t="shared" si="8"/>
        <v>50346.52173913044</v>
      </c>
      <c r="Q7" s="89">
        <f t="shared" si="4"/>
        <v>0.16788605627859512</v>
      </c>
      <c r="R7" s="260">
        <f t="shared" si="9"/>
        <v>3328.2695652173916</v>
      </c>
      <c r="S7" s="89">
        <f t="shared" si="5"/>
        <v>1.1098483713168487E-2</v>
      </c>
      <c r="T7" s="310">
        <v>10438.209999999999</v>
      </c>
      <c r="U7" s="26"/>
      <c r="W7" s="238">
        <v>54070.99</v>
      </c>
      <c r="X7" s="297">
        <f t="shared" si="10"/>
        <v>47018.252173913046</v>
      </c>
      <c r="Z7" s="238">
        <v>3827.51</v>
      </c>
      <c r="AA7" s="297">
        <f t="shared" si="11"/>
        <v>3328.2695652173916</v>
      </c>
    </row>
    <row r="8" spans="1:27" ht="15.6" customHeight="1" x14ac:dyDescent="0.3">
      <c r="A8" s="160" t="s">
        <v>27</v>
      </c>
      <c r="B8" s="344">
        <v>163499.22</v>
      </c>
      <c r="C8" s="310">
        <v>133257.29999999999</v>
      </c>
      <c r="D8" s="310">
        <v>155549.5</v>
      </c>
      <c r="E8" s="310">
        <v>187699.08</v>
      </c>
      <c r="F8" s="310">
        <v>113182.5</v>
      </c>
      <c r="G8" s="349">
        <f t="shared" si="0"/>
        <v>0.40854632354099929</v>
      </c>
      <c r="H8" s="86">
        <f t="shared" si="1"/>
        <v>0.20668391733821059</v>
      </c>
      <c r="I8" s="77">
        <f t="shared" si="6"/>
        <v>0.1480120822594749</v>
      </c>
      <c r="J8" s="311">
        <v>540</v>
      </c>
      <c r="K8" s="63">
        <f t="shared" si="7"/>
        <v>347.59088888888886</v>
      </c>
      <c r="L8" s="61">
        <v>11</v>
      </c>
      <c r="M8" s="28">
        <f t="shared" si="2"/>
        <v>2.0370370370370372E-2</v>
      </c>
      <c r="N8" s="46">
        <v>25</v>
      </c>
      <c r="O8" s="89">
        <f t="shared" si="3"/>
        <v>4.6296296296296294E-2</v>
      </c>
      <c r="P8" s="260">
        <f t="shared" si="8"/>
        <v>64850.426086956519</v>
      </c>
      <c r="Q8" s="89">
        <f t="shared" si="4"/>
        <v>0.34550209882198957</v>
      </c>
      <c r="R8" s="260">
        <f t="shared" si="9"/>
        <v>22028.695652173916</v>
      </c>
      <c r="S8" s="89">
        <f t="shared" si="5"/>
        <v>0.11736176678209567</v>
      </c>
      <c r="T8" s="310">
        <v>5937.8</v>
      </c>
      <c r="U8" s="9"/>
      <c r="W8" s="238">
        <v>49244.99</v>
      </c>
      <c r="X8" s="297">
        <f t="shared" si="10"/>
        <v>42821.730434782607</v>
      </c>
      <c r="Z8" s="238">
        <v>25333</v>
      </c>
      <c r="AA8" s="297">
        <f t="shared" si="11"/>
        <v>22028.695652173916</v>
      </c>
    </row>
    <row r="9" spans="1:27" ht="15.6" customHeight="1" x14ac:dyDescent="0.3">
      <c r="A9" s="160" t="s">
        <v>23</v>
      </c>
      <c r="B9" s="344">
        <v>231934.4</v>
      </c>
      <c r="C9" s="310">
        <v>242832.81</v>
      </c>
      <c r="D9" s="310">
        <v>214680.88</v>
      </c>
      <c r="E9" s="310">
        <v>236228.94</v>
      </c>
      <c r="F9" s="310">
        <v>154256.85999999999</v>
      </c>
      <c r="G9" s="349">
        <f t="shared" si="0"/>
        <v>-2.7195130674475147E-2</v>
      </c>
      <c r="H9" s="86">
        <f t="shared" si="1"/>
        <v>0.10037251570796615</v>
      </c>
      <c r="I9" s="77">
        <f t="shared" si="6"/>
        <v>1.8516183886478282E-2</v>
      </c>
      <c r="J9" s="311">
        <v>785</v>
      </c>
      <c r="K9" s="63">
        <f t="shared" si="7"/>
        <v>300.92858598726116</v>
      </c>
      <c r="L9" s="61">
        <v>15</v>
      </c>
      <c r="M9" s="28">
        <f t="shared" si="2"/>
        <v>1.9108280254777069E-2</v>
      </c>
      <c r="N9" s="46">
        <v>48</v>
      </c>
      <c r="O9" s="89">
        <f t="shared" si="3"/>
        <v>6.1146496815286625E-2</v>
      </c>
      <c r="P9" s="260">
        <f t="shared" si="8"/>
        <v>64435.81739130435</v>
      </c>
      <c r="Q9" s="89">
        <f t="shared" si="4"/>
        <v>0.2727685159629652</v>
      </c>
      <c r="R9" s="260">
        <f t="shared" si="9"/>
        <v>25355.573913043481</v>
      </c>
      <c r="S9" s="89">
        <f t="shared" si="5"/>
        <v>0.10733474871048179</v>
      </c>
      <c r="T9" s="310">
        <v>7349</v>
      </c>
      <c r="U9" s="26"/>
      <c r="W9" s="238">
        <v>44942.28</v>
      </c>
      <c r="X9" s="297">
        <f t="shared" si="10"/>
        <v>39080.243478260869</v>
      </c>
      <c r="Z9" s="238">
        <v>29158.91</v>
      </c>
      <c r="AA9" s="297">
        <f t="shared" si="11"/>
        <v>25355.573913043481</v>
      </c>
    </row>
    <row r="10" spans="1:27" ht="15.6" customHeight="1" x14ac:dyDescent="0.3">
      <c r="A10" s="406" t="s">
        <v>16</v>
      </c>
      <c r="B10" s="344">
        <v>313779.59000000003</v>
      </c>
      <c r="C10" s="310">
        <v>384641.91</v>
      </c>
      <c r="D10" s="310">
        <v>311887.53999999998</v>
      </c>
      <c r="E10" s="310">
        <v>472242.15</v>
      </c>
      <c r="F10" s="310">
        <v>333196.58</v>
      </c>
      <c r="G10" s="349">
        <f t="shared" si="0"/>
        <v>0.2277449173440306</v>
      </c>
      <c r="H10" s="86">
        <f t="shared" si="1"/>
        <v>0.51414240530416844</v>
      </c>
      <c r="I10" s="77">
        <f t="shared" si="6"/>
        <v>0.50501232409666919</v>
      </c>
      <c r="J10" s="311">
        <v>1239</v>
      </c>
      <c r="K10" s="63">
        <f t="shared" si="7"/>
        <v>381.14782082324456</v>
      </c>
      <c r="L10" s="61">
        <v>1</v>
      </c>
      <c r="M10" s="28">
        <f t="shared" si="2"/>
        <v>8.0710250201775622E-4</v>
      </c>
      <c r="N10" s="46">
        <v>15</v>
      </c>
      <c r="O10" s="89">
        <f t="shared" si="3"/>
        <v>1.2106537530266344E-2</v>
      </c>
      <c r="P10" s="260">
        <f t="shared" si="8"/>
        <v>60181.400000000009</v>
      </c>
      <c r="Q10" s="89">
        <f t="shared" si="4"/>
        <v>0.12743758683971773</v>
      </c>
      <c r="R10" s="260">
        <f t="shared" si="9"/>
        <v>25107.826086956524</v>
      </c>
      <c r="S10" s="89">
        <f t="shared" si="5"/>
        <v>5.3167270407684958E-2</v>
      </c>
      <c r="T10" s="310">
        <v>20998.3</v>
      </c>
      <c r="U10" s="26"/>
      <c r="W10" s="238">
        <v>40334.61</v>
      </c>
      <c r="X10" s="297">
        <f t="shared" si="10"/>
        <v>35073.573913043481</v>
      </c>
      <c r="Z10" s="238">
        <v>28874</v>
      </c>
      <c r="AA10" s="297">
        <f t="shared" si="11"/>
        <v>25107.826086956524</v>
      </c>
    </row>
    <row r="11" spans="1:27" ht="15.6" customHeight="1" x14ac:dyDescent="0.3">
      <c r="A11" s="406" t="s">
        <v>17</v>
      </c>
      <c r="B11" s="344">
        <v>188003.06</v>
      </c>
      <c r="C11" s="310">
        <v>127269.54</v>
      </c>
      <c r="D11" s="310">
        <v>142037.23000000001</v>
      </c>
      <c r="E11" s="310">
        <v>196747.98</v>
      </c>
      <c r="F11" s="310">
        <v>135854.29</v>
      </c>
      <c r="G11" s="349">
        <f t="shared" si="0"/>
        <v>0.54591569986031241</v>
      </c>
      <c r="H11" s="86">
        <f t="shared" si="1"/>
        <v>0.38518598257653996</v>
      </c>
      <c r="I11" s="77">
        <f t="shared" si="6"/>
        <v>4.6514774812707903E-2</v>
      </c>
      <c r="J11" s="311">
        <v>632</v>
      </c>
      <c r="K11" s="63">
        <f t="shared" si="7"/>
        <v>311.31009493670888</v>
      </c>
      <c r="L11" s="61">
        <v>3</v>
      </c>
      <c r="M11" s="28">
        <f t="shared" si="2"/>
        <v>4.7468354430379748E-3</v>
      </c>
      <c r="N11" s="46">
        <v>22</v>
      </c>
      <c r="O11" s="89">
        <f t="shared" si="3"/>
        <v>3.4810126582278479E-2</v>
      </c>
      <c r="P11" s="260">
        <f t="shared" si="8"/>
        <v>85464.078260869574</v>
      </c>
      <c r="Q11" s="89">
        <f t="shared" si="4"/>
        <v>0.43438351062546904</v>
      </c>
      <c r="R11" s="260">
        <f t="shared" si="9"/>
        <v>34081.17391304348</v>
      </c>
      <c r="S11" s="89">
        <f t="shared" si="5"/>
        <v>0.17322248448519512</v>
      </c>
      <c r="T11" s="310">
        <v>5501.38</v>
      </c>
      <c r="U11" s="26"/>
      <c r="W11" s="238">
        <v>59090.34</v>
      </c>
      <c r="X11" s="297">
        <f t="shared" si="10"/>
        <v>51382.904347826086</v>
      </c>
      <c r="Z11" s="238">
        <v>39193.35</v>
      </c>
      <c r="AA11" s="297">
        <f t="shared" si="11"/>
        <v>34081.17391304348</v>
      </c>
    </row>
    <row r="12" spans="1:27" ht="15.6" customHeight="1" x14ac:dyDescent="0.3">
      <c r="A12" s="160" t="s">
        <v>55</v>
      </c>
      <c r="B12" s="344">
        <v>222526.87</v>
      </c>
      <c r="C12" s="310">
        <v>225430.06</v>
      </c>
      <c r="D12" s="310">
        <v>170425.3</v>
      </c>
      <c r="E12" s="310">
        <v>249991.27</v>
      </c>
      <c r="F12" s="310">
        <v>158469.51</v>
      </c>
      <c r="G12" s="349">
        <f t="shared" si="0"/>
        <v>0.10895268359508041</v>
      </c>
      <c r="H12" s="86">
        <f t="shared" si="1"/>
        <v>0.46686712594902285</v>
      </c>
      <c r="I12" s="77">
        <f t="shared" si="6"/>
        <v>0.12342060084698983</v>
      </c>
      <c r="J12" s="311">
        <v>836</v>
      </c>
      <c r="K12" s="63">
        <f t="shared" si="7"/>
        <v>299.0326196172249</v>
      </c>
      <c r="L12" s="61">
        <v>7</v>
      </c>
      <c r="M12" s="28">
        <f t="shared" si="2"/>
        <v>8.3732057416267946E-3</v>
      </c>
      <c r="N12" s="46">
        <v>17</v>
      </c>
      <c r="O12" s="89">
        <f t="shared" si="3"/>
        <v>2.033492822966507E-2</v>
      </c>
      <c r="P12" s="260">
        <f t="shared" si="8"/>
        <v>71127.556521739127</v>
      </c>
      <c r="Q12" s="89">
        <f t="shared" si="4"/>
        <v>0.28452016153099718</v>
      </c>
      <c r="R12" s="260">
        <f t="shared" si="9"/>
        <v>41381.452173913043</v>
      </c>
      <c r="S12" s="89">
        <f t="shared" si="5"/>
        <v>0.1655315890587421</v>
      </c>
      <c r="T12" s="310">
        <v>6143</v>
      </c>
      <c r="U12" s="9"/>
      <c r="W12" s="238">
        <v>34208.019999999997</v>
      </c>
      <c r="X12" s="297">
        <f t="shared" si="10"/>
        <v>29746.104347826087</v>
      </c>
      <c r="Z12" s="238">
        <v>47588.67</v>
      </c>
      <c r="AA12" s="297">
        <f t="shared" si="11"/>
        <v>41381.452173913043</v>
      </c>
    </row>
    <row r="13" spans="1:27" ht="15.6" customHeight="1" x14ac:dyDescent="0.3">
      <c r="A13" s="160" t="s">
        <v>33</v>
      </c>
      <c r="B13" s="344">
        <v>196663.77</v>
      </c>
      <c r="C13" s="310">
        <v>234073.41</v>
      </c>
      <c r="D13" s="310">
        <v>171537.9</v>
      </c>
      <c r="E13" s="310">
        <v>219139.93</v>
      </c>
      <c r="F13" s="310">
        <v>146718.66</v>
      </c>
      <c r="G13" s="349">
        <f t="shared" si="0"/>
        <v>-6.379827593403288E-2</v>
      </c>
      <c r="H13" s="86">
        <f t="shared" si="1"/>
        <v>0.27750153173147157</v>
      </c>
      <c r="I13" s="77">
        <f t="shared" si="6"/>
        <v>0.11428724263752293</v>
      </c>
      <c r="J13" s="311">
        <v>789</v>
      </c>
      <c r="K13" s="63">
        <f t="shared" si="7"/>
        <v>277.7438910012674</v>
      </c>
      <c r="L13" s="61">
        <v>13</v>
      </c>
      <c r="M13" s="28">
        <f t="shared" si="2"/>
        <v>1.6476552598225603E-2</v>
      </c>
      <c r="N13" s="46">
        <v>37</v>
      </c>
      <c r="O13" s="89">
        <f t="shared" si="3"/>
        <v>4.6894803548795945E-2</v>
      </c>
      <c r="P13" s="260">
        <f t="shared" si="8"/>
        <v>55272.46956521739</v>
      </c>
      <c r="Q13" s="89">
        <f t="shared" si="4"/>
        <v>0.25222454696055341</v>
      </c>
      <c r="R13" s="260">
        <f t="shared" si="9"/>
        <v>26538.130434782608</v>
      </c>
      <c r="S13" s="89">
        <f t="shared" si="5"/>
        <v>0.12110130013632207</v>
      </c>
      <c r="T13" s="310">
        <v>6711.25</v>
      </c>
      <c r="U13" s="9"/>
      <c r="W13" s="238">
        <v>33044.49</v>
      </c>
      <c r="X13" s="297">
        <f t="shared" si="10"/>
        <v>28734.339130434782</v>
      </c>
      <c r="Z13" s="238">
        <v>30518.85</v>
      </c>
      <c r="AA13" s="297">
        <f t="shared" si="11"/>
        <v>26538.130434782608</v>
      </c>
    </row>
    <row r="14" spans="1:27" ht="15.6" customHeight="1" x14ac:dyDescent="0.3">
      <c r="A14" s="406" t="s">
        <v>20</v>
      </c>
      <c r="B14" s="345">
        <v>178420.43</v>
      </c>
      <c r="C14" s="310">
        <v>191019.57</v>
      </c>
      <c r="D14" s="310">
        <v>150479.32999999999</v>
      </c>
      <c r="E14" s="310">
        <v>195308.32</v>
      </c>
      <c r="F14" s="310">
        <v>126596.67</v>
      </c>
      <c r="G14" s="349">
        <f t="shared" si="0"/>
        <v>2.2451888044769445E-2</v>
      </c>
      <c r="H14" s="86">
        <f t="shared" si="1"/>
        <v>0.29790795852161239</v>
      </c>
      <c r="I14" s="77">
        <f t="shared" si="6"/>
        <v>9.4652221160996045E-2</v>
      </c>
      <c r="J14" s="311">
        <v>592</v>
      </c>
      <c r="K14" s="63">
        <f t="shared" si="7"/>
        <v>329.91270270270269</v>
      </c>
      <c r="L14" s="61">
        <v>11</v>
      </c>
      <c r="M14" s="28">
        <f t="shared" si="2"/>
        <v>1.8581081081081082E-2</v>
      </c>
      <c r="N14" s="46">
        <v>41</v>
      </c>
      <c r="O14" s="89">
        <f t="shared" si="3"/>
        <v>6.9256756756756757E-2</v>
      </c>
      <c r="P14" s="260">
        <f t="shared" si="8"/>
        <v>76549.96521739132</v>
      </c>
      <c r="Q14" s="89">
        <f t="shared" si="4"/>
        <v>0.39194421014625141</v>
      </c>
      <c r="R14" s="260">
        <f t="shared" si="9"/>
        <v>23039.869565217392</v>
      </c>
      <c r="S14" s="89">
        <f t="shared" si="5"/>
        <v>0.11796665684911627</v>
      </c>
      <c r="T14" s="310">
        <v>7347.6</v>
      </c>
      <c r="U14" s="26"/>
      <c r="W14" s="238">
        <v>61536.61</v>
      </c>
      <c r="X14" s="297">
        <f t="shared" si="10"/>
        <v>53510.095652173921</v>
      </c>
      <c r="Z14" s="238">
        <v>26495.85</v>
      </c>
      <c r="AA14" s="297">
        <f t="shared" si="11"/>
        <v>23039.869565217392</v>
      </c>
    </row>
    <row r="15" spans="1:27" ht="16.2" customHeight="1" thickBot="1" x14ac:dyDescent="0.35">
      <c r="A15" s="161" t="s">
        <v>22</v>
      </c>
      <c r="B15" s="346">
        <v>138208.69</v>
      </c>
      <c r="C15" s="310">
        <v>162809.35999999999</v>
      </c>
      <c r="D15" s="310">
        <v>143967.6</v>
      </c>
      <c r="E15" s="310">
        <v>163235.68</v>
      </c>
      <c r="F15" s="310">
        <v>106778.43</v>
      </c>
      <c r="G15" s="350">
        <f t="shared" si="0"/>
        <v>2.6185226697040456E-3</v>
      </c>
      <c r="H15" s="341">
        <f t="shared" si="1"/>
        <v>0.13383622426156988</v>
      </c>
      <c r="I15" s="352">
        <f t="shared" si="6"/>
        <v>0.18108116067086658</v>
      </c>
      <c r="J15" s="311">
        <v>542</v>
      </c>
      <c r="K15" s="132">
        <f t="shared" si="7"/>
        <v>301.17284132841326</v>
      </c>
      <c r="L15" s="133">
        <v>6</v>
      </c>
      <c r="M15" s="114">
        <f t="shared" si="2"/>
        <v>1.107011070110701E-2</v>
      </c>
      <c r="N15" s="115">
        <v>27</v>
      </c>
      <c r="O15" s="116">
        <f t="shared" si="3"/>
        <v>4.9815498154981548E-2</v>
      </c>
      <c r="P15" s="261">
        <f t="shared" si="8"/>
        <v>43131.826086956527</v>
      </c>
      <c r="Q15" s="116">
        <f t="shared" si="4"/>
        <v>0.26423038202773147</v>
      </c>
      <c r="R15" s="261">
        <f t="shared" si="9"/>
        <v>23317.826086956524</v>
      </c>
      <c r="S15" s="116">
        <f t="shared" si="5"/>
        <v>0.142847605909177</v>
      </c>
      <c r="T15" s="310">
        <v>13425.5</v>
      </c>
      <c r="U15" s="26"/>
      <c r="W15" s="238">
        <v>22786.1</v>
      </c>
      <c r="X15" s="297">
        <f t="shared" si="10"/>
        <v>19814</v>
      </c>
      <c r="Z15" s="238">
        <v>26815.5</v>
      </c>
      <c r="AA15" s="297">
        <f t="shared" si="11"/>
        <v>23317.826086956524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91" priority="4" operator="equal">
      <formula>0</formula>
    </cfRule>
  </conditionalFormatting>
  <conditionalFormatting sqref="P12:P13">
    <cfRule type="cellIs" dxfId="90" priority="2" operator="equal">
      <formula>0</formula>
    </cfRule>
  </conditionalFormatting>
  <conditionalFormatting sqref="W5">
    <cfRule type="cellIs" dxfId="8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AA37"/>
  <sheetViews>
    <sheetView zoomScale="70" zoomScaleNormal="70" workbookViewId="0">
      <pane xSplit="1" topLeftCell="I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-9.2861395429303148E-2</v>
      </c>
      <c r="H2" s="413"/>
      <c r="I2" s="400">
        <f>((E4-B4)/E4)</f>
        <v>5.6225000208822734E-2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2793049.9400000004</v>
      </c>
      <c r="C4" s="299">
        <f>SUM(C5:C15)</f>
        <v>3262395.3</v>
      </c>
      <c r="D4" s="299">
        <f>SUM(D5:D15)</f>
        <v>2252262.5999999996</v>
      </c>
      <c r="E4" s="299">
        <f>SUM(E5:E15)</f>
        <v>2959444.7199999997</v>
      </c>
      <c r="F4" s="299">
        <f>SUM(F5:F15)</f>
        <v>4851369.3499999996</v>
      </c>
      <c r="G4" s="300">
        <f t="shared" ref="G4:G15" si="0">IFERROR((SUM(E4-C4)/C4),0)</f>
        <v>-9.2861395429303148E-2</v>
      </c>
      <c r="H4" s="300">
        <f t="shared" ref="H4:H15" si="1">IFERROR((SUM(E4-D4)/D4),0)</f>
        <v>0.31398741869620367</v>
      </c>
      <c r="I4" s="324">
        <f>IFERROR((SUM(E4-B4)/E4),0)</f>
        <v>5.6225000208822734E-2</v>
      </c>
      <c r="J4" s="325">
        <f>SUM(J5:J15)</f>
        <v>8543</v>
      </c>
      <c r="K4" s="326">
        <f>AVERAGE(K5:K15)</f>
        <v>340.66160305615483</v>
      </c>
      <c r="L4" s="327">
        <f>SUM(L5:L15)</f>
        <v>91</v>
      </c>
      <c r="M4" s="328">
        <f t="shared" ref="M4:M15" si="2">IFERROR(L4/J4,0)</f>
        <v>1.0651995786023645E-2</v>
      </c>
      <c r="N4" s="329">
        <f>SUM(N7:N15)</f>
        <v>256</v>
      </c>
      <c r="O4" s="330">
        <f t="shared" ref="O4:O15" si="3">IFERROR(N4/SUM(J4),0)</f>
        <v>2.996605407936322E-2</v>
      </c>
      <c r="P4" s="331">
        <f>SUM(P5:P15)</f>
        <v>644072.29565217393</v>
      </c>
      <c r="Q4" s="330">
        <f t="shared" ref="Q4:Q15" si="4">SUM(P4/E4)</f>
        <v>0.21763281851474287</v>
      </c>
      <c r="R4" s="331">
        <f>SUM(R5:R15)</f>
        <v>288148.19130434783</v>
      </c>
      <c r="S4" s="330">
        <f t="shared" ref="S4:S15" si="5">SUM(R4/E4)</f>
        <v>9.7365627192505175E-2</v>
      </c>
      <c r="T4" s="353">
        <f>SUM(T5:T15)</f>
        <v>119594.98</v>
      </c>
      <c r="U4" s="24"/>
    </row>
    <row r="5" spans="1:27" ht="15.6" customHeight="1" x14ac:dyDescent="0.3">
      <c r="A5" s="416" t="s">
        <v>26</v>
      </c>
      <c r="B5" s="343">
        <v>316746.09999999998</v>
      </c>
      <c r="C5" s="310">
        <v>423907.22</v>
      </c>
      <c r="D5" s="310">
        <v>324926.32</v>
      </c>
      <c r="E5" s="310">
        <v>531765.01</v>
      </c>
      <c r="F5" s="310">
        <v>755399.13</v>
      </c>
      <c r="G5" s="348">
        <f t="shared" si="0"/>
        <v>0.25443725634114006</v>
      </c>
      <c r="H5" s="336">
        <f t="shared" si="1"/>
        <v>0.6365710540161843</v>
      </c>
      <c r="I5" s="351">
        <f t="shared" ref="I5:I15" si="6">IFERROR((SUM(E5-B5)/B5),0)</f>
        <v>0.67883680335764207</v>
      </c>
      <c r="J5" s="311">
        <v>1423</v>
      </c>
      <c r="K5" s="63">
        <f t="shared" ref="K5:K15" si="7">IFERROR(E5/J5,0)</f>
        <v>373.69290934645119</v>
      </c>
      <c r="L5" s="61">
        <v>10</v>
      </c>
      <c r="M5" s="28">
        <f t="shared" si="2"/>
        <v>7.0274068868587487E-3</v>
      </c>
      <c r="N5" s="46">
        <v>42</v>
      </c>
      <c r="O5" s="89">
        <f t="shared" si="3"/>
        <v>2.9515108924806747E-2</v>
      </c>
      <c r="P5" s="260">
        <f t="shared" ref="P5:P15" si="8">SUM(X5+AA5)</f>
        <v>44747.391304347831</v>
      </c>
      <c r="Q5" s="89">
        <f t="shared" si="4"/>
        <v>8.4148807204046452E-2</v>
      </c>
      <c r="R5" s="260">
        <f t="shared" ref="R5:R15" si="9">SUM(AA5)</f>
        <v>44747.391304347831</v>
      </c>
      <c r="S5" s="89">
        <f t="shared" si="5"/>
        <v>8.4148807204046452E-2</v>
      </c>
      <c r="T5" s="310">
        <v>2702.6</v>
      </c>
      <c r="U5" s="9"/>
      <c r="W5" s="260"/>
      <c r="X5" s="297">
        <f t="shared" ref="X5:X15" si="10">W5/1.15</f>
        <v>0</v>
      </c>
      <c r="Z5" s="238">
        <v>51459.5</v>
      </c>
      <c r="AA5" s="297">
        <f t="shared" ref="AA5:AA15" si="11">SUM(Z5)/1.15</f>
        <v>44747.391304347831</v>
      </c>
    </row>
    <row r="6" spans="1:27" ht="15.6" customHeight="1" x14ac:dyDescent="0.3">
      <c r="A6" s="406" t="s">
        <v>21</v>
      </c>
      <c r="B6" s="344">
        <v>255825.42</v>
      </c>
      <c r="C6" s="310">
        <v>423448.09</v>
      </c>
      <c r="D6" s="310">
        <v>253420.14</v>
      </c>
      <c r="E6" s="310">
        <v>258692</v>
      </c>
      <c r="F6" s="310">
        <v>437835.91</v>
      </c>
      <c r="G6" s="349">
        <f t="shared" si="0"/>
        <v>-0.38908214227628235</v>
      </c>
      <c r="H6" s="86">
        <f t="shared" si="1"/>
        <v>2.0802845424992607E-2</v>
      </c>
      <c r="I6" s="77">
        <f t="shared" si="6"/>
        <v>1.1205219559494857E-2</v>
      </c>
      <c r="J6" s="311">
        <v>746</v>
      </c>
      <c r="K6" s="63">
        <f t="shared" si="7"/>
        <v>346.7721179624665</v>
      </c>
      <c r="L6" s="61">
        <v>10</v>
      </c>
      <c r="M6" s="28">
        <f t="shared" si="2"/>
        <v>1.3404825737265416E-2</v>
      </c>
      <c r="N6" s="46">
        <v>42</v>
      </c>
      <c r="O6" s="89">
        <f t="shared" si="3"/>
        <v>5.6300268096514748E-2</v>
      </c>
      <c r="P6" s="260">
        <f t="shared" si="8"/>
        <v>69959.913043478271</v>
      </c>
      <c r="Q6" s="89">
        <f t="shared" si="4"/>
        <v>0.27043709524638671</v>
      </c>
      <c r="R6" s="260">
        <f t="shared" si="9"/>
        <v>20480.956521739132</v>
      </c>
      <c r="S6" s="89">
        <f t="shared" si="5"/>
        <v>7.9171201744696912E-2</v>
      </c>
      <c r="T6" s="310">
        <v>11425.93</v>
      </c>
      <c r="U6" s="26"/>
      <c r="W6" s="238">
        <v>56900.800000000003</v>
      </c>
      <c r="X6" s="297">
        <f t="shared" si="10"/>
        <v>49478.956521739135</v>
      </c>
      <c r="Z6" s="238">
        <v>23553.1</v>
      </c>
      <c r="AA6" s="297">
        <f t="shared" si="11"/>
        <v>20480.956521739132</v>
      </c>
    </row>
    <row r="7" spans="1:27" ht="16.5" customHeight="1" x14ac:dyDescent="0.3">
      <c r="A7" s="406" t="s">
        <v>15</v>
      </c>
      <c r="B7" s="344">
        <v>299885.07</v>
      </c>
      <c r="C7" s="310">
        <v>316187.89</v>
      </c>
      <c r="D7" s="310">
        <v>221100.21</v>
      </c>
      <c r="E7" s="310">
        <v>279468.55</v>
      </c>
      <c r="F7" s="310">
        <v>493561.65</v>
      </c>
      <c r="G7" s="349">
        <f t="shared" si="0"/>
        <v>-0.1161313926349299</v>
      </c>
      <c r="H7" s="86">
        <f t="shared" si="1"/>
        <v>0.2639904322117107</v>
      </c>
      <c r="I7" s="77">
        <f t="shared" si="6"/>
        <v>-6.808114855467802E-2</v>
      </c>
      <c r="J7" s="311">
        <v>791</v>
      </c>
      <c r="K7" s="63">
        <f t="shared" si="7"/>
        <v>353.31042983565106</v>
      </c>
      <c r="L7" s="61">
        <v>4</v>
      </c>
      <c r="M7" s="28">
        <f t="shared" si="2"/>
        <v>5.0568900126422255E-3</v>
      </c>
      <c r="N7" s="46">
        <v>24</v>
      </c>
      <c r="O7" s="89">
        <f t="shared" si="3"/>
        <v>3.0341340075853349E-2</v>
      </c>
      <c r="P7" s="260">
        <f t="shared" si="8"/>
        <v>49868.478260869568</v>
      </c>
      <c r="Q7" s="89">
        <f t="shared" si="4"/>
        <v>0.17844039431581682</v>
      </c>
      <c r="R7" s="260">
        <f t="shared" si="9"/>
        <v>9417.4695652173923</v>
      </c>
      <c r="S7" s="89">
        <f t="shared" si="5"/>
        <v>3.3697779464692511E-2</v>
      </c>
      <c r="T7" s="310">
        <v>19701.439999999999</v>
      </c>
      <c r="U7" s="26"/>
      <c r="W7" s="238">
        <v>46518.66</v>
      </c>
      <c r="X7" s="297">
        <f t="shared" si="10"/>
        <v>40451.008695652177</v>
      </c>
      <c r="Z7" s="238">
        <v>10830.09</v>
      </c>
      <c r="AA7" s="297">
        <f t="shared" si="11"/>
        <v>9417.4695652173923</v>
      </c>
    </row>
    <row r="8" spans="1:27" ht="15.6" customHeight="1" x14ac:dyDescent="0.3">
      <c r="A8" s="160" t="s">
        <v>27</v>
      </c>
      <c r="B8" s="344">
        <v>187699.08</v>
      </c>
      <c r="C8" s="310">
        <v>171875.61</v>
      </c>
      <c r="D8" s="310">
        <v>129659.6</v>
      </c>
      <c r="E8" s="310">
        <v>185160.1</v>
      </c>
      <c r="F8" s="310">
        <v>298342.59999999998</v>
      </c>
      <c r="G8" s="349">
        <f t="shared" si="0"/>
        <v>7.7291303867954395E-2</v>
      </c>
      <c r="H8" s="86">
        <f t="shared" si="1"/>
        <v>0.42804774964599612</v>
      </c>
      <c r="I8" s="77">
        <f t="shared" si="6"/>
        <v>-1.3526864383139126E-2</v>
      </c>
      <c r="J8" s="311">
        <v>560</v>
      </c>
      <c r="K8" s="63">
        <f t="shared" si="7"/>
        <v>330.6430357142857</v>
      </c>
      <c r="L8" s="61">
        <v>11</v>
      </c>
      <c r="M8" s="28">
        <f t="shared" si="2"/>
        <v>1.9642857142857142E-2</v>
      </c>
      <c r="N8" s="46">
        <v>25</v>
      </c>
      <c r="O8" s="89">
        <f t="shared" si="3"/>
        <v>4.4642857142857144E-2</v>
      </c>
      <c r="P8" s="260">
        <f t="shared" si="8"/>
        <v>55720.800000000003</v>
      </c>
      <c r="Q8" s="89">
        <f t="shared" si="4"/>
        <v>0.30093308439561223</v>
      </c>
      <c r="R8" s="260">
        <f t="shared" si="9"/>
        <v>21315.156521739133</v>
      </c>
      <c r="S8" s="89">
        <f t="shared" si="5"/>
        <v>0.11511743902568174</v>
      </c>
      <c r="T8" s="310">
        <v>7043</v>
      </c>
      <c r="U8" s="9"/>
      <c r="W8" s="238">
        <v>39566.49</v>
      </c>
      <c r="X8" s="297">
        <f t="shared" si="10"/>
        <v>34405.64347826087</v>
      </c>
      <c r="Z8" s="238">
        <v>24512.43</v>
      </c>
      <c r="AA8" s="297">
        <f t="shared" si="11"/>
        <v>21315.156521739133</v>
      </c>
    </row>
    <row r="9" spans="1:27" ht="15.6" customHeight="1" x14ac:dyDescent="0.3">
      <c r="A9" s="160" t="s">
        <v>23</v>
      </c>
      <c r="B9" s="344">
        <v>236228.94</v>
      </c>
      <c r="C9" s="310">
        <v>219828.87</v>
      </c>
      <c r="D9" s="310">
        <v>207065.35</v>
      </c>
      <c r="E9" s="310">
        <v>220919.26</v>
      </c>
      <c r="F9" s="310">
        <v>375176.12</v>
      </c>
      <c r="G9" s="349">
        <f t="shared" si="0"/>
        <v>4.9601765227652488E-3</v>
      </c>
      <c r="H9" s="86">
        <f t="shared" si="1"/>
        <v>6.6905979199320426E-2</v>
      </c>
      <c r="I9" s="77">
        <f t="shared" si="6"/>
        <v>-6.4808655535600307E-2</v>
      </c>
      <c r="J9" s="311">
        <v>732</v>
      </c>
      <c r="K9" s="63">
        <f t="shared" si="7"/>
        <v>301.80226775956288</v>
      </c>
      <c r="L9" s="61">
        <v>15</v>
      </c>
      <c r="M9" s="28">
        <f t="shared" si="2"/>
        <v>2.0491803278688523E-2</v>
      </c>
      <c r="N9" s="46">
        <v>48</v>
      </c>
      <c r="O9" s="89">
        <f t="shared" si="3"/>
        <v>6.5573770491803282E-2</v>
      </c>
      <c r="P9" s="260">
        <f t="shared" si="8"/>
        <v>61434.313043478265</v>
      </c>
      <c r="Q9" s="89">
        <f t="shared" si="4"/>
        <v>0.2780849123045146</v>
      </c>
      <c r="R9" s="260">
        <f t="shared" si="9"/>
        <v>26871.547826086957</v>
      </c>
      <c r="S9" s="89">
        <f t="shared" si="5"/>
        <v>0.12163515225466062</v>
      </c>
      <c r="T9" s="310">
        <v>10753</v>
      </c>
      <c r="U9" s="26"/>
      <c r="W9" s="238">
        <v>39747.18</v>
      </c>
      <c r="X9" s="297">
        <f t="shared" si="10"/>
        <v>34562.765217391308</v>
      </c>
      <c r="Z9" s="238">
        <v>30902.28</v>
      </c>
      <c r="AA9" s="297">
        <f t="shared" si="11"/>
        <v>26871.547826086957</v>
      </c>
    </row>
    <row r="10" spans="1:27" ht="15.6" customHeight="1" x14ac:dyDescent="0.3">
      <c r="A10" s="406" t="s">
        <v>16</v>
      </c>
      <c r="B10" s="344">
        <v>472242.15</v>
      </c>
      <c r="C10" s="310">
        <v>537525.52</v>
      </c>
      <c r="D10" s="310">
        <v>341822.34</v>
      </c>
      <c r="E10" s="310">
        <v>472314.1</v>
      </c>
      <c r="F10" s="310">
        <v>805510.68</v>
      </c>
      <c r="G10" s="349">
        <f t="shared" si="0"/>
        <v>-0.12131781203616163</v>
      </c>
      <c r="H10" s="86">
        <f t="shared" si="1"/>
        <v>0.38175316452400371</v>
      </c>
      <c r="I10" s="77">
        <f t="shared" si="6"/>
        <v>1.523582763629918E-4</v>
      </c>
      <c r="J10" s="311">
        <v>1186</v>
      </c>
      <c r="K10" s="63">
        <f t="shared" si="7"/>
        <v>398.24123102866776</v>
      </c>
      <c r="L10" s="61">
        <v>1</v>
      </c>
      <c r="M10" s="28">
        <f t="shared" si="2"/>
        <v>8.4317032040472171E-4</v>
      </c>
      <c r="N10" s="46">
        <v>15</v>
      </c>
      <c r="O10" s="89">
        <f t="shared" si="3"/>
        <v>1.2647554806070826E-2</v>
      </c>
      <c r="P10" s="260">
        <f t="shared" si="8"/>
        <v>68126.156521739133</v>
      </c>
      <c r="Q10" s="89">
        <f t="shared" si="4"/>
        <v>0.14423909115086578</v>
      </c>
      <c r="R10" s="260">
        <f t="shared" si="9"/>
        <v>38429.391304347831</v>
      </c>
      <c r="S10" s="89">
        <f t="shared" si="5"/>
        <v>8.1364056894231679E-2</v>
      </c>
      <c r="T10" s="310">
        <v>30240.959999999999</v>
      </c>
      <c r="U10" s="26"/>
      <c r="W10" s="238">
        <v>34151.279999999999</v>
      </c>
      <c r="X10" s="297">
        <f t="shared" si="10"/>
        <v>29696.765217391305</v>
      </c>
      <c r="Z10" s="238">
        <v>44193.8</v>
      </c>
      <c r="AA10" s="297">
        <f t="shared" si="11"/>
        <v>38429.391304347831</v>
      </c>
    </row>
    <row r="11" spans="1:27" ht="15.6" customHeight="1" x14ac:dyDescent="0.3">
      <c r="A11" s="406" t="s">
        <v>17</v>
      </c>
      <c r="B11" s="344">
        <v>196747.98</v>
      </c>
      <c r="C11" s="310">
        <v>129151.53</v>
      </c>
      <c r="D11" s="310">
        <v>128162.21</v>
      </c>
      <c r="E11" s="310">
        <v>168387.31</v>
      </c>
      <c r="F11" s="310">
        <v>304241.59999999998</v>
      </c>
      <c r="G11" s="349">
        <f t="shared" si="0"/>
        <v>0.30379647844667423</v>
      </c>
      <c r="H11" s="86">
        <f t="shared" si="1"/>
        <v>0.31386084868542757</v>
      </c>
      <c r="I11" s="77">
        <f t="shared" si="6"/>
        <v>-0.14414719785178995</v>
      </c>
      <c r="J11" s="311">
        <v>500</v>
      </c>
      <c r="K11" s="63">
        <f t="shared" si="7"/>
        <v>336.77461999999997</v>
      </c>
      <c r="L11" s="61">
        <v>3</v>
      </c>
      <c r="M11" s="28">
        <f t="shared" si="2"/>
        <v>6.0000000000000001E-3</v>
      </c>
      <c r="N11" s="46">
        <v>22</v>
      </c>
      <c r="O11" s="89">
        <f t="shared" si="3"/>
        <v>4.3999999999999997E-2</v>
      </c>
      <c r="P11" s="260">
        <f t="shared" si="8"/>
        <v>70239.417391304349</v>
      </c>
      <c r="Q11" s="89">
        <f t="shared" si="4"/>
        <v>0.41713011147517204</v>
      </c>
      <c r="R11" s="260">
        <f t="shared" si="9"/>
        <v>27520.565217391308</v>
      </c>
      <c r="S11" s="89">
        <f t="shared" si="5"/>
        <v>0.16343609989013608</v>
      </c>
      <c r="T11" s="310">
        <v>3383</v>
      </c>
      <c r="U11" s="26"/>
      <c r="W11" s="238">
        <v>49126.68</v>
      </c>
      <c r="X11" s="297">
        <f t="shared" si="10"/>
        <v>42718.852173913045</v>
      </c>
      <c r="Z11" s="238">
        <v>31648.65</v>
      </c>
      <c r="AA11" s="297">
        <f t="shared" si="11"/>
        <v>27520.565217391308</v>
      </c>
    </row>
    <row r="12" spans="1:27" ht="15.6" customHeight="1" x14ac:dyDescent="0.3">
      <c r="A12" s="160" t="s">
        <v>55</v>
      </c>
      <c r="B12" s="344">
        <v>249991.27</v>
      </c>
      <c r="C12" s="310">
        <v>248340.4</v>
      </c>
      <c r="D12" s="310">
        <v>167187.51</v>
      </c>
      <c r="E12" s="310">
        <v>249752.54</v>
      </c>
      <c r="F12" s="310">
        <v>408222.05</v>
      </c>
      <c r="G12" s="349">
        <f t="shared" si="0"/>
        <v>5.6863079869405621E-3</v>
      </c>
      <c r="H12" s="86">
        <f t="shared" si="1"/>
        <v>0.49384687887271</v>
      </c>
      <c r="I12" s="77">
        <f t="shared" si="6"/>
        <v>-9.5495334697080173E-4</v>
      </c>
      <c r="J12" s="311">
        <v>828</v>
      </c>
      <c r="K12" s="63">
        <f t="shared" si="7"/>
        <v>301.63350241545896</v>
      </c>
      <c r="L12" s="61">
        <v>7</v>
      </c>
      <c r="M12" s="28">
        <f t="shared" si="2"/>
        <v>8.4541062801932361E-3</v>
      </c>
      <c r="N12" s="46">
        <v>17</v>
      </c>
      <c r="O12" s="89">
        <f t="shared" si="3"/>
        <v>2.0531400966183576E-2</v>
      </c>
      <c r="P12" s="260">
        <f t="shared" si="8"/>
        <v>65214.339130434782</v>
      </c>
      <c r="Q12" s="89">
        <f t="shared" si="4"/>
        <v>0.26111581940441841</v>
      </c>
      <c r="R12" s="260">
        <f t="shared" si="9"/>
        <v>28583.756521739131</v>
      </c>
      <c r="S12" s="89">
        <f t="shared" si="5"/>
        <v>0.11444831160371434</v>
      </c>
      <c r="T12" s="310">
        <v>10002.5</v>
      </c>
      <c r="U12" s="9"/>
      <c r="W12" s="238">
        <v>42125.17</v>
      </c>
      <c r="X12" s="297">
        <f t="shared" si="10"/>
        <v>36630.582608695651</v>
      </c>
      <c r="Z12" s="238">
        <v>32871.32</v>
      </c>
      <c r="AA12" s="297">
        <f t="shared" si="11"/>
        <v>28583.756521739131</v>
      </c>
    </row>
    <row r="13" spans="1:27" ht="15.6" customHeight="1" x14ac:dyDescent="0.3">
      <c r="A13" s="160" t="s">
        <v>33</v>
      </c>
      <c r="B13" s="344">
        <v>219139.93</v>
      </c>
      <c r="C13" s="310">
        <v>189552.3</v>
      </c>
      <c r="D13" s="310">
        <v>182335.29</v>
      </c>
      <c r="E13" s="310">
        <v>202404.23</v>
      </c>
      <c r="F13" s="310">
        <v>349122.89</v>
      </c>
      <c r="G13" s="349">
        <f t="shared" si="0"/>
        <v>6.7801498583768299E-2</v>
      </c>
      <c r="H13" s="86">
        <f t="shared" si="1"/>
        <v>0.11006613146582871</v>
      </c>
      <c r="I13" s="77">
        <f t="shared" si="6"/>
        <v>-7.6369924915098697E-2</v>
      </c>
      <c r="J13" s="311">
        <v>648</v>
      </c>
      <c r="K13" s="63">
        <f t="shared" si="7"/>
        <v>312.35220679012349</v>
      </c>
      <c r="L13" s="61">
        <v>13</v>
      </c>
      <c r="M13" s="28">
        <f t="shared" si="2"/>
        <v>2.0061728395061727E-2</v>
      </c>
      <c r="N13" s="46">
        <v>37</v>
      </c>
      <c r="O13" s="89">
        <f t="shared" si="3"/>
        <v>5.7098765432098762E-2</v>
      </c>
      <c r="P13" s="260">
        <f t="shared" si="8"/>
        <v>49271.730434782614</v>
      </c>
      <c r="Q13" s="89">
        <f t="shared" si="4"/>
        <v>0.24343231579094277</v>
      </c>
      <c r="R13" s="260">
        <f t="shared" si="9"/>
        <v>26747.017391304351</v>
      </c>
      <c r="S13" s="89">
        <f t="shared" si="5"/>
        <v>0.13214653365349305</v>
      </c>
      <c r="T13" s="310">
        <v>7395.5</v>
      </c>
      <c r="U13" s="9"/>
      <c r="W13" s="238">
        <v>25903.42</v>
      </c>
      <c r="X13" s="297">
        <f t="shared" si="10"/>
        <v>22524.713043478259</v>
      </c>
      <c r="Z13" s="238">
        <v>30759.07</v>
      </c>
      <c r="AA13" s="297">
        <f t="shared" si="11"/>
        <v>26747.017391304351</v>
      </c>
    </row>
    <row r="14" spans="1:27" ht="15.6" customHeight="1" x14ac:dyDescent="0.3">
      <c r="A14" s="406" t="s">
        <v>20</v>
      </c>
      <c r="B14" s="345">
        <v>195308.32</v>
      </c>
      <c r="C14" s="310">
        <v>461868.74</v>
      </c>
      <c r="D14" s="310">
        <v>174496.27</v>
      </c>
      <c r="E14" s="310">
        <v>190583.74</v>
      </c>
      <c r="F14" s="310">
        <v>317180.40999999997</v>
      </c>
      <c r="G14" s="349">
        <f t="shared" si="0"/>
        <v>-0.58736384713977396</v>
      </c>
      <c r="H14" s="86">
        <f t="shared" si="1"/>
        <v>9.2193775832572253E-2</v>
      </c>
      <c r="I14" s="77">
        <f t="shared" si="6"/>
        <v>-2.4190367312565159E-2</v>
      </c>
      <c r="J14" s="311">
        <v>547</v>
      </c>
      <c r="K14" s="63">
        <f t="shared" si="7"/>
        <v>348.41634369287016</v>
      </c>
      <c r="L14" s="61">
        <v>11</v>
      </c>
      <c r="M14" s="28">
        <f t="shared" si="2"/>
        <v>2.0109689213893969E-2</v>
      </c>
      <c r="N14" s="46">
        <v>41</v>
      </c>
      <c r="O14" s="89">
        <f t="shared" si="3"/>
        <v>7.4954296160877509E-2</v>
      </c>
      <c r="P14" s="260">
        <f t="shared" si="8"/>
        <v>63775.086956521744</v>
      </c>
      <c r="Q14" s="89">
        <f t="shared" si="4"/>
        <v>0.33463026256343664</v>
      </c>
      <c r="R14" s="260">
        <f t="shared" si="9"/>
        <v>20998.852173913045</v>
      </c>
      <c r="S14" s="89">
        <f t="shared" si="5"/>
        <v>0.1101817614341761</v>
      </c>
      <c r="T14" s="310">
        <v>6391.3</v>
      </c>
      <c r="U14" s="26"/>
      <c r="W14" s="238">
        <v>49192.67</v>
      </c>
      <c r="X14" s="297">
        <f t="shared" si="10"/>
        <v>42776.234782608699</v>
      </c>
      <c r="Z14" s="238">
        <v>24148.68</v>
      </c>
      <c r="AA14" s="297">
        <f t="shared" si="11"/>
        <v>20998.852173913045</v>
      </c>
    </row>
    <row r="15" spans="1:27" ht="16.2" customHeight="1" thickBot="1" x14ac:dyDescent="0.35">
      <c r="A15" s="161" t="s">
        <v>22</v>
      </c>
      <c r="B15" s="346">
        <v>163235.68</v>
      </c>
      <c r="C15" s="310">
        <v>140709.13</v>
      </c>
      <c r="D15" s="310">
        <v>122087.36</v>
      </c>
      <c r="E15" s="310">
        <v>199997.88</v>
      </c>
      <c r="F15" s="310">
        <v>306776.31</v>
      </c>
      <c r="G15" s="350">
        <f t="shared" si="0"/>
        <v>0.4213568089007444</v>
      </c>
      <c r="H15" s="341">
        <f t="shared" si="1"/>
        <v>0.63815385966245808</v>
      </c>
      <c r="I15" s="352">
        <f t="shared" si="6"/>
        <v>0.22520934148710633</v>
      </c>
      <c r="J15" s="311">
        <v>582</v>
      </c>
      <c r="K15" s="132">
        <f t="shared" si="7"/>
        <v>343.63896907216497</v>
      </c>
      <c r="L15" s="133">
        <v>6</v>
      </c>
      <c r="M15" s="114">
        <f t="shared" si="2"/>
        <v>1.0309278350515464E-2</v>
      </c>
      <c r="N15" s="115">
        <v>27</v>
      </c>
      <c r="O15" s="116">
        <f t="shared" si="3"/>
        <v>4.6391752577319589E-2</v>
      </c>
      <c r="P15" s="261">
        <f t="shared" si="8"/>
        <v>45714.669565217395</v>
      </c>
      <c r="Q15" s="116">
        <f t="shared" si="4"/>
        <v>0.22857577072925669</v>
      </c>
      <c r="R15" s="261">
        <f t="shared" si="9"/>
        <v>23036.08695652174</v>
      </c>
      <c r="S15" s="116">
        <f t="shared" si="5"/>
        <v>0.11518165570815921</v>
      </c>
      <c r="T15" s="310">
        <v>10555.75</v>
      </c>
      <c r="U15" s="26"/>
      <c r="W15" s="238">
        <v>26080.37</v>
      </c>
      <c r="X15" s="297">
        <f t="shared" si="10"/>
        <v>22678.582608695651</v>
      </c>
      <c r="Z15" s="238">
        <v>26491.5</v>
      </c>
      <c r="AA15" s="297">
        <f t="shared" si="11"/>
        <v>23036.08695652174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88" priority="4" operator="equal">
      <formula>0</formula>
    </cfRule>
  </conditionalFormatting>
  <conditionalFormatting sqref="P12:P13">
    <cfRule type="cellIs" dxfId="87" priority="2" operator="equal">
      <formula>0</formula>
    </cfRule>
  </conditionalFormatting>
  <conditionalFormatting sqref="W5">
    <cfRule type="cellIs" dxfId="8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AA37"/>
  <sheetViews>
    <sheetView zoomScale="70" zoomScaleNormal="70" workbookViewId="0">
      <pane xSplit="1" topLeftCell="E1" activePane="topRight" state="frozen"/>
      <selection pane="topRight" activeCell="J15" sqref="J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0.11405080289756599</v>
      </c>
      <c r="H2" s="413"/>
      <c r="I2" s="400">
        <f>((E4-B4)/E4)</f>
        <v>9.3179133421564822E-2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58</v>
      </c>
    </row>
    <row r="4" spans="1:27" ht="16.2" customHeight="1" thickBot="1" x14ac:dyDescent="0.35">
      <c r="A4" s="415" t="s">
        <v>13</v>
      </c>
      <c r="B4" s="299">
        <f>SUM(B5:B15)</f>
        <v>2959444.7199999997</v>
      </c>
      <c r="C4" s="299">
        <f>SUM(C5:C15)</f>
        <v>2929434.0899999994</v>
      </c>
      <c r="D4" s="299">
        <f>SUM(D5:D15)</f>
        <v>2521222</v>
      </c>
      <c r="E4" s="299">
        <f>SUM(E5:E15)</f>
        <v>3263538.4</v>
      </c>
      <c r="F4" s="299">
        <f>SUM(F5:F15)</f>
        <v>8114907.7499999991</v>
      </c>
      <c r="G4" s="300">
        <f t="shared" ref="G4:G15" si="0">IFERROR((SUM(E4-C4)/C4),0)</f>
        <v>0.11405080289756599</v>
      </c>
      <c r="H4" s="300">
        <f t="shared" ref="H4:H15" si="1">IFERROR((SUM(E4-D4)/D4),0)</f>
        <v>0.29442722616255129</v>
      </c>
      <c r="I4" s="324">
        <f>IFERROR((SUM(E4-B4)/E4),0)</f>
        <v>9.3179133421564822E-2</v>
      </c>
      <c r="J4" s="325">
        <f>SUM(J5:J15)</f>
        <v>9323</v>
      </c>
      <c r="K4" s="326">
        <f>AVERAGE(K5:K15)</f>
        <v>338.03894555674873</v>
      </c>
      <c r="L4" s="327">
        <f>SUM(L5:L15)</f>
        <v>91</v>
      </c>
      <c r="M4" s="328">
        <f t="shared" ref="M4:M15" si="2">IFERROR(L4/J4,0)</f>
        <v>9.7608066073152418E-3</v>
      </c>
      <c r="N4" s="329">
        <f>SUM(N7:N15)</f>
        <v>256</v>
      </c>
      <c r="O4" s="330">
        <f t="shared" ref="O4:O15" si="3">IFERROR(N4/SUM(J4),0)</f>
        <v>2.7458972433765955E-2</v>
      </c>
      <c r="P4" s="331">
        <f>SUM(P5:P15)</f>
        <v>639155.86956521741</v>
      </c>
      <c r="Q4" s="330">
        <f t="shared" ref="Q4:Q15" si="4">SUM(P4/E4)</f>
        <v>0.19584751004162151</v>
      </c>
      <c r="R4" s="331">
        <f>SUM(R5:R15)</f>
        <v>285728.73043478263</v>
      </c>
      <c r="S4" s="330">
        <f t="shared" ref="S4:S15" si="5">SUM(R4/E4)</f>
        <v>8.7551821187329265E-2</v>
      </c>
      <c r="T4" s="353">
        <f>SUM(T5:T15)</f>
        <v>111145.9</v>
      </c>
      <c r="U4" s="24"/>
    </row>
    <row r="5" spans="1:27" ht="15.6" customHeight="1" x14ac:dyDescent="0.3">
      <c r="A5" s="416" t="s">
        <v>26</v>
      </c>
      <c r="B5" s="343">
        <v>531765.01</v>
      </c>
      <c r="C5" s="310">
        <v>721819.17</v>
      </c>
      <c r="D5" s="310">
        <v>547738.16</v>
      </c>
      <c r="E5" s="310">
        <v>753851.76</v>
      </c>
      <c r="F5" s="310">
        <v>1509250.89</v>
      </c>
      <c r="G5" s="348">
        <f t="shared" si="0"/>
        <v>4.437758282313279E-2</v>
      </c>
      <c r="H5" s="336">
        <f t="shared" si="1"/>
        <v>0.37629950777941046</v>
      </c>
      <c r="I5" s="351">
        <f t="shared" ref="I5:I15" si="6">IFERROR((SUM(E5-B5)/B5),0)</f>
        <v>0.41764077331827454</v>
      </c>
      <c r="J5" s="311">
        <v>1931</v>
      </c>
      <c r="K5" s="63">
        <f t="shared" ref="K5:K15" si="7">IFERROR(E5/J5,0)</f>
        <v>390.39448990160537</v>
      </c>
      <c r="L5" s="61">
        <v>10</v>
      </c>
      <c r="M5" s="28">
        <f t="shared" si="2"/>
        <v>5.1786639047125844E-3</v>
      </c>
      <c r="N5" s="46">
        <v>42</v>
      </c>
      <c r="O5" s="89">
        <f t="shared" si="3"/>
        <v>2.1750388399792854E-2</v>
      </c>
      <c r="P5" s="260">
        <f t="shared" ref="P5:P15" si="8">SUM(X5+AA5)</f>
        <v>57749.565217391311</v>
      </c>
      <c r="Q5" s="89">
        <f t="shared" si="4"/>
        <v>7.660599640623153E-2</v>
      </c>
      <c r="R5" s="260">
        <f t="shared" ref="R5:R15" si="9">SUM(AA5)</f>
        <v>57749.565217391311</v>
      </c>
      <c r="S5" s="89">
        <f t="shared" si="5"/>
        <v>7.660599640623153E-2</v>
      </c>
      <c r="T5" s="310">
        <v>3319.2</v>
      </c>
      <c r="U5" s="9"/>
      <c r="W5" s="260"/>
      <c r="X5" s="297">
        <f t="shared" ref="X5:X15" si="10">W5/1.15</f>
        <v>0</v>
      </c>
      <c r="Z5">
        <v>66412</v>
      </c>
      <c r="AA5" s="297">
        <f t="shared" ref="AA5:AA15" si="11">SUM(Z5)/1.15</f>
        <v>57749.565217391311</v>
      </c>
    </row>
    <row r="6" spans="1:27" ht="15.6" customHeight="1" x14ac:dyDescent="0.3">
      <c r="A6" s="406" t="s">
        <v>21</v>
      </c>
      <c r="B6" s="344">
        <v>258692</v>
      </c>
      <c r="C6" s="310">
        <v>311404.3</v>
      </c>
      <c r="D6" s="310">
        <v>234819.58</v>
      </c>
      <c r="E6" s="310">
        <v>262332.98</v>
      </c>
      <c r="F6" s="310">
        <v>700168.89</v>
      </c>
      <c r="G6" s="349">
        <f t="shared" si="0"/>
        <v>-0.15758073989344401</v>
      </c>
      <c r="H6" s="86">
        <f t="shared" si="1"/>
        <v>0.11716825317548049</v>
      </c>
      <c r="I6" s="77">
        <f t="shared" si="6"/>
        <v>1.4074575170472923E-2</v>
      </c>
      <c r="J6" s="311">
        <v>785</v>
      </c>
      <c r="K6" s="63">
        <f t="shared" si="7"/>
        <v>334.18214012738849</v>
      </c>
      <c r="L6" s="61">
        <v>10</v>
      </c>
      <c r="M6" s="28">
        <f t="shared" si="2"/>
        <v>1.2738853503184714E-2</v>
      </c>
      <c r="N6" s="46">
        <v>42</v>
      </c>
      <c r="O6" s="89">
        <f t="shared" si="3"/>
        <v>5.3503184713375798E-2</v>
      </c>
      <c r="P6" s="260">
        <f t="shared" si="8"/>
        <v>72024.791304347833</v>
      </c>
      <c r="Q6" s="89">
        <f t="shared" si="4"/>
        <v>0.27455484744749914</v>
      </c>
      <c r="R6" s="260">
        <f t="shared" si="9"/>
        <v>23134.182608695653</v>
      </c>
      <c r="S6" s="89">
        <f t="shared" si="5"/>
        <v>8.8186329483603831E-2</v>
      </c>
      <c r="T6" s="310">
        <v>11522.35</v>
      </c>
      <c r="U6" s="26"/>
      <c r="W6">
        <v>56224.2</v>
      </c>
      <c r="X6" s="297">
        <f t="shared" si="10"/>
        <v>48890.608695652176</v>
      </c>
      <c r="Z6">
        <v>26604.31</v>
      </c>
      <c r="AA6" s="297">
        <f t="shared" si="11"/>
        <v>23134.182608695653</v>
      </c>
    </row>
    <row r="7" spans="1:27" ht="16.5" customHeight="1" x14ac:dyDescent="0.3">
      <c r="A7" s="406" t="s">
        <v>15</v>
      </c>
      <c r="B7" s="344">
        <v>279468.55</v>
      </c>
      <c r="C7" s="310">
        <v>332934.52</v>
      </c>
      <c r="D7" s="310">
        <v>247695.9</v>
      </c>
      <c r="E7" s="310">
        <v>324105.99</v>
      </c>
      <c r="F7" s="310">
        <v>817667.64</v>
      </c>
      <c r="G7" s="349">
        <f t="shared" si="0"/>
        <v>-2.6517316378007385E-2</v>
      </c>
      <c r="H7" s="86">
        <f t="shared" si="1"/>
        <v>0.30848346702549373</v>
      </c>
      <c r="I7" s="77">
        <f t="shared" si="6"/>
        <v>0.15972258774735118</v>
      </c>
      <c r="J7" s="311">
        <v>854</v>
      </c>
      <c r="K7" s="63">
        <f t="shared" si="7"/>
        <v>379.51521077283371</v>
      </c>
      <c r="L7" s="61">
        <v>4</v>
      </c>
      <c r="M7" s="28">
        <f t="shared" si="2"/>
        <v>4.6838407494145199E-3</v>
      </c>
      <c r="N7" s="46">
        <v>24</v>
      </c>
      <c r="O7" s="89">
        <f t="shared" si="3"/>
        <v>2.8103044496487119E-2</v>
      </c>
      <c r="P7" s="260">
        <f t="shared" si="8"/>
        <v>45920.226086956522</v>
      </c>
      <c r="Q7" s="89">
        <f t="shared" si="4"/>
        <v>0.14168274423732966</v>
      </c>
      <c r="R7" s="260">
        <f t="shared" si="9"/>
        <v>3672.6782608695653</v>
      </c>
      <c r="S7" s="89">
        <f t="shared" si="5"/>
        <v>1.1331719789781008E-2</v>
      </c>
      <c r="T7" s="310">
        <v>19509.400000000001</v>
      </c>
      <c r="U7" s="26"/>
      <c r="W7">
        <v>48584.68</v>
      </c>
      <c r="X7" s="297">
        <f t="shared" si="10"/>
        <v>42247.547826086957</v>
      </c>
      <c r="Z7">
        <v>4223.58</v>
      </c>
      <c r="AA7" s="297">
        <f t="shared" si="11"/>
        <v>3672.6782608695653</v>
      </c>
    </row>
    <row r="8" spans="1:27" ht="15.6" customHeight="1" x14ac:dyDescent="0.3">
      <c r="A8" s="160" t="s">
        <v>27</v>
      </c>
      <c r="B8" s="344">
        <v>185160.1</v>
      </c>
      <c r="C8" s="310">
        <v>121137.18</v>
      </c>
      <c r="D8" s="310">
        <v>138069.95000000001</v>
      </c>
      <c r="E8" s="310">
        <v>179927.33</v>
      </c>
      <c r="F8" s="310">
        <v>478269.93</v>
      </c>
      <c r="G8" s="349">
        <f t="shared" si="0"/>
        <v>0.48531879312363058</v>
      </c>
      <c r="H8" s="86">
        <f t="shared" si="1"/>
        <v>0.30316068051013251</v>
      </c>
      <c r="I8" s="77">
        <f t="shared" si="6"/>
        <v>-2.8260786206099578E-2</v>
      </c>
      <c r="J8" s="311">
        <v>580</v>
      </c>
      <c r="K8" s="63">
        <f t="shared" si="7"/>
        <v>310.2195344827586</v>
      </c>
      <c r="L8" s="61">
        <v>11</v>
      </c>
      <c r="M8" s="28">
        <f t="shared" si="2"/>
        <v>1.896551724137931E-2</v>
      </c>
      <c r="N8" s="46">
        <v>25</v>
      </c>
      <c r="O8" s="89">
        <f t="shared" si="3"/>
        <v>4.3103448275862072E-2</v>
      </c>
      <c r="P8" s="260">
        <f t="shared" si="8"/>
        <v>53953.773913043486</v>
      </c>
      <c r="Q8" s="89">
        <f t="shared" si="4"/>
        <v>0.29986425026728009</v>
      </c>
      <c r="R8" s="260">
        <f t="shared" si="9"/>
        <v>22251.99130434783</v>
      </c>
      <c r="S8" s="89">
        <f t="shared" si="5"/>
        <v>0.12367210308932963</v>
      </c>
      <c r="T8" s="310">
        <v>5320.5</v>
      </c>
      <c r="U8" s="9"/>
      <c r="W8">
        <v>36457.050000000003</v>
      </c>
      <c r="X8" s="297">
        <f t="shared" si="10"/>
        <v>31701.782608695656</v>
      </c>
      <c r="Z8">
        <v>25589.79</v>
      </c>
      <c r="AA8" s="297">
        <f t="shared" si="11"/>
        <v>22251.99130434783</v>
      </c>
    </row>
    <row r="9" spans="1:27" ht="15.6" customHeight="1" x14ac:dyDescent="0.3">
      <c r="A9" s="160" t="s">
        <v>23</v>
      </c>
      <c r="B9" s="344">
        <v>220919.26</v>
      </c>
      <c r="C9" s="310">
        <v>199187.93</v>
      </c>
      <c r="D9" s="310">
        <v>192364.64</v>
      </c>
      <c r="E9" s="310">
        <v>252958.38</v>
      </c>
      <c r="F9" s="310">
        <v>628134.5</v>
      </c>
      <c r="G9" s="349">
        <f t="shared" si="0"/>
        <v>0.26994833472088403</v>
      </c>
      <c r="H9" s="86">
        <f t="shared" si="1"/>
        <v>0.31499416940660191</v>
      </c>
      <c r="I9" s="77">
        <f t="shared" si="6"/>
        <v>0.14502637751004596</v>
      </c>
      <c r="J9" s="311">
        <v>782</v>
      </c>
      <c r="K9" s="63">
        <f t="shared" si="7"/>
        <v>323.47618925831205</v>
      </c>
      <c r="L9" s="61">
        <v>15</v>
      </c>
      <c r="M9" s="28">
        <f t="shared" si="2"/>
        <v>1.9181585677749361E-2</v>
      </c>
      <c r="N9" s="46">
        <v>48</v>
      </c>
      <c r="O9" s="89">
        <f t="shared" si="3"/>
        <v>6.1381074168797956E-2</v>
      </c>
      <c r="P9" s="260">
        <f t="shared" si="8"/>
        <v>56499.600000000006</v>
      </c>
      <c r="Q9" s="89">
        <f t="shared" si="4"/>
        <v>0.22335532034953737</v>
      </c>
      <c r="R9" s="260">
        <f t="shared" si="9"/>
        <v>25782.52173913044</v>
      </c>
      <c r="S9" s="89">
        <f t="shared" si="5"/>
        <v>0.10192396764689289</v>
      </c>
      <c r="T9" s="310">
        <v>9582</v>
      </c>
      <c r="U9" s="26"/>
      <c r="W9">
        <v>35324.639999999999</v>
      </c>
      <c r="X9" s="297">
        <f t="shared" si="10"/>
        <v>30717.078260869566</v>
      </c>
      <c r="Z9">
        <v>29649.9</v>
      </c>
      <c r="AA9" s="297">
        <f t="shared" si="11"/>
        <v>25782.52173913044</v>
      </c>
    </row>
    <row r="10" spans="1:27" ht="15.6" customHeight="1" x14ac:dyDescent="0.3">
      <c r="A10" s="406" t="s">
        <v>16</v>
      </c>
      <c r="B10" s="344">
        <v>472314.1</v>
      </c>
      <c r="C10" s="310">
        <v>503613.1</v>
      </c>
      <c r="D10" s="310">
        <v>416851.52</v>
      </c>
      <c r="E10" s="310">
        <v>555577.92000000004</v>
      </c>
      <c r="F10" s="310">
        <v>1361088.6</v>
      </c>
      <c r="G10" s="349">
        <f t="shared" si="0"/>
        <v>0.10318401169469195</v>
      </c>
      <c r="H10" s="86">
        <f t="shared" si="1"/>
        <v>0.33279571584625628</v>
      </c>
      <c r="I10" s="77">
        <f t="shared" si="6"/>
        <v>0.17628908389565348</v>
      </c>
      <c r="J10" s="311">
        <v>1432</v>
      </c>
      <c r="K10" s="63">
        <f t="shared" si="7"/>
        <v>387.9734078212291</v>
      </c>
      <c r="L10" s="61">
        <v>1</v>
      </c>
      <c r="M10" s="28">
        <f t="shared" si="2"/>
        <v>6.9832402234636874E-4</v>
      </c>
      <c r="N10" s="46">
        <v>15</v>
      </c>
      <c r="O10" s="89">
        <f t="shared" si="3"/>
        <v>1.047486033519553E-2</v>
      </c>
      <c r="P10" s="260">
        <f t="shared" si="8"/>
        <v>72263.443478260873</v>
      </c>
      <c r="Q10" s="89">
        <f t="shared" si="4"/>
        <v>0.13006896220472705</v>
      </c>
      <c r="R10" s="260">
        <f t="shared" si="9"/>
        <v>31593.913043478264</v>
      </c>
      <c r="S10" s="89">
        <f t="shared" si="5"/>
        <v>5.6866754250201774E-2</v>
      </c>
      <c r="T10" s="310">
        <v>29932.2</v>
      </c>
      <c r="U10" s="26"/>
      <c r="W10">
        <v>46769.96</v>
      </c>
      <c r="X10" s="297">
        <f t="shared" si="10"/>
        <v>40669.53043478261</v>
      </c>
      <c r="Z10">
        <v>36333</v>
      </c>
      <c r="AA10" s="297">
        <f t="shared" si="11"/>
        <v>31593.913043478264</v>
      </c>
    </row>
    <row r="11" spans="1:27" ht="15.6" customHeight="1" x14ac:dyDescent="0.3">
      <c r="A11" s="406" t="s">
        <v>17</v>
      </c>
      <c r="B11" s="344">
        <v>168387.31</v>
      </c>
      <c r="C11" s="310">
        <v>105968.29</v>
      </c>
      <c r="D11" s="310">
        <v>128373.96</v>
      </c>
      <c r="E11" s="310">
        <v>142448.66</v>
      </c>
      <c r="F11" s="310">
        <v>446690.26</v>
      </c>
      <c r="G11" s="349">
        <f t="shared" si="0"/>
        <v>0.34425741889389755</v>
      </c>
      <c r="H11" s="86">
        <f t="shared" si="1"/>
        <v>0.10963827866648343</v>
      </c>
      <c r="I11" s="77">
        <f t="shared" si="6"/>
        <v>-0.15404159612740412</v>
      </c>
      <c r="J11" s="311">
        <v>463</v>
      </c>
      <c r="K11" s="63">
        <f t="shared" si="7"/>
        <v>307.66449244060476</v>
      </c>
      <c r="L11" s="61">
        <v>3</v>
      </c>
      <c r="M11" s="28">
        <f t="shared" si="2"/>
        <v>6.4794816414686825E-3</v>
      </c>
      <c r="N11" s="46">
        <v>22</v>
      </c>
      <c r="O11" s="89">
        <f t="shared" si="3"/>
        <v>4.7516198704103674E-2</v>
      </c>
      <c r="P11" s="260">
        <f t="shared" si="8"/>
        <v>67123.095652173914</v>
      </c>
      <c r="Q11" s="89">
        <f t="shared" si="4"/>
        <v>0.47120903525644897</v>
      </c>
      <c r="R11" s="260">
        <f t="shared" si="9"/>
        <v>16979.391304347828</v>
      </c>
      <c r="S11" s="89">
        <f t="shared" si="5"/>
        <v>0.11919656741135949</v>
      </c>
      <c r="T11" s="310">
        <v>2520</v>
      </c>
      <c r="U11" s="26"/>
      <c r="W11">
        <v>57665.26</v>
      </c>
      <c r="X11" s="297">
        <f t="shared" si="10"/>
        <v>50143.704347826089</v>
      </c>
      <c r="Z11">
        <v>19526.3</v>
      </c>
      <c r="AA11" s="297">
        <f t="shared" si="11"/>
        <v>16979.391304347828</v>
      </c>
    </row>
    <row r="12" spans="1:27" ht="15.6" customHeight="1" x14ac:dyDescent="0.3">
      <c r="A12" s="160" t="s">
        <v>55</v>
      </c>
      <c r="B12" s="344">
        <v>249752.54</v>
      </c>
      <c r="C12" s="310">
        <v>210622.19</v>
      </c>
      <c r="D12" s="310">
        <v>169389.41</v>
      </c>
      <c r="E12" s="310">
        <v>236135.13</v>
      </c>
      <c r="F12" s="310">
        <v>644357.18000000005</v>
      </c>
      <c r="G12" s="349">
        <f t="shared" si="0"/>
        <v>0.12113130150246754</v>
      </c>
      <c r="H12" s="86">
        <f t="shared" si="1"/>
        <v>0.39403714789490085</v>
      </c>
      <c r="I12" s="77">
        <f t="shared" si="6"/>
        <v>-5.4523609649775748E-2</v>
      </c>
      <c r="J12" s="311">
        <v>789</v>
      </c>
      <c r="K12" s="63">
        <f t="shared" si="7"/>
        <v>299.28406844106462</v>
      </c>
      <c r="L12" s="61">
        <v>7</v>
      </c>
      <c r="M12" s="28">
        <f t="shared" si="2"/>
        <v>8.8719898605830166E-3</v>
      </c>
      <c r="N12" s="46">
        <v>17</v>
      </c>
      <c r="O12" s="89">
        <f t="shared" si="3"/>
        <v>2.1546261089987327E-2</v>
      </c>
      <c r="P12" s="260">
        <f t="shared" si="8"/>
        <v>71727.078260869574</v>
      </c>
      <c r="Q12" s="89">
        <f t="shared" si="4"/>
        <v>0.30375437259534221</v>
      </c>
      <c r="R12" s="260">
        <f t="shared" si="9"/>
        <v>33633.965217391305</v>
      </c>
      <c r="S12" s="89">
        <f t="shared" si="5"/>
        <v>0.14243524551976364</v>
      </c>
      <c r="T12" s="310">
        <v>6537.5</v>
      </c>
      <c r="U12" s="9"/>
      <c r="W12">
        <v>43807.08</v>
      </c>
      <c r="X12" s="297">
        <f t="shared" si="10"/>
        <v>38093.113043478268</v>
      </c>
      <c r="Z12">
        <v>38679.06</v>
      </c>
      <c r="AA12" s="297">
        <f t="shared" si="11"/>
        <v>33633.965217391305</v>
      </c>
    </row>
    <row r="13" spans="1:27" ht="15.6" customHeight="1" x14ac:dyDescent="0.3">
      <c r="A13" s="160" t="s">
        <v>33</v>
      </c>
      <c r="B13" s="344">
        <v>202404.23</v>
      </c>
      <c r="C13" s="310">
        <v>157671.4</v>
      </c>
      <c r="D13" s="310">
        <v>170896.01</v>
      </c>
      <c r="E13" s="310">
        <v>208318.73</v>
      </c>
      <c r="F13" s="310">
        <v>557441.62</v>
      </c>
      <c r="G13" s="349">
        <f t="shared" si="0"/>
        <v>0.32122077941846156</v>
      </c>
      <c r="H13" s="86">
        <f t="shared" si="1"/>
        <v>0.21897948348823357</v>
      </c>
      <c r="I13" s="77">
        <f t="shared" si="6"/>
        <v>2.9221227244114412E-2</v>
      </c>
      <c r="J13" s="311">
        <v>678</v>
      </c>
      <c r="K13" s="63">
        <f t="shared" si="7"/>
        <v>307.25476401179941</v>
      </c>
      <c r="L13" s="61">
        <v>13</v>
      </c>
      <c r="M13" s="28">
        <f t="shared" si="2"/>
        <v>1.9174041297935103E-2</v>
      </c>
      <c r="N13" s="46">
        <v>37</v>
      </c>
      <c r="O13" s="89">
        <f t="shared" si="3"/>
        <v>5.4572271386430678E-2</v>
      </c>
      <c r="P13" s="260">
        <f t="shared" si="8"/>
        <v>50094.382608695654</v>
      </c>
      <c r="Q13" s="89">
        <f t="shared" si="4"/>
        <v>0.24046989249932377</v>
      </c>
      <c r="R13" s="260">
        <f t="shared" si="9"/>
        <v>26864.434782608696</v>
      </c>
      <c r="S13" s="89">
        <f t="shared" si="5"/>
        <v>0.12895832641937044</v>
      </c>
      <c r="T13" s="310">
        <v>7263.25</v>
      </c>
      <c r="U13" s="9"/>
      <c r="W13">
        <v>26714.44</v>
      </c>
      <c r="X13" s="297">
        <f t="shared" si="10"/>
        <v>23229.947826086958</v>
      </c>
      <c r="Z13">
        <v>30894.1</v>
      </c>
      <c r="AA13" s="297">
        <f t="shared" si="11"/>
        <v>26864.434782608696</v>
      </c>
    </row>
    <row r="14" spans="1:27" ht="15.6" customHeight="1" x14ac:dyDescent="0.3">
      <c r="A14" s="406" t="s">
        <v>20</v>
      </c>
      <c r="B14" s="345">
        <v>190583.74</v>
      </c>
      <c r="C14" s="310">
        <v>115192.67</v>
      </c>
      <c r="D14" s="310">
        <v>150716.72</v>
      </c>
      <c r="E14" s="310">
        <v>171701.27</v>
      </c>
      <c r="F14" s="310">
        <v>488881.68</v>
      </c>
      <c r="G14" s="349">
        <f t="shared" si="0"/>
        <v>0.49055725507534459</v>
      </c>
      <c r="H14" s="86">
        <f t="shared" si="1"/>
        <v>0.1392317322192255</v>
      </c>
      <c r="I14" s="77">
        <f t="shared" si="6"/>
        <v>-9.9077025143907885E-2</v>
      </c>
      <c r="J14" s="311">
        <v>481</v>
      </c>
      <c r="K14" s="63">
        <f t="shared" si="7"/>
        <v>356.96729729729725</v>
      </c>
      <c r="L14" s="61">
        <v>11</v>
      </c>
      <c r="M14" s="28">
        <f t="shared" si="2"/>
        <v>2.286902286902287E-2</v>
      </c>
      <c r="N14" s="46">
        <v>41</v>
      </c>
      <c r="O14" s="89">
        <f t="shared" si="3"/>
        <v>8.5239085239085244E-2</v>
      </c>
      <c r="P14" s="260">
        <f t="shared" si="8"/>
        <v>53098.078260869574</v>
      </c>
      <c r="Q14" s="89">
        <f t="shared" si="4"/>
        <v>0.30924685799277768</v>
      </c>
      <c r="R14" s="260">
        <f t="shared" si="9"/>
        <v>23361.739130434784</v>
      </c>
      <c r="S14" s="89">
        <f t="shared" si="5"/>
        <v>0.13606037468700602</v>
      </c>
      <c r="T14" s="310">
        <v>7598.5</v>
      </c>
      <c r="U14" s="26"/>
      <c r="W14">
        <v>34196.79</v>
      </c>
      <c r="X14" s="297">
        <f t="shared" si="10"/>
        <v>29736.339130434786</v>
      </c>
      <c r="Z14">
        <v>26866</v>
      </c>
      <c r="AA14" s="297">
        <f t="shared" si="11"/>
        <v>23361.739130434784</v>
      </c>
    </row>
    <row r="15" spans="1:27" ht="16.2" customHeight="1" thickBot="1" x14ac:dyDescent="0.35">
      <c r="A15" s="161" t="s">
        <v>22</v>
      </c>
      <c r="B15" s="346">
        <v>199997.88</v>
      </c>
      <c r="C15" s="310">
        <v>149883.34</v>
      </c>
      <c r="D15" s="310">
        <v>124306.15</v>
      </c>
      <c r="E15" s="310">
        <v>176180.25</v>
      </c>
      <c r="F15" s="310">
        <v>482956.56</v>
      </c>
      <c r="G15" s="350">
        <f t="shared" si="0"/>
        <v>0.17544918601360235</v>
      </c>
      <c r="H15" s="341">
        <f t="shared" si="1"/>
        <v>0.41730919990684295</v>
      </c>
      <c r="I15" s="352">
        <f t="shared" si="6"/>
        <v>-0.1190894123477709</v>
      </c>
      <c r="J15" s="311">
        <v>548</v>
      </c>
      <c r="K15" s="132">
        <f t="shared" si="7"/>
        <v>321.49680656934305</v>
      </c>
      <c r="L15" s="133">
        <v>6</v>
      </c>
      <c r="M15" s="114">
        <f t="shared" si="2"/>
        <v>1.0948905109489052E-2</v>
      </c>
      <c r="N15" s="115">
        <v>27</v>
      </c>
      <c r="O15" s="116">
        <f t="shared" si="3"/>
        <v>4.9270072992700732E-2</v>
      </c>
      <c r="P15" s="261">
        <f t="shared" si="8"/>
        <v>38701.834782608697</v>
      </c>
      <c r="Q15" s="116">
        <f t="shared" si="4"/>
        <v>0.21967181215038972</v>
      </c>
      <c r="R15" s="261">
        <f t="shared" si="9"/>
        <v>20704.34782608696</v>
      </c>
      <c r="S15" s="116">
        <f t="shared" si="5"/>
        <v>0.1175179841445733</v>
      </c>
      <c r="T15" s="310">
        <v>8041</v>
      </c>
      <c r="U15" s="26"/>
      <c r="W15">
        <v>20697.11</v>
      </c>
      <c r="X15" s="297">
        <f t="shared" si="10"/>
        <v>17997.486956521741</v>
      </c>
      <c r="Z15">
        <v>23810</v>
      </c>
      <c r="AA15" s="297">
        <f t="shared" si="11"/>
        <v>20704.34782608696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85" priority="4" operator="equal">
      <formula>0</formula>
    </cfRule>
  </conditionalFormatting>
  <conditionalFormatting sqref="P12:P13">
    <cfRule type="cellIs" dxfId="84" priority="2" operator="equal">
      <formula>0</formula>
    </cfRule>
  </conditionalFormatting>
  <conditionalFormatting sqref="W5">
    <cfRule type="cellIs" dxfId="83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AA37"/>
  <sheetViews>
    <sheetView zoomScale="60" zoomScaleNormal="60" workbookViewId="0">
      <pane xSplit="1" topLeftCell="B1" activePane="topRight" state="frozen"/>
      <selection pane="topRight" activeCell="F5" sqref="F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-4.8389486038922673E-2</v>
      </c>
      <c r="H2" s="413"/>
      <c r="I2" s="400">
        <f>((E4-B4)/E4)</f>
        <v>-0.17070039323160818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3263538.4</v>
      </c>
      <c r="C4" s="299">
        <f>SUM(C5:C15)</f>
        <v>2929434.0899999994</v>
      </c>
      <c r="D4" s="299">
        <f>SUM(D5:D15)</f>
        <v>2348709.85</v>
      </c>
      <c r="E4" s="299">
        <f>SUM(E5:E15)</f>
        <v>2787680.2800000003</v>
      </c>
      <c r="F4" s="299">
        <f>SUM(F5:F15)</f>
        <v>8337340.9000000004</v>
      </c>
      <c r="G4" s="300">
        <f t="shared" ref="G4:G15" si="0">IFERROR((SUM(E4-C4)/C4),0)</f>
        <v>-4.8389486038922673E-2</v>
      </c>
      <c r="H4" s="300">
        <f t="shared" ref="H4:H15" si="1">IFERROR((SUM(E4-D4)/D4),0)</f>
        <v>0.18689853495526498</v>
      </c>
      <c r="I4" s="324">
        <f>IFERROR((SUM(E4-B4)/E4),0)</f>
        <v>-0.17070039323160818</v>
      </c>
      <c r="J4" s="325">
        <f>SUM(J5:J15)</f>
        <v>7666</v>
      </c>
      <c r="K4" s="326">
        <f>AVERAGE(K5:K15)</f>
        <v>336.14319834722511</v>
      </c>
      <c r="L4" s="327">
        <f>SUM(L5:L15)</f>
        <v>91</v>
      </c>
      <c r="M4" s="328">
        <f t="shared" ref="M4:M15" si="2">IFERROR(L4/J4,0)</f>
        <v>1.1870597443255936E-2</v>
      </c>
      <c r="N4" s="329">
        <f>SUM(N7:N15)</f>
        <v>256</v>
      </c>
      <c r="O4" s="330">
        <f t="shared" ref="O4:O15" si="3">IFERROR(N4/SUM(J4),0)</f>
        <v>3.3394208192016696E-2</v>
      </c>
      <c r="P4" s="331">
        <f>SUM(P5:P15)</f>
        <v>454585.53043478268</v>
      </c>
      <c r="Q4" s="330">
        <f t="shared" ref="Q4:Q15" si="4">SUM(P4/E4)</f>
        <v>0.1630694644920983</v>
      </c>
      <c r="R4" s="331">
        <f>SUM(R5:R15)</f>
        <v>226907.87826086959</v>
      </c>
      <c r="S4" s="330">
        <f t="shared" ref="S4:S15" si="5">SUM(R4/E4)</f>
        <v>8.1396665137247942E-2</v>
      </c>
      <c r="T4" s="353">
        <f>SUM(T5:T15)</f>
        <v>82166.66</v>
      </c>
      <c r="U4" s="24"/>
    </row>
    <row r="5" spans="1:27" ht="15.6" customHeight="1" x14ac:dyDescent="0.3">
      <c r="A5" s="416" t="s">
        <v>26</v>
      </c>
      <c r="B5" s="310">
        <v>753851.76</v>
      </c>
      <c r="C5" s="310">
        <v>721819.17</v>
      </c>
      <c r="D5" s="310">
        <v>823747.68</v>
      </c>
      <c r="E5" s="310">
        <v>1055996.24</v>
      </c>
      <c r="F5" s="310"/>
      <c r="G5" s="348">
        <f t="shared" si="0"/>
        <v>0.46296508029843531</v>
      </c>
      <c r="H5" s="336">
        <f t="shared" si="1"/>
        <v>0.28194138282732395</v>
      </c>
      <c r="I5" s="351">
        <f t="shared" ref="I5:I15" si="6">IFERROR((SUM(E5-B5)/B5),0)</f>
        <v>0.40080092139069884</v>
      </c>
      <c r="J5" s="311">
        <v>2540</v>
      </c>
      <c r="K5" s="63">
        <f t="shared" ref="K5:K15" si="7">IFERROR(E5/J5,0)</f>
        <v>415.74655118110235</v>
      </c>
      <c r="L5" s="61">
        <v>10</v>
      </c>
      <c r="M5" s="28">
        <f t="shared" si="2"/>
        <v>3.937007874015748E-3</v>
      </c>
      <c r="N5" s="46">
        <v>42</v>
      </c>
      <c r="O5" s="89">
        <f t="shared" si="3"/>
        <v>1.6535433070866142E-2</v>
      </c>
      <c r="P5" s="260">
        <f t="shared" ref="P5:P15" si="8">SUM(X5+AA5)</f>
        <v>83621.739130434784</v>
      </c>
      <c r="Q5" s="89">
        <f t="shared" si="4"/>
        <v>7.9187534920043642E-2</v>
      </c>
      <c r="R5" s="260">
        <f t="shared" ref="R5:R15" si="9">SUM(AA5)</f>
        <v>83621.739130434784</v>
      </c>
      <c r="S5" s="89">
        <f t="shared" si="5"/>
        <v>7.9187534920043642E-2</v>
      </c>
      <c r="T5" s="310">
        <v>2684.9</v>
      </c>
      <c r="U5" s="9"/>
      <c r="W5" s="260"/>
      <c r="X5" s="297">
        <f t="shared" ref="X5:X15" si="10">W5/1.15</f>
        <v>0</v>
      </c>
      <c r="Z5">
        <v>96165</v>
      </c>
      <c r="AA5" s="297">
        <f t="shared" ref="AA5:AA15" si="11">SUM(Z5)/1.15</f>
        <v>83621.739130434784</v>
      </c>
    </row>
    <row r="6" spans="1:27" ht="15.6" customHeight="1" x14ac:dyDescent="0.3">
      <c r="A6" s="406" t="s">
        <v>21</v>
      </c>
      <c r="B6" s="310">
        <v>262332.98</v>
      </c>
      <c r="C6" s="310">
        <v>311404.3</v>
      </c>
      <c r="D6" s="310">
        <v>181752.95</v>
      </c>
      <c r="E6" s="310">
        <v>193464.29</v>
      </c>
      <c r="F6" s="310">
        <v>893633.18</v>
      </c>
      <c r="G6" s="349">
        <f t="shared" si="0"/>
        <v>-0.37873597121170127</v>
      </c>
      <c r="H6" s="86">
        <f t="shared" si="1"/>
        <v>6.4435487842150543E-2</v>
      </c>
      <c r="I6" s="77">
        <f t="shared" si="6"/>
        <v>-0.26252394952399799</v>
      </c>
      <c r="J6" s="311">
        <v>554</v>
      </c>
      <c r="K6" s="63">
        <f t="shared" si="7"/>
        <v>349.21351985559568</v>
      </c>
      <c r="L6" s="61">
        <v>10</v>
      </c>
      <c r="M6" s="28">
        <f t="shared" si="2"/>
        <v>1.8050541516245487E-2</v>
      </c>
      <c r="N6" s="46">
        <v>42</v>
      </c>
      <c r="O6" s="89">
        <f t="shared" si="3"/>
        <v>7.5812274368231042E-2</v>
      </c>
      <c r="P6" s="260">
        <f t="shared" si="8"/>
        <v>56966.982608695653</v>
      </c>
      <c r="Q6" s="89">
        <f t="shared" si="4"/>
        <v>0.29445735235528814</v>
      </c>
      <c r="R6" s="260">
        <f t="shared" si="9"/>
        <v>22902.17391304348</v>
      </c>
      <c r="S6" s="89">
        <f t="shared" si="5"/>
        <v>0.11837933456889371</v>
      </c>
      <c r="T6" s="310">
        <v>7758.76</v>
      </c>
      <c r="U6" s="26"/>
      <c r="W6">
        <v>39174.53</v>
      </c>
      <c r="X6" s="297">
        <f t="shared" si="10"/>
        <v>34064.808695652173</v>
      </c>
      <c r="Z6">
        <v>26337.5</v>
      </c>
      <c r="AA6" s="297">
        <f t="shared" si="11"/>
        <v>22902.17391304348</v>
      </c>
    </row>
    <row r="7" spans="1:27" ht="16.5" customHeight="1" x14ac:dyDescent="0.3">
      <c r="A7" s="406" t="s">
        <v>15</v>
      </c>
      <c r="B7" s="310">
        <v>324105.99</v>
      </c>
      <c r="C7" s="310">
        <v>332934.52</v>
      </c>
      <c r="D7" s="310">
        <v>198665.22</v>
      </c>
      <c r="E7" s="310">
        <v>231394.79</v>
      </c>
      <c r="F7" s="310">
        <v>1049062.43</v>
      </c>
      <c r="G7" s="349">
        <f t="shared" si="0"/>
        <v>-0.30498408515884745</v>
      </c>
      <c r="H7" s="86">
        <f t="shared" si="1"/>
        <v>0.16474735738847499</v>
      </c>
      <c r="I7" s="77">
        <f t="shared" si="6"/>
        <v>-0.28605210289387117</v>
      </c>
      <c r="J7" s="311">
        <v>631</v>
      </c>
      <c r="K7" s="63">
        <f t="shared" si="7"/>
        <v>366.71123613312204</v>
      </c>
      <c r="L7" s="61">
        <v>4</v>
      </c>
      <c r="M7" s="28">
        <f t="shared" si="2"/>
        <v>6.3391442155309036E-3</v>
      </c>
      <c r="N7" s="46">
        <v>24</v>
      </c>
      <c r="O7" s="89">
        <f t="shared" si="3"/>
        <v>3.8034865293185421E-2</v>
      </c>
      <c r="P7" s="260">
        <f t="shared" si="8"/>
        <v>27390.052173913045</v>
      </c>
      <c r="Q7" s="89">
        <f t="shared" si="4"/>
        <v>0.11836935556722364</v>
      </c>
      <c r="R7" s="260">
        <f t="shared" si="9"/>
        <v>4166.869565217391</v>
      </c>
      <c r="S7" s="89">
        <f t="shared" si="5"/>
        <v>1.8007620505273221E-2</v>
      </c>
      <c r="T7" s="310">
        <v>5035</v>
      </c>
      <c r="U7" s="26"/>
      <c r="W7">
        <v>26706.66</v>
      </c>
      <c r="X7" s="297">
        <f t="shared" si="10"/>
        <v>23223.182608695653</v>
      </c>
      <c r="Z7">
        <v>4791.8999999999996</v>
      </c>
      <c r="AA7" s="297">
        <f t="shared" si="11"/>
        <v>4166.869565217391</v>
      </c>
    </row>
    <row r="8" spans="1:27" ht="15.6" customHeight="1" x14ac:dyDescent="0.3">
      <c r="A8" s="160" t="s">
        <v>27</v>
      </c>
      <c r="B8" s="310">
        <v>179927.33</v>
      </c>
      <c r="C8" s="310">
        <v>121137.18</v>
      </c>
      <c r="D8" s="310">
        <v>113375.82</v>
      </c>
      <c r="E8" s="310">
        <v>120914.87</v>
      </c>
      <c r="F8" s="310">
        <v>599184.80000000005</v>
      </c>
      <c r="G8" s="349">
        <f t="shared" si="0"/>
        <v>-1.8351921350653671E-3</v>
      </c>
      <c r="H8" s="86">
        <f t="shared" si="1"/>
        <v>6.6496101196886495E-2</v>
      </c>
      <c r="I8" s="77">
        <f t="shared" si="6"/>
        <v>-0.3279794125772888</v>
      </c>
      <c r="J8" s="311">
        <v>399</v>
      </c>
      <c r="K8" s="63">
        <f t="shared" si="7"/>
        <v>303.04478696741853</v>
      </c>
      <c r="L8" s="61">
        <v>11</v>
      </c>
      <c r="M8" s="28">
        <f t="shared" si="2"/>
        <v>2.7568922305764409E-2</v>
      </c>
      <c r="N8" s="46">
        <v>25</v>
      </c>
      <c r="O8" s="89">
        <f t="shared" si="3"/>
        <v>6.2656641604010022E-2</v>
      </c>
      <c r="P8" s="260">
        <f t="shared" si="8"/>
        <v>34081.260869565223</v>
      </c>
      <c r="Q8" s="89">
        <f t="shared" si="4"/>
        <v>0.28186161776103491</v>
      </c>
      <c r="R8" s="260">
        <f t="shared" si="9"/>
        <v>11199.13043478261</v>
      </c>
      <c r="S8" s="89">
        <f t="shared" si="5"/>
        <v>9.2619960099056556E-2</v>
      </c>
      <c r="T8" s="310">
        <v>5969.15</v>
      </c>
      <c r="U8" s="9"/>
      <c r="W8">
        <v>26314.45</v>
      </c>
      <c r="X8" s="297">
        <f t="shared" si="10"/>
        <v>22882.130434782612</v>
      </c>
      <c r="Z8">
        <v>12879</v>
      </c>
      <c r="AA8" s="297">
        <f t="shared" si="11"/>
        <v>11199.13043478261</v>
      </c>
    </row>
    <row r="9" spans="1:27" ht="15.6" customHeight="1" x14ac:dyDescent="0.3">
      <c r="A9" s="160" t="s">
        <v>23</v>
      </c>
      <c r="B9" s="310">
        <v>252958.38</v>
      </c>
      <c r="C9" s="310">
        <v>199187.93</v>
      </c>
      <c r="D9" s="310">
        <v>131166</v>
      </c>
      <c r="E9" s="310">
        <v>147743.62</v>
      </c>
      <c r="F9" s="310">
        <v>775878.12</v>
      </c>
      <c r="G9" s="349">
        <f t="shared" si="0"/>
        <v>-0.25827021747753492</v>
      </c>
      <c r="H9" s="86">
        <f t="shared" si="1"/>
        <v>0.12638656359117451</v>
      </c>
      <c r="I9" s="77">
        <f t="shared" si="6"/>
        <v>-0.41593704071001725</v>
      </c>
      <c r="J9" s="311">
        <v>474</v>
      </c>
      <c r="K9" s="63">
        <f t="shared" si="7"/>
        <v>311.69540084388183</v>
      </c>
      <c r="L9" s="61">
        <v>15</v>
      </c>
      <c r="M9" s="28">
        <f t="shared" si="2"/>
        <v>3.1645569620253167E-2</v>
      </c>
      <c r="N9" s="46">
        <v>48</v>
      </c>
      <c r="O9" s="89">
        <f t="shared" si="3"/>
        <v>0.10126582278481013</v>
      </c>
      <c r="P9" s="260">
        <f t="shared" si="8"/>
        <v>31290.808695652177</v>
      </c>
      <c r="Q9" s="89">
        <f t="shared" si="4"/>
        <v>0.21179126852078065</v>
      </c>
      <c r="R9" s="260">
        <f t="shared" si="9"/>
        <v>15406.930434782611</v>
      </c>
      <c r="S9" s="89">
        <f t="shared" si="5"/>
        <v>0.10428152792508137</v>
      </c>
      <c r="T9" s="310">
        <v>6832.5</v>
      </c>
      <c r="U9" s="26"/>
      <c r="W9">
        <v>18266.46</v>
      </c>
      <c r="X9" s="297">
        <f t="shared" si="10"/>
        <v>15883.878260869566</v>
      </c>
      <c r="Z9">
        <v>17717.97</v>
      </c>
      <c r="AA9" s="297">
        <f t="shared" si="11"/>
        <v>15406.930434782611</v>
      </c>
    </row>
    <row r="10" spans="1:27" ht="15.6" customHeight="1" x14ac:dyDescent="0.3">
      <c r="A10" s="406" t="s">
        <v>16</v>
      </c>
      <c r="B10" s="310">
        <v>555577.92000000004</v>
      </c>
      <c r="C10" s="310">
        <v>503613.1</v>
      </c>
      <c r="D10" s="310">
        <v>355451.46</v>
      </c>
      <c r="E10" s="310">
        <v>394039.6</v>
      </c>
      <c r="F10" s="310">
        <v>1755128.2</v>
      </c>
      <c r="G10" s="349">
        <f t="shared" si="0"/>
        <v>-0.21757476126018169</v>
      </c>
      <c r="H10" s="86">
        <f t="shared" si="1"/>
        <v>0.1085609269968956</v>
      </c>
      <c r="I10" s="77">
        <f t="shared" si="6"/>
        <v>-0.29075727127528761</v>
      </c>
      <c r="J10" s="311">
        <v>949</v>
      </c>
      <c r="K10" s="63">
        <f t="shared" si="7"/>
        <v>415.21559536354056</v>
      </c>
      <c r="L10" s="61">
        <v>1</v>
      </c>
      <c r="M10" s="28">
        <f t="shared" si="2"/>
        <v>1.053740779768177E-3</v>
      </c>
      <c r="N10" s="46">
        <v>15</v>
      </c>
      <c r="O10" s="89">
        <f t="shared" si="3"/>
        <v>1.5806111696522657E-2</v>
      </c>
      <c r="P10" s="260">
        <f t="shared" si="8"/>
        <v>40385.060869565219</v>
      </c>
      <c r="Q10" s="89">
        <f t="shared" si="4"/>
        <v>0.10248985348062789</v>
      </c>
      <c r="R10" s="260">
        <f t="shared" si="9"/>
        <v>17175.652173913044</v>
      </c>
      <c r="S10" s="89">
        <f t="shared" si="5"/>
        <v>4.3588644831415536E-2</v>
      </c>
      <c r="T10" s="310">
        <v>21768.05</v>
      </c>
      <c r="U10" s="26"/>
      <c r="W10">
        <v>26690.82</v>
      </c>
      <c r="X10" s="297">
        <f t="shared" si="10"/>
        <v>23209.408695652175</v>
      </c>
      <c r="Z10">
        <v>19752</v>
      </c>
      <c r="AA10" s="297">
        <f t="shared" si="11"/>
        <v>17175.652173913044</v>
      </c>
    </row>
    <row r="11" spans="1:27" ht="15.6" customHeight="1" x14ac:dyDescent="0.3">
      <c r="A11" s="406" t="s">
        <v>17</v>
      </c>
      <c r="B11" s="310">
        <v>142448.66</v>
      </c>
      <c r="C11" s="310">
        <v>105968.29</v>
      </c>
      <c r="D11" s="310">
        <v>101312.03</v>
      </c>
      <c r="E11" s="310">
        <v>104594.63</v>
      </c>
      <c r="F11" s="310">
        <v>551284.89</v>
      </c>
      <c r="G11" s="349">
        <f t="shared" si="0"/>
        <v>-1.2962934477851714E-2</v>
      </c>
      <c r="H11" s="86">
        <f t="shared" si="1"/>
        <v>3.240089059512484E-2</v>
      </c>
      <c r="I11" s="77">
        <f t="shared" si="6"/>
        <v>-0.26573805608280204</v>
      </c>
      <c r="J11" s="311">
        <v>327</v>
      </c>
      <c r="K11" s="63">
        <f t="shared" si="7"/>
        <v>319.86125382262998</v>
      </c>
      <c r="L11" s="61">
        <v>3</v>
      </c>
      <c r="M11" s="28">
        <f t="shared" si="2"/>
        <v>9.1743119266055051E-3</v>
      </c>
      <c r="N11" s="46">
        <v>22</v>
      </c>
      <c r="O11" s="89">
        <f t="shared" si="3"/>
        <v>6.7278287461773695E-2</v>
      </c>
      <c r="P11" s="260">
        <f t="shared" si="8"/>
        <v>49055.200000000004</v>
      </c>
      <c r="Q11" s="89">
        <f t="shared" si="4"/>
        <v>0.46900304537623017</v>
      </c>
      <c r="R11" s="260">
        <f t="shared" si="9"/>
        <v>15027.30434782609</v>
      </c>
      <c r="S11" s="89">
        <f t="shared" si="5"/>
        <v>0.14367185340037142</v>
      </c>
      <c r="T11" s="310">
        <v>5471.5</v>
      </c>
      <c r="U11" s="26"/>
      <c r="W11">
        <v>39132.080000000002</v>
      </c>
      <c r="X11" s="297">
        <f t="shared" si="10"/>
        <v>34027.895652173916</v>
      </c>
      <c r="Z11">
        <v>17281.400000000001</v>
      </c>
      <c r="AA11" s="297">
        <f t="shared" si="11"/>
        <v>15027.30434782609</v>
      </c>
    </row>
    <row r="12" spans="1:27" ht="15.6" customHeight="1" x14ac:dyDescent="0.3">
      <c r="A12" s="160" t="s">
        <v>55</v>
      </c>
      <c r="B12" s="310">
        <v>236135.13</v>
      </c>
      <c r="C12" s="310">
        <v>210622.19</v>
      </c>
      <c r="D12" s="310">
        <v>133738.32</v>
      </c>
      <c r="E12" s="310">
        <v>164356.99</v>
      </c>
      <c r="F12" s="310">
        <v>808714.17</v>
      </c>
      <c r="G12" s="349">
        <f t="shared" si="0"/>
        <v>-0.21965966643875467</v>
      </c>
      <c r="H12" s="86">
        <f t="shared" si="1"/>
        <v>0.22894462858513537</v>
      </c>
      <c r="I12" s="77">
        <f t="shared" si="6"/>
        <v>-0.30397061208131132</v>
      </c>
      <c r="J12" s="311">
        <v>564</v>
      </c>
      <c r="K12" s="63">
        <f t="shared" si="7"/>
        <v>291.41310283687943</v>
      </c>
      <c r="L12" s="61">
        <v>7</v>
      </c>
      <c r="M12" s="28">
        <f t="shared" si="2"/>
        <v>1.2411347517730497E-2</v>
      </c>
      <c r="N12" s="46">
        <v>17</v>
      </c>
      <c r="O12" s="89">
        <f t="shared" si="3"/>
        <v>3.0141843971631204E-2</v>
      </c>
      <c r="P12" s="260">
        <f t="shared" si="8"/>
        <v>49000.147826086963</v>
      </c>
      <c r="Q12" s="89">
        <f t="shared" si="4"/>
        <v>0.2981324239759256</v>
      </c>
      <c r="R12" s="260">
        <f t="shared" si="9"/>
        <v>20691.791304347829</v>
      </c>
      <c r="S12" s="89">
        <f t="shared" si="5"/>
        <v>0.12589541402740359</v>
      </c>
      <c r="T12" s="310">
        <v>6503.5</v>
      </c>
      <c r="U12" s="9"/>
      <c r="W12">
        <v>32554.61</v>
      </c>
      <c r="X12" s="297">
        <f t="shared" si="10"/>
        <v>28308.356521739133</v>
      </c>
      <c r="Z12">
        <v>23795.56</v>
      </c>
      <c r="AA12" s="297">
        <f t="shared" si="11"/>
        <v>20691.791304347829</v>
      </c>
    </row>
    <row r="13" spans="1:27" ht="15.6" customHeight="1" x14ac:dyDescent="0.3">
      <c r="A13" s="160" t="s">
        <v>33</v>
      </c>
      <c r="B13" s="310">
        <v>208318.73</v>
      </c>
      <c r="C13" s="310">
        <v>157671.4</v>
      </c>
      <c r="D13" s="310">
        <v>111902.84</v>
      </c>
      <c r="E13" s="310">
        <v>146821.74</v>
      </c>
      <c r="F13" s="310">
        <v>704263.36</v>
      </c>
      <c r="G13" s="349">
        <f t="shared" si="0"/>
        <v>-6.8811845394916291E-2</v>
      </c>
      <c r="H13" s="86">
        <f t="shared" si="1"/>
        <v>0.31204659327681045</v>
      </c>
      <c r="I13" s="77">
        <f t="shared" si="6"/>
        <v>-0.29520624477693397</v>
      </c>
      <c r="J13" s="311">
        <v>482</v>
      </c>
      <c r="K13" s="63">
        <f t="shared" si="7"/>
        <v>304.60941908713693</v>
      </c>
      <c r="L13" s="61">
        <v>13</v>
      </c>
      <c r="M13" s="28">
        <f t="shared" si="2"/>
        <v>2.6970954356846474E-2</v>
      </c>
      <c r="N13" s="46">
        <v>37</v>
      </c>
      <c r="O13" s="89">
        <f t="shared" si="3"/>
        <v>7.6763485477178428E-2</v>
      </c>
      <c r="P13" s="260">
        <f t="shared" si="8"/>
        <v>32477.860869565222</v>
      </c>
      <c r="Q13" s="89">
        <f t="shared" si="4"/>
        <v>0.2212060752689978</v>
      </c>
      <c r="R13" s="260">
        <f t="shared" si="9"/>
        <v>16583.17391304348</v>
      </c>
      <c r="S13" s="89">
        <f t="shared" si="5"/>
        <v>0.11294767323315662</v>
      </c>
      <c r="T13" s="310">
        <v>4648.5</v>
      </c>
      <c r="U13" s="9"/>
      <c r="W13">
        <v>18278.89</v>
      </c>
      <c r="X13" s="297">
        <f t="shared" si="10"/>
        <v>15894.68695652174</v>
      </c>
      <c r="Z13">
        <v>19070.650000000001</v>
      </c>
      <c r="AA13" s="297">
        <f t="shared" si="11"/>
        <v>16583.17391304348</v>
      </c>
    </row>
    <row r="14" spans="1:27" ht="15.6" customHeight="1" x14ac:dyDescent="0.3">
      <c r="A14" s="406" t="s">
        <v>20</v>
      </c>
      <c r="B14" s="310">
        <v>171701.27</v>
      </c>
      <c r="C14" s="310">
        <v>115192.67</v>
      </c>
      <c r="D14" s="310">
        <v>105459.75</v>
      </c>
      <c r="E14" s="310">
        <v>114168.13</v>
      </c>
      <c r="F14" s="310">
        <v>603049.81000000006</v>
      </c>
      <c r="G14" s="349">
        <f t="shared" si="0"/>
        <v>-8.8941423095757182E-3</v>
      </c>
      <c r="H14" s="86">
        <f t="shared" si="1"/>
        <v>8.2575390136995441E-2</v>
      </c>
      <c r="I14" s="77">
        <f t="shared" si="6"/>
        <v>-0.33507696244762775</v>
      </c>
      <c r="J14" s="311">
        <v>331</v>
      </c>
      <c r="K14" s="63">
        <f t="shared" si="7"/>
        <v>344.9188217522659</v>
      </c>
      <c r="L14" s="61">
        <v>11</v>
      </c>
      <c r="M14" s="28">
        <f t="shared" si="2"/>
        <v>3.3232628398791542E-2</v>
      </c>
      <c r="N14" s="46">
        <v>41</v>
      </c>
      <c r="O14" s="89">
        <f t="shared" si="3"/>
        <v>0.12386706948640483</v>
      </c>
      <c r="P14" s="260">
        <f t="shared" si="8"/>
        <v>31461.539130434787</v>
      </c>
      <c r="Q14" s="89">
        <f t="shared" si="4"/>
        <v>0.27557199308103569</v>
      </c>
      <c r="R14" s="260">
        <f t="shared" si="9"/>
        <v>11903.04347826087</v>
      </c>
      <c r="S14" s="89">
        <f t="shared" si="5"/>
        <v>0.10425889850574648</v>
      </c>
      <c r="T14" s="310">
        <v>7846.2</v>
      </c>
      <c r="U14" s="26"/>
      <c r="W14">
        <v>22492.27</v>
      </c>
      <c r="X14" s="297">
        <f t="shared" si="10"/>
        <v>19558.495652173915</v>
      </c>
      <c r="Z14">
        <v>13688.5</v>
      </c>
      <c r="AA14" s="297">
        <f t="shared" si="11"/>
        <v>11903.04347826087</v>
      </c>
    </row>
    <row r="15" spans="1:27" ht="16.2" customHeight="1" thickBot="1" x14ac:dyDescent="0.35">
      <c r="A15" s="161" t="s">
        <v>22</v>
      </c>
      <c r="B15" s="310">
        <v>176180.25</v>
      </c>
      <c r="C15" s="310">
        <v>149883.34</v>
      </c>
      <c r="D15" s="310">
        <v>92137.78</v>
      </c>
      <c r="E15" s="310">
        <v>114185.38</v>
      </c>
      <c r="F15" s="310">
        <v>597141.93999999994</v>
      </c>
      <c r="G15" s="350">
        <f t="shared" si="0"/>
        <v>-0.23817163401883087</v>
      </c>
      <c r="H15" s="341">
        <f t="shared" si="1"/>
        <v>0.23928946410473539</v>
      </c>
      <c r="I15" s="352">
        <f t="shared" si="6"/>
        <v>-0.35188319916676242</v>
      </c>
      <c r="J15" s="311">
        <v>415</v>
      </c>
      <c r="K15" s="132">
        <f t="shared" si="7"/>
        <v>275.14549397590361</v>
      </c>
      <c r="L15" s="133">
        <v>6</v>
      </c>
      <c r="M15" s="114">
        <f t="shared" si="2"/>
        <v>1.4457831325301205E-2</v>
      </c>
      <c r="N15" s="115">
        <v>27</v>
      </c>
      <c r="O15" s="116">
        <f t="shared" si="3"/>
        <v>6.5060240963855417E-2</v>
      </c>
      <c r="P15" s="261">
        <f t="shared" si="8"/>
        <v>18854.878260869569</v>
      </c>
      <c r="Q15" s="116">
        <f t="shared" si="4"/>
        <v>0.16512515228192584</v>
      </c>
      <c r="R15" s="261">
        <f t="shared" si="9"/>
        <v>8230.0695652173927</v>
      </c>
      <c r="S15" s="116">
        <f t="shared" si="5"/>
        <v>7.2076386357144778E-2</v>
      </c>
      <c r="T15" s="310">
        <v>7648.6</v>
      </c>
      <c r="U15" s="26"/>
      <c r="W15">
        <v>12218.53</v>
      </c>
      <c r="X15" s="297">
        <f t="shared" si="10"/>
        <v>10624.808695652175</v>
      </c>
      <c r="Z15">
        <v>9464.58</v>
      </c>
      <c r="AA15" s="297">
        <f t="shared" si="11"/>
        <v>8230.0695652173927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82" priority="4" operator="equal">
      <formula>0</formula>
    </cfRule>
  </conditionalFormatting>
  <conditionalFormatting sqref="P12:P13">
    <cfRule type="cellIs" dxfId="81" priority="2" operator="equal">
      <formula>0</formula>
    </cfRule>
  </conditionalFormatting>
  <conditionalFormatting sqref="W5">
    <cfRule type="cellIs" dxfId="8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AA37"/>
  <sheetViews>
    <sheetView zoomScale="63" zoomScaleNormal="63" workbookViewId="0">
      <pane xSplit="1" topLeftCell="P1" activePane="topRight" state="frozen"/>
      <selection pane="topRight" activeCell="C5" sqref="C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0.10145767899803362</v>
      </c>
      <c r="H2" s="413"/>
      <c r="I2" s="400">
        <f>((E4-B4)/E4)</f>
        <v>0.12756218337719202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49</v>
      </c>
      <c r="E3" s="271" t="s">
        <v>52</v>
      </c>
      <c r="F3" s="253" t="s">
        <v>44</v>
      </c>
      <c r="G3" s="253" t="s">
        <v>46</v>
      </c>
      <c r="H3" s="253" t="s">
        <v>51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2787680.2800000003</v>
      </c>
      <c r="C4" s="299">
        <f>SUM(C5:C15)</f>
        <v>2900952.82</v>
      </c>
      <c r="D4" s="299">
        <f>SUM(D5:D15)</f>
        <v>2760328.4299999997</v>
      </c>
      <c r="E4" s="299">
        <f>SUM(E5:E15)</f>
        <v>3195276.7600000002</v>
      </c>
      <c r="F4" s="299">
        <f>SUM(F5:F15)</f>
        <v>14097864.789999999</v>
      </c>
      <c r="G4" s="300">
        <f t="shared" ref="G4:G15" si="0">IFERROR((SUM(E4-C4)/C4),0)</f>
        <v>0.10145767899803362</v>
      </c>
      <c r="H4" s="300">
        <f t="shared" ref="H4:H15" si="1">IFERROR((SUM(E4-D4)/D4),0)</f>
        <v>0.1575712242329079</v>
      </c>
      <c r="I4" s="324">
        <f>IFERROR((SUM(E4-B4)/E4),0)</f>
        <v>0.12756218337719202</v>
      </c>
      <c r="J4" s="325">
        <f>SUM(J5:J15)</f>
        <v>9002</v>
      </c>
      <c r="K4" s="326">
        <f>AVERAGE(K5:K15)</f>
        <v>329.45898105150741</v>
      </c>
      <c r="L4" s="327">
        <f>SUM(L5:L15)</f>
        <v>91</v>
      </c>
      <c r="M4" s="328">
        <f t="shared" ref="M4:M15" si="2">IFERROR(L4/J4,0)</f>
        <v>1.010886469673406E-2</v>
      </c>
      <c r="N4" s="329">
        <f>SUM(N7:N15)</f>
        <v>256</v>
      </c>
      <c r="O4" s="330">
        <f t="shared" ref="O4:O15" si="3">IFERROR(N4/SUM(J4),0)</f>
        <v>2.8438124861141969E-2</v>
      </c>
      <c r="P4" s="331">
        <f>SUM(P5:P15)</f>
        <v>685367.83478260867</v>
      </c>
      <c r="Q4" s="330">
        <f t="shared" ref="Q4:Q15" si="4">SUM(P4/E4)</f>
        <v>0.2144940442600686</v>
      </c>
      <c r="R4" s="331">
        <f>SUM(R5:R15)</f>
        <v>283785.67826086964</v>
      </c>
      <c r="S4" s="330">
        <f t="shared" ref="S4:S15" si="5">SUM(R4/E4)</f>
        <v>8.8814115200734484E-2</v>
      </c>
      <c r="T4" s="353">
        <f>SUM(T5:T15)</f>
        <v>85041.41</v>
      </c>
      <c r="U4" s="24"/>
    </row>
    <row r="5" spans="1:27" ht="15.6" customHeight="1" x14ac:dyDescent="0.3">
      <c r="A5" s="416" t="s">
        <v>26</v>
      </c>
      <c r="B5" s="310">
        <v>1055996.24</v>
      </c>
      <c r="C5" s="310">
        <v>946806.42</v>
      </c>
      <c r="D5" s="310">
        <v>1157280.81</v>
      </c>
      <c r="E5" s="310">
        <v>1359614.32</v>
      </c>
      <c r="F5" s="310">
        <v>3924861.45</v>
      </c>
      <c r="G5" s="348">
        <f t="shared" si="0"/>
        <v>0.4360003177840725</v>
      </c>
      <c r="H5" s="336">
        <f t="shared" si="1"/>
        <v>0.17483527615047897</v>
      </c>
      <c r="I5" s="351">
        <f t="shared" ref="I5:I15" si="6">IFERROR((SUM(E5-B5)/B5),0)</f>
        <v>0.28751814495097072</v>
      </c>
      <c r="J5" s="311">
        <v>3380</v>
      </c>
      <c r="K5" s="63">
        <f t="shared" ref="K5:K15" si="7">IFERROR(E5/J5,0)</f>
        <v>402.25275739644974</v>
      </c>
      <c r="L5" s="61">
        <v>10</v>
      </c>
      <c r="M5" s="28">
        <f t="shared" si="2"/>
        <v>2.9585798816568047E-3</v>
      </c>
      <c r="N5" s="46">
        <v>42</v>
      </c>
      <c r="O5" s="89">
        <f t="shared" si="3"/>
        <v>1.242603550295858E-2</v>
      </c>
      <c r="P5" s="260">
        <f t="shared" ref="P5:P15" si="8">SUM(X5+AA5)</f>
        <v>102855.65217391305</v>
      </c>
      <c r="Q5" s="89">
        <f t="shared" si="4"/>
        <v>7.5650609633114957E-2</v>
      </c>
      <c r="R5" s="260">
        <f t="shared" ref="R5:R15" si="9">SUM(AA5)</f>
        <v>102855.65217391305</v>
      </c>
      <c r="S5" s="89">
        <f t="shared" si="5"/>
        <v>7.5650609633114957E-2</v>
      </c>
      <c r="T5" s="310">
        <v>4082.65</v>
      </c>
      <c r="U5" s="9"/>
      <c r="W5" s="260"/>
      <c r="X5" s="297">
        <f t="shared" ref="X5:X15" si="10">W5/1.15</f>
        <v>0</v>
      </c>
      <c r="Z5">
        <v>118284</v>
      </c>
      <c r="AA5" s="297">
        <f t="shared" ref="AA5:AA15" si="11">SUM(Z5)/1.15</f>
        <v>102855.65217391305</v>
      </c>
    </row>
    <row r="6" spans="1:27" ht="15.6" customHeight="1" x14ac:dyDescent="0.3">
      <c r="A6" s="406" t="s">
        <v>21</v>
      </c>
      <c r="B6" s="310">
        <v>193464.29</v>
      </c>
      <c r="C6" s="310">
        <v>297952.08</v>
      </c>
      <c r="D6" s="310">
        <v>169474.37</v>
      </c>
      <c r="E6" s="310">
        <v>213926.58</v>
      </c>
      <c r="F6" s="310">
        <v>1107559.76</v>
      </c>
      <c r="G6" s="349">
        <f t="shared" si="0"/>
        <v>-0.28201011384112512</v>
      </c>
      <c r="H6" s="86">
        <f t="shared" si="1"/>
        <v>0.26229458767128028</v>
      </c>
      <c r="I6" s="77">
        <f t="shared" si="6"/>
        <v>0.10576778794680909</v>
      </c>
      <c r="J6" s="311">
        <v>648</v>
      </c>
      <c r="K6" s="63">
        <f t="shared" si="7"/>
        <v>330.13361111111107</v>
      </c>
      <c r="L6" s="61">
        <v>10</v>
      </c>
      <c r="M6" s="28">
        <f t="shared" si="2"/>
        <v>1.5432098765432098E-2</v>
      </c>
      <c r="N6" s="46">
        <v>42</v>
      </c>
      <c r="O6" s="89">
        <f t="shared" si="3"/>
        <v>6.4814814814814811E-2</v>
      </c>
      <c r="P6" s="260">
        <f t="shared" si="8"/>
        <v>66780.400000000009</v>
      </c>
      <c r="Q6" s="89">
        <f t="shared" si="4"/>
        <v>0.31216504279178403</v>
      </c>
      <c r="R6" s="260">
        <f t="shared" si="9"/>
        <v>18484.052173913045</v>
      </c>
      <c r="S6" s="89">
        <f t="shared" si="5"/>
        <v>8.6403719322363057E-2</v>
      </c>
      <c r="T6" s="310">
        <v>14192.44</v>
      </c>
      <c r="U6" s="26"/>
      <c r="W6">
        <v>55540.800000000003</v>
      </c>
      <c r="X6" s="297">
        <f t="shared" si="10"/>
        <v>48296.34782608696</v>
      </c>
      <c r="Z6">
        <v>21256.66</v>
      </c>
      <c r="AA6" s="297">
        <f t="shared" si="11"/>
        <v>18484.052173913045</v>
      </c>
    </row>
    <row r="7" spans="1:27" ht="16.5" customHeight="1" x14ac:dyDescent="0.3">
      <c r="A7" s="406" t="s">
        <v>15</v>
      </c>
      <c r="B7" s="310">
        <v>231394.79</v>
      </c>
      <c r="C7" s="310">
        <v>303061.96000000002</v>
      </c>
      <c r="D7" s="310">
        <v>212769.56</v>
      </c>
      <c r="E7" s="310">
        <v>227415.57</v>
      </c>
      <c r="F7" s="310">
        <v>1276478</v>
      </c>
      <c r="G7" s="349">
        <f t="shared" si="0"/>
        <v>-0.24960701105476915</v>
      </c>
      <c r="H7" s="86">
        <f t="shared" si="1"/>
        <v>6.8835081484400346E-2</v>
      </c>
      <c r="I7" s="77">
        <f t="shared" si="6"/>
        <v>-1.7196670676984563E-2</v>
      </c>
      <c r="J7" s="311">
        <v>656</v>
      </c>
      <c r="K7" s="63">
        <f t="shared" si="7"/>
        <v>346.67007621951223</v>
      </c>
      <c r="L7" s="61">
        <v>4</v>
      </c>
      <c r="M7" s="28">
        <f t="shared" si="2"/>
        <v>6.0975609756097563E-3</v>
      </c>
      <c r="N7" s="46">
        <v>24</v>
      </c>
      <c r="O7" s="89">
        <f t="shared" si="3"/>
        <v>3.6585365853658534E-2</v>
      </c>
      <c r="P7" s="260">
        <f t="shared" si="8"/>
        <v>57220.860869565222</v>
      </c>
      <c r="Q7" s="89">
        <f t="shared" si="4"/>
        <v>0.2516136466362669</v>
      </c>
      <c r="R7" s="260">
        <f t="shared" si="9"/>
        <v>1747.826086956522</v>
      </c>
      <c r="S7" s="89">
        <f t="shared" si="5"/>
        <v>7.6856043188094905E-3</v>
      </c>
      <c r="T7" s="310">
        <v>6630.73</v>
      </c>
      <c r="U7" s="26"/>
      <c r="W7">
        <v>63793.99</v>
      </c>
      <c r="X7" s="297">
        <f t="shared" si="10"/>
        <v>55473.034782608702</v>
      </c>
      <c r="Z7">
        <v>2010</v>
      </c>
      <c r="AA7" s="297">
        <f t="shared" si="11"/>
        <v>1747.826086956522</v>
      </c>
    </row>
    <row r="8" spans="1:27" ht="15.6" customHeight="1" x14ac:dyDescent="0.3">
      <c r="A8" s="160" t="s">
        <v>27</v>
      </c>
      <c r="B8" s="310">
        <v>120914.87</v>
      </c>
      <c r="C8" s="310">
        <v>110995.82</v>
      </c>
      <c r="D8" s="310">
        <v>117099.44</v>
      </c>
      <c r="E8" s="310">
        <v>133084.51999999999</v>
      </c>
      <c r="F8" s="310">
        <v>732269.32</v>
      </c>
      <c r="G8" s="349">
        <f t="shared" si="0"/>
        <v>0.19900479135160207</v>
      </c>
      <c r="H8" s="86">
        <f t="shared" si="1"/>
        <v>0.13650859474648203</v>
      </c>
      <c r="I8" s="77">
        <f t="shared" si="6"/>
        <v>0.10064643000484551</v>
      </c>
      <c r="J8" s="311">
        <v>441</v>
      </c>
      <c r="K8" s="63">
        <f t="shared" si="7"/>
        <v>301.77895691609973</v>
      </c>
      <c r="L8" s="61">
        <v>11</v>
      </c>
      <c r="M8" s="28">
        <f t="shared" si="2"/>
        <v>2.4943310657596373E-2</v>
      </c>
      <c r="N8" s="46">
        <v>25</v>
      </c>
      <c r="O8" s="89">
        <f t="shared" si="3"/>
        <v>5.6689342403628121E-2</v>
      </c>
      <c r="P8" s="260">
        <f t="shared" si="8"/>
        <v>51601.504347826092</v>
      </c>
      <c r="Q8" s="89">
        <f t="shared" si="4"/>
        <v>0.38773483458351199</v>
      </c>
      <c r="R8" s="260">
        <f t="shared" si="9"/>
        <v>16618.373913043481</v>
      </c>
      <c r="S8" s="89">
        <f t="shared" si="5"/>
        <v>0.12487082579584374</v>
      </c>
      <c r="T8" s="310">
        <v>5649.05</v>
      </c>
      <c r="U8" s="9"/>
      <c r="W8">
        <v>40230.6</v>
      </c>
      <c r="X8" s="297">
        <f t="shared" si="10"/>
        <v>34983.130434782608</v>
      </c>
      <c r="Z8">
        <v>19111.13</v>
      </c>
      <c r="AA8" s="297">
        <f t="shared" si="11"/>
        <v>16618.373913043481</v>
      </c>
    </row>
    <row r="9" spans="1:27" ht="15.6" customHeight="1" x14ac:dyDescent="0.3">
      <c r="A9" s="160" t="s">
        <v>23</v>
      </c>
      <c r="B9" s="310">
        <v>147743.62</v>
      </c>
      <c r="C9" s="310">
        <v>173337.25</v>
      </c>
      <c r="D9" s="310">
        <v>159471.69</v>
      </c>
      <c r="E9" s="310">
        <v>184636.96</v>
      </c>
      <c r="F9" s="310">
        <v>960515.08</v>
      </c>
      <c r="G9" s="349">
        <f t="shared" si="0"/>
        <v>6.5189161591060155E-2</v>
      </c>
      <c r="H9" s="86">
        <f t="shared" si="1"/>
        <v>0.15780399643347348</v>
      </c>
      <c r="I9" s="77">
        <f t="shared" si="6"/>
        <v>0.2497118995730577</v>
      </c>
      <c r="J9" s="311">
        <v>590</v>
      </c>
      <c r="K9" s="63">
        <f t="shared" si="7"/>
        <v>312.94399999999996</v>
      </c>
      <c r="L9" s="61">
        <v>15</v>
      </c>
      <c r="M9" s="28">
        <f t="shared" si="2"/>
        <v>2.5423728813559324E-2</v>
      </c>
      <c r="N9" s="46">
        <v>48</v>
      </c>
      <c r="O9" s="89">
        <f t="shared" si="3"/>
        <v>8.1355932203389825E-2</v>
      </c>
      <c r="P9" s="260">
        <f t="shared" si="8"/>
        <v>62273.408695652179</v>
      </c>
      <c r="Q9" s="89">
        <f t="shared" si="4"/>
        <v>0.33727488091036695</v>
      </c>
      <c r="R9" s="260">
        <f t="shared" si="9"/>
        <v>25659.243478260873</v>
      </c>
      <c r="S9" s="89">
        <f t="shared" si="5"/>
        <v>0.1389713277247463</v>
      </c>
      <c r="T9" s="310">
        <v>6619.5</v>
      </c>
      <c r="U9" s="26"/>
      <c r="W9">
        <v>42106.29</v>
      </c>
      <c r="X9" s="297">
        <f t="shared" si="10"/>
        <v>36614.16521739131</v>
      </c>
      <c r="Z9">
        <v>29508.13</v>
      </c>
      <c r="AA9" s="297">
        <f t="shared" si="11"/>
        <v>25659.243478260873</v>
      </c>
    </row>
    <row r="10" spans="1:27" ht="15.6" customHeight="1" x14ac:dyDescent="0.3">
      <c r="A10" s="406" t="s">
        <v>16</v>
      </c>
      <c r="B10" s="310">
        <v>394039.6</v>
      </c>
      <c r="C10" s="310">
        <v>294354.45</v>
      </c>
      <c r="D10" s="310">
        <v>294055.23</v>
      </c>
      <c r="E10" s="310">
        <v>330942.74</v>
      </c>
      <c r="F10" s="310">
        <v>2086070.94</v>
      </c>
      <c r="G10" s="349">
        <f t="shared" si="0"/>
        <v>0.12430010825384151</v>
      </c>
      <c r="H10" s="86">
        <f t="shared" si="1"/>
        <v>0.12544415550779359</v>
      </c>
      <c r="I10" s="77">
        <f t="shared" si="6"/>
        <v>-0.16012822061538989</v>
      </c>
      <c r="J10" s="311">
        <v>914</v>
      </c>
      <c r="K10" s="63">
        <f t="shared" si="7"/>
        <v>362.08177242888399</v>
      </c>
      <c r="L10" s="61">
        <v>1</v>
      </c>
      <c r="M10" s="28">
        <f t="shared" si="2"/>
        <v>1.0940919037199124E-3</v>
      </c>
      <c r="N10" s="46">
        <v>15</v>
      </c>
      <c r="O10" s="89">
        <f t="shared" si="3"/>
        <v>1.6411378555798686E-2</v>
      </c>
      <c r="P10" s="260">
        <f t="shared" si="8"/>
        <v>59298.565217391311</v>
      </c>
      <c r="Q10" s="89">
        <f t="shared" si="4"/>
        <v>0.17918074050330071</v>
      </c>
      <c r="R10" s="260">
        <f t="shared" si="9"/>
        <v>15606.930434782611</v>
      </c>
      <c r="S10" s="89">
        <f t="shared" si="5"/>
        <v>4.7159005315489354E-2</v>
      </c>
      <c r="T10" s="310">
        <v>18755.830000000002</v>
      </c>
      <c r="U10" s="26"/>
      <c r="W10">
        <v>50245.38</v>
      </c>
      <c r="X10" s="297">
        <f t="shared" si="10"/>
        <v>43691.6347826087</v>
      </c>
      <c r="Z10">
        <v>17947.97</v>
      </c>
      <c r="AA10" s="297">
        <f t="shared" si="11"/>
        <v>15606.930434782611</v>
      </c>
    </row>
    <row r="11" spans="1:27" ht="15.6" customHeight="1" x14ac:dyDescent="0.3">
      <c r="A11" s="406" t="s">
        <v>17</v>
      </c>
      <c r="B11" s="310">
        <v>104594.63</v>
      </c>
      <c r="C11" s="310">
        <v>75621.759999999995</v>
      </c>
      <c r="D11" s="310">
        <v>92659.32</v>
      </c>
      <c r="E11" s="310">
        <v>108000.89</v>
      </c>
      <c r="F11" s="310">
        <v>659285.78</v>
      </c>
      <c r="G11" s="349">
        <f t="shared" si="0"/>
        <v>0.42817212929188647</v>
      </c>
      <c r="H11" s="86">
        <f t="shared" si="1"/>
        <v>0.16556963724749968</v>
      </c>
      <c r="I11" s="77">
        <f t="shared" si="6"/>
        <v>3.2566299053785025E-2</v>
      </c>
      <c r="J11" s="311">
        <v>378</v>
      </c>
      <c r="K11" s="63">
        <f t="shared" si="7"/>
        <v>285.7166402116402</v>
      </c>
      <c r="L11" s="61">
        <v>3</v>
      </c>
      <c r="M11" s="28">
        <f t="shared" si="2"/>
        <v>7.9365079365079361E-3</v>
      </c>
      <c r="N11" s="46">
        <v>22</v>
      </c>
      <c r="O11" s="89">
        <f t="shared" si="3"/>
        <v>5.8201058201058198E-2</v>
      </c>
      <c r="P11" s="260">
        <f t="shared" si="8"/>
        <v>66862.373913043484</v>
      </c>
      <c r="Q11" s="89">
        <f t="shared" si="4"/>
        <v>0.61909095298236416</v>
      </c>
      <c r="R11" s="260">
        <f t="shared" si="9"/>
        <v>13638.339130434784</v>
      </c>
      <c r="S11" s="89">
        <f t="shared" si="5"/>
        <v>0.12627987723466708</v>
      </c>
      <c r="T11" s="310">
        <v>4048.37</v>
      </c>
      <c r="U11" s="26"/>
      <c r="W11">
        <v>61207.64</v>
      </c>
      <c r="X11" s="297">
        <f t="shared" si="10"/>
        <v>53224.034782608702</v>
      </c>
      <c r="Z11">
        <v>15684.09</v>
      </c>
      <c r="AA11" s="297">
        <f t="shared" si="11"/>
        <v>13638.339130434784</v>
      </c>
    </row>
    <row r="12" spans="1:27" ht="15.6" customHeight="1" x14ac:dyDescent="0.3">
      <c r="A12" s="160" t="s">
        <v>55</v>
      </c>
      <c r="B12" s="310">
        <v>164356.99</v>
      </c>
      <c r="C12" s="310">
        <v>172955.81</v>
      </c>
      <c r="D12" s="310">
        <v>143974.76</v>
      </c>
      <c r="E12" s="310">
        <v>179247.74</v>
      </c>
      <c r="F12" s="310">
        <v>987961.91</v>
      </c>
      <c r="G12" s="349">
        <f t="shared" si="0"/>
        <v>3.6378829945059338E-2</v>
      </c>
      <c r="H12" s="86">
        <f t="shared" si="1"/>
        <v>0.24499419203754866</v>
      </c>
      <c r="I12" s="77">
        <f t="shared" si="6"/>
        <v>9.0600040801428652E-2</v>
      </c>
      <c r="J12" s="311">
        <v>599</v>
      </c>
      <c r="K12" s="63">
        <f t="shared" si="7"/>
        <v>299.24497495826375</v>
      </c>
      <c r="L12" s="61">
        <v>7</v>
      </c>
      <c r="M12" s="28">
        <f t="shared" si="2"/>
        <v>1.1686143572621035E-2</v>
      </c>
      <c r="N12" s="46">
        <v>17</v>
      </c>
      <c r="O12" s="89">
        <f t="shared" si="3"/>
        <v>2.8380634390651086E-2</v>
      </c>
      <c r="P12" s="260">
        <f t="shared" si="8"/>
        <v>64036.965217391305</v>
      </c>
      <c r="Q12" s="89">
        <f t="shared" si="4"/>
        <v>0.35725396156956463</v>
      </c>
      <c r="R12" s="260">
        <f t="shared" si="9"/>
        <v>24137.669565217391</v>
      </c>
      <c r="S12" s="89">
        <f t="shared" si="5"/>
        <v>0.13466094225353911</v>
      </c>
      <c r="T12" s="310">
        <v>6872</v>
      </c>
      <c r="U12" s="9"/>
      <c r="W12">
        <v>45884.19</v>
      </c>
      <c r="X12" s="297">
        <f t="shared" si="10"/>
        <v>39899.295652173918</v>
      </c>
      <c r="Z12">
        <v>27758.32</v>
      </c>
      <c r="AA12" s="297">
        <f t="shared" si="11"/>
        <v>24137.669565217391</v>
      </c>
    </row>
    <row r="13" spans="1:27" ht="15.6" customHeight="1" x14ac:dyDescent="0.3">
      <c r="A13" s="160" t="s">
        <v>33</v>
      </c>
      <c r="B13" s="310">
        <v>146821.74</v>
      </c>
      <c r="C13" s="310">
        <v>213205.46</v>
      </c>
      <c r="D13" s="310">
        <v>148687.25</v>
      </c>
      <c r="E13" s="310">
        <v>189985.58</v>
      </c>
      <c r="F13" s="310">
        <v>894248.94</v>
      </c>
      <c r="G13" s="349">
        <f t="shared" si="0"/>
        <v>-0.10890846791634701</v>
      </c>
      <c r="H13" s="86">
        <f t="shared" si="1"/>
        <v>0.27775300168642564</v>
      </c>
      <c r="I13" s="77">
        <f t="shared" si="6"/>
        <v>0.29398807015909223</v>
      </c>
      <c r="J13" s="311">
        <v>571</v>
      </c>
      <c r="K13" s="63">
        <f t="shared" si="7"/>
        <v>332.72430823117338</v>
      </c>
      <c r="L13" s="61">
        <v>13</v>
      </c>
      <c r="M13" s="28">
        <f t="shared" si="2"/>
        <v>2.276707530647986E-2</v>
      </c>
      <c r="N13" s="46">
        <v>37</v>
      </c>
      <c r="O13" s="89">
        <f t="shared" si="3"/>
        <v>6.4798598949211902E-2</v>
      </c>
      <c r="P13" s="260">
        <f t="shared" si="8"/>
        <v>60344.6347826087</v>
      </c>
      <c r="Q13" s="89">
        <f t="shared" si="4"/>
        <v>0.31762744721261849</v>
      </c>
      <c r="R13" s="260">
        <f t="shared" si="9"/>
        <v>32068.121739130434</v>
      </c>
      <c r="S13" s="89">
        <f t="shared" si="5"/>
        <v>0.16879239855535583</v>
      </c>
      <c r="T13" s="310">
        <v>5049.25</v>
      </c>
      <c r="U13" s="9"/>
      <c r="W13">
        <v>32517.99</v>
      </c>
      <c r="X13" s="297">
        <f t="shared" si="10"/>
        <v>28276.513043478266</v>
      </c>
      <c r="Z13">
        <v>36878.339999999997</v>
      </c>
      <c r="AA13" s="297">
        <f t="shared" si="11"/>
        <v>32068.121739130434</v>
      </c>
    </row>
    <row r="14" spans="1:27" ht="15.6" customHeight="1" x14ac:dyDescent="0.3">
      <c r="A14" s="406" t="s">
        <v>20</v>
      </c>
      <c r="B14" s="310">
        <v>114168.13</v>
      </c>
      <c r="C14" s="310">
        <v>125085.11</v>
      </c>
      <c r="D14" s="310">
        <v>146695.37</v>
      </c>
      <c r="E14" s="310">
        <v>142441.73000000001</v>
      </c>
      <c r="F14" s="310">
        <v>745491.54</v>
      </c>
      <c r="G14" s="349">
        <f t="shared" si="0"/>
        <v>0.13875848212469102</v>
      </c>
      <c r="H14" s="86">
        <f t="shared" si="1"/>
        <v>-2.8996416178642754E-2</v>
      </c>
      <c r="I14" s="77">
        <f t="shared" si="6"/>
        <v>0.2476487965599507</v>
      </c>
      <c r="J14" s="311">
        <v>415</v>
      </c>
      <c r="K14" s="63">
        <f t="shared" si="7"/>
        <v>343.2330843373494</v>
      </c>
      <c r="L14" s="61">
        <v>11</v>
      </c>
      <c r="M14" s="28">
        <f t="shared" si="2"/>
        <v>2.6506024096385541E-2</v>
      </c>
      <c r="N14" s="46">
        <v>41</v>
      </c>
      <c r="O14" s="89">
        <f t="shared" si="3"/>
        <v>9.8795180722891562E-2</v>
      </c>
      <c r="P14" s="260">
        <f t="shared" si="8"/>
        <v>64103.886956521746</v>
      </c>
      <c r="Q14" s="89">
        <f t="shared" si="4"/>
        <v>0.45003586348271496</v>
      </c>
      <c r="R14" s="260">
        <f t="shared" si="9"/>
        <v>19825.165217391306</v>
      </c>
      <c r="S14" s="89">
        <f t="shared" si="5"/>
        <v>0.13918087920858097</v>
      </c>
      <c r="T14" s="310">
        <v>2327.5</v>
      </c>
      <c r="U14" s="26"/>
      <c r="W14">
        <v>50920.53</v>
      </c>
      <c r="X14" s="297">
        <f t="shared" si="10"/>
        <v>44278.721739130437</v>
      </c>
      <c r="Z14">
        <v>22798.94</v>
      </c>
      <c r="AA14" s="297">
        <f t="shared" si="11"/>
        <v>19825.165217391306</v>
      </c>
    </row>
    <row r="15" spans="1:27" ht="16.2" customHeight="1" thickBot="1" x14ac:dyDescent="0.35">
      <c r="A15" s="161" t="s">
        <v>22</v>
      </c>
      <c r="B15" s="310">
        <v>114185.38</v>
      </c>
      <c r="C15" s="310">
        <v>187576.7</v>
      </c>
      <c r="D15" s="310">
        <v>118160.63</v>
      </c>
      <c r="E15" s="310">
        <v>125980.13</v>
      </c>
      <c r="F15" s="310">
        <v>723122.07</v>
      </c>
      <c r="G15" s="350">
        <f t="shared" si="0"/>
        <v>-0.32838071039740013</v>
      </c>
      <c r="H15" s="341">
        <f t="shared" si="1"/>
        <v>6.6176864493698112E-2</v>
      </c>
      <c r="I15" s="352">
        <f t="shared" si="6"/>
        <v>0.10329474754123513</v>
      </c>
      <c r="J15" s="311">
        <v>410</v>
      </c>
      <c r="K15" s="132">
        <f t="shared" si="7"/>
        <v>307.26860975609759</v>
      </c>
      <c r="L15" s="133">
        <v>6</v>
      </c>
      <c r="M15" s="114">
        <f t="shared" si="2"/>
        <v>1.4634146341463415E-2</v>
      </c>
      <c r="N15" s="115">
        <v>27</v>
      </c>
      <c r="O15" s="116">
        <f t="shared" si="3"/>
        <v>6.5853658536585369E-2</v>
      </c>
      <c r="P15" s="261">
        <f t="shared" si="8"/>
        <v>29989.582608695655</v>
      </c>
      <c r="Q15" s="116">
        <f t="shared" si="4"/>
        <v>0.23805010050946648</v>
      </c>
      <c r="R15" s="261">
        <f t="shared" si="9"/>
        <v>13144.304347826088</v>
      </c>
      <c r="S15" s="116">
        <f t="shared" si="5"/>
        <v>0.10433632944993855</v>
      </c>
      <c r="T15" s="310">
        <v>10814.09</v>
      </c>
      <c r="U15" s="26"/>
      <c r="W15">
        <v>19372.07</v>
      </c>
      <c r="X15" s="297">
        <f t="shared" si="10"/>
        <v>16845.278260869567</v>
      </c>
      <c r="Z15">
        <v>15115.95</v>
      </c>
      <c r="AA15" s="297">
        <f t="shared" si="11"/>
        <v>13144.304347826088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79" priority="4" operator="equal">
      <formula>0</formula>
    </cfRule>
  </conditionalFormatting>
  <conditionalFormatting sqref="P12:P13">
    <cfRule type="cellIs" dxfId="78" priority="2" operator="equal">
      <formula>0</formula>
    </cfRule>
  </conditionalFormatting>
  <conditionalFormatting sqref="W5">
    <cfRule type="cellIs" dxfId="77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AA37"/>
  <sheetViews>
    <sheetView zoomScale="60" zoomScaleNormal="60" workbookViewId="0">
      <pane xSplit="1" topLeftCell="B1" activePane="topRight" state="frozen"/>
      <selection pane="topRight" activeCell="D15" sqref="D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0.48703547188192398</v>
      </c>
      <c r="H2" s="413"/>
      <c r="I2" s="400">
        <f>((E4-B4)/E4)</f>
        <v>-0.11903548966686514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62</v>
      </c>
      <c r="E3" s="271" t="s">
        <v>52</v>
      </c>
      <c r="F3" s="253" t="s">
        <v>44</v>
      </c>
      <c r="G3" s="253" t="s">
        <v>46</v>
      </c>
      <c r="H3" s="253" t="s">
        <v>63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3195276.7600000002</v>
      </c>
      <c r="C4" s="299">
        <f>SUM(C5:C15)</f>
        <v>1920185.97</v>
      </c>
      <c r="D4" s="299">
        <f>SUM(D5:D15)</f>
        <v>2446006.7799999998</v>
      </c>
      <c r="E4" s="299">
        <f>SUM(E5:E15)</f>
        <v>2855384.65</v>
      </c>
      <c r="F4" s="299">
        <f>SUM(F5:F15)</f>
        <v>3385997.9900000012</v>
      </c>
      <c r="G4" s="300">
        <f t="shared" ref="G4:G15" si="0">IFERROR((SUM(E4-C4)/C4),0)</f>
        <v>0.48703547188192398</v>
      </c>
      <c r="H4" s="300">
        <f t="shared" ref="H4:H15" si="1">IFERROR((SUM(E4-D4)/D4),0)</f>
        <v>0.16736579528205567</v>
      </c>
      <c r="I4" s="324">
        <f>IFERROR((SUM(E4-B4)/E4),0)</f>
        <v>-0.11903548966686514</v>
      </c>
      <c r="J4" s="325">
        <f>SUM(J5:J15)</f>
        <v>8247</v>
      </c>
      <c r="K4" s="326">
        <f>AVERAGE(K5:K15)</f>
        <v>324.24391475568666</v>
      </c>
      <c r="L4" s="327">
        <f>SUM(L5:L15)</f>
        <v>91</v>
      </c>
      <c r="M4" s="328">
        <f t="shared" ref="M4:M15" si="2">IFERROR(L4/J4,0)</f>
        <v>1.1034315508669819E-2</v>
      </c>
      <c r="N4" s="329">
        <f>SUM(N7:N15)</f>
        <v>256</v>
      </c>
      <c r="O4" s="330">
        <f t="shared" ref="O4:O15" si="3">IFERROR(N4/SUM(J4),0)</f>
        <v>3.1041590881532678E-2</v>
      </c>
      <c r="P4" s="331">
        <f>SUM(P5:P15)</f>
        <v>587287.83478260867</v>
      </c>
      <c r="Q4" s="330">
        <f t="shared" ref="Q4:Q15" si="4">SUM(P4/E4)</f>
        <v>0.2056773103345669</v>
      </c>
      <c r="R4" s="331">
        <f>SUM(R5:R15)</f>
        <v>254568.68695652173</v>
      </c>
      <c r="S4" s="330">
        <f t="shared" ref="S4:S15" si="5">SUM(R4/E4)</f>
        <v>8.9153903295138101E-2</v>
      </c>
      <c r="T4" s="353">
        <f>SUM(T5:T15)</f>
        <v>49070.680000000008</v>
      </c>
      <c r="U4" s="24"/>
    </row>
    <row r="5" spans="1:27" ht="15.6" customHeight="1" x14ac:dyDescent="0.3">
      <c r="A5" s="416" t="s">
        <v>26</v>
      </c>
      <c r="B5" s="310">
        <v>1359614.32</v>
      </c>
      <c r="C5" s="310">
        <v>260614.2</v>
      </c>
      <c r="D5" s="310">
        <v>721790.35</v>
      </c>
      <c r="E5" s="310">
        <v>972309.74</v>
      </c>
      <c r="F5" s="310">
        <v>1179329.8700000001</v>
      </c>
      <c r="G5" s="348">
        <f t="shared" si="0"/>
        <v>2.730839455409567</v>
      </c>
      <c r="H5" s="336">
        <f t="shared" si="1"/>
        <v>0.34708054769643293</v>
      </c>
      <c r="I5" s="351">
        <f t="shared" ref="I5:I15" si="6">IFERROR((SUM(E5-B5)/B5),0)</f>
        <v>-0.28486356336699958</v>
      </c>
      <c r="J5" s="311">
        <v>2298</v>
      </c>
      <c r="K5" s="63">
        <f t="shared" ref="K5:K15" si="7">IFERROR(E5/J5,0)</f>
        <v>423.11128807658832</v>
      </c>
      <c r="L5" s="61">
        <v>10</v>
      </c>
      <c r="M5" s="28">
        <f t="shared" si="2"/>
        <v>4.3516100957354219E-3</v>
      </c>
      <c r="N5" s="46">
        <v>42</v>
      </c>
      <c r="O5" s="89">
        <f t="shared" si="3"/>
        <v>1.8276762402088774E-2</v>
      </c>
      <c r="P5" s="260">
        <f t="shared" ref="P5:P15" si="8">SUM(X5+AA5)</f>
        <v>71792.173913043487</v>
      </c>
      <c r="Q5" s="89">
        <f t="shared" si="4"/>
        <v>7.383673222592986E-2</v>
      </c>
      <c r="R5" s="260">
        <f t="shared" ref="R5:R15" si="9">SUM(AA5)</f>
        <v>71792.173913043487</v>
      </c>
      <c r="S5" s="89">
        <f t="shared" si="5"/>
        <v>7.383673222592986E-2</v>
      </c>
      <c r="T5" s="310">
        <v>4136.49</v>
      </c>
      <c r="U5" s="9"/>
      <c r="W5" s="260"/>
      <c r="X5" s="297">
        <f t="shared" ref="X5:X15" si="10">W5/1.15</f>
        <v>0</v>
      </c>
      <c r="Z5">
        <v>82561</v>
      </c>
      <c r="AA5" s="297">
        <f t="shared" ref="AA5:AA15" si="11">SUM(Z5)/1.15</f>
        <v>71792.173913043487</v>
      </c>
    </row>
    <row r="6" spans="1:27" ht="15.6" customHeight="1" x14ac:dyDescent="0.3">
      <c r="A6" s="406" t="s">
        <v>21</v>
      </c>
      <c r="B6" s="310">
        <v>213926.58</v>
      </c>
      <c r="C6" s="310">
        <v>320006.2</v>
      </c>
      <c r="D6" s="310">
        <v>233137.87</v>
      </c>
      <c r="E6" s="310">
        <v>246681.54</v>
      </c>
      <c r="F6" s="310">
        <v>297636.09999999998</v>
      </c>
      <c r="G6" s="349">
        <f t="shared" si="0"/>
        <v>-0.22913512300699174</v>
      </c>
      <c r="H6" s="86">
        <f t="shared" si="1"/>
        <v>5.8092964476341886E-2</v>
      </c>
      <c r="I6" s="77">
        <f t="shared" si="6"/>
        <v>0.15311309141669083</v>
      </c>
      <c r="J6" s="311">
        <v>775</v>
      </c>
      <c r="K6" s="63">
        <f t="shared" si="7"/>
        <v>318.2987612903226</v>
      </c>
      <c r="L6" s="61">
        <v>10</v>
      </c>
      <c r="M6" s="28">
        <f t="shared" si="2"/>
        <v>1.2903225806451613E-2</v>
      </c>
      <c r="N6" s="46">
        <v>42</v>
      </c>
      <c r="O6" s="89">
        <f t="shared" si="3"/>
        <v>5.4193548387096772E-2</v>
      </c>
      <c r="P6" s="260">
        <f t="shared" si="8"/>
        <v>65285.408695652179</v>
      </c>
      <c r="Q6" s="89">
        <f t="shared" si="4"/>
        <v>0.26465461783501182</v>
      </c>
      <c r="R6" s="260">
        <f t="shared" si="9"/>
        <v>20691.886956521739</v>
      </c>
      <c r="S6" s="89">
        <f t="shared" si="5"/>
        <v>8.3880970406304975E-2</v>
      </c>
      <c r="T6" s="310">
        <v>6669.75</v>
      </c>
      <c r="U6" s="26"/>
      <c r="W6">
        <v>51282.55</v>
      </c>
      <c r="X6" s="297">
        <f t="shared" si="10"/>
        <v>44593.52173913044</v>
      </c>
      <c r="Z6">
        <v>23795.67</v>
      </c>
      <c r="AA6" s="297">
        <f t="shared" si="11"/>
        <v>20691.886956521739</v>
      </c>
    </row>
    <row r="7" spans="1:27" ht="16.5" customHeight="1" x14ac:dyDescent="0.3">
      <c r="A7" s="406" t="s">
        <v>15</v>
      </c>
      <c r="B7" s="310">
        <v>227415.57</v>
      </c>
      <c r="C7" s="310">
        <v>282462.92</v>
      </c>
      <c r="D7" s="310">
        <v>269770.01</v>
      </c>
      <c r="E7" s="310">
        <v>316128.71999999997</v>
      </c>
      <c r="F7" s="310">
        <v>316128.71999999997</v>
      </c>
      <c r="G7" s="349">
        <f t="shared" si="0"/>
        <v>0.11918661748593405</v>
      </c>
      <c r="H7" s="86">
        <f t="shared" si="1"/>
        <v>0.17184530630369166</v>
      </c>
      <c r="I7" s="77">
        <f t="shared" si="6"/>
        <v>0.39009268362759841</v>
      </c>
      <c r="J7" s="311">
        <v>850</v>
      </c>
      <c r="K7" s="63">
        <f t="shared" si="7"/>
        <v>371.91614117647055</v>
      </c>
      <c r="L7" s="61">
        <v>4</v>
      </c>
      <c r="M7" s="28">
        <f t="shared" si="2"/>
        <v>4.7058823529411761E-3</v>
      </c>
      <c r="N7" s="46">
        <v>24</v>
      </c>
      <c r="O7" s="89">
        <f t="shared" si="3"/>
        <v>2.823529411764706E-2</v>
      </c>
      <c r="P7" s="260">
        <f t="shared" si="8"/>
        <v>44878.426086956526</v>
      </c>
      <c r="Q7" s="89">
        <f t="shared" si="4"/>
        <v>0.14196250845844227</v>
      </c>
      <c r="R7" s="260">
        <f t="shared" si="9"/>
        <v>5871.8086956521747</v>
      </c>
      <c r="S7" s="89">
        <f t="shared" si="5"/>
        <v>1.8574107077813668E-2</v>
      </c>
      <c r="T7" s="310">
        <v>4754.5</v>
      </c>
      <c r="U7" s="26"/>
      <c r="W7">
        <v>44857.61</v>
      </c>
      <c r="X7" s="297">
        <f t="shared" si="10"/>
        <v>39006.617391304353</v>
      </c>
      <c r="Z7">
        <v>6752.58</v>
      </c>
      <c r="AA7" s="297">
        <f t="shared" si="11"/>
        <v>5871.8086956521747</v>
      </c>
    </row>
    <row r="8" spans="1:27" ht="15.6" customHeight="1" x14ac:dyDescent="0.3">
      <c r="A8" s="160" t="s">
        <v>27</v>
      </c>
      <c r="B8" s="310">
        <v>133084.51999999999</v>
      </c>
      <c r="C8" s="310">
        <v>123295.01</v>
      </c>
      <c r="D8" s="310">
        <v>135626.71</v>
      </c>
      <c r="E8" s="310">
        <v>123062.7</v>
      </c>
      <c r="F8" s="310">
        <v>154985.03</v>
      </c>
      <c r="G8" s="349">
        <f t="shared" si="0"/>
        <v>-1.8841800653570464E-3</v>
      </c>
      <c r="H8" s="86">
        <f t="shared" si="1"/>
        <v>-9.2636693760395683E-2</v>
      </c>
      <c r="I8" s="77">
        <f t="shared" si="6"/>
        <v>-7.5304175121193612E-2</v>
      </c>
      <c r="J8" s="311">
        <v>437</v>
      </c>
      <c r="K8" s="63">
        <f t="shared" si="7"/>
        <v>281.60800915331805</v>
      </c>
      <c r="L8" s="61">
        <v>11</v>
      </c>
      <c r="M8" s="28">
        <f t="shared" si="2"/>
        <v>2.5171624713958809E-2</v>
      </c>
      <c r="N8" s="46">
        <v>25</v>
      </c>
      <c r="O8" s="89">
        <f t="shared" si="3"/>
        <v>5.7208237986270026E-2</v>
      </c>
      <c r="P8" s="260">
        <f t="shared" si="8"/>
        <v>49421.078260869559</v>
      </c>
      <c r="Q8" s="89">
        <f t="shared" si="4"/>
        <v>0.4015926699224831</v>
      </c>
      <c r="R8" s="260">
        <f t="shared" si="9"/>
        <v>16414.782608695652</v>
      </c>
      <c r="S8" s="89">
        <f t="shared" si="5"/>
        <v>0.13338552306016083</v>
      </c>
      <c r="T8" s="310">
        <v>3174.75</v>
      </c>
      <c r="U8" s="9"/>
      <c r="W8">
        <v>37957.24</v>
      </c>
      <c r="X8" s="297">
        <f t="shared" si="10"/>
        <v>33006.295652173911</v>
      </c>
      <c r="Z8">
        <v>18877</v>
      </c>
      <c r="AA8" s="297">
        <f t="shared" si="11"/>
        <v>16414.782608695652</v>
      </c>
    </row>
    <row r="9" spans="1:27" ht="15.6" customHeight="1" x14ac:dyDescent="0.3">
      <c r="A9" s="160" t="s">
        <v>23</v>
      </c>
      <c r="B9" s="310">
        <v>184636.96</v>
      </c>
      <c r="C9" s="310">
        <v>219380.24</v>
      </c>
      <c r="D9" s="310">
        <v>194743.67999999999</v>
      </c>
      <c r="E9" s="310">
        <v>205789.6</v>
      </c>
      <c r="F9" s="310">
        <v>240339.31</v>
      </c>
      <c r="G9" s="349">
        <f t="shared" si="0"/>
        <v>-6.1950155583748043E-2</v>
      </c>
      <c r="H9" s="86">
        <f t="shared" si="1"/>
        <v>5.6720300242862891E-2</v>
      </c>
      <c r="I9" s="77">
        <f t="shared" si="6"/>
        <v>0.11456341135599295</v>
      </c>
      <c r="J9" s="311">
        <v>687</v>
      </c>
      <c r="K9" s="63">
        <f t="shared" si="7"/>
        <v>299.54818049490541</v>
      </c>
      <c r="L9" s="61">
        <v>15</v>
      </c>
      <c r="M9" s="28">
        <f t="shared" si="2"/>
        <v>2.1834061135371178E-2</v>
      </c>
      <c r="N9" s="46">
        <v>48</v>
      </c>
      <c r="O9" s="89">
        <f t="shared" si="3"/>
        <v>6.9868995633187769E-2</v>
      </c>
      <c r="P9" s="260">
        <f t="shared" si="8"/>
        <v>53783.313043478265</v>
      </c>
      <c r="Q9" s="89">
        <f t="shared" si="4"/>
        <v>0.26135097713139177</v>
      </c>
      <c r="R9" s="260">
        <f t="shared" si="9"/>
        <v>19875.08695652174</v>
      </c>
      <c r="S9" s="89">
        <f t="shared" si="5"/>
        <v>9.6579647156716075E-2</v>
      </c>
      <c r="T9" s="310">
        <v>4858.1499999999996</v>
      </c>
      <c r="U9" s="26"/>
      <c r="W9">
        <v>38994.46</v>
      </c>
      <c r="X9" s="297">
        <f t="shared" si="10"/>
        <v>33908.226086956522</v>
      </c>
      <c r="Z9">
        <v>22856.35</v>
      </c>
      <c r="AA9" s="297">
        <f t="shared" si="11"/>
        <v>19875.08695652174</v>
      </c>
    </row>
    <row r="10" spans="1:27" ht="15.6" customHeight="1" x14ac:dyDescent="0.3">
      <c r="A10" s="406" t="s">
        <v>16</v>
      </c>
      <c r="B10" s="310">
        <v>330942.74</v>
      </c>
      <c r="C10" s="310">
        <v>167793.48</v>
      </c>
      <c r="D10" s="310">
        <v>219749.59</v>
      </c>
      <c r="E10" s="310">
        <v>265487.40999999997</v>
      </c>
      <c r="F10" s="310">
        <v>323035.59999999998</v>
      </c>
      <c r="G10" s="349">
        <f t="shared" si="0"/>
        <v>0.58222721168903557</v>
      </c>
      <c r="H10" s="86">
        <f t="shared" si="1"/>
        <v>0.20813608798997066</v>
      </c>
      <c r="I10" s="77">
        <f t="shared" si="6"/>
        <v>-0.19778445661022814</v>
      </c>
      <c r="J10" s="311">
        <v>821</v>
      </c>
      <c r="K10" s="63">
        <f t="shared" si="7"/>
        <v>323.37077953714976</v>
      </c>
      <c r="L10" s="61">
        <v>1</v>
      </c>
      <c r="M10" s="28">
        <f t="shared" si="2"/>
        <v>1.2180267965895249E-3</v>
      </c>
      <c r="N10" s="46">
        <v>15</v>
      </c>
      <c r="O10" s="89">
        <f t="shared" si="3"/>
        <v>1.8270401948842874E-2</v>
      </c>
      <c r="P10" s="260">
        <f t="shared" si="8"/>
        <v>65880.321739130435</v>
      </c>
      <c r="Q10" s="89">
        <f t="shared" si="4"/>
        <v>0.24814857223975495</v>
      </c>
      <c r="R10" s="260">
        <f t="shared" si="9"/>
        <v>24023.808695652177</v>
      </c>
      <c r="S10" s="89">
        <f t="shared" si="5"/>
        <v>9.0489446168660795E-2</v>
      </c>
      <c r="T10" s="310">
        <v>10430.36</v>
      </c>
      <c r="U10" s="26"/>
      <c r="W10">
        <v>48134.99</v>
      </c>
      <c r="X10" s="297">
        <f t="shared" si="10"/>
        <v>41856.513043478262</v>
      </c>
      <c r="Z10">
        <v>27627.38</v>
      </c>
      <c r="AA10" s="297">
        <f t="shared" si="11"/>
        <v>24023.808695652177</v>
      </c>
    </row>
    <row r="11" spans="1:27" ht="15.6" customHeight="1" x14ac:dyDescent="0.3">
      <c r="A11" s="406" t="s">
        <v>17</v>
      </c>
      <c r="B11" s="310">
        <v>108000.89</v>
      </c>
      <c r="C11" s="310">
        <v>82899.22</v>
      </c>
      <c r="D11" s="310">
        <v>118823.03</v>
      </c>
      <c r="E11" s="310">
        <v>116270.71</v>
      </c>
      <c r="F11" s="310">
        <v>138087.43</v>
      </c>
      <c r="G11" s="349">
        <f t="shared" si="0"/>
        <v>0.40255493356873567</v>
      </c>
      <c r="H11" s="86">
        <f t="shared" si="1"/>
        <v>-2.1480011071927659E-2</v>
      </c>
      <c r="I11" s="77">
        <f t="shared" si="6"/>
        <v>7.6571776399250113E-2</v>
      </c>
      <c r="J11" s="311">
        <v>391</v>
      </c>
      <c r="K11" s="63">
        <f t="shared" si="7"/>
        <v>297.36754475703327</v>
      </c>
      <c r="L11" s="61">
        <v>3</v>
      </c>
      <c r="M11" s="28">
        <f t="shared" si="2"/>
        <v>7.6726342710997444E-3</v>
      </c>
      <c r="N11" s="46">
        <v>22</v>
      </c>
      <c r="O11" s="89">
        <f t="shared" si="3"/>
        <v>5.6265984654731455E-2</v>
      </c>
      <c r="P11" s="260">
        <f t="shared" si="8"/>
        <v>57314.147826086955</v>
      </c>
      <c r="Q11" s="89">
        <f t="shared" si="4"/>
        <v>0.49293711052497186</v>
      </c>
      <c r="R11" s="260">
        <f t="shared" si="9"/>
        <v>14621.017391304347</v>
      </c>
      <c r="S11" s="89">
        <f t="shared" si="5"/>
        <v>0.12574979022063551</v>
      </c>
      <c r="T11" s="310">
        <v>2697.8</v>
      </c>
      <c r="U11" s="26"/>
      <c r="W11">
        <v>49097.1</v>
      </c>
      <c r="X11" s="297">
        <f t="shared" si="10"/>
        <v>42693.130434782608</v>
      </c>
      <c r="Z11">
        <v>16814.169999999998</v>
      </c>
      <c r="AA11" s="297">
        <f t="shared" si="11"/>
        <v>14621.017391304347</v>
      </c>
    </row>
    <row r="12" spans="1:27" ht="15.6" customHeight="1" x14ac:dyDescent="0.3">
      <c r="A12" s="160" t="s">
        <v>55</v>
      </c>
      <c r="B12" s="310">
        <v>179247.74</v>
      </c>
      <c r="C12" s="310">
        <v>189563.77</v>
      </c>
      <c r="D12" s="310">
        <v>150418.67000000001</v>
      </c>
      <c r="E12" s="310">
        <v>195028.81</v>
      </c>
      <c r="F12" s="310">
        <v>239968.56</v>
      </c>
      <c r="G12" s="349">
        <f t="shared" si="0"/>
        <v>2.8829559572485862E-2</v>
      </c>
      <c r="H12" s="86">
        <f t="shared" si="1"/>
        <v>0.29657315810597168</v>
      </c>
      <c r="I12" s="77">
        <f t="shared" si="6"/>
        <v>8.8040552143084247E-2</v>
      </c>
      <c r="J12" s="311">
        <v>649</v>
      </c>
      <c r="K12" s="63">
        <f t="shared" si="7"/>
        <v>300.50664098613248</v>
      </c>
      <c r="L12" s="61">
        <v>7</v>
      </c>
      <c r="M12" s="28">
        <f t="shared" si="2"/>
        <v>1.078582434514638E-2</v>
      </c>
      <c r="N12" s="46">
        <v>17</v>
      </c>
      <c r="O12" s="89">
        <f t="shared" si="3"/>
        <v>2.6194144838212634E-2</v>
      </c>
      <c r="P12" s="260">
        <f t="shared" si="8"/>
        <v>56410.043478260879</v>
      </c>
      <c r="Q12" s="89">
        <f t="shared" si="4"/>
        <v>0.28923954095941456</v>
      </c>
      <c r="R12" s="260">
        <f t="shared" si="9"/>
        <v>25821.426086956522</v>
      </c>
      <c r="S12" s="89">
        <f t="shared" si="5"/>
        <v>0.13239800871961699</v>
      </c>
      <c r="T12" s="310">
        <v>4459</v>
      </c>
      <c r="U12" s="9"/>
      <c r="W12">
        <v>35176.910000000003</v>
      </c>
      <c r="X12" s="297">
        <f t="shared" si="10"/>
        <v>30588.617391304353</v>
      </c>
      <c r="Z12">
        <v>29694.639999999999</v>
      </c>
      <c r="AA12" s="297">
        <f t="shared" si="11"/>
        <v>25821.426086956522</v>
      </c>
    </row>
    <row r="13" spans="1:27" ht="15.6" customHeight="1" x14ac:dyDescent="0.3">
      <c r="A13" s="160" t="s">
        <v>33</v>
      </c>
      <c r="B13" s="310">
        <v>189985.58</v>
      </c>
      <c r="C13" s="310">
        <v>0</v>
      </c>
      <c r="D13" s="310">
        <v>151507.38</v>
      </c>
      <c r="E13" s="310">
        <v>178940.87</v>
      </c>
      <c r="F13" s="310">
        <v>213061.47</v>
      </c>
      <c r="G13" s="349">
        <f t="shared" si="0"/>
        <v>0</v>
      </c>
      <c r="H13" s="86">
        <f t="shared" si="1"/>
        <v>0.18107032145892821</v>
      </c>
      <c r="I13" s="77">
        <f t="shared" si="6"/>
        <v>-5.8134464731481164E-2</v>
      </c>
      <c r="J13" s="311">
        <v>612</v>
      </c>
      <c r="K13" s="63">
        <f t="shared" si="7"/>
        <v>292.38704248366014</v>
      </c>
      <c r="L13" s="61">
        <v>13</v>
      </c>
      <c r="M13" s="28">
        <f t="shared" si="2"/>
        <v>2.1241830065359478E-2</v>
      </c>
      <c r="N13" s="46">
        <v>37</v>
      </c>
      <c r="O13" s="89">
        <f t="shared" si="3"/>
        <v>6.0457516339869281E-2</v>
      </c>
      <c r="P13" s="260">
        <f t="shared" si="8"/>
        <v>53890.139130434778</v>
      </c>
      <c r="Q13" s="89">
        <f t="shared" si="4"/>
        <v>0.30116171409267645</v>
      </c>
      <c r="R13" s="260">
        <f t="shared" si="9"/>
        <v>29046.260869565216</v>
      </c>
      <c r="S13" s="89">
        <f t="shared" si="5"/>
        <v>0.16232323487398501</v>
      </c>
      <c r="T13" s="310">
        <v>3584.98</v>
      </c>
      <c r="U13" s="9"/>
      <c r="W13">
        <v>28570.46</v>
      </c>
      <c r="X13" s="297">
        <f t="shared" si="10"/>
        <v>24843.878260869566</v>
      </c>
      <c r="Z13">
        <v>33403.199999999997</v>
      </c>
      <c r="AA13" s="297">
        <f t="shared" si="11"/>
        <v>29046.260869565216</v>
      </c>
    </row>
    <row r="14" spans="1:27" ht="15.6" customHeight="1" x14ac:dyDescent="0.3">
      <c r="A14" s="406" t="s">
        <v>20</v>
      </c>
      <c r="B14" s="310">
        <v>142441.73000000001</v>
      </c>
      <c r="C14" s="310">
        <v>135753.01999999999</v>
      </c>
      <c r="D14" s="310">
        <v>133729.15</v>
      </c>
      <c r="E14" s="310">
        <v>93447.07</v>
      </c>
      <c r="F14" s="310">
        <v>126734.97</v>
      </c>
      <c r="G14" s="349">
        <f t="shared" si="0"/>
        <v>-0.31163910754987245</v>
      </c>
      <c r="H14" s="86">
        <f t="shared" si="1"/>
        <v>-0.30122138666102333</v>
      </c>
      <c r="I14" s="77">
        <f t="shared" si="6"/>
        <v>-0.34396282606227824</v>
      </c>
      <c r="J14" s="311">
        <v>268</v>
      </c>
      <c r="K14" s="63">
        <f t="shared" si="7"/>
        <v>348.68309701492541</v>
      </c>
      <c r="L14" s="61">
        <v>11</v>
      </c>
      <c r="M14" s="28">
        <f t="shared" si="2"/>
        <v>4.1044776119402986E-2</v>
      </c>
      <c r="N14" s="46">
        <v>41</v>
      </c>
      <c r="O14" s="89">
        <f t="shared" si="3"/>
        <v>0.15298507462686567</v>
      </c>
      <c r="P14" s="260">
        <f t="shared" si="8"/>
        <v>34338.313043478265</v>
      </c>
      <c r="Q14" s="89">
        <f t="shared" si="4"/>
        <v>0.36746270421831589</v>
      </c>
      <c r="R14" s="260">
        <f t="shared" si="9"/>
        <v>14351.739130434784</v>
      </c>
      <c r="S14" s="89">
        <f t="shared" si="5"/>
        <v>0.15358147805420527</v>
      </c>
      <c r="T14" s="310">
        <v>1910</v>
      </c>
      <c r="U14" s="26"/>
      <c r="W14">
        <v>22984.560000000001</v>
      </c>
      <c r="X14" s="297">
        <f t="shared" si="10"/>
        <v>19986.573913043481</v>
      </c>
      <c r="Z14">
        <v>16504.5</v>
      </c>
      <c r="AA14" s="297">
        <f t="shared" si="11"/>
        <v>14351.739130434784</v>
      </c>
    </row>
    <row r="15" spans="1:27" ht="16.2" customHeight="1" thickBot="1" x14ac:dyDescent="0.35">
      <c r="A15" s="161" t="s">
        <v>22</v>
      </c>
      <c r="B15" s="310">
        <v>125980.13</v>
      </c>
      <c r="C15" s="310">
        <v>138417.91</v>
      </c>
      <c r="D15" s="310">
        <v>116710.34</v>
      </c>
      <c r="E15" s="310">
        <v>142237.48000000001</v>
      </c>
      <c r="F15" s="310">
        <v>156690.93</v>
      </c>
      <c r="G15" s="350">
        <f t="shared" si="0"/>
        <v>2.7594478200111582E-2</v>
      </c>
      <c r="H15" s="341">
        <f t="shared" si="1"/>
        <v>0.21872218005705421</v>
      </c>
      <c r="I15" s="352">
        <f t="shared" si="6"/>
        <v>0.1290469377988418</v>
      </c>
      <c r="J15" s="311">
        <v>459</v>
      </c>
      <c r="K15" s="132">
        <f t="shared" si="7"/>
        <v>309.88557734204795</v>
      </c>
      <c r="L15" s="133">
        <v>6</v>
      </c>
      <c r="M15" s="114">
        <f t="shared" si="2"/>
        <v>1.3071895424836602E-2</v>
      </c>
      <c r="N15" s="115">
        <v>27</v>
      </c>
      <c r="O15" s="116">
        <f t="shared" si="3"/>
        <v>5.8823529411764705E-2</v>
      </c>
      <c r="P15" s="261">
        <f t="shared" si="8"/>
        <v>34294.46956521739</v>
      </c>
      <c r="Q15" s="116">
        <f t="shared" si="4"/>
        <v>0.24110712285691077</v>
      </c>
      <c r="R15" s="261">
        <f t="shared" si="9"/>
        <v>12058.695652173914</v>
      </c>
      <c r="S15" s="116">
        <f t="shared" si="5"/>
        <v>8.4778608649238668E-2</v>
      </c>
      <c r="T15" s="310">
        <v>2394.9</v>
      </c>
      <c r="U15" s="26"/>
      <c r="W15">
        <v>25571.14</v>
      </c>
      <c r="X15" s="297">
        <f t="shared" si="10"/>
        <v>22235.773913043478</v>
      </c>
      <c r="Z15">
        <v>13867.5</v>
      </c>
      <c r="AA15" s="297">
        <f t="shared" si="11"/>
        <v>12058.695652173914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76" priority="4" operator="equal">
      <formula>0</formula>
    </cfRule>
  </conditionalFormatting>
  <conditionalFormatting sqref="P12:P13">
    <cfRule type="cellIs" dxfId="75" priority="2" operator="equal">
      <formula>0</formula>
    </cfRule>
  </conditionalFormatting>
  <conditionalFormatting sqref="W5">
    <cfRule type="cellIs" dxfId="7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AA37"/>
  <sheetViews>
    <sheetView zoomScale="60" zoomScaleNormal="60" workbookViewId="0">
      <pane xSplit="1" topLeftCell="B1" activePane="topRight" state="frozen"/>
      <selection pane="topRight" activeCell="D12" sqref="D12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0.16527227308092468</v>
      </c>
      <c r="H2" s="413"/>
      <c r="I2" s="400">
        <f>((E4-B4)/E4)</f>
        <v>-0.27612705307942553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62</v>
      </c>
      <c r="E3" s="271" t="s">
        <v>52</v>
      </c>
      <c r="F3" s="253" t="s">
        <v>44</v>
      </c>
      <c r="G3" s="253" t="s">
        <v>46</v>
      </c>
      <c r="H3" s="253" t="s">
        <v>63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2855384.65</v>
      </c>
      <c r="C4" s="299">
        <f>SUM(C5:C15)</f>
        <v>1920185.97</v>
      </c>
      <c r="D4" s="299">
        <f>SUM(D5:D15)</f>
        <v>1979429.3500000003</v>
      </c>
      <c r="E4" s="299">
        <f>SUM(E5:E15)</f>
        <v>2237539.4700000002</v>
      </c>
      <c r="F4" s="299">
        <f>SUM(F5:F15)</f>
        <v>5658685.6300000008</v>
      </c>
      <c r="G4" s="300">
        <f t="shared" ref="G4:G15" si="0">IFERROR((SUM(E4-C4)/C4),0)</f>
        <v>0.16527227308092468</v>
      </c>
      <c r="H4" s="300">
        <f t="shared" ref="H4:H15" si="1">IFERROR((SUM(E4-D4)/D4),0)</f>
        <v>0.13039622757942831</v>
      </c>
      <c r="I4" s="324">
        <f>IFERROR((SUM(E4-B4)/E4),0)</f>
        <v>-0.27612705307942553</v>
      </c>
      <c r="J4" s="325">
        <f>SUM(J5:J15)</f>
        <v>7221</v>
      </c>
      <c r="K4" s="326">
        <f>AVERAGE(K5:K15)</f>
        <v>302.95700054431887</v>
      </c>
      <c r="L4" s="327">
        <f>SUM(L5:L15)</f>
        <v>91</v>
      </c>
      <c r="M4" s="328">
        <f t="shared" ref="M4:M15" si="2">IFERROR(L4/J4,0)</f>
        <v>1.2602132668605456E-2</v>
      </c>
      <c r="N4" s="329">
        <f>SUM(N7:N15)</f>
        <v>256</v>
      </c>
      <c r="O4" s="330">
        <f t="shared" ref="O4:O15" si="3">IFERROR(N4/SUM(J4),0)</f>
        <v>3.5452153441351615E-2</v>
      </c>
      <c r="P4" s="331">
        <f>SUM(P5:P15)</f>
        <v>505579.80000000005</v>
      </c>
      <c r="Q4" s="330">
        <f t="shared" ref="Q4:Q15" si="4">SUM(P4/E4)</f>
        <v>0.22595346664432248</v>
      </c>
      <c r="R4" s="331">
        <f>SUM(R5:R15)</f>
        <v>205633.46086956523</v>
      </c>
      <c r="S4" s="330">
        <f t="shared" ref="S4:S15" si="5">SUM(R4/E4)</f>
        <v>9.1901601570212835E-2</v>
      </c>
      <c r="T4" s="353">
        <f>SUM(T5:T15)</f>
        <v>55988.05</v>
      </c>
      <c r="U4" s="24"/>
    </row>
    <row r="5" spans="1:27" ht="15.6" customHeight="1" x14ac:dyDescent="0.3">
      <c r="A5" s="416" t="s">
        <v>26</v>
      </c>
      <c r="B5" s="310">
        <v>972309.74</v>
      </c>
      <c r="C5" s="310">
        <v>260614.2</v>
      </c>
      <c r="D5" s="310">
        <v>341457.44</v>
      </c>
      <c r="E5" s="310">
        <v>487519.46</v>
      </c>
      <c r="F5" s="310">
        <v>1666849.33</v>
      </c>
      <c r="G5" s="348">
        <f t="shared" si="0"/>
        <v>0.87065578161128598</v>
      </c>
      <c r="H5" s="336">
        <f t="shared" si="1"/>
        <v>0.42776054315876094</v>
      </c>
      <c r="I5" s="351">
        <f t="shared" ref="I5:I15" si="6">IFERROR((SUM(E5-B5)/B5),0)</f>
        <v>-0.49859654805062426</v>
      </c>
      <c r="J5" s="311">
        <v>1374</v>
      </c>
      <c r="K5" s="63">
        <f t="shared" ref="K5:K15" si="7">IFERROR(E5/J5,0)</f>
        <v>354.81765647743816</v>
      </c>
      <c r="L5" s="61">
        <v>10</v>
      </c>
      <c r="M5" s="28">
        <f t="shared" si="2"/>
        <v>7.2780203784570596E-3</v>
      </c>
      <c r="N5" s="46">
        <v>42</v>
      </c>
      <c r="O5" s="89">
        <f t="shared" si="3"/>
        <v>3.0567685589519649E-2</v>
      </c>
      <c r="P5" s="260">
        <f t="shared" ref="P5:P15" si="8">SUM(X5+AA5)</f>
        <v>35997.391304347831</v>
      </c>
      <c r="Q5" s="89">
        <f t="shared" si="4"/>
        <v>7.3837855219867188E-2</v>
      </c>
      <c r="R5" s="260">
        <f t="shared" ref="R5:R15" si="9">SUM(AA5)</f>
        <v>35997.391304347831</v>
      </c>
      <c r="S5" s="89">
        <f t="shared" si="5"/>
        <v>7.3837855219867188E-2</v>
      </c>
      <c r="T5" s="310">
        <v>1426.85</v>
      </c>
      <c r="U5" s="9"/>
      <c r="W5" s="260"/>
      <c r="X5" s="297">
        <f t="shared" ref="X5:X15" si="10">W5/1.15</f>
        <v>0</v>
      </c>
      <c r="Z5">
        <v>41397</v>
      </c>
      <c r="AA5" s="297">
        <f t="shared" ref="AA5:AA15" si="11">SUM(Z5)/1.15</f>
        <v>35997.391304347831</v>
      </c>
    </row>
    <row r="6" spans="1:27" ht="15.6" customHeight="1" x14ac:dyDescent="0.3">
      <c r="A6" s="406" t="s">
        <v>21</v>
      </c>
      <c r="B6" s="310">
        <v>246681.54</v>
      </c>
      <c r="C6" s="310">
        <v>320006.2</v>
      </c>
      <c r="D6" s="310">
        <v>224244.36</v>
      </c>
      <c r="E6" s="310">
        <v>216580.11</v>
      </c>
      <c r="F6" s="310">
        <v>514216.21</v>
      </c>
      <c r="G6" s="349">
        <f t="shared" si="0"/>
        <v>-0.32320026924478346</v>
      </c>
      <c r="H6" s="86">
        <f t="shared" si="1"/>
        <v>-3.4178117121875441E-2</v>
      </c>
      <c r="I6" s="77">
        <f t="shared" si="6"/>
        <v>-0.1220254665184919</v>
      </c>
      <c r="J6" s="311">
        <v>703</v>
      </c>
      <c r="K6" s="63">
        <f t="shared" si="7"/>
        <v>308.07981507823609</v>
      </c>
      <c r="L6" s="61">
        <v>10</v>
      </c>
      <c r="M6" s="28">
        <f t="shared" si="2"/>
        <v>1.422475106685633E-2</v>
      </c>
      <c r="N6" s="46">
        <v>42</v>
      </c>
      <c r="O6" s="89">
        <f t="shared" si="3"/>
        <v>5.9743954480796585E-2</v>
      </c>
      <c r="P6" s="260">
        <f t="shared" si="8"/>
        <v>54212.33913043479</v>
      </c>
      <c r="Q6" s="89">
        <f t="shared" si="4"/>
        <v>0.25031079322304711</v>
      </c>
      <c r="R6" s="260">
        <f t="shared" si="9"/>
        <v>14288.695652173914</v>
      </c>
      <c r="S6" s="89">
        <f t="shared" si="5"/>
        <v>6.5974182265277792E-2</v>
      </c>
      <c r="T6" s="310">
        <v>7037.03</v>
      </c>
      <c r="U6" s="26"/>
      <c r="W6">
        <v>45912.19</v>
      </c>
      <c r="X6" s="297">
        <f t="shared" si="10"/>
        <v>39923.643478260878</v>
      </c>
      <c r="Z6">
        <v>16432</v>
      </c>
      <c r="AA6" s="297">
        <f t="shared" si="11"/>
        <v>14288.695652173914</v>
      </c>
    </row>
    <row r="7" spans="1:27" ht="16.5" customHeight="1" x14ac:dyDescent="0.3">
      <c r="A7" s="406" t="s">
        <v>15</v>
      </c>
      <c r="B7" s="310">
        <v>316128.71999999997</v>
      </c>
      <c r="C7" s="310">
        <v>282462.92</v>
      </c>
      <c r="D7" s="310">
        <v>215802.15</v>
      </c>
      <c r="E7" s="310">
        <v>240800.82</v>
      </c>
      <c r="F7" s="310">
        <v>556929.54</v>
      </c>
      <c r="G7" s="349">
        <f t="shared" si="0"/>
        <v>-0.14749581998231831</v>
      </c>
      <c r="H7" s="86">
        <f t="shared" si="1"/>
        <v>0.11584069018774842</v>
      </c>
      <c r="I7" s="77">
        <f t="shared" si="6"/>
        <v>-0.23828236801768587</v>
      </c>
      <c r="J7" s="311">
        <v>727</v>
      </c>
      <c r="K7" s="63">
        <f t="shared" si="7"/>
        <v>331.22533700137552</v>
      </c>
      <c r="L7" s="61">
        <v>4</v>
      </c>
      <c r="M7" s="28">
        <f t="shared" si="2"/>
        <v>5.5020632737276479E-3</v>
      </c>
      <c r="N7" s="46">
        <v>24</v>
      </c>
      <c r="O7" s="89">
        <f t="shared" si="3"/>
        <v>3.3012379642365884E-2</v>
      </c>
      <c r="P7" s="260">
        <f t="shared" si="8"/>
        <v>41884.17391304348</v>
      </c>
      <c r="Q7" s="89">
        <f t="shared" si="4"/>
        <v>0.17393700699625309</v>
      </c>
      <c r="R7" s="260">
        <f t="shared" si="9"/>
        <v>674.49565217391307</v>
      </c>
      <c r="S7" s="89">
        <f t="shared" si="5"/>
        <v>2.8010521399965045E-3</v>
      </c>
      <c r="T7" s="310">
        <v>14958.5</v>
      </c>
      <c r="U7" s="26"/>
      <c r="W7">
        <v>47391.13</v>
      </c>
      <c r="X7" s="297">
        <f t="shared" si="10"/>
        <v>41209.678260869565</v>
      </c>
      <c r="Z7">
        <v>775.67</v>
      </c>
      <c r="AA7" s="297">
        <f t="shared" si="11"/>
        <v>674.49565217391307</v>
      </c>
    </row>
    <row r="8" spans="1:27" ht="15.6" customHeight="1" x14ac:dyDescent="0.3">
      <c r="A8" s="160" t="s">
        <v>27</v>
      </c>
      <c r="B8" s="310">
        <v>123062.7</v>
      </c>
      <c r="C8" s="310">
        <v>123295.01</v>
      </c>
      <c r="D8" s="310">
        <v>119757.44</v>
      </c>
      <c r="E8" s="310">
        <v>146081.28</v>
      </c>
      <c r="F8" s="310">
        <v>301066.31</v>
      </c>
      <c r="G8" s="349">
        <f t="shared" si="0"/>
        <v>0.18481096680230616</v>
      </c>
      <c r="H8" s="86">
        <f t="shared" si="1"/>
        <v>0.21980964188947255</v>
      </c>
      <c r="I8" s="77">
        <f t="shared" si="6"/>
        <v>0.1870475781857541</v>
      </c>
      <c r="J8" s="311">
        <v>511</v>
      </c>
      <c r="K8" s="63">
        <f t="shared" si="7"/>
        <v>285.87334637964773</v>
      </c>
      <c r="L8" s="61">
        <v>11</v>
      </c>
      <c r="M8" s="28">
        <f t="shared" si="2"/>
        <v>2.1526418786692758E-2</v>
      </c>
      <c r="N8" s="46">
        <v>25</v>
      </c>
      <c r="O8" s="89">
        <f t="shared" si="3"/>
        <v>4.8923679060665359E-2</v>
      </c>
      <c r="P8" s="260">
        <f t="shared" si="8"/>
        <v>51852.278260869571</v>
      </c>
      <c r="Q8" s="89">
        <f t="shared" si="4"/>
        <v>0.35495498301267331</v>
      </c>
      <c r="R8" s="260">
        <f t="shared" si="9"/>
        <v>20705.295652173914</v>
      </c>
      <c r="S8" s="89">
        <f t="shared" si="5"/>
        <v>0.14173818611237465</v>
      </c>
      <c r="T8" s="310">
        <v>4285.2</v>
      </c>
      <c r="U8" s="9"/>
      <c r="W8">
        <v>35819.03</v>
      </c>
      <c r="X8" s="297">
        <f t="shared" si="10"/>
        <v>31146.982608695653</v>
      </c>
      <c r="Z8">
        <v>23811.09</v>
      </c>
      <c r="AA8" s="297">
        <f t="shared" si="11"/>
        <v>20705.295652173914</v>
      </c>
    </row>
    <row r="9" spans="1:27" ht="15.6" customHeight="1" x14ac:dyDescent="0.3">
      <c r="A9" s="160" t="s">
        <v>23</v>
      </c>
      <c r="B9" s="310">
        <v>205789.6</v>
      </c>
      <c r="C9" s="310">
        <v>219380.24</v>
      </c>
      <c r="D9" s="310">
        <v>200323.25</v>
      </c>
      <c r="E9" s="310">
        <v>195040.42</v>
      </c>
      <c r="F9" s="310">
        <v>435379.73</v>
      </c>
      <c r="G9" s="349">
        <f t="shared" si="0"/>
        <v>-0.11094809632809217</v>
      </c>
      <c r="H9" s="86">
        <f t="shared" si="1"/>
        <v>-2.6371527019454742E-2</v>
      </c>
      <c r="I9" s="77">
        <f t="shared" si="6"/>
        <v>-5.2233834945983632E-2</v>
      </c>
      <c r="J9" s="311">
        <v>671</v>
      </c>
      <c r="K9" s="63">
        <f t="shared" si="7"/>
        <v>290.67126676602089</v>
      </c>
      <c r="L9" s="61">
        <v>15</v>
      </c>
      <c r="M9" s="28">
        <f t="shared" si="2"/>
        <v>2.2354694485842028E-2</v>
      </c>
      <c r="N9" s="46">
        <v>48</v>
      </c>
      <c r="O9" s="89">
        <f t="shared" si="3"/>
        <v>7.1535022354694486E-2</v>
      </c>
      <c r="P9" s="260">
        <f t="shared" si="8"/>
        <v>53290.17391304348</v>
      </c>
      <c r="Q9" s="89">
        <f t="shared" si="4"/>
        <v>0.27322630823417771</v>
      </c>
      <c r="R9" s="260">
        <f t="shared" si="9"/>
        <v>24146.956521739132</v>
      </c>
      <c r="S9" s="89">
        <f t="shared" si="5"/>
        <v>0.12380488373506954</v>
      </c>
      <c r="T9" s="310">
        <v>3657</v>
      </c>
      <c r="U9" s="26"/>
      <c r="W9">
        <v>33514.699999999997</v>
      </c>
      <c r="X9" s="297">
        <f t="shared" si="10"/>
        <v>29143.217391304348</v>
      </c>
      <c r="Z9">
        <v>27769</v>
      </c>
      <c r="AA9" s="297">
        <f t="shared" si="11"/>
        <v>24146.956521739132</v>
      </c>
    </row>
    <row r="10" spans="1:27" ht="15.6" customHeight="1" x14ac:dyDescent="0.3">
      <c r="A10" s="406" t="s">
        <v>16</v>
      </c>
      <c r="B10" s="310">
        <v>265487.40999999997</v>
      </c>
      <c r="C10" s="310">
        <v>167793.48</v>
      </c>
      <c r="D10" s="310">
        <v>181705.05</v>
      </c>
      <c r="E10" s="310">
        <v>197824.33</v>
      </c>
      <c r="F10" s="310">
        <v>520859.93</v>
      </c>
      <c r="G10" s="349">
        <f t="shared" si="0"/>
        <v>0.17897507102182977</v>
      </c>
      <c r="H10" s="86">
        <f t="shared" si="1"/>
        <v>8.8711238350282509E-2</v>
      </c>
      <c r="I10" s="77">
        <f t="shared" si="6"/>
        <v>-0.25486361104656524</v>
      </c>
      <c r="J10" s="311">
        <v>716</v>
      </c>
      <c r="K10" s="63">
        <f t="shared" si="7"/>
        <v>276.29096368715079</v>
      </c>
      <c r="L10" s="61">
        <v>1</v>
      </c>
      <c r="M10" s="28">
        <f t="shared" si="2"/>
        <v>1.3966480446927375E-3</v>
      </c>
      <c r="N10" s="46">
        <v>15</v>
      </c>
      <c r="O10" s="89">
        <f t="shared" si="3"/>
        <v>2.094972067039106E-2</v>
      </c>
      <c r="P10" s="260">
        <f t="shared" si="8"/>
        <v>44310.017391304347</v>
      </c>
      <c r="Q10" s="89">
        <f t="shared" si="4"/>
        <v>0.22398669259390061</v>
      </c>
      <c r="R10" s="260">
        <f t="shared" si="9"/>
        <v>13601.739130434784</v>
      </c>
      <c r="S10" s="89">
        <f t="shared" si="5"/>
        <v>6.8756654605804976E-2</v>
      </c>
      <c r="T10" s="310">
        <v>9039.5</v>
      </c>
      <c r="U10" s="26"/>
      <c r="W10">
        <v>35314.519999999997</v>
      </c>
      <c r="X10" s="297">
        <f t="shared" si="10"/>
        <v>30708.278260869563</v>
      </c>
      <c r="Z10">
        <v>15642</v>
      </c>
      <c r="AA10" s="297">
        <f t="shared" si="11"/>
        <v>13601.739130434784</v>
      </c>
    </row>
    <row r="11" spans="1:27" ht="15.6" customHeight="1" x14ac:dyDescent="0.3">
      <c r="A11" s="406" t="s">
        <v>17</v>
      </c>
      <c r="B11" s="310">
        <v>116270.71</v>
      </c>
      <c r="C11" s="310">
        <v>82899.22</v>
      </c>
      <c r="D11" s="310">
        <v>121229.64</v>
      </c>
      <c r="E11" s="310">
        <v>104157.84</v>
      </c>
      <c r="F11" s="310">
        <v>242245.27</v>
      </c>
      <c r="G11" s="349">
        <f t="shared" si="0"/>
        <v>0.25643932476083603</v>
      </c>
      <c r="H11" s="86">
        <f t="shared" si="1"/>
        <v>-0.14082199699677408</v>
      </c>
      <c r="I11" s="77">
        <f t="shared" si="6"/>
        <v>-0.10417817178548243</v>
      </c>
      <c r="J11" s="311">
        <v>372</v>
      </c>
      <c r="K11" s="63">
        <f t="shared" si="7"/>
        <v>279.9941935483871</v>
      </c>
      <c r="L11" s="61">
        <v>3</v>
      </c>
      <c r="M11" s="28">
        <f t="shared" si="2"/>
        <v>8.0645161290322578E-3</v>
      </c>
      <c r="N11" s="46">
        <v>22</v>
      </c>
      <c r="O11" s="89">
        <f t="shared" si="3"/>
        <v>5.9139784946236562E-2</v>
      </c>
      <c r="P11" s="260">
        <f t="shared" si="8"/>
        <v>46719.773913043486</v>
      </c>
      <c r="Q11" s="89">
        <f t="shared" si="4"/>
        <v>0.44854783771479406</v>
      </c>
      <c r="R11" s="260">
        <f t="shared" si="9"/>
        <v>14196.904347826088</v>
      </c>
      <c r="S11" s="89">
        <f t="shared" si="5"/>
        <v>0.1363018314111169</v>
      </c>
      <c r="T11" s="310">
        <v>3402.75</v>
      </c>
      <c r="U11" s="26"/>
      <c r="W11">
        <v>37401.300000000003</v>
      </c>
      <c r="X11" s="297">
        <f t="shared" si="10"/>
        <v>32522.869565217396</v>
      </c>
      <c r="Z11">
        <v>16326.44</v>
      </c>
      <c r="AA11" s="297">
        <f t="shared" si="11"/>
        <v>14196.904347826088</v>
      </c>
    </row>
    <row r="12" spans="1:27" ht="15.6" customHeight="1" x14ac:dyDescent="0.3">
      <c r="A12" s="160" t="s">
        <v>55</v>
      </c>
      <c r="B12" s="310">
        <v>195028.81</v>
      </c>
      <c r="C12" s="310">
        <v>189563.77</v>
      </c>
      <c r="D12" s="310">
        <v>151945.85</v>
      </c>
      <c r="E12" s="310">
        <v>220940.37</v>
      </c>
      <c r="F12" s="310">
        <v>460908.93</v>
      </c>
      <c r="G12" s="349">
        <f t="shared" si="0"/>
        <v>0.1655200252664315</v>
      </c>
      <c r="H12" s="86">
        <f t="shared" si="1"/>
        <v>0.45407307932398278</v>
      </c>
      <c r="I12" s="77">
        <f t="shared" si="6"/>
        <v>0.13286016563399017</v>
      </c>
      <c r="J12" s="311">
        <v>702</v>
      </c>
      <c r="K12" s="63">
        <f t="shared" si="7"/>
        <v>314.72987179487177</v>
      </c>
      <c r="L12" s="61">
        <v>7</v>
      </c>
      <c r="M12" s="28">
        <f t="shared" si="2"/>
        <v>9.9715099715099714E-3</v>
      </c>
      <c r="N12" s="46">
        <v>17</v>
      </c>
      <c r="O12" s="89">
        <f t="shared" si="3"/>
        <v>2.4216524216524215E-2</v>
      </c>
      <c r="P12" s="260">
        <f t="shared" si="8"/>
        <v>55386.8</v>
      </c>
      <c r="Q12" s="89">
        <f t="shared" si="4"/>
        <v>0.25068664454576595</v>
      </c>
      <c r="R12" s="260">
        <f t="shared" si="9"/>
        <v>23157.81739130435</v>
      </c>
      <c r="S12" s="89">
        <f t="shared" si="5"/>
        <v>0.10481478505401412</v>
      </c>
      <c r="T12" s="310">
        <v>2813</v>
      </c>
      <c r="U12" s="9"/>
      <c r="W12">
        <v>37063.33</v>
      </c>
      <c r="X12" s="297">
        <f t="shared" si="10"/>
        <v>32228.982608695656</v>
      </c>
      <c r="Z12">
        <v>26631.49</v>
      </c>
      <c r="AA12" s="297">
        <f t="shared" si="11"/>
        <v>23157.81739130435</v>
      </c>
    </row>
    <row r="13" spans="1:27" ht="15.6" customHeight="1" x14ac:dyDescent="0.3">
      <c r="A13" s="160" t="s">
        <v>33</v>
      </c>
      <c r="B13" s="310">
        <v>178940.87</v>
      </c>
      <c r="C13" s="310">
        <v>0</v>
      </c>
      <c r="D13" s="310">
        <v>159101.62</v>
      </c>
      <c r="E13" s="310">
        <v>172359.56</v>
      </c>
      <c r="F13" s="310">
        <v>385421.03</v>
      </c>
      <c r="G13" s="349">
        <f t="shared" si="0"/>
        <v>0</v>
      </c>
      <c r="H13" s="86">
        <f t="shared" si="1"/>
        <v>8.3330012604522843E-2</v>
      </c>
      <c r="I13" s="77">
        <f t="shared" si="6"/>
        <v>-3.6779244450974212E-2</v>
      </c>
      <c r="J13" s="311">
        <v>584</v>
      </c>
      <c r="K13" s="63">
        <f t="shared" si="7"/>
        <v>295.13623287671231</v>
      </c>
      <c r="L13" s="61">
        <v>13</v>
      </c>
      <c r="M13" s="28">
        <f t="shared" si="2"/>
        <v>2.2260273972602738E-2</v>
      </c>
      <c r="N13" s="46">
        <v>37</v>
      </c>
      <c r="O13" s="89">
        <f t="shared" si="3"/>
        <v>6.3356164383561647E-2</v>
      </c>
      <c r="P13" s="260">
        <f t="shared" si="8"/>
        <v>40028.756521739131</v>
      </c>
      <c r="Q13" s="89">
        <f t="shared" si="4"/>
        <v>0.23223983933202852</v>
      </c>
      <c r="R13" s="260">
        <f t="shared" si="9"/>
        <v>25568.513043478262</v>
      </c>
      <c r="S13" s="89">
        <f t="shared" si="5"/>
        <v>0.14834403756587836</v>
      </c>
      <c r="T13" s="310">
        <v>2962.1</v>
      </c>
      <c r="U13" s="9"/>
      <c r="W13">
        <v>16629.28</v>
      </c>
      <c r="X13" s="297">
        <f t="shared" si="10"/>
        <v>14460.243478260869</v>
      </c>
      <c r="Z13">
        <v>29403.79</v>
      </c>
      <c r="AA13" s="297">
        <f t="shared" si="11"/>
        <v>25568.513043478262</v>
      </c>
    </row>
    <row r="14" spans="1:27" ht="15.6" customHeight="1" x14ac:dyDescent="0.3">
      <c r="A14" s="406" t="s">
        <v>20</v>
      </c>
      <c r="B14" s="310">
        <v>93447.07</v>
      </c>
      <c r="C14" s="310">
        <v>135753.01999999999</v>
      </c>
      <c r="D14" s="310">
        <v>143258.26</v>
      </c>
      <c r="E14" s="310">
        <v>125133.94</v>
      </c>
      <c r="F14" s="310">
        <v>287017.08</v>
      </c>
      <c r="G14" s="349">
        <f t="shared" si="0"/>
        <v>-7.82235268136207E-2</v>
      </c>
      <c r="H14" s="86">
        <f t="shared" si="1"/>
        <v>-0.12651500862847284</v>
      </c>
      <c r="I14" s="77">
        <f t="shared" si="6"/>
        <v>0.33908896233985714</v>
      </c>
      <c r="J14" s="311">
        <v>412</v>
      </c>
      <c r="K14" s="63">
        <f t="shared" si="7"/>
        <v>303.72315533980583</v>
      </c>
      <c r="L14" s="61">
        <v>11</v>
      </c>
      <c r="M14" s="28">
        <f t="shared" si="2"/>
        <v>2.6699029126213591E-2</v>
      </c>
      <c r="N14" s="46">
        <v>41</v>
      </c>
      <c r="O14" s="89">
        <f t="shared" si="3"/>
        <v>9.9514563106796114E-2</v>
      </c>
      <c r="P14" s="260">
        <f t="shared" si="8"/>
        <v>52149.547826086964</v>
      </c>
      <c r="Q14" s="89">
        <f t="shared" si="4"/>
        <v>0.41674982683424627</v>
      </c>
      <c r="R14" s="260">
        <f t="shared" si="9"/>
        <v>20346.956521739132</v>
      </c>
      <c r="S14" s="89">
        <f t="shared" si="5"/>
        <v>0.1626014214987487</v>
      </c>
      <c r="T14" s="310">
        <v>3222</v>
      </c>
      <c r="U14" s="26"/>
      <c r="W14">
        <v>36572.980000000003</v>
      </c>
      <c r="X14" s="297">
        <f t="shared" si="10"/>
        <v>31802.591304347832</v>
      </c>
      <c r="Z14">
        <v>23399</v>
      </c>
      <c r="AA14" s="297">
        <f t="shared" si="11"/>
        <v>20346.956521739132</v>
      </c>
    </row>
    <row r="15" spans="1:27" ht="16.2" customHeight="1" thickBot="1" x14ac:dyDescent="0.35">
      <c r="A15" s="161" t="s">
        <v>22</v>
      </c>
      <c r="B15" s="310">
        <v>142237.48000000001</v>
      </c>
      <c r="C15" s="310">
        <v>138417.91</v>
      </c>
      <c r="D15" s="310">
        <v>120604.29</v>
      </c>
      <c r="E15" s="310">
        <v>131101.34</v>
      </c>
      <c r="F15" s="310">
        <v>287792.27</v>
      </c>
      <c r="G15" s="350">
        <f t="shared" si="0"/>
        <v>-5.2858549879853022E-2</v>
      </c>
      <c r="H15" s="341">
        <f t="shared" si="1"/>
        <v>8.7037119492183929E-2</v>
      </c>
      <c r="I15" s="352">
        <f t="shared" si="6"/>
        <v>-7.829258504861035E-2</v>
      </c>
      <c r="J15" s="311">
        <v>449</v>
      </c>
      <c r="K15" s="132">
        <f t="shared" si="7"/>
        <v>291.98516703786191</v>
      </c>
      <c r="L15" s="133">
        <v>6</v>
      </c>
      <c r="M15" s="114">
        <f t="shared" si="2"/>
        <v>1.3363028953229399E-2</v>
      </c>
      <c r="N15" s="115">
        <v>27</v>
      </c>
      <c r="O15" s="116">
        <f t="shared" si="3"/>
        <v>6.0133630289532294E-2</v>
      </c>
      <c r="P15" s="261">
        <f t="shared" si="8"/>
        <v>29748.547826086957</v>
      </c>
      <c r="Q15" s="116">
        <f t="shared" si="4"/>
        <v>0.22691261451703665</v>
      </c>
      <c r="R15" s="260">
        <f t="shared" si="9"/>
        <v>12948.695652173914</v>
      </c>
      <c r="S15" s="116">
        <f t="shared" si="5"/>
        <v>9.8768598796731708E-2</v>
      </c>
      <c r="T15" s="310">
        <v>3184.12</v>
      </c>
      <c r="U15" s="26"/>
      <c r="W15">
        <v>19319.830000000002</v>
      </c>
      <c r="X15" s="297">
        <f t="shared" si="10"/>
        <v>16799.852173913045</v>
      </c>
      <c r="Z15">
        <v>14891</v>
      </c>
      <c r="AA15" s="297">
        <f t="shared" si="11"/>
        <v>12948.695652173914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73" priority="4" operator="equal">
      <formula>0</formula>
    </cfRule>
  </conditionalFormatting>
  <conditionalFormatting sqref="P12:P13">
    <cfRule type="cellIs" dxfId="72" priority="2" operator="equal">
      <formula>0</formula>
    </cfRule>
  </conditionalFormatting>
  <conditionalFormatting sqref="W5">
    <cfRule type="cellIs" dxfId="71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AA37"/>
  <sheetViews>
    <sheetView zoomScale="60" zoomScaleNormal="60" workbookViewId="0">
      <pane xSplit="1" topLeftCell="B1" activePane="topRight" state="frozen"/>
      <selection pane="topRight" activeCell="E7" sqref="E7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0.14053423140434543</v>
      </c>
      <c r="H2" s="413"/>
      <c r="I2" s="400">
        <f>((E4-B4)/E4)</f>
        <v>-7.5827395960695626E-2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62</v>
      </c>
      <c r="E3" s="271" t="s">
        <v>52</v>
      </c>
      <c r="F3" s="253" t="s">
        <v>44</v>
      </c>
      <c r="G3" s="253" t="s">
        <v>46</v>
      </c>
      <c r="H3" s="253" t="s">
        <v>63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2237539.4700000002</v>
      </c>
      <c r="C4" s="299">
        <f>SUM(C5:C15)</f>
        <v>1823558.84</v>
      </c>
      <c r="D4" s="299">
        <f>SUM(D5:D15)</f>
        <v>1853970.17</v>
      </c>
      <c r="E4" s="299">
        <f>SUM(E5:E15)</f>
        <v>2079831.2799999998</v>
      </c>
      <c r="F4" s="299">
        <f>SUM(F5:F15)</f>
        <v>7738516.9100000001</v>
      </c>
      <c r="G4" s="300">
        <f t="shared" ref="G4:G15" si="0">IFERROR((SUM(E4-C4)/C4),0)</f>
        <v>0.14053423140434543</v>
      </c>
      <c r="H4" s="300">
        <f t="shared" ref="H4:H15" si="1">IFERROR((SUM(E4-D4)/D4),0)</f>
        <v>0.12182564404474742</v>
      </c>
      <c r="I4" s="324">
        <f>IFERROR((SUM(E4-B4)/E4),0)</f>
        <v>-7.5827395960695626E-2</v>
      </c>
      <c r="J4" s="325">
        <f>SUM(J5:J15)</f>
        <v>6625</v>
      </c>
      <c r="K4" s="326">
        <f>AVERAGE(K5:K15)</f>
        <v>312.53089840016315</v>
      </c>
      <c r="L4" s="327">
        <f>SUM(L5:L15)</f>
        <v>91</v>
      </c>
      <c r="M4" s="328">
        <f t="shared" ref="M4:M15" si="2">IFERROR(L4/J4,0)</f>
        <v>1.3735849056603773E-2</v>
      </c>
      <c r="N4" s="329">
        <f>SUM(N7:N15)</f>
        <v>256</v>
      </c>
      <c r="O4" s="330">
        <f t="shared" ref="O4:O15" si="3">IFERROR(N4/SUM(J4),0)</f>
        <v>3.8641509433962266E-2</v>
      </c>
      <c r="P4" s="331">
        <f>SUM(P5:P15)</f>
        <v>498097.1478260869</v>
      </c>
      <c r="Q4" s="330">
        <f t="shared" ref="Q4:Q15" si="4">SUM(P4/E4)</f>
        <v>0.23948920886798422</v>
      </c>
      <c r="R4" s="331">
        <f>SUM(R5:R15)</f>
        <v>211614.43478260873</v>
      </c>
      <c r="S4" s="330">
        <f t="shared" ref="S4:S15" si="5">SUM(R4/E4)</f>
        <v>0.1017459621929567</v>
      </c>
      <c r="T4" s="353">
        <f>SUM(T5:T15)</f>
        <v>52145.86</v>
      </c>
      <c r="U4" s="24"/>
    </row>
    <row r="5" spans="1:27" ht="15.6" customHeight="1" x14ac:dyDescent="0.3">
      <c r="A5" s="416" t="s">
        <v>26</v>
      </c>
      <c r="B5" s="310">
        <v>487519.46</v>
      </c>
      <c r="C5" s="310">
        <v>189348.96</v>
      </c>
      <c r="D5" s="310">
        <v>255303.8</v>
      </c>
      <c r="E5" s="310">
        <v>320410.36</v>
      </c>
      <c r="F5" s="310">
        <v>1987259.69</v>
      </c>
      <c r="G5" s="348">
        <f t="shared" si="0"/>
        <v>0.69216857594570369</v>
      </c>
      <c r="H5" s="336">
        <f t="shared" si="1"/>
        <v>0.25501602404664558</v>
      </c>
      <c r="I5" s="351">
        <f t="shared" ref="I5:I15" si="6">IFERROR((SUM(E5-B5)/B5),0)</f>
        <v>-0.34277421459237756</v>
      </c>
      <c r="J5" s="311">
        <v>943</v>
      </c>
      <c r="K5" s="63">
        <f t="shared" ref="K5:K15" si="7">IFERROR(E5/J5,0)</f>
        <v>339.7776882290562</v>
      </c>
      <c r="L5" s="61">
        <v>10</v>
      </c>
      <c r="M5" s="28">
        <f t="shared" si="2"/>
        <v>1.0604453870625663E-2</v>
      </c>
      <c r="N5" s="46">
        <v>42</v>
      </c>
      <c r="O5" s="89">
        <f t="shared" si="3"/>
        <v>4.4538706256627786E-2</v>
      </c>
      <c r="P5" s="260">
        <f t="shared" ref="P5:P15" si="8">SUM(X5+AA5)</f>
        <v>27330.869565217392</v>
      </c>
      <c r="Q5" s="89">
        <f t="shared" si="4"/>
        <v>8.5299581340682593E-2</v>
      </c>
      <c r="R5" s="260">
        <f t="shared" ref="R5:R15" si="9">SUM(AA5)</f>
        <v>27330.869565217392</v>
      </c>
      <c r="S5" s="89">
        <f t="shared" si="5"/>
        <v>8.5299581340682593E-2</v>
      </c>
      <c r="T5" s="310">
        <v>3153.9</v>
      </c>
      <c r="U5" s="9"/>
      <c r="W5" s="260"/>
      <c r="X5" s="297">
        <f t="shared" ref="X5:X15" si="10">W5/1.15</f>
        <v>0</v>
      </c>
      <c r="Z5">
        <v>31430.5</v>
      </c>
      <c r="AA5" s="297">
        <f t="shared" ref="AA5:AA15" si="11">SUM(Z5)/1.15</f>
        <v>27330.869565217392</v>
      </c>
    </row>
    <row r="6" spans="1:27" ht="15.6" customHeight="1" x14ac:dyDescent="0.3">
      <c r="A6" s="406" t="s">
        <v>21</v>
      </c>
      <c r="B6" s="310">
        <v>216580.11</v>
      </c>
      <c r="C6" s="310">
        <v>313579.03000000003</v>
      </c>
      <c r="D6" s="310">
        <v>228306.74</v>
      </c>
      <c r="E6" s="310">
        <v>224090.56</v>
      </c>
      <c r="F6" s="310">
        <v>738306.77</v>
      </c>
      <c r="G6" s="349">
        <f t="shared" si="0"/>
        <v>-0.28537772439694076</v>
      </c>
      <c r="H6" s="86">
        <f t="shared" si="1"/>
        <v>-1.8467172716845736E-2</v>
      </c>
      <c r="I6" s="77">
        <f t="shared" si="6"/>
        <v>3.4677468766637951E-2</v>
      </c>
      <c r="J6" s="311">
        <v>674</v>
      </c>
      <c r="K6" s="63">
        <f t="shared" si="7"/>
        <v>332.47857566765578</v>
      </c>
      <c r="L6" s="61">
        <v>10</v>
      </c>
      <c r="M6" s="28">
        <f t="shared" si="2"/>
        <v>1.483679525222552E-2</v>
      </c>
      <c r="N6" s="46">
        <v>42</v>
      </c>
      <c r="O6" s="89">
        <f t="shared" si="3"/>
        <v>6.2314540059347182E-2</v>
      </c>
      <c r="P6" s="260">
        <f t="shared" si="8"/>
        <v>62740.252173913046</v>
      </c>
      <c r="Q6" s="89">
        <f t="shared" si="4"/>
        <v>0.27997722070002878</v>
      </c>
      <c r="R6" s="260">
        <f t="shared" si="9"/>
        <v>20054.617391304349</v>
      </c>
      <c r="S6" s="89">
        <f t="shared" si="5"/>
        <v>8.9493361038074745E-2</v>
      </c>
      <c r="T6" s="310">
        <v>7397.8</v>
      </c>
      <c r="U6" s="26"/>
      <c r="W6">
        <v>49088.480000000003</v>
      </c>
      <c r="X6" s="297">
        <f t="shared" si="10"/>
        <v>42685.6347826087</v>
      </c>
      <c r="Z6">
        <v>23062.81</v>
      </c>
      <c r="AA6" s="297">
        <f t="shared" si="11"/>
        <v>20054.617391304349</v>
      </c>
    </row>
    <row r="7" spans="1:27" ht="16.5" customHeight="1" x14ac:dyDescent="0.3">
      <c r="A7" s="406" t="s">
        <v>15</v>
      </c>
      <c r="B7" s="310">
        <v>240800.82</v>
      </c>
      <c r="C7" s="310">
        <v>250408.15</v>
      </c>
      <c r="D7" s="310">
        <v>214627.76</v>
      </c>
      <c r="E7" s="310">
        <v>237247.77</v>
      </c>
      <c r="F7" s="310">
        <v>794177.31</v>
      </c>
      <c r="G7" s="349">
        <f t="shared" si="0"/>
        <v>-5.255571753555148E-2</v>
      </c>
      <c r="H7" s="86">
        <f t="shared" si="1"/>
        <v>0.10539181884020958</v>
      </c>
      <c r="I7" s="77">
        <f t="shared" si="6"/>
        <v>-1.4755140783989098E-2</v>
      </c>
      <c r="J7" s="311">
        <v>664</v>
      </c>
      <c r="K7" s="63">
        <f t="shared" si="7"/>
        <v>357.3008584337349</v>
      </c>
      <c r="L7" s="61">
        <v>4</v>
      </c>
      <c r="M7" s="28">
        <f t="shared" si="2"/>
        <v>6.024096385542169E-3</v>
      </c>
      <c r="N7" s="46">
        <v>24</v>
      </c>
      <c r="O7" s="89">
        <f t="shared" si="3"/>
        <v>3.614457831325301E-2</v>
      </c>
      <c r="P7" s="260">
        <f t="shared" si="8"/>
        <v>38404.800000000003</v>
      </c>
      <c r="Q7" s="89">
        <f t="shared" si="4"/>
        <v>0.16187633713058716</v>
      </c>
      <c r="R7" s="260">
        <f t="shared" si="9"/>
        <v>3523.3826086956524</v>
      </c>
      <c r="S7" s="89">
        <f t="shared" si="5"/>
        <v>1.485106734067786E-2</v>
      </c>
      <c r="T7" s="310">
        <v>6075.5</v>
      </c>
      <c r="U7" s="26"/>
      <c r="W7">
        <v>40113.629999999997</v>
      </c>
      <c r="X7" s="297">
        <f t="shared" si="10"/>
        <v>34881.417391304349</v>
      </c>
      <c r="Z7">
        <v>4051.89</v>
      </c>
      <c r="AA7" s="297">
        <f t="shared" si="11"/>
        <v>3523.3826086956524</v>
      </c>
    </row>
    <row r="8" spans="1:27" ht="15.6" customHeight="1" x14ac:dyDescent="0.3">
      <c r="A8" s="160" t="s">
        <v>27</v>
      </c>
      <c r="B8" s="310">
        <v>146081.28</v>
      </c>
      <c r="C8" s="310">
        <v>121824.18</v>
      </c>
      <c r="D8" s="310">
        <v>128284.99</v>
      </c>
      <c r="E8" s="310">
        <v>126608.49</v>
      </c>
      <c r="F8" s="310">
        <v>427674.8</v>
      </c>
      <c r="G8" s="349">
        <f t="shared" si="0"/>
        <v>3.9272252848326271E-2</v>
      </c>
      <c r="H8" s="86">
        <f t="shared" si="1"/>
        <v>-1.3068559306899426E-2</v>
      </c>
      <c r="I8" s="77">
        <f t="shared" si="6"/>
        <v>-0.13330106362704375</v>
      </c>
      <c r="J8" s="311">
        <v>412</v>
      </c>
      <c r="K8" s="63">
        <f t="shared" si="7"/>
        <v>307.30216019417475</v>
      </c>
      <c r="L8" s="61">
        <v>11</v>
      </c>
      <c r="M8" s="28">
        <f t="shared" si="2"/>
        <v>2.6699029126213591E-2</v>
      </c>
      <c r="N8" s="46">
        <v>25</v>
      </c>
      <c r="O8" s="89">
        <f t="shared" si="3"/>
        <v>6.0679611650485438E-2</v>
      </c>
      <c r="P8" s="260">
        <f t="shared" si="8"/>
        <v>40113.686956521735</v>
      </c>
      <c r="Q8" s="89">
        <f t="shared" si="4"/>
        <v>0.31683252012974589</v>
      </c>
      <c r="R8" s="260">
        <f t="shared" si="9"/>
        <v>14273.321739130435</v>
      </c>
      <c r="S8" s="89">
        <f t="shared" si="5"/>
        <v>0.11273589740411906</v>
      </c>
      <c r="T8" s="310">
        <v>4465</v>
      </c>
      <c r="U8" s="9"/>
      <c r="W8">
        <v>29716.42</v>
      </c>
      <c r="X8" s="297">
        <f t="shared" si="10"/>
        <v>25840.365217391303</v>
      </c>
      <c r="Z8">
        <v>16414.32</v>
      </c>
      <c r="AA8" s="297">
        <f t="shared" si="11"/>
        <v>14273.321739130435</v>
      </c>
    </row>
    <row r="9" spans="1:27" ht="15.6" customHeight="1" x14ac:dyDescent="0.3">
      <c r="A9" s="160" t="s">
        <v>23</v>
      </c>
      <c r="B9" s="310">
        <v>195040.42</v>
      </c>
      <c r="C9" s="310">
        <v>198827.43</v>
      </c>
      <c r="D9" s="310">
        <v>187513.18</v>
      </c>
      <c r="E9" s="310">
        <v>196915.12</v>
      </c>
      <c r="F9" s="310">
        <v>632294.85</v>
      </c>
      <c r="G9" s="349">
        <f t="shared" si="0"/>
        <v>-9.6179385309159687E-3</v>
      </c>
      <c r="H9" s="86">
        <f t="shared" si="1"/>
        <v>5.0140155481337378E-2</v>
      </c>
      <c r="I9" s="77">
        <f t="shared" si="6"/>
        <v>9.6118537890760407E-3</v>
      </c>
      <c r="J9" s="311">
        <v>687</v>
      </c>
      <c r="K9" s="63">
        <f t="shared" si="7"/>
        <v>286.63045123726346</v>
      </c>
      <c r="L9" s="61">
        <v>15</v>
      </c>
      <c r="M9" s="28">
        <f t="shared" si="2"/>
        <v>2.1834061135371178E-2</v>
      </c>
      <c r="N9" s="46">
        <v>48</v>
      </c>
      <c r="O9" s="89">
        <f t="shared" si="3"/>
        <v>6.9868995633187769E-2</v>
      </c>
      <c r="P9" s="260">
        <f t="shared" si="8"/>
        <v>50958.652173913048</v>
      </c>
      <c r="Q9" s="89">
        <f t="shared" si="4"/>
        <v>0.25878486209648627</v>
      </c>
      <c r="R9" s="260">
        <f t="shared" si="9"/>
        <v>22015.452173913047</v>
      </c>
      <c r="S9" s="89">
        <f t="shared" si="5"/>
        <v>0.11180173555952964</v>
      </c>
      <c r="T9" s="310">
        <v>3412.75</v>
      </c>
      <c r="U9" s="26"/>
      <c r="W9">
        <v>33284.68</v>
      </c>
      <c r="X9" s="297">
        <f t="shared" si="10"/>
        <v>28943.200000000001</v>
      </c>
      <c r="Z9">
        <v>25317.77</v>
      </c>
      <c r="AA9" s="297">
        <f t="shared" si="11"/>
        <v>22015.452173913047</v>
      </c>
    </row>
    <row r="10" spans="1:27" ht="15.6" customHeight="1" x14ac:dyDescent="0.3">
      <c r="A10" s="406" t="s">
        <v>16</v>
      </c>
      <c r="B10" s="310">
        <v>197824.33</v>
      </c>
      <c r="C10" s="310">
        <v>200795.26</v>
      </c>
      <c r="D10" s="310">
        <v>180915.8</v>
      </c>
      <c r="E10" s="310">
        <v>206881.72</v>
      </c>
      <c r="F10" s="310">
        <v>727741.65</v>
      </c>
      <c r="G10" s="349">
        <f t="shared" si="0"/>
        <v>3.0311771303764799E-2</v>
      </c>
      <c r="H10" s="86">
        <f t="shared" si="1"/>
        <v>0.14352488837348654</v>
      </c>
      <c r="I10" s="77">
        <f t="shared" si="6"/>
        <v>4.5785015422521662E-2</v>
      </c>
      <c r="J10" s="311">
        <v>708</v>
      </c>
      <c r="K10" s="63">
        <f t="shared" si="7"/>
        <v>292.20581920903953</v>
      </c>
      <c r="L10" s="61">
        <v>1</v>
      </c>
      <c r="M10" s="28">
        <f t="shared" si="2"/>
        <v>1.4124293785310734E-3</v>
      </c>
      <c r="N10" s="46">
        <v>15</v>
      </c>
      <c r="O10" s="89">
        <f t="shared" si="3"/>
        <v>2.1186440677966101E-2</v>
      </c>
      <c r="P10" s="260">
        <f t="shared" si="8"/>
        <v>49879.547826086964</v>
      </c>
      <c r="Q10" s="89">
        <f t="shared" si="4"/>
        <v>0.24110176494127641</v>
      </c>
      <c r="R10" s="260">
        <f t="shared" si="9"/>
        <v>17574.34782608696</v>
      </c>
      <c r="S10" s="89">
        <f t="shared" si="5"/>
        <v>8.4948770853640235E-2</v>
      </c>
      <c r="T10" s="310">
        <v>10793.16</v>
      </c>
      <c r="U10" s="26"/>
      <c r="W10">
        <v>37150.980000000003</v>
      </c>
      <c r="X10" s="297">
        <f t="shared" si="10"/>
        <v>32305.200000000004</v>
      </c>
      <c r="Z10">
        <v>20210.5</v>
      </c>
      <c r="AA10" s="297">
        <f t="shared" si="11"/>
        <v>17574.34782608696</v>
      </c>
    </row>
    <row r="11" spans="1:27" ht="15.6" customHeight="1" x14ac:dyDescent="0.3">
      <c r="A11" s="406" t="s">
        <v>17</v>
      </c>
      <c r="B11" s="310">
        <v>104157.84</v>
      </c>
      <c r="C11" s="310">
        <v>77975.73</v>
      </c>
      <c r="D11" s="310">
        <v>112994.77</v>
      </c>
      <c r="E11" s="310">
        <v>111387.59</v>
      </c>
      <c r="F11" s="310">
        <v>353632.86</v>
      </c>
      <c r="G11" s="349">
        <f t="shared" si="0"/>
        <v>0.42849050595614818</v>
      </c>
      <c r="H11" s="86">
        <f t="shared" si="1"/>
        <v>-1.4223490166845841E-2</v>
      </c>
      <c r="I11" s="77">
        <f t="shared" si="6"/>
        <v>6.9411481651309212E-2</v>
      </c>
      <c r="J11" s="311">
        <v>388</v>
      </c>
      <c r="K11" s="63">
        <f t="shared" si="7"/>
        <v>287.08141752577319</v>
      </c>
      <c r="L11" s="61">
        <v>3</v>
      </c>
      <c r="M11" s="28">
        <f t="shared" si="2"/>
        <v>7.7319587628865982E-3</v>
      </c>
      <c r="N11" s="46">
        <v>22</v>
      </c>
      <c r="O11" s="89">
        <f t="shared" si="3"/>
        <v>5.6701030927835051E-2</v>
      </c>
      <c r="P11" s="260">
        <f t="shared" si="8"/>
        <v>49458.304347826081</v>
      </c>
      <c r="Q11" s="89">
        <f t="shared" si="4"/>
        <v>0.44401988002277526</v>
      </c>
      <c r="R11" s="260">
        <f t="shared" si="9"/>
        <v>17799.713043478259</v>
      </c>
      <c r="S11" s="89">
        <f t="shared" si="5"/>
        <v>0.15979978598583791</v>
      </c>
      <c r="T11" s="310">
        <v>3008.5</v>
      </c>
      <c r="U11" s="26"/>
      <c r="W11">
        <v>36407.379999999997</v>
      </c>
      <c r="X11" s="297">
        <f t="shared" si="10"/>
        <v>31658.591304347825</v>
      </c>
      <c r="Z11">
        <v>20469.669999999998</v>
      </c>
      <c r="AA11" s="297">
        <f t="shared" si="11"/>
        <v>17799.713043478259</v>
      </c>
    </row>
    <row r="12" spans="1:27" ht="15.6" customHeight="1" x14ac:dyDescent="0.3">
      <c r="A12" s="160" t="s">
        <v>55</v>
      </c>
      <c r="B12" s="310">
        <v>220940.37</v>
      </c>
      <c r="C12" s="310">
        <v>198434.85</v>
      </c>
      <c r="D12" s="310">
        <v>159089.54999999999</v>
      </c>
      <c r="E12" s="310">
        <v>211949.58</v>
      </c>
      <c r="F12" s="310">
        <v>672858.51</v>
      </c>
      <c r="G12" s="349">
        <f t="shared" si="0"/>
        <v>6.8106635502785826E-2</v>
      </c>
      <c r="H12" s="86">
        <f t="shared" si="1"/>
        <v>0.332265884214268</v>
      </c>
      <c r="I12" s="77">
        <f t="shared" si="6"/>
        <v>-4.0693287514635773E-2</v>
      </c>
      <c r="J12" s="311">
        <v>708</v>
      </c>
      <c r="K12" s="63">
        <f t="shared" si="7"/>
        <v>299.36381355932201</v>
      </c>
      <c r="L12" s="61">
        <v>7</v>
      </c>
      <c r="M12" s="28">
        <f t="shared" si="2"/>
        <v>9.887005649717515E-3</v>
      </c>
      <c r="N12" s="46">
        <v>17</v>
      </c>
      <c r="O12" s="89">
        <f t="shared" si="3"/>
        <v>2.4011299435028249E-2</v>
      </c>
      <c r="P12" s="260">
        <f t="shared" si="8"/>
        <v>56574.260869565216</v>
      </c>
      <c r="Q12" s="89">
        <f t="shared" si="4"/>
        <v>0.26692320347870102</v>
      </c>
      <c r="R12" s="260">
        <f t="shared" si="9"/>
        <v>24358.834782608697</v>
      </c>
      <c r="S12" s="89">
        <f t="shared" si="5"/>
        <v>0.1149274972972756</v>
      </c>
      <c r="T12" s="310">
        <v>3205</v>
      </c>
      <c r="U12" s="9"/>
      <c r="W12">
        <v>37047.74</v>
      </c>
      <c r="X12" s="297">
        <f t="shared" si="10"/>
        <v>32215.426086956522</v>
      </c>
      <c r="Z12">
        <v>28012.66</v>
      </c>
      <c r="AA12" s="297">
        <f t="shared" si="11"/>
        <v>24358.834782608697</v>
      </c>
    </row>
    <row r="13" spans="1:27" ht="15.6" customHeight="1" x14ac:dyDescent="0.3">
      <c r="A13" s="160" t="s">
        <v>33</v>
      </c>
      <c r="B13" s="310">
        <v>172359.56</v>
      </c>
      <c r="C13" s="310"/>
      <c r="D13" s="310">
        <v>149114.31</v>
      </c>
      <c r="E13" s="310">
        <v>164303.17000000001</v>
      </c>
      <c r="F13" s="310">
        <v>549724.19999999995</v>
      </c>
      <c r="G13" s="349">
        <f t="shared" si="0"/>
        <v>0</v>
      </c>
      <c r="H13" s="86">
        <f t="shared" si="1"/>
        <v>0.10186051224728207</v>
      </c>
      <c r="I13" s="77">
        <f t="shared" si="6"/>
        <v>-4.674176471557473E-2</v>
      </c>
      <c r="J13" s="311">
        <v>562</v>
      </c>
      <c r="K13" s="63">
        <f t="shared" si="7"/>
        <v>292.35439501779359</v>
      </c>
      <c r="L13" s="61">
        <v>13</v>
      </c>
      <c r="M13" s="28">
        <f t="shared" si="2"/>
        <v>2.3131672597864767E-2</v>
      </c>
      <c r="N13" s="46">
        <v>37</v>
      </c>
      <c r="O13" s="89">
        <f t="shared" si="3"/>
        <v>6.5836298932384338E-2</v>
      </c>
      <c r="P13" s="260">
        <f t="shared" si="8"/>
        <v>39051.452173913043</v>
      </c>
      <c r="Q13" s="89">
        <f t="shared" si="4"/>
        <v>0.23767923755769924</v>
      </c>
      <c r="R13" s="260">
        <f t="shared" si="9"/>
        <v>23093.156521739133</v>
      </c>
      <c r="S13" s="89">
        <f t="shared" si="5"/>
        <v>0.14055210573076057</v>
      </c>
      <c r="T13" s="310">
        <v>4443.75</v>
      </c>
      <c r="U13" s="9"/>
      <c r="W13">
        <v>18352.04</v>
      </c>
      <c r="X13" s="297">
        <f t="shared" si="10"/>
        <v>15958.295652173914</v>
      </c>
      <c r="Z13">
        <v>26557.13</v>
      </c>
      <c r="AA13" s="297">
        <f t="shared" si="11"/>
        <v>23093.156521739133</v>
      </c>
    </row>
    <row r="14" spans="1:27" ht="15.6" customHeight="1" x14ac:dyDescent="0.3">
      <c r="A14" s="406" t="s">
        <v>20</v>
      </c>
      <c r="B14" s="310">
        <v>125133.94</v>
      </c>
      <c r="C14" s="310">
        <v>132398.45000000001</v>
      </c>
      <c r="D14" s="310">
        <v>136016.39000000001</v>
      </c>
      <c r="E14" s="310">
        <v>144611.63</v>
      </c>
      <c r="F14" s="310">
        <v>431628.71</v>
      </c>
      <c r="G14" s="349">
        <f t="shared" si="0"/>
        <v>9.2245641848526114E-2</v>
      </c>
      <c r="H14" s="86">
        <f t="shared" si="1"/>
        <v>6.3192678470587182E-2</v>
      </c>
      <c r="I14" s="77">
        <f t="shared" si="6"/>
        <v>0.15565473284066658</v>
      </c>
      <c r="J14" s="311">
        <v>403</v>
      </c>
      <c r="K14" s="63">
        <f t="shared" si="7"/>
        <v>358.83779156327546</v>
      </c>
      <c r="L14" s="61">
        <v>11</v>
      </c>
      <c r="M14" s="28">
        <f t="shared" si="2"/>
        <v>2.729528535980149E-2</v>
      </c>
      <c r="N14" s="46">
        <v>41</v>
      </c>
      <c r="O14" s="89">
        <f t="shared" si="3"/>
        <v>0.10173697270471464</v>
      </c>
      <c r="P14" s="260">
        <f t="shared" si="8"/>
        <v>50677.6347826087</v>
      </c>
      <c r="Q14" s="89">
        <f t="shared" si="4"/>
        <v>0.35043955166405838</v>
      </c>
      <c r="R14" s="260">
        <f t="shared" si="9"/>
        <v>25093.043478260872</v>
      </c>
      <c r="S14" s="89">
        <f t="shared" si="5"/>
        <v>0.17352023124461616</v>
      </c>
      <c r="T14" s="310">
        <v>1935.5</v>
      </c>
      <c r="U14" s="26"/>
      <c r="W14">
        <v>29422.28</v>
      </c>
      <c r="X14" s="297">
        <f t="shared" si="10"/>
        <v>25584.591304347829</v>
      </c>
      <c r="Z14">
        <v>28857</v>
      </c>
      <c r="AA14" s="297">
        <f t="shared" si="11"/>
        <v>25093.043478260872</v>
      </c>
    </row>
    <row r="15" spans="1:27" ht="16.2" customHeight="1" thickBot="1" x14ac:dyDescent="0.35">
      <c r="A15" s="161" t="s">
        <v>22</v>
      </c>
      <c r="B15" s="310">
        <v>131101.34</v>
      </c>
      <c r="C15" s="310">
        <v>139966.79999999999</v>
      </c>
      <c r="D15" s="310">
        <v>101802.88</v>
      </c>
      <c r="E15" s="310">
        <v>135425.29</v>
      </c>
      <c r="F15" s="310">
        <v>423217.56</v>
      </c>
      <c r="G15" s="350">
        <f t="shared" si="0"/>
        <v>-3.2447051729409981E-2</v>
      </c>
      <c r="H15" s="341">
        <f t="shared" si="1"/>
        <v>0.33026973303702217</v>
      </c>
      <c r="I15" s="352">
        <f t="shared" si="6"/>
        <v>3.29817376389899E-2</v>
      </c>
      <c r="J15" s="311">
        <v>476</v>
      </c>
      <c r="K15" s="132">
        <f t="shared" si="7"/>
        <v>284.50691176470588</v>
      </c>
      <c r="L15" s="133">
        <v>6</v>
      </c>
      <c r="M15" s="114">
        <f t="shared" si="2"/>
        <v>1.2605042016806723E-2</v>
      </c>
      <c r="N15" s="115">
        <v>27</v>
      </c>
      <c r="O15" s="116">
        <f t="shared" si="3"/>
        <v>5.6722689075630252E-2</v>
      </c>
      <c r="P15" s="261">
        <f t="shared" si="8"/>
        <v>32907.686956521742</v>
      </c>
      <c r="Q15" s="116">
        <f t="shared" si="4"/>
        <v>0.24299513744088522</v>
      </c>
      <c r="R15" s="260">
        <f t="shared" si="9"/>
        <v>16497.695652173912</v>
      </c>
      <c r="S15" s="116">
        <f t="shared" si="5"/>
        <v>0.1218213795382968</v>
      </c>
      <c r="T15" s="310">
        <v>4255</v>
      </c>
      <c r="U15" s="26"/>
      <c r="W15">
        <v>18871.490000000002</v>
      </c>
      <c r="X15" s="297">
        <f t="shared" si="10"/>
        <v>16409.99130434783</v>
      </c>
      <c r="Z15">
        <v>18972.349999999999</v>
      </c>
      <c r="AA15" s="297">
        <f t="shared" si="11"/>
        <v>16497.695652173912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70" priority="4" operator="equal">
      <formula>0</formula>
    </cfRule>
  </conditionalFormatting>
  <conditionalFormatting sqref="P12:P13">
    <cfRule type="cellIs" dxfId="69" priority="2" operator="equal">
      <formula>0</formula>
    </cfRule>
  </conditionalFormatting>
  <conditionalFormatting sqref="W5">
    <cfRule type="cellIs" dxfId="6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AA37"/>
  <sheetViews>
    <sheetView zoomScale="60" zoomScaleNormal="60" workbookViewId="0">
      <pane xSplit="1" topLeftCell="B1" activePane="topRight" state="frozen"/>
      <selection pane="topRight" activeCell="C15" sqref="C15"/>
    </sheetView>
  </sheetViews>
  <sheetFormatPr defaultRowHeight="14.4" x14ac:dyDescent="0.3"/>
  <cols>
    <col min="1" max="1" width="23" customWidth="1"/>
    <col min="2" max="2" width="20.88671875" customWidth="1"/>
    <col min="3" max="3" width="20.109375" customWidth="1"/>
    <col min="4" max="4" width="19.6640625" customWidth="1"/>
    <col min="5" max="5" width="21" customWidth="1"/>
    <col min="6" max="6" width="22.33203125" customWidth="1"/>
    <col min="7" max="7" width="12.6640625" bestFit="1" customWidth="1"/>
    <col min="8" max="9" width="12.6640625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7"/>
      <c r="F1" s="7"/>
      <c r="G1" s="14" t="s">
        <v>0</v>
      </c>
      <c r="H1" s="412"/>
      <c r="I1" s="14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1"/>
      <c r="F2" s="1"/>
      <c r="G2" s="400">
        <f>((E4-C4)/C4)</f>
        <v>0.14349491879355944</v>
      </c>
      <c r="H2" s="413"/>
      <c r="I2" s="400">
        <f>((E4-B4)/E4)</f>
        <v>3.77598846639461E-2</v>
      </c>
      <c r="J2" s="34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Bot="1" x14ac:dyDescent="0.35">
      <c r="A3" s="414"/>
      <c r="B3" s="347" t="s">
        <v>34</v>
      </c>
      <c r="C3" s="113" t="s">
        <v>45</v>
      </c>
      <c r="D3" s="113" t="s">
        <v>62</v>
      </c>
      <c r="E3" s="271" t="s">
        <v>52</v>
      </c>
      <c r="F3" s="253" t="s">
        <v>44</v>
      </c>
      <c r="G3" s="253" t="s">
        <v>46</v>
      </c>
      <c r="H3" s="253" t="s">
        <v>63</v>
      </c>
      <c r="I3" s="250" t="s">
        <v>41</v>
      </c>
      <c r="J3" s="236" t="s">
        <v>38</v>
      </c>
      <c r="K3" s="253" t="s">
        <v>54</v>
      </c>
      <c r="L3" s="113" t="s">
        <v>32</v>
      </c>
      <c r="M3" s="113" t="s">
        <v>29</v>
      </c>
      <c r="N3" s="113" t="s">
        <v>9</v>
      </c>
      <c r="O3" s="113" t="s">
        <v>11</v>
      </c>
      <c r="P3" s="113" t="s">
        <v>39</v>
      </c>
      <c r="Q3" s="113" t="s">
        <v>11</v>
      </c>
      <c r="R3" s="177" t="s">
        <v>42</v>
      </c>
      <c r="S3" s="177" t="s">
        <v>43</v>
      </c>
      <c r="T3" s="272" t="s">
        <v>53</v>
      </c>
      <c r="U3" s="407"/>
      <c r="W3" s="298" t="s">
        <v>57</v>
      </c>
      <c r="Z3" s="298" t="s">
        <v>61</v>
      </c>
    </row>
    <row r="4" spans="1:27" ht="16.2" customHeight="1" thickBot="1" x14ac:dyDescent="0.35">
      <c r="A4" s="415" t="s">
        <v>13</v>
      </c>
      <c r="B4" s="299">
        <f>SUM(B5:B15)</f>
        <v>2079831.2799999998</v>
      </c>
      <c r="C4" s="299">
        <f>SUM(C5:C15)</f>
        <v>1890211.53</v>
      </c>
      <c r="D4" s="299">
        <f>SUM(D5:D15)</f>
        <v>2096039.3399999999</v>
      </c>
      <c r="E4" s="299">
        <f>SUM(E5:E15)</f>
        <v>2161447.2799999998</v>
      </c>
      <c r="F4" s="299">
        <f>SUM(F5:F15)</f>
        <v>9899964.1899999995</v>
      </c>
      <c r="G4" s="300">
        <f t="shared" ref="G4:G15" si="0">IFERROR((SUM(E4-C4)/C4),0)</f>
        <v>0.14349491879355944</v>
      </c>
      <c r="H4" s="300">
        <f t="shared" ref="H4:H15" si="1">IFERROR((SUM(E4-D4)/D4),0)</f>
        <v>3.1205492545764886E-2</v>
      </c>
      <c r="I4" s="324">
        <f>IFERROR((SUM(E4-B4)/E4),0)</f>
        <v>3.77598846639461E-2</v>
      </c>
      <c r="J4" s="325">
        <f>SUM(J5:J15)</f>
        <v>7097</v>
      </c>
      <c r="K4" s="326">
        <f>AVERAGE(K5:K15)</f>
        <v>304.28314977441596</v>
      </c>
      <c r="L4" s="327">
        <f>SUM(L5:L15)</f>
        <v>91</v>
      </c>
      <c r="M4" s="328">
        <f t="shared" ref="M4:M15" si="2">IFERROR(L4/J4,0)</f>
        <v>1.2822319289840779E-2</v>
      </c>
      <c r="N4" s="329">
        <f>SUM(N7:N15)</f>
        <v>256</v>
      </c>
      <c r="O4" s="330">
        <f t="shared" ref="O4:O15" si="3">IFERROR(N4/SUM(J4),0)</f>
        <v>3.6071579540650982E-2</v>
      </c>
      <c r="P4" s="331">
        <f>SUM(P5:P15)</f>
        <v>618315.60869565222</v>
      </c>
      <c r="Q4" s="330">
        <f t="shared" ref="Q4:Q15" si="4">SUM(P4/E4)</f>
        <v>0.28606555173330539</v>
      </c>
      <c r="R4" s="331">
        <f>SUM(R5:R15)</f>
        <v>255352.64347826087</v>
      </c>
      <c r="S4" s="330">
        <f t="shared" ref="S4:S15" si="5">SUM(R4/E4)</f>
        <v>0.11813965847839736</v>
      </c>
      <c r="T4" s="353">
        <f>SUM(T5:T15)</f>
        <v>48988.130000000005</v>
      </c>
      <c r="U4" s="24"/>
    </row>
    <row r="5" spans="1:27" ht="15.6" customHeight="1" x14ac:dyDescent="0.3">
      <c r="A5" s="416" t="s">
        <v>26</v>
      </c>
      <c r="B5" s="310">
        <v>320410.36</v>
      </c>
      <c r="C5" s="310">
        <v>166877.21</v>
      </c>
      <c r="D5" s="310">
        <v>240544.36</v>
      </c>
      <c r="E5" s="310">
        <v>169180.6</v>
      </c>
      <c r="F5" s="310">
        <v>2156440.29</v>
      </c>
      <c r="G5" s="348">
        <f t="shared" si="0"/>
        <v>1.3802903344321337E-2</v>
      </c>
      <c r="H5" s="336">
        <f t="shared" si="1"/>
        <v>-0.29667608918371641</v>
      </c>
      <c r="I5" s="351">
        <f t="shared" ref="I5:I15" si="6">IFERROR((SUM(E5-B5)/B5),0)</f>
        <v>-0.47198773472867728</v>
      </c>
      <c r="J5" s="311">
        <v>511</v>
      </c>
      <c r="K5" s="63">
        <f t="shared" ref="K5:K15" si="7">IFERROR(E5/J5,0)</f>
        <v>331.0774951076321</v>
      </c>
      <c r="L5" s="61">
        <v>10</v>
      </c>
      <c r="M5" s="28">
        <f t="shared" si="2"/>
        <v>1.9569471624266144E-2</v>
      </c>
      <c r="N5" s="46">
        <v>42</v>
      </c>
      <c r="O5" s="89">
        <f t="shared" si="3"/>
        <v>8.2191780821917804E-2</v>
      </c>
      <c r="P5" s="260">
        <f t="shared" ref="P5:P15" si="8">SUM(X5+AA5)</f>
        <v>13642.17391304348</v>
      </c>
      <c r="Q5" s="89">
        <f t="shared" si="4"/>
        <v>8.0636750981161423E-2</v>
      </c>
      <c r="R5" s="260">
        <f t="shared" ref="R5:R15" si="9">SUM(AA5)</f>
        <v>13642.17391304348</v>
      </c>
      <c r="S5" s="89">
        <f t="shared" si="5"/>
        <v>8.0636750981161423E-2</v>
      </c>
      <c r="T5" s="310">
        <v>1122.2</v>
      </c>
      <c r="U5" s="9"/>
      <c r="W5" s="260"/>
      <c r="X5" s="297">
        <f t="shared" ref="X5:X15" si="10">W5/1.15</f>
        <v>0</v>
      </c>
      <c r="Z5">
        <v>15688.5</v>
      </c>
      <c r="AA5" s="297">
        <f t="shared" ref="AA5:AA15" si="11">SUM(Z5)/1.15</f>
        <v>13642.17391304348</v>
      </c>
    </row>
    <row r="6" spans="1:27" ht="15.6" customHeight="1" x14ac:dyDescent="0.3">
      <c r="A6" s="406" t="s">
        <v>21</v>
      </c>
      <c r="B6" s="310">
        <v>224090.56</v>
      </c>
      <c r="C6" s="310">
        <v>317233.91999999998</v>
      </c>
      <c r="D6" s="310">
        <v>251779.71</v>
      </c>
      <c r="E6" s="310">
        <v>255687.4</v>
      </c>
      <c r="F6" s="310">
        <v>993994.17</v>
      </c>
      <c r="G6" s="349">
        <f t="shared" si="0"/>
        <v>-0.19400989654574136</v>
      </c>
      <c r="H6" s="86">
        <f t="shared" si="1"/>
        <v>1.5520273655093186E-2</v>
      </c>
      <c r="I6" s="77">
        <f t="shared" si="6"/>
        <v>0.14100031701469262</v>
      </c>
      <c r="J6" s="311">
        <v>828</v>
      </c>
      <c r="K6" s="63">
        <f t="shared" si="7"/>
        <v>308.80120772946862</v>
      </c>
      <c r="L6" s="61">
        <v>10</v>
      </c>
      <c r="M6" s="28">
        <f t="shared" si="2"/>
        <v>1.2077294685990338E-2</v>
      </c>
      <c r="N6" s="46">
        <v>42</v>
      </c>
      <c r="O6" s="89">
        <f t="shared" si="3"/>
        <v>5.0724637681159424E-2</v>
      </c>
      <c r="P6" s="260">
        <f t="shared" si="8"/>
        <v>71136.295652173925</v>
      </c>
      <c r="Q6" s="89">
        <f t="shared" si="4"/>
        <v>0.2782158825666573</v>
      </c>
      <c r="R6" s="260">
        <f t="shared" si="9"/>
        <v>19457.53043478261</v>
      </c>
      <c r="S6" s="89">
        <f t="shared" si="5"/>
        <v>7.6098902154672507E-2</v>
      </c>
      <c r="T6" s="310">
        <v>8281.4500000000007</v>
      </c>
      <c r="U6" s="26"/>
      <c r="W6">
        <v>59430.58</v>
      </c>
      <c r="X6" s="297">
        <f t="shared" si="10"/>
        <v>51678.765217391308</v>
      </c>
      <c r="Z6">
        <v>22376.16</v>
      </c>
      <c r="AA6" s="297">
        <f t="shared" si="11"/>
        <v>19457.53043478261</v>
      </c>
    </row>
    <row r="7" spans="1:27" ht="16.5" customHeight="1" x14ac:dyDescent="0.3">
      <c r="A7" s="406" t="s">
        <v>15</v>
      </c>
      <c r="B7" s="310">
        <v>237247.77</v>
      </c>
      <c r="C7" s="310">
        <v>254835.6</v>
      </c>
      <c r="D7" s="310">
        <v>219896.15</v>
      </c>
      <c r="E7" s="310">
        <v>261146.62</v>
      </c>
      <c r="F7" s="310">
        <v>1055323.93</v>
      </c>
      <c r="G7" s="349">
        <f t="shared" si="0"/>
        <v>2.4765064221796286E-2</v>
      </c>
      <c r="H7" s="86">
        <f t="shared" si="1"/>
        <v>0.18759068769507789</v>
      </c>
      <c r="I7" s="77">
        <f t="shared" si="6"/>
        <v>0.10073371817151329</v>
      </c>
      <c r="J7" s="311">
        <v>769</v>
      </c>
      <c r="K7" s="63">
        <f t="shared" si="7"/>
        <v>339.59248374512356</v>
      </c>
      <c r="L7" s="61">
        <v>4</v>
      </c>
      <c r="M7" s="28">
        <f t="shared" si="2"/>
        <v>5.2015604681404422E-3</v>
      </c>
      <c r="N7" s="46">
        <v>24</v>
      </c>
      <c r="O7" s="89">
        <f t="shared" si="3"/>
        <v>3.1209362808842653E-2</v>
      </c>
      <c r="P7" s="260">
        <f t="shared" si="8"/>
        <v>52997.947826086958</v>
      </c>
      <c r="Q7" s="89">
        <f t="shared" si="4"/>
        <v>0.20294326545787558</v>
      </c>
      <c r="R7" s="260">
        <f t="shared" si="9"/>
        <v>3717.0173913043477</v>
      </c>
      <c r="S7" s="89">
        <f t="shared" si="5"/>
        <v>1.4233450125850174E-2</v>
      </c>
      <c r="T7" s="310">
        <v>4736.95</v>
      </c>
      <c r="U7" s="26"/>
      <c r="W7">
        <v>56673.07</v>
      </c>
      <c r="X7" s="297">
        <f t="shared" si="10"/>
        <v>49280.930434782611</v>
      </c>
      <c r="Z7">
        <v>4274.57</v>
      </c>
      <c r="AA7" s="297">
        <f t="shared" si="11"/>
        <v>3717.0173913043477</v>
      </c>
    </row>
    <row r="8" spans="1:27" ht="15.6" customHeight="1" x14ac:dyDescent="0.3">
      <c r="A8" s="160" t="s">
        <v>27</v>
      </c>
      <c r="B8" s="310">
        <v>126608.49</v>
      </c>
      <c r="C8" s="310">
        <v>125945.97</v>
      </c>
      <c r="D8" s="310">
        <v>144588.24</v>
      </c>
      <c r="E8" s="310">
        <v>147008.84</v>
      </c>
      <c r="F8" s="310">
        <v>574683.64</v>
      </c>
      <c r="G8" s="349">
        <f t="shared" si="0"/>
        <v>0.16723734788814595</v>
      </c>
      <c r="H8" s="86">
        <f t="shared" si="1"/>
        <v>1.6741333873349629E-2</v>
      </c>
      <c r="I8" s="77">
        <f t="shared" si="6"/>
        <v>0.16112939977405932</v>
      </c>
      <c r="J8" s="311">
        <v>506</v>
      </c>
      <c r="K8" s="63">
        <f t="shared" si="7"/>
        <v>290.53130434782611</v>
      </c>
      <c r="L8" s="61">
        <v>11</v>
      </c>
      <c r="M8" s="28">
        <f t="shared" si="2"/>
        <v>2.1739130434782608E-2</v>
      </c>
      <c r="N8" s="46">
        <v>25</v>
      </c>
      <c r="O8" s="89">
        <f t="shared" si="3"/>
        <v>4.9407114624505928E-2</v>
      </c>
      <c r="P8" s="260">
        <f t="shared" si="8"/>
        <v>59304.026086956525</v>
      </c>
      <c r="Q8" s="89">
        <f t="shared" si="4"/>
        <v>0.40340448973651194</v>
      </c>
      <c r="R8" s="260">
        <f t="shared" si="9"/>
        <v>24400.53043478261</v>
      </c>
      <c r="S8" s="89">
        <f t="shared" si="5"/>
        <v>0.16598002157409453</v>
      </c>
      <c r="T8" s="310">
        <v>4071</v>
      </c>
      <c r="U8" s="9"/>
      <c r="W8">
        <v>40139.019999999997</v>
      </c>
      <c r="X8" s="297">
        <f t="shared" si="10"/>
        <v>34903.495652173915</v>
      </c>
      <c r="Z8">
        <v>28060.61</v>
      </c>
      <c r="AA8" s="297">
        <f t="shared" si="11"/>
        <v>24400.53043478261</v>
      </c>
    </row>
    <row r="9" spans="1:27" ht="15.6" customHeight="1" x14ac:dyDescent="0.3">
      <c r="A9" s="160" t="s">
        <v>23</v>
      </c>
      <c r="B9" s="310">
        <v>196915.12</v>
      </c>
      <c r="C9" s="310">
        <v>243010.12</v>
      </c>
      <c r="D9" s="310">
        <v>227518.52</v>
      </c>
      <c r="E9" s="310">
        <v>233762.21</v>
      </c>
      <c r="F9" s="310">
        <v>866057.06</v>
      </c>
      <c r="G9" s="349">
        <f t="shared" si="0"/>
        <v>-3.8055657928978449E-2</v>
      </c>
      <c r="H9" s="86">
        <f t="shared" si="1"/>
        <v>2.7442557203694901E-2</v>
      </c>
      <c r="I9" s="77">
        <f t="shared" si="6"/>
        <v>0.18712168979202815</v>
      </c>
      <c r="J9" s="311">
        <v>789</v>
      </c>
      <c r="K9" s="63">
        <f t="shared" si="7"/>
        <v>296.27656527249684</v>
      </c>
      <c r="L9" s="61">
        <v>15</v>
      </c>
      <c r="M9" s="28">
        <f t="shared" si="2"/>
        <v>1.9011406844106463E-2</v>
      </c>
      <c r="N9" s="46">
        <v>48</v>
      </c>
      <c r="O9" s="89">
        <f t="shared" si="3"/>
        <v>6.0836501901140684E-2</v>
      </c>
      <c r="P9" s="260">
        <f t="shared" si="8"/>
        <v>73023.495652173908</v>
      </c>
      <c r="Q9" s="89">
        <f t="shared" si="4"/>
        <v>0.31238366394711065</v>
      </c>
      <c r="R9" s="260">
        <f t="shared" si="9"/>
        <v>29401.608695652176</v>
      </c>
      <c r="S9" s="89">
        <f t="shared" si="5"/>
        <v>0.12577571325858092</v>
      </c>
      <c r="T9" s="310">
        <v>4604.75</v>
      </c>
      <c r="U9" s="26"/>
      <c r="W9">
        <v>50165.17</v>
      </c>
      <c r="X9" s="297">
        <f t="shared" si="10"/>
        <v>43621.886956521739</v>
      </c>
      <c r="Z9">
        <v>33811.85</v>
      </c>
      <c r="AA9" s="297">
        <f t="shared" si="11"/>
        <v>29401.608695652176</v>
      </c>
    </row>
    <row r="10" spans="1:27" ht="15.6" customHeight="1" x14ac:dyDescent="0.3">
      <c r="A10" s="406" t="s">
        <v>16</v>
      </c>
      <c r="B10" s="310">
        <v>206881.72</v>
      </c>
      <c r="C10" s="310">
        <v>191397.82</v>
      </c>
      <c r="D10" s="310">
        <v>219465.41</v>
      </c>
      <c r="E10" s="310">
        <v>245906.86</v>
      </c>
      <c r="F10" s="310">
        <v>973648.51</v>
      </c>
      <c r="G10" s="349">
        <f t="shared" si="0"/>
        <v>0.2847944663110582</v>
      </c>
      <c r="H10" s="86">
        <f t="shared" si="1"/>
        <v>0.12048117286455293</v>
      </c>
      <c r="I10" s="77">
        <f t="shared" si="6"/>
        <v>0.18863503261670478</v>
      </c>
      <c r="J10" s="311">
        <v>806</v>
      </c>
      <c r="K10" s="63">
        <f t="shared" si="7"/>
        <v>305.09535980148883</v>
      </c>
      <c r="L10" s="61">
        <v>1</v>
      </c>
      <c r="M10" s="28">
        <f t="shared" si="2"/>
        <v>1.2406947890818859E-3</v>
      </c>
      <c r="N10" s="46">
        <v>15</v>
      </c>
      <c r="O10" s="89">
        <f t="shared" si="3"/>
        <v>1.8610421836228287E-2</v>
      </c>
      <c r="P10" s="260">
        <f t="shared" si="8"/>
        <v>59939.52173913044</v>
      </c>
      <c r="Q10" s="89">
        <f t="shared" si="4"/>
        <v>0.24374888012123958</v>
      </c>
      <c r="R10" s="260">
        <f t="shared" si="9"/>
        <v>33276.913043478264</v>
      </c>
      <c r="S10" s="89">
        <f t="shared" si="5"/>
        <v>0.13532324004087673</v>
      </c>
      <c r="T10" s="310">
        <v>10199.129999999999</v>
      </c>
      <c r="U10" s="26"/>
      <c r="W10">
        <v>30662</v>
      </c>
      <c r="X10" s="297">
        <f t="shared" si="10"/>
        <v>26662.608695652176</v>
      </c>
      <c r="Z10">
        <v>38268.449999999997</v>
      </c>
      <c r="AA10" s="297">
        <f t="shared" si="11"/>
        <v>33276.913043478264</v>
      </c>
    </row>
    <row r="11" spans="1:27" ht="15.6" customHeight="1" x14ac:dyDescent="0.3">
      <c r="A11" s="406" t="s">
        <v>17</v>
      </c>
      <c r="B11" s="310">
        <v>111387.59</v>
      </c>
      <c r="C11" s="310">
        <v>86713.33</v>
      </c>
      <c r="D11" s="310">
        <v>115980.35</v>
      </c>
      <c r="E11" s="310">
        <v>136294.53</v>
      </c>
      <c r="F11" s="310">
        <v>489927.39</v>
      </c>
      <c r="G11" s="349">
        <f t="shared" si="0"/>
        <v>0.57178290811804822</v>
      </c>
      <c r="H11" s="86">
        <f t="shared" si="1"/>
        <v>0.17515191150914783</v>
      </c>
      <c r="I11" s="77">
        <f t="shared" si="6"/>
        <v>0.22360605880780798</v>
      </c>
      <c r="J11" s="311">
        <v>483</v>
      </c>
      <c r="K11" s="63">
        <f t="shared" si="7"/>
        <v>282.18329192546582</v>
      </c>
      <c r="L11" s="61">
        <v>3</v>
      </c>
      <c r="M11" s="28">
        <f t="shared" si="2"/>
        <v>6.2111801242236021E-3</v>
      </c>
      <c r="N11" s="46">
        <v>22</v>
      </c>
      <c r="O11" s="89">
        <f t="shared" si="3"/>
        <v>4.5548654244306416E-2</v>
      </c>
      <c r="P11" s="260">
        <f t="shared" si="8"/>
        <v>64951.382608695654</v>
      </c>
      <c r="Q11" s="89">
        <f t="shared" si="4"/>
        <v>0.47655164597358129</v>
      </c>
      <c r="R11" s="260">
        <f t="shared" si="9"/>
        <v>18937.747826086958</v>
      </c>
      <c r="S11" s="89">
        <f t="shared" si="5"/>
        <v>0.13894723307007961</v>
      </c>
      <c r="T11" s="310">
        <v>3247.5</v>
      </c>
      <c r="U11" s="26"/>
      <c r="W11">
        <v>52915.68</v>
      </c>
      <c r="X11" s="297">
        <f t="shared" si="10"/>
        <v>46013.6347826087</v>
      </c>
      <c r="Z11">
        <v>21778.41</v>
      </c>
      <c r="AA11" s="297">
        <f t="shared" si="11"/>
        <v>18937.747826086958</v>
      </c>
    </row>
    <row r="12" spans="1:27" ht="15.6" customHeight="1" x14ac:dyDescent="0.3">
      <c r="A12" s="160" t="s">
        <v>55</v>
      </c>
      <c r="B12" s="310">
        <v>211949.58</v>
      </c>
      <c r="C12" s="310">
        <v>206751.49</v>
      </c>
      <c r="D12" s="310">
        <v>184402.37</v>
      </c>
      <c r="E12" s="310">
        <v>229617.68</v>
      </c>
      <c r="F12" s="310">
        <v>902476.19</v>
      </c>
      <c r="G12" s="349">
        <f t="shared" si="0"/>
        <v>0.11059746171599538</v>
      </c>
      <c r="H12" s="86">
        <f t="shared" si="1"/>
        <v>0.24519918046606451</v>
      </c>
      <c r="I12" s="77">
        <f t="shared" si="6"/>
        <v>8.3359919845087713E-2</v>
      </c>
      <c r="J12" s="311">
        <v>777</v>
      </c>
      <c r="K12" s="63">
        <f t="shared" si="7"/>
        <v>295.51824967824967</v>
      </c>
      <c r="L12" s="61">
        <v>7</v>
      </c>
      <c r="M12" s="28">
        <f t="shared" si="2"/>
        <v>9.0090090090090089E-3</v>
      </c>
      <c r="N12" s="46">
        <v>17</v>
      </c>
      <c r="O12" s="89">
        <f t="shared" si="3"/>
        <v>2.1879021879021878E-2</v>
      </c>
      <c r="P12" s="260">
        <f t="shared" si="8"/>
        <v>71624.113043478268</v>
      </c>
      <c r="Q12" s="89">
        <f t="shared" si="4"/>
        <v>0.3119276923426727</v>
      </c>
      <c r="R12" s="260">
        <f t="shared" si="9"/>
        <v>33305.060869565219</v>
      </c>
      <c r="S12" s="89">
        <f t="shared" si="5"/>
        <v>0.14504571629486554</v>
      </c>
      <c r="T12" s="310">
        <v>3144.5</v>
      </c>
      <c r="U12" s="9"/>
      <c r="W12">
        <v>44066.91</v>
      </c>
      <c r="X12" s="297">
        <f t="shared" si="10"/>
        <v>38319.052173913049</v>
      </c>
      <c r="Z12">
        <v>38300.82</v>
      </c>
      <c r="AA12" s="297">
        <f t="shared" si="11"/>
        <v>33305.060869565219</v>
      </c>
    </row>
    <row r="13" spans="1:27" ht="15.6" customHeight="1" x14ac:dyDescent="0.3">
      <c r="A13" s="160" t="s">
        <v>33</v>
      </c>
      <c r="B13" s="310">
        <v>164303.17000000001</v>
      </c>
      <c r="C13" s="310"/>
      <c r="D13" s="310">
        <v>166446.76</v>
      </c>
      <c r="E13" s="310">
        <v>183536.42</v>
      </c>
      <c r="F13" s="310">
        <v>733260.62</v>
      </c>
      <c r="G13" s="349">
        <f t="shared" si="0"/>
        <v>0</v>
      </c>
      <c r="H13" s="86">
        <f t="shared" si="1"/>
        <v>0.10267343143236914</v>
      </c>
      <c r="I13" s="77">
        <f t="shared" si="6"/>
        <v>0.11705951869340073</v>
      </c>
      <c r="J13" s="311">
        <v>668</v>
      </c>
      <c r="K13" s="63">
        <f t="shared" si="7"/>
        <v>274.75511976047903</v>
      </c>
      <c r="L13" s="61">
        <v>13</v>
      </c>
      <c r="M13" s="28">
        <f t="shared" si="2"/>
        <v>1.9461077844311378E-2</v>
      </c>
      <c r="N13" s="46">
        <v>37</v>
      </c>
      <c r="O13" s="89">
        <f t="shared" si="3"/>
        <v>5.5389221556886227E-2</v>
      </c>
      <c r="P13" s="260">
        <f t="shared" si="8"/>
        <v>57166.234782608706</v>
      </c>
      <c r="Q13" s="89">
        <f t="shared" si="4"/>
        <v>0.31147079572876435</v>
      </c>
      <c r="R13" s="260">
        <f t="shared" si="9"/>
        <v>36565.234782608699</v>
      </c>
      <c r="S13" s="89">
        <f t="shared" si="5"/>
        <v>0.19922604343382472</v>
      </c>
      <c r="T13" s="310">
        <v>3251.5</v>
      </c>
      <c r="U13" s="9"/>
      <c r="W13">
        <v>23691.15</v>
      </c>
      <c r="X13" s="297">
        <f t="shared" si="10"/>
        <v>20601.000000000004</v>
      </c>
      <c r="Z13">
        <v>42050.02</v>
      </c>
      <c r="AA13" s="297">
        <f t="shared" si="11"/>
        <v>36565.234782608699</v>
      </c>
    </row>
    <row r="14" spans="1:27" ht="15.6" customHeight="1" x14ac:dyDescent="0.3">
      <c r="A14" s="406" t="s">
        <v>20</v>
      </c>
      <c r="B14" s="310">
        <v>144611.63</v>
      </c>
      <c r="C14" s="310">
        <v>144600.03</v>
      </c>
      <c r="D14" s="310">
        <v>177078.57</v>
      </c>
      <c r="E14" s="310">
        <v>140083.12</v>
      </c>
      <c r="F14" s="310">
        <v>571711.82999999996</v>
      </c>
      <c r="G14" s="349">
        <f t="shared" si="0"/>
        <v>-3.1237268761285897E-2</v>
      </c>
      <c r="H14" s="86">
        <f t="shared" si="1"/>
        <v>-0.20892110208479778</v>
      </c>
      <c r="I14" s="77">
        <f t="shared" si="6"/>
        <v>-3.1314977917059707E-2</v>
      </c>
      <c r="J14" s="311">
        <v>453</v>
      </c>
      <c r="K14" s="63">
        <f t="shared" si="7"/>
        <v>309.23426048565119</v>
      </c>
      <c r="L14" s="61">
        <v>11</v>
      </c>
      <c r="M14" s="28">
        <f t="shared" si="2"/>
        <v>2.4282560706401765E-2</v>
      </c>
      <c r="N14" s="46">
        <v>41</v>
      </c>
      <c r="O14" s="89">
        <f t="shared" si="3"/>
        <v>9.0507726269315678E-2</v>
      </c>
      <c r="P14" s="260">
        <f t="shared" si="8"/>
        <v>58190.782608695663</v>
      </c>
      <c r="Q14" s="89">
        <f t="shared" si="4"/>
        <v>0.41540181721177871</v>
      </c>
      <c r="R14" s="260">
        <f t="shared" si="9"/>
        <v>28624.660869565221</v>
      </c>
      <c r="S14" s="89">
        <f t="shared" si="5"/>
        <v>0.20434054345423791</v>
      </c>
      <c r="T14" s="310">
        <v>3792</v>
      </c>
      <c r="U14" s="26"/>
      <c r="W14">
        <v>34001.040000000001</v>
      </c>
      <c r="X14" s="297">
        <f t="shared" si="10"/>
        <v>29566.121739130438</v>
      </c>
      <c r="Z14">
        <v>32918.36</v>
      </c>
      <c r="AA14" s="297">
        <f t="shared" si="11"/>
        <v>28624.660869565221</v>
      </c>
    </row>
    <row r="15" spans="1:27" ht="16.2" customHeight="1" thickBot="1" x14ac:dyDescent="0.35">
      <c r="A15" s="161" t="s">
        <v>22</v>
      </c>
      <c r="B15" s="310">
        <v>135425.29</v>
      </c>
      <c r="C15" s="310">
        <v>152846.04</v>
      </c>
      <c r="D15" s="310">
        <v>148338.9</v>
      </c>
      <c r="E15" s="310">
        <v>159223</v>
      </c>
      <c r="F15" s="310">
        <v>582440.56000000006</v>
      </c>
      <c r="G15" s="350">
        <f t="shared" si="0"/>
        <v>4.1721460366261315E-2</v>
      </c>
      <c r="H15" s="341">
        <f t="shared" si="1"/>
        <v>7.3373201500078575E-2</v>
      </c>
      <c r="I15" s="352">
        <f t="shared" si="6"/>
        <v>0.17572574516916295</v>
      </c>
      <c r="J15" s="311">
        <v>507</v>
      </c>
      <c r="K15" s="132">
        <f t="shared" si="7"/>
        <v>314.04930966469431</v>
      </c>
      <c r="L15" s="133">
        <v>6</v>
      </c>
      <c r="M15" s="114">
        <f t="shared" si="2"/>
        <v>1.1834319526627219E-2</v>
      </c>
      <c r="N15" s="115">
        <v>27</v>
      </c>
      <c r="O15" s="116">
        <f t="shared" si="3"/>
        <v>5.3254437869822487E-2</v>
      </c>
      <c r="P15" s="261">
        <f t="shared" si="8"/>
        <v>36339.6347826087</v>
      </c>
      <c r="Q15" s="116">
        <f t="shared" si="4"/>
        <v>0.22823106449827413</v>
      </c>
      <c r="R15" s="260">
        <f t="shared" si="9"/>
        <v>14024.165217391306</v>
      </c>
      <c r="S15" s="116">
        <f t="shared" si="5"/>
        <v>8.8078765111769694E-2</v>
      </c>
      <c r="T15" s="310">
        <v>2537.15</v>
      </c>
      <c r="U15" s="26"/>
      <c r="W15">
        <v>25662.79</v>
      </c>
      <c r="X15" s="297">
        <f t="shared" si="10"/>
        <v>22315.469565217394</v>
      </c>
      <c r="Z15">
        <v>16127.79</v>
      </c>
      <c r="AA15" s="297">
        <f t="shared" si="11"/>
        <v>14024.165217391306</v>
      </c>
    </row>
    <row r="16" spans="1:27" x14ac:dyDescent="0.3">
      <c r="A16" s="81"/>
      <c r="B16" s="81"/>
      <c r="C16" s="81"/>
      <c r="D16" s="83"/>
      <c r="E16" s="395"/>
      <c r="F16" s="83"/>
      <c r="G16" s="81"/>
      <c r="H16" s="81"/>
      <c r="I16" s="81"/>
      <c r="J16" s="396"/>
      <c r="K16" s="397"/>
      <c r="L16" s="91"/>
      <c r="M16" s="397"/>
      <c r="N16" s="397"/>
      <c r="O16" s="397"/>
      <c r="P16" s="397"/>
      <c r="Q16" s="397"/>
      <c r="R16" s="397"/>
      <c r="S16" s="397"/>
      <c r="T16" s="397"/>
      <c r="U16" s="9"/>
    </row>
    <row r="17" spans="1:21" x14ac:dyDescent="0.3">
      <c r="A17" s="81"/>
      <c r="B17" s="81"/>
      <c r="C17" s="81"/>
      <c r="D17" s="83"/>
      <c r="E17" s="83"/>
      <c r="F17" s="83"/>
      <c r="G17" s="81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1"/>
      <c r="C18" s="81"/>
      <c r="D18" s="83"/>
      <c r="E18" s="83"/>
      <c r="F18" s="83"/>
      <c r="G18" s="81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1"/>
      <c r="C19" s="81"/>
      <c r="D19" s="83"/>
      <c r="E19" s="83"/>
      <c r="F19" s="83"/>
      <c r="G19" s="81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1"/>
      <c r="C20" s="81"/>
      <c r="D20" s="83"/>
      <c r="E20" s="83"/>
      <c r="F20" s="83"/>
      <c r="G20" s="81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1"/>
      <c r="C21" s="81"/>
      <c r="D21" s="83"/>
      <c r="E21" s="83"/>
      <c r="F21" s="83"/>
      <c r="G21" s="81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1"/>
      <c r="C22" s="81"/>
      <c r="D22" s="83"/>
      <c r="E22" s="83"/>
      <c r="F22" s="83"/>
      <c r="G22" s="81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1"/>
      <c r="C23" s="81"/>
      <c r="D23" s="83"/>
      <c r="E23" s="83"/>
      <c r="F23" s="83"/>
      <c r="G23" s="81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1"/>
      <c r="C24" s="81"/>
      <c r="D24" s="83"/>
      <c r="E24" s="83"/>
      <c r="F24" s="83"/>
      <c r="G24" s="81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G5:I15 K5:S15">
    <cfRule type="cellIs" dxfId="67" priority="4" operator="equal">
      <formula>0</formula>
    </cfRule>
  </conditionalFormatting>
  <conditionalFormatting sqref="P12:P13">
    <cfRule type="cellIs" dxfId="66" priority="2" operator="equal">
      <formula>0</formula>
    </cfRule>
  </conditionalFormatting>
  <conditionalFormatting sqref="W5">
    <cfRule type="cellIs" dxfId="65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AA37"/>
  <sheetViews>
    <sheetView zoomScale="60" zoomScaleNormal="60" workbookViewId="0">
      <pane xSplit="1" topLeftCell="B1" activePane="topRight" state="frozen"/>
      <selection pane="topRight" activeCell="F11" sqref="F11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19.664062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418"/>
      <c r="B2" s="418"/>
      <c r="C2" s="418"/>
      <c r="D2" s="1"/>
      <c r="E2" s="419">
        <f>((B4-C4)/B4)</f>
        <v>-0.11362696245924754</v>
      </c>
      <c r="F2" s="420"/>
      <c r="G2" s="418"/>
      <c r="H2" s="421"/>
      <c r="I2" s="422">
        <f>((B4-D4)/D4)</f>
        <v>2.6820432102643985E-2</v>
      </c>
      <c r="J2" s="423"/>
      <c r="K2" s="418"/>
      <c r="L2" s="418"/>
      <c r="M2" s="418"/>
      <c r="N2" s="418"/>
      <c r="O2" s="418"/>
      <c r="P2" s="418"/>
      <c r="Q2" s="418"/>
      <c r="R2" s="418"/>
      <c r="S2" s="418"/>
      <c r="T2" s="424"/>
      <c r="U2" s="17"/>
    </row>
    <row r="3" spans="1:27" ht="32.4" customHeight="1" thickTop="1" thickBot="1" x14ac:dyDescent="0.35">
      <c r="A3" s="425"/>
      <c r="B3" s="381" t="s">
        <v>64</v>
      </c>
      <c r="C3" s="382" t="s">
        <v>34</v>
      </c>
      <c r="D3" s="113" t="s">
        <v>45</v>
      </c>
      <c r="E3" s="360" t="s">
        <v>41</v>
      </c>
      <c r="F3" s="380" t="s">
        <v>44</v>
      </c>
      <c r="G3" s="379" t="s">
        <v>62</v>
      </c>
      <c r="H3" s="378" t="s">
        <v>63</v>
      </c>
      <c r="I3" s="290" t="s">
        <v>46</v>
      </c>
      <c r="J3" s="365" t="s">
        <v>38</v>
      </c>
      <c r="K3" s="366" t="s">
        <v>54</v>
      </c>
      <c r="L3" s="367" t="s">
        <v>32</v>
      </c>
      <c r="M3" s="367" t="s">
        <v>29</v>
      </c>
      <c r="N3" s="367" t="s">
        <v>9</v>
      </c>
      <c r="O3" s="367" t="s">
        <v>11</v>
      </c>
      <c r="P3" s="367" t="s">
        <v>39</v>
      </c>
      <c r="Q3" s="367" t="s">
        <v>11</v>
      </c>
      <c r="R3" s="368" t="s">
        <v>42</v>
      </c>
      <c r="S3" s="368" t="s">
        <v>43</v>
      </c>
      <c r="T3" s="369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6.2" customHeight="1" thickBot="1" x14ac:dyDescent="0.35">
      <c r="A4" s="415" t="s">
        <v>13</v>
      </c>
      <c r="B4" s="299">
        <f>SUM(B5:B15)</f>
        <v>1940907.8199999998</v>
      </c>
      <c r="C4" s="299">
        <f>SUM(C5:C15)</f>
        <v>2161447.2799999998</v>
      </c>
      <c r="D4" s="299">
        <f>SUM(D5:D15)</f>
        <v>1890211.53</v>
      </c>
      <c r="E4" s="354">
        <f>IFERROR((SUM(B4-C4)/B4),0)</f>
        <v>-0.11362696245924754</v>
      </c>
      <c r="F4" s="358">
        <f>SUM(F5:F15)</f>
        <v>1559921.34</v>
      </c>
      <c r="G4" s="371">
        <f>SUM(G5:G15)</f>
        <v>2058436.02</v>
      </c>
      <c r="H4" s="372">
        <f t="shared" ref="H4:H15" si="0">IFERROR((SUM(B4-G4)/G4),0)</f>
        <v>-5.7095872234105283E-2</v>
      </c>
      <c r="I4" s="361">
        <f t="shared" ref="I4:I15" si="1">IFERROR((SUM(B4-D4)/D4),0)</f>
        <v>2.6820432102643985E-2</v>
      </c>
      <c r="J4" s="325">
        <f>SUM(J5:J15)</f>
        <v>6395</v>
      </c>
      <c r="K4" s="326">
        <f>AVERAGE(K5:K15)</f>
        <v>275.32617882140119</v>
      </c>
      <c r="L4" s="327">
        <f>SUM(L5:L15)</f>
        <v>91</v>
      </c>
      <c r="M4" s="328">
        <f t="shared" ref="M4:M15" si="2">IFERROR(L4/J4,0)</f>
        <v>1.4229867083659109E-2</v>
      </c>
      <c r="N4" s="329">
        <f>SUM(N7:N15)</f>
        <v>256</v>
      </c>
      <c r="O4" s="330">
        <f t="shared" ref="O4:O15" si="3">IFERROR(N4/SUM(J4),0)</f>
        <v>4.0031274433150896E-2</v>
      </c>
      <c r="P4" s="331">
        <f>SUM(P5:P15)</f>
        <v>545221.0782608696</v>
      </c>
      <c r="Q4" s="330">
        <f t="shared" ref="Q4:Q15" si="4">SUM(P4/B4)</f>
        <v>0.28091034135813292</v>
      </c>
      <c r="R4" s="331">
        <f>SUM(R5:R15)</f>
        <v>227432.83478260873</v>
      </c>
      <c r="S4" s="330">
        <f t="shared" ref="S4:S15" si="5">SUM(R4/B4)</f>
        <v>0.11717858645270889</v>
      </c>
      <c r="T4" s="364">
        <f>SUM(T5:T15)</f>
        <v>47476.09</v>
      </c>
      <c r="U4" s="24"/>
      <c r="W4" s="362"/>
      <c r="X4" s="384"/>
      <c r="Z4" s="362"/>
      <c r="AA4" s="384"/>
    </row>
    <row r="5" spans="1:27" ht="15.6" customHeight="1" x14ac:dyDescent="0.3">
      <c r="A5" s="416" t="s">
        <v>26</v>
      </c>
      <c r="B5" s="310"/>
      <c r="C5" s="310">
        <v>169180.6</v>
      </c>
      <c r="D5" s="310">
        <v>166877.21</v>
      </c>
      <c r="E5" s="355">
        <f t="shared" ref="E5:E15" si="6">IFERROR((SUM(B5-C5)/C5),0)</f>
        <v>-1</v>
      </c>
      <c r="F5" s="359"/>
      <c r="G5" s="344">
        <v>243672.85</v>
      </c>
      <c r="H5" s="336">
        <f t="shared" si="0"/>
        <v>-1</v>
      </c>
      <c r="I5" s="287">
        <f t="shared" si="1"/>
        <v>-1</v>
      </c>
      <c r="J5" s="362"/>
      <c r="K5" s="63">
        <f t="shared" ref="K5:K15" si="7">IFERROR(B5/J5,0)</f>
        <v>0</v>
      </c>
      <c r="L5" s="61">
        <v>10</v>
      </c>
      <c r="M5" s="28">
        <f t="shared" si="2"/>
        <v>0</v>
      </c>
      <c r="N5" s="46">
        <v>42</v>
      </c>
      <c r="O5" s="89">
        <f t="shared" si="3"/>
        <v>0</v>
      </c>
      <c r="P5" s="260">
        <f t="shared" ref="P5:P15" si="8">SUM(X5+AA5)</f>
        <v>0</v>
      </c>
      <c r="Q5" s="89" t="e">
        <f t="shared" si="4"/>
        <v>#DIV/0!</v>
      </c>
      <c r="R5" s="260">
        <f t="shared" ref="R5:R15" si="9">SUM(AA5)</f>
        <v>0</v>
      </c>
      <c r="S5" s="89" t="e">
        <f t="shared" si="5"/>
        <v>#DIV/0!</v>
      </c>
      <c r="T5" s="363"/>
      <c r="U5" s="9"/>
      <c r="W5" s="385"/>
      <c r="X5" s="386">
        <f t="shared" ref="X5:X15" si="10">W5/1.15</f>
        <v>0</v>
      </c>
      <c r="Z5" s="362"/>
      <c r="AA5" s="386">
        <f t="shared" ref="AA5:AA15" si="11">SUM(Z5)/1.15</f>
        <v>0</v>
      </c>
    </row>
    <row r="6" spans="1:27" ht="15.6" customHeight="1" x14ac:dyDescent="0.3">
      <c r="A6" s="406" t="s">
        <v>21</v>
      </c>
      <c r="B6" s="310">
        <v>242039.42</v>
      </c>
      <c r="C6" s="310">
        <v>255687.4</v>
      </c>
      <c r="D6" s="310">
        <v>317233.91999999998</v>
      </c>
      <c r="E6" s="356">
        <f t="shared" si="6"/>
        <v>-5.3377600929885409E-2</v>
      </c>
      <c r="F6" s="359">
        <v>190105.61</v>
      </c>
      <c r="G6" s="344">
        <v>216181.06</v>
      </c>
      <c r="H6" s="86">
        <f t="shared" si="0"/>
        <v>0.11961436399655</v>
      </c>
      <c r="I6" s="288">
        <f t="shared" si="1"/>
        <v>-0.23703171464135983</v>
      </c>
      <c r="J6" s="362">
        <v>764</v>
      </c>
      <c r="K6" s="63">
        <f t="shared" si="7"/>
        <v>316.80552356020945</v>
      </c>
      <c r="L6" s="61">
        <v>10</v>
      </c>
      <c r="M6" s="28">
        <f t="shared" si="2"/>
        <v>1.3089005235602094E-2</v>
      </c>
      <c r="N6" s="46">
        <v>42</v>
      </c>
      <c r="O6" s="89">
        <f t="shared" si="3"/>
        <v>5.4973821989528798E-2</v>
      </c>
      <c r="P6" s="260">
        <f t="shared" si="8"/>
        <v>64250.243478260869</v>
      </c>
      <c r="Q6" s="89">
        <f t="shared" si="4"/>
        <v>0.26545363345466977</v>
      </c>
      <c r="R6" s="260">
        <f t="shared" si="9"/>
        <v>22245.81739130435</v>
      </c>
      <c r="S6" s="89">
        <f t="shared" si="5"/>
        <v>9.1909893815248556E-2</v>
      </c>
      <c r="T6" s="363">
        <v>10083.1</v>
      </c>
      <c r="U6" s="26"/>
      <c r="W6" s="362">
        <v>48305.09</v>
      </c>
      <c r="X6" s="386">
        <f t="shared" si="10"/>
        <v>42004.426086956519</v>
      </c>
      <c r="Z6" s="362">
        <v>25582.69</v>
      </c>
      <c r="AA6" s="386">
        <f t="shared" si="11"/>
        <v>22245.81739130435</v>
      </c>
    </row>
    <row r="7" spans="1:27" ht="16.5" customHeight="1" x14ac:dyDescent="0.3">
      <c r="A7" s="406" t="s">
        <v>15</v>
      </c>
      <c r="B7" s="310">
        <v>236290.59</v>
      </c>
      <c r="C7" s="310">
        <v>261146.62</v>
      </c>
      <c r="D7" s="310">
        <v>254835.6</v>
      </c>
      <c r="E7" s="356">
        <f t="shared" si="6"/>
        <v>-9.5180362663702098E-2</v>
      </c>
      <c r="F7" s="359">
        <v>195897.75</v>
      </c>
      <c r="G7" s="344">
        <v>238606.29</v>
      </c>
      <c r="H7" s="86">
        <f t="shared" si="0"/>
        <v>-9.7051087798230781E-3</v>
      </c>
      <c r="I7" s="288">
        <f t="shared" si="1"/>
        <v>-7.2772446235926255E-2</v>
      </c>
      <c r="J7" s="362">
        <v>707</v>
      </c>
      <c r="K7" s="63">
        <f t="shared" si="7"/>
        <v>334.21582743988682</v>
      </c>
      <c r="L7" s="61">
        <v>4</v>
      </c>
      <c r="M7" s="28">
        <f t="shared" si="2"/>
        <v>5.6577086280056579E-3</v>
      </c>
      <c r="N7" s="46">
        <v>24</v>
      </c>
      <c r="O7" s="89">
        <f t="shared" si="3"/>
        <v>3.3946251768033946E-2</v>
      </c>
      <c r="P7" s="260">
        <f t="shared" si="8"/>
        <v>47064.3652173913</v>
      </c>
      <c r="Q7" s="89">
        <f t="shared" si="4"/>
        <v>0.19918002328146583</v>
      </c>
      <c r="R7" s="260">
        <f t="shared" si="9"/>
        <v>9233.1652173913044</v>
      </c>
      <c r="S7" s="89">
        <f t="shared" si="5"/>
        <v>3.9075467276929246E-2</v>
      </c>
      <c r="T7" s="363">
        <v>4247</v>
      </c>
      <c r="U7" s="26"/>
      <c r="W7" s="362">
        <v>43505.88</v>
      </c>
      <c r="X7" s="386">
        <f t="shared" si="10"/>
        <v>37831.199999999997</v>
      </c>
      <c r="Z7" s="362">
        <v>10618.14</v>
      </c>
      <c r="AA7" s="386">
        <f t="shared" si="11"/>
        <v>9233.1652173913044</v>
      </c>
    </row>
    <row r="8" spans="1:27" ht="15.6" customHeight="1" x14ac:dyDescent="0.3">
      <c r="A8" s="160" t="s">
        <v>27</v>
      </c>
      <c r="B8" s="310">
        <v>129509</v>
      </c>
      <c r="C8" s="310">
        <v>147008.84</v>
      </c>
      <c r="D8" s="310">
        <v>125945.97</v>
      </c>
      <c r="E8" s="356">
        <f t="shared" si="6"/>
        <v>-0.1190393720540887</v>
      </c>
      <c r="F8" s="359">
        <v>105089.34</v>
      </c>
      <c r="G8" s="344">
        <v>132179.39000000001</v>
      </c>
      <c r="H8" s="86">
        <f t="shared" si="0"/>
        <v>-2.0202771400291784E-2</v>
      </c>
      <c r="I8" s="288">
        <f t="shared" si="1"/>
        <v>2.8290146957461192E-2</v>
      </c>
      <c r="J8" s="362">
        <v>474</v>
      </c>
      <c r="K8" s="63">
        <f t="shared" si="7"/>
        <v>273.22573839662448</v>
      </c>
      <c r="L8" s="61">
        <v>11</v>
      </c>
      <c r="M8" s="28">
        <f t="shared" si="2"/>
        <v>2.3206751054852322E-2</v>
      </c>
      <c r="N8" s="46">
        <v>25</v>
      </c>
      <c r="O8" s="89">
        <f t="shared" si="3"/>
        <v>5.2742616033755275E-2</v>
      </c>
      <c r="P8" s="260">
        <f t="shared" si="8"/>
        <v>49182.434782608703</v>
      </c>
      <c r="Q8" s="89">
        <f t="shared" si="4"/>
        <v>0.37976074853955094</v>
      </c>
      <c r="R8" s="260">
        <f t="shared" si="9"/>
        <v>25306.739130434784</v>
      </c>
      <c r="S8" s="89">
        <f t="shared" si="5"/>
        <v>0.19540525469608122</v>
      </c>
      <c r="T8" s="363">
        <v>2888.9</v>
      </c>
      <c r="U8" s="9"/>
      <c r="W8" s="362">
        <v>27457.05</v>
      </c>
      <c r="X8" s="386">
        <f t="shared" si="10"/>
        <v>23875.695652173916</v>
      </c>
      <c r="Z8" s="362">
        <v>29102.75</v>
      </c>
      <c r="AA8" s="386">
        <f t="shared" si="11"/>
        <v>25306.739130434784</v>
      </c>
    </row>
    <row r="9" spans="1:27" ht="15.6" customHeight="1" x14ac:dyDescent="0.3">
      <c r="A9" s="160" t="s">
        <v>23</v>
      </c>
      <c r="B9" s="310">
        <v>217415.04000000001</v>
      </c>
      <c r="C9" s="310">
        <v>233762.21</v>
      </c>
      <c r="D9" s="310">
        <v>243010.12</v>
      </c>
      <c r="E9" s="356">
        <f t="shared" si="6"/>
        <v>-6.9930764258260503E-2</v>
      </c>
      <c r="F9" s="359">
        <v>172379.76</v>
      </c>
      <c r="G9" s="344">
        <v>215241.73</v>
      </c>
      <c r="H9" s="86">
        <f t="shared" si="0"/>
        <v>1.0097066214808799E-2</v>
      </c>
      <c r="I9" s="288">
        <f t="shared" si="1"/>
        <v>-0.10532516094391454</v>
      </c>
      <c r="J9" s="362">
        <v>734</v>
      </c>
      <c r="K9" s="63">
        <f t="shared" si="7"/>
        <v>296.20577656675749</v>
      </c>
      <c r="L9" s="61">
        <v>15</v>
      </c>
      <c r="M9" s="28">
        <f t="shared" si="2"/>
        <v>2.0435967302452316E-2</v>
      </c>
      <c r="N9" s="46">
        <v>48</v>
      </c>
      <c r="O9" s="89">
        <f t="shared" si="3"/>
        <v>6.5395095367847406E-2</v>
      </c>
      <c r="P9" s="260">
        <f t="shared" si="8"/>
        <v>55586.278260869571</v>
      </c>
      <c r="Q9" s="89">
        <f t="shared" si="4"/>
        <v>0.25566896503972114</v>
      </c>
      <c r="R9" s="260">
        <f t="shared" si="9"/>
        <v>24434.869565217392</v>
      </c>
      <c r="S9" s="89">
        <f t="shared" si="5"/>
        <v>0.11238812901452168</v>
      </c>
      <c r="T9" s="363">
        <v>3773.05</v>
      </c>
      <c r="U9" s="26"/>
      <c r="W9" s="362">
        <v>35824.120000000003</v>
      </c>
      <c r="X9" s="386">
        <f t="shared" si="10"/>
        <v>31151.408695652179</v>
      </c>
      <c r="Z9" s="362">
        <v>28100.1</v>
      </c>
      <c r="AA9" s="386">
        <f t="shared" si="11"/>
        <v>24434.869565217392</v>
      </c>
    </row>
    <row r="10" spans="1:27" ht="15.6" customHeight="1" x14ac:dyDescent="0.3">
      <c r="A10" s="406" t="s">
        <v>16</v>
      </c>
      <c r="B10" s="310">
        <v>229895.69</v>
      </c>
      <c r="C10" s="310">
        <v>245906.86</v>
      </c>
      <c r="D10" s="310">
        <v>191397.82</v>
      </c>
      <c r="E10" s="356">
        <f t="shared" si="6"/>
        <v>-6.5110708989574287E-2</v>
      </c>
      <c r="F10" s="359">
        <v>184623.54</v>
      </c>
      <c r="G10" s="344">
        <v>219199.77</v>
      </c>
      <c r="H10" s="86">
        <f t="shared" si="0"/>
        <v>4.8795306673907614E-2</v>
      </c>
      <c r="I10" s="288">
        <f t="shared" si="1"/>
        <v>0.20114058770366347</v>
      </c>
      <c r="J10" s="362">
        <v>772</v>
      </c>
      <c r="K10" s="63">
        <f t="shared" si="7"/>
        <v>297.7923445595855</v>
      </c>
      <c r="L10" s="61">
        <v>1</v>
      </c>
      <c r="M10" s="28">
        <f t="shared" si="2"/>
        <v>1.2953367875647669E-3</v>
      </c>
      <c r="N10" s="46">
        <v>15</v>
      </c>
      <c r="O10" s="89">
        <f t="shared" si="3"/>
        <v>1.9430051813471502E-2</v>
      </c>
      <c r="P10" s="260">
        <f t="shared" si="8"/>
        <v>53566.895652173924</v>
      </c>
      <c r="Q10" s="89">
        <f t="shared" si="4"/>
        <v>0.2330052192460586</v>
      </c>
      <c r="R10" s="260">
        <f t="shared" si="9"/>
        <v>20157.878260869569</v>
      </c>
      <c r="S10" s="89">
        <f t="shared" si="5"/>
        <v>8.768271497769084E-2</v>
      </c>
      <c r="T10" s="363">
        <v>7125.26</v>
      </c>
      <c r="U10" s="26"/>
      <c r="W10" s="362">
        <v>38420.370000000003</v>
      </c>
      <c r="X10" s="386">
        <f t="shared" si="10"/>
        <v>33409.017391304355</v>
      </c>
      <c r="Z10" s="362">
        <v>23181.56</v>
      </c>
      <c r="AA10" s="386">
        <f t="shared" si="11"/>
        <v>20157.878260869569</v>
      </c>
    </row>
    <row r="11" spans="1:27" ht="15.6" customHeight="1" x14ac:dyDescent="0.3">
      <c r="A11" s="406" t="s">
        <v>17</v>
      </c>
      <c r="B11" s="310">
        <v>136438.82999999999</v>
      </c>
      <c r="C11" s="310">
        <v>136294.53</v>
      </c>
      <c r="D11" s="310">
        <v>86713.33</v>
      </c>
      <c r="E11" s="356">
        <f t="shared" si="6"/>
        <v>1.0587365465069534E-3</v>
      </c>
      <c r="F11" s="359">
        <v>108837.9</v>
      </c>
      <c r="G11" s="344">
        <v>108709.21</v>
      </c>
      <c r="H11" s="86">
        <f t="shared" si="0"/>
        <v>0.25508068727571453</v>
      </c>
      <c r="I11" s="288">
        <f t="shared" si="1"/>
        <v>0.57344701212604776</v>
      </c>
      <c r="J11" s="362">
        <v>477</v>
      </c>
      <c r="K11" s="63">
        <f t="shared" si="7"/>
        <v>286.03528301886791</v>
      </c>
      <c r="L11" s="61">
        <v>3</v>
      </c>
      <c r="M11" s="28">
        <f t="shared" si="2"/>
        <v>6.2893081761006293E-3</v>
      </c>
      <c r="N11" s="46">
        <v>22</v>
      </c>
      <c r="O11" s="89">
        <f t="shared" si="3"/>
        <v>4.6121593291404611E-2</v>
      </c>
      <c r="P11" s="260">
        <f t="shared" si="8"/>
        <v>57927.295652173918</v>
      </c>
      <c r="Q11" s="89">
        <f t="shared" si="4"/>
        <v>0.42456605390249919</v>
      </c>
      <c r="R11" s="260">
        <f t="shared" si="9"/>
        <v>15576.243478260871</v>
      </c>
      <c r="S11" s="89">
        <f t="shared" si="5"/>
        <v>0.11416283383741177</v>
      </c>
      <c r="T11" s="363">
        <v>3181.5</v>
      </c>
      <c r="U11" s="26"/>
      <c r="W11" s="362">
        <v>48703.71</v>
      </c>
      <c r="X11" s="386">
        <f t="shared" si="10"/>
        <v>42351.052173913049</v>
      </c>
      <c r="Z11" s="362">
        <v>17912.68</v>
      </c>
      <c r="AA11" s="386">
        <f t="shared" si="11"/>
        <v>15576.243478260871</v>
      </c>
    </row>
    <row r="12" spans="1:27" ht="15.6" customHeight="1" x14ac:dyDescent="0.3">
      <c r="A12" s="160" t="s">
        <v>55</v>
      </c>
      <c r="B12" s="310">
        <v>214787.51</v>
      </c>
      <c r="C12" s="310">
        <v>229617.68</v>
      </c>
      <c r="D12" s="310">
        <v>206751.49</v>
      </c>
      <c r="E12" s="356">
        <f t="shared" si="6"/>
        <v>-6.4586359377901498E-2</v>
      </c>
      <c r="F12" s="359">
        <v>174688.88</v>
      </c>
      <c r="G12" s="344">
        <v>192804.32</v>
      </c>
      <c r="H12" s="356">
        <f t="shared" si="0"/>
        <v>0.11401814025743823</v>
      </c>
      <c r="I12" s="349">
        <f t="shared" si="1"/>
        <v>3.8868014929420915E-2</v>
      </c>
      <c r="J12" s="311">
        <v>744</v>
      </c>
      <c r="K12" s="63">
        <f t="shared" si="7"/>
        <v>288.69288978494626</v>
      </c>
      <c r="L12" s="61">
        <v>7</v>
      </c>
      <c r="M12" s="28">
        <f t="shared" si="2"/>
        <v>9.4086021505376347E-3</v>
      </c>
      <c r="N12" s="46">
        <v>17</v>
      </c>
      <c r="O12" s="89">
        <f t="shared" si="3"/>
        <v>2.2849462365591398E-2</v>
      </c>
      <c r="P12" s="260">
        <f t="shared" si="8"/>
        <v>60792.886956521732</v>
      </c>
      <c r="Q12" s="89">
        <f t="shared" si="4"/>
        <v>0.28303734680159814</v>
      </c>
      <c r="R12" s="260">
        <f t="shared" si="9"/>
        <v>28009.765217391305</v>
      </c>
      <c r="S12" s="89">
        <f t="shared" si="5"/>
        <v>0.13040686219320344</v>
      </c>
      <c r="T12" s="363">
        <v>5045</v>
      </c>
      <c r="U12" s="9"/>
      <c r="W12" s="362">
        <v>37700.589999999997</v>
      </c>
      <c r="X12" s="386">
        <f t="shared" si="10"/>
        <v>32783.121739130431</v>
      </c>
      <c r="Z12" s="362">
        <v>32211.23</v>
      </c>
      <c r="AA12" s="386">
        <f t="shared" si="11"/>
        <v>28009.765217391305</v>
      </c>
    </row>
    <row r="13" spans="1:27" ht="15.6" customHeight="1" x14ac:dyDescent="0.3">
      <c r="A13" s="160" t="s">
        <v>33</v>
      </c>
      <c r="B13" s="310">
        <v>191737.13</v>
      </c>
      <c r="C13" s="310">
        <v>183536.42</v>
      </c>
      <c r="D13" s="310"/>
      <c r="E13" s="356">
        <f t="shared" si="6"/>
        <v>4.4681649560343345E-2</v>
      </c>
      <c r="F13" s="359">
        <v>145601.81</v>
      </c>
      <c r="G13" s="344">
        <v>183194.06</v>
      </c>
      <c r="H13" s="86">
        <f t="shared" si="0"/>
        <v>4.663399020688775E-2</v>
      </c>
      <c r="I13" s="288">
        <f t="shared" si="1"/>
        <v>0</v>
      </c>
      <c r="J13" s="362">
        <v>657</v>
      </c>
      <c r="K13" s="63">
        <f t="shared" si="7"/>
        <v>291.83733637747338</v>
      </c>
      <c r="L13" s="61">
        <v>13</v>
      </c>
      <c r="M13" s="28">
        <f t="shared" si="2"/>
        <v>1.9786910197869101E-2</v>
      </c>
      <c r="N13" s="46">
        <v>37</v>
      </c>
      <c r="O13" s="89">
        <f t="shared" si="3"/>
        <v>5.6316590563165903E-2</v>
      </c>
      <c r="P13" s="260">
        <f t="shared" si="8"/>
        <v>50787.060869565219</v>
      </c>
      <c r="Q13" s="89">
        <f t="shared" si="4"/>
        <v>0.26487859117097046</v>
      </c>
      <c r="R13" s="260">
        <f t="shared" si="9"/>
        <v>25065.217391304348</v>
      </c>
      <c r="S13" s="89">
        <f t="shared" si="5"/>
        <v>0.13072698747135908</v>
      </c>
      <c r="T13" s="363">
        <v>3347</v>
      </c>
      <c r="U13" s="9"/>
      <c r="W13" s="362">
        <v>29580.12</v>
      </c>
      <c r="X13" s="386">
        <f t="shared" si="10"/>
        <v>25721.843478260871</v>
      </c>
      <c r="Z13" s="390">
        <v>28825</v>
      </c>
      <c r="AA13" s="386">
        <f t="shared" si="11"/>
        <v>25065.217391304348</v>
      </c>
    </row>
    <row r="14" spans="1:27" ht="16.2" customHeight="1" thickBot="1" x14ac:dyDescent="0.35">
      <c r="A14" s="406" t="s">
        <v>20</v>
      </c>
      <c r="B14" s="310">
        <v>178528.49</v>
      </c>
      <c r="C14" s="310">
        <v>140083.12</v>
      </c>
      <c r="D14" s="310">
        <v>144600.03</v>
      </c>
      <c r="E14" s="356">
        <f t="shared" si="6"/>
        <v>0.27444684270310366</v>
      </c>
      <c r="F14" s="359">
        <v>151736.75</v>
      </c>
      <c r="G14" s="344">
        <v>166802.73000000001</v>
      </c>
      <c r="H14" s="86">
        <f t="shared" si="0"/>
        <v>7.0297170795705674E-2</v>
      </c>
      <c r="I14" s="288">
        <f t="shared" si="1"/>
        <v>0.23463660415561458</v>
      </c>
      <c r="J14" s="362">
        <v>524</v>
      </c>
      <c r="K14" s="63">
        <f t="shared" si="7"/>
        <v>340.7032251908397</v>
      </c>
      <c r="L14" s="61">
        <v>11</v>
      </c>
      <c r="M14" s="28">
        <f t="shared" si="2"/>
        <v>2.0992366412213741E-2</v>
      </c>
      <c r="N14" s="46">
        <v>41</v>
      </c>
      <c r="O14" s="89">
        <f t="shared" si="3"/>
        <v>7.8244274809160311E-2</v>
      </c>
      <c r="P14" s="260">
        <f t="shared" si="8"/>
        <v>62959.069565217396</v>
      </c>
      <c r="Q14" s="89">
        <f t="shared" si="4"/>
        <v>0.35265558771721756</v>
      </c>
      <c r="R14" s="260">
        <f t="shared" si="9"/>
        <v>30541.939130434788</v>
      </c>
      <c r="S14" s="89">
        <f t="shared" si="5"/>
        <v>0.17107599537997992</v>
      </c>
      <c r="T14" s="376">
        <v>3707.2</v>
      </c>
      <c r="U14" s="26"/>
      <c r="W14" s="362">
        <v>37279.699999999997</v>
      </c>
      <c r="X14" s="386">
        <f t="shared" si="10"/>
        <v>32417.130434782608</v>
      </c>
      <c r="Z14" s="362">
        <v>35123.230000000003</v>
      </c>
      <c r="AA14" s="386">
        <f t="shared" si="11"/>
        <v>30541.939130434788</v>
      </c>
    </row>
    <row r="15" spans="1:27" ht="16.2" customHeight="1" thickBot="1" x14ac:dyDescent="0.35">
      <c r="A15" s="161" t="s">
        <v>22</v>
      </c>
      <c r="B15" s="373">
        <v>164266.12</v>
      </c>
      <c r="C15" s="321">
        <v>159223</v>
      </c>
      <c r="D15" s="321">
        <v>152846.04</v>
      </c>
      <c r="E15" s="357">
        <f t="shared" si="6"/>
        <v>3.1673313528824326E-2</v>
      </c>
      <c r="F15" s="374">
        <v>130960</v>
      </c>
      <c r="G15" s="375">
        <v>141844.60999999999</v>
      </c>
      <c r="H15" s="341">
        <f t="shared" si="0"/>
        <v>0.15807093410176115</v>
      </c>
      <c r="I15" s="289">
        <f t="shared" si="1"/>
        <v>7.4716230790146651E-2</v>
      </c>
      <c r="J15" s="376">
        <v>542</v>
      </c>
      <c r="K15" s="132">
        <f t="shared" si="7"/>
        <v>303.07402214022142</v>
      </c>
      <c r="L15" s="133">
        <v>6</v>
      </c>
      <c r="M15" s="114">
        <f t="shared" si="2"/>
        <v>1.107011070110701E-2</v>
      </c>
      <c r="N15" s="115">
        <v>27</v>
      </c>
      <c r="O15" s="116">
        <f t="shared" si="3"/>
        <v>4.9815498154981548E-2</v>
      </c>
      <c r="P15" s="261">
        <f t="shared" si="8"/>
        <v>43104.547826086957</v>
      </c>
      <c r="Q15" s="116">
        <f t="shared" si="4"/>
        <v>0.26240680565223651</v>
      </c>
      <c r="R15" s="261">
        <f t="shared" si="9"/>
        <v>26861.200000000004</v>
      </c>
      <c r="S15" s="116">
        <f t="shared" si="5"/>
        <v>0.16352245977441973</v>
      </c>
      <c r="T15" s="377">
        <v>4078.08</v>
      </c>
      <c r="U15" s="26"/>
      <c r="W15" s="387">
        <v>18679.849999999999</v>
      </c>
      <c r="X15" s="388">
        <f t="shared" si="10"/>
        <v>16243.347826086956</v>
      </c>
      <c r="Z15" s="387">
        <v>30890.38</v>
      </c>
      <c r="AA15" s="388">
        <f t="shared" si="11"/>
        <v>26861.200000000004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E5:F15 H5:I15 K5:S15">
    <cfRule type="cellIs" dxfId="64" priority="4" operator="equal">
      <formula>0</formula>
    </cfRule>
  </conditionalFormatting>
  <conditionalFormatting sqref="P12:P13">
    <cfRule type="cellIs" dxfId="63" priority="2" operator="equal">
      <formula>0</formula>
    </cfRule>
  </conditionalFormatting>
  <conditionalFormatting sqref="W5">
    <cfRule type="cellIs" dxfId="6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AA37"/>
  <sheetViews>
    <sheetView zoomScale="60" zoomScaleNormal="60" workbookViewId="0">
      <pane xSplit="1" topLeftCell="B1" activePane="topRight" state="frozen"/>
      <selection pane="topRight" activeCell="G13" sqref="G13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400">
        <f>((B4-C4)/B4)</f>
        <v>-7.1844841507239299E-2</v>
      </c>
      <c r="F2" s="426"/>
      <c r="G2" s="1"/>
      <c r="H2" s="427"/>
      <c r="I2" s="422">
        <f>((B4-D4)/D4)</f>
        <v>0.10554725057676488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Top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5.6" customHeight="1" x14ac:dyDescent="0.3">
      <c r="A4" s="3" t="s">
        <v>13</v>
      </c>
      <c r="B4" s="98">
        <f>SUM(B5:B15)</f>
        <v>2089718.1600000001</v>
      </c>
      <c r="C4" s="98">
        <f>SUM(C5:C15)</f>
        <v>2239853.63</v>
      </c>
      <c r="D4" s="98">
        <f>SUM(D5:D15)</f>
        <v>1890211.53</v>
      </c>
      <c r="E4" s="436">
        <f>IFERROR((SUM(B4-C4)/B4),0)</f>
        <v>-7.1844841507239299E-2</v>
      </c>
      <c r="F4" s="98">
        <f>SUM(F5:F15)</f>
        <v>3891476.67</v>
      </c>
      <c r="G4" s="98">
        <f>SUM(G5:G15)</f>
        <v>1953406.9600000002</v>
      </c>
      <c r="H4" s="436">
        <f t="shared" ref="H4:H15" si="0">IFERROR((SUM(B4-G4)/G4),0)</f>
        <v>6.9781260531599595E-2</v>
      </c>
      <c r="I4" s="436">
        <f t="shared" ref="I4:I15" si="1">IFERROR((SUM(B4-D4)/D4),0)</f>
        <v>0.10554725057676488</v>
      </c>
      <c r="J4" s="437">
        <f>SUM(J5:J15)</f>
        <v>6773</v>
      </c>
      <c r="K4" s="438">
        <f>AVERAGE(K5:K15)</f>
        <v>305.98535116801065</v>
      </c>
      <c r="L4" s="439">
        <f>SUM(L5:L15)</f>
        <v>91</v>
      </c>
      <c r="M4" s="440">
        <f t="shared" ref="M4:M15" si="2">IFERROR(L4/J4,0)</f>
        <v>1.3435700575815739E-2</v>
      </c>
      <c r="N4" s="441">
        <f>SUM(N7:N15)</f>
        <v>256</v>
      </c>
      <c r="O4" s="442">
        <f t="shared" ref="O4:O15" si="3">IFERROR(N4/SUM(J4),0)</f>
        <v>3.7797135685811313E-2</v>
      </c>
      <c r="P4" s="443">
        <f>SUM(P5:P15)</f>
        <v>570963.06086956535</v>
      </c>
      <c r="Q4" s="442">
        <f t="shared" ref="Q4:Q15" si="4">SUM(P4/B4)</f>
        <v>0.27322491223867496</v>
      </c>
      <c r="R4" s="443">
        <f>SUM(R5:R15)</f>
        <v>251710.31304347827</v>
      </c>
      <c r="S4" s="442">
        <f t="shared" ref="S4:S15" si="5">SUM(R4/B4)</f>
        <v>0.12045179960702368</v>
      </c>
      <c r="T4" s="444">
        <f>SUM(T5:T15)</f>
        <v>50363.48</v>
      </c>
      <c r="U4" s="24"/>
      <c r="W4" s="362"/>
      <c r="X4" s="384"/>
      <c r="Z4" s="362"/>
      <c r="AA4" s="384"/>
    </row>
    <row r="5" spans="1:27" ht="15.6" customHeight="1" x14ac:dyDescent="0.3">
      <c r="A5" s="12" t="s">
        <v>26</v>
      </c>
      <c r="B5" s="310">
        <v>327318.78999999998</v>
      </c>
      <c r="C5" s="310">
        <v>298945.81</v>
      </c>
      <c r="D5" s="310">
        <v>166877.21</v>
      </c>
      <c r="E5" s="86">
        <f t="shared" ref="E5:E15" si="6">IFERROR((SUM(B5-C5)/C5),0)</f>
        <v>9.4910110966265032E-2</v>
      </c>
      <c r="F5" s="310">
        <v>569155.96</v>
      </c>
      <c r="G5" s="310">
        <v>259704.01</v>
      </c>
      <c r="H5" s="86">
        <f t="shared" si="0"/>
        <v>0.26035323828846529</v>
      </c>
      <c r="I5" s="86">
        <f t="shared" si="1"/>
        <v>0.96143493770060029</v>
      </c>
      <c r="J5" s="311">
        <v>982</v>
      </c>
      <c r="K5" s="63">
        <f t="shared" ref="K5:K15" si="7">IFERROR(B5/J5,0)</f>
        <v>333.31852342158857</v>
      </c>
      <c r="L5" s="61">
        <v>10</v>
      </c>
      <c r="M5" s="28">
        <f t="shared" si="2"/>
        <v>1.0183299389002037E-2</v>
      </c>
      <c r="N5" s="46">
        <v>42</v>
      </c>
      <c r="O5" s="89">
        <f t="shared" si="3"/>
        <v>4.2769857433808553E-2</v>
      </c>
      <c r="P5" s="260">
        <f t="shared" ref="P5:P15" si="8">SUM(X5+AA5)</f>
        <v>23506.521739130436</v>
      </c>
      <c r="Q5" s="89">
        <f t="shared" si="4"/>
        <v>7.181537527720433E-2</v>
      </c>
      <c r="R5" s="260">
        <f t="shared" ref="R5:R15" si="9">SUM(AA5)</f>
        <v>23506.521739130436</v>
      </c>
      <c r="S5" s="89">
        <f t="shared" si="5"/>
        <v>7.181537527720433E-2</v>
      </c>
      <c r="T5" s="310">
        <v>1193</v>
      </c>
      <c r="U5" s="9"/>
      <c r="W5" s="385"/>
      <c r="X5" s="386">
        <f t="shared" ref="X5:X15" si="10">W5/1.15</f>
        <v>0</v>
      </c>
      <c r="Z5" s="238">
        <v>27032.5</v>
      </c>
      <c r="AA5" s="386">
        <f t="shared" ref="AA5:AA15" si="11">SUM(Z5)/1.15</f>
        <v>23506.521739130436</v>
      </c>
    </row>
    <row r="6" spans="1:27" ht="15.6" customHeight="1" x14ac:dyDescent="0.3">
      <c r="A6" s="445" t="s">
        <v>21</v>
      </c>
      <c r="B6" s="310">
        <v>225755.62</v>
      </c>
      <c r="C6" s="310">
        <v>242039.42</v>
      </c>
      <c r="D6" s="310">
        <v>317233.91999999998</v>
      </c>
      <c r="E6" s="86">
        <f t="shared" si="6"/>
        <v>-6.7277470752491547E-2</v>
      </c>
      <c r="F6" s="310">
        <v>415861.23</v>
      </c>
      <c r="G6" s="310">
        <v>194781.6</v>
      </c>
      <c r="H6" s="86">
        <f t="shared" si="0"/>
        <v>0.15901922974243968</v>
      </c>
      <c r="I6" s="86">
        <f t="shared" si="1"/>
        <v>-0.28836229114465439</v>
      </c>
      <c r="J6" s="311">
        <v>697</v>
      </c>
      <c r="K6" s="63">
        <f t="shared" si="7"/>
        <v>323.89615494978477</v>
      </c>
      <c r="L6" s="61">
        <v>10</v>
      </c>
      <c r="M6" s="28">
        <f t="shared" si="2"/>
        <v>1.4347202295552367E-2</v>
      </c>
      <c r="N6" s="46">
        <v>42</v>
      </c>
      <c r="O6" s="89">
        <f t="shared" si="3"/>
        <v>6.0258249641319941E-2</v>
      </c>
      <c r="P6" s="260">
        <f t="shared" si="8"/>
        <v>67111.243478260876</v>
      </c>
      <c r="Q6" s="89">
        <f t="shared" si="4"/>
        <v>0.29727385514593557</v>
      </c>
      <c r="R6" s="260">
        <f t="shared" si="9"/>
        <v>24990.895652173913</v>
      </c>
      <c r="S6" s="89">
        <f t="shared" si="5"/>
        <v>0.11069888604400596</v>
      </c>
      <c r="T6" s="310">
        <v>6139.2</v>
      </c>
      <c r="U6" s="26"/>
      <c r="W6" s="238">
        <v>48438.400000000001</v>
      </c>
      <c r="X6" s="386">
        <f t="shared" si="10"/>
        <v>42120.34782608696</v>
      </c>
      <c r="Z6" s="238">
        <v>28739.53</v>
      </c>
      <c r="AA6" s="386">
        <f t="shared" si="11"/>
        <v>24990.895652173913</v>
      </c>
    </row>
    <row r="7" spans="1:27" ht="16.5" customHeight="1" x14ac:dyDescent="0.3">
      <c r="A7" s="445" t="s">
        <v>15</v>
      </c>
      <c r="B7" s="310">
        <v>218640.04</v>
      </c>
      <c r="C7" s="310">
        <v>236290.59</v>
      </c>
      <c r="D7" s="310">
        <v>254835.6</v>
      </c>
      <c r="E7" s="86">
        <f t="shared" si="6"/>
        <v>-7.4698488839525887E-2</v>
      </c>
      <c r="F7" s="310">
        <v>414537.79</v>
      </c>
      <c r="G7" s="310">
        <v>208482.78</v>
      </c>
      <c r="H7" s="86">
        <f t="shared" si="0"/>
        <v>4.8719899072719626E-2</v>
      </c>
      <c r="I7" s="86">
        <f t="shared" si="1"/>
        <v>-0.14203494331247282</v>
      </c>
      <c r="J7" s="311">
        <v>623</v>
      </c>
      <c r="K7" s="63">
        <f t="shared" si="7"/>
        <v>350.9470947030498</v>
      </c>
      <c r="L7" s="61">
        <v>4</v>
      </c>
      <c r="M7" s="28">
        <f t="shared" si="2"/>
        <v>6.420545746388443E-3</v>
      </c>
      <c r="N7" s="46">
        <v>24</v>
      </c>
      <c r="O7" s="89">
        <f t="shared" si="3"/>
        <v>3.8523274478330656E-2</v>
      </c>
      <c r="P7" s="260">
        <f t="shared" si="8"/>
        <v>43654.400000000001</v>
      </c>
      <c r="Q7" s="89">
        <f t="shared" si="4"/>
        <v>0.19966333705390832</v>
      </c>
      <c r="R7" s="260">
        <f t="shared" si="9"/>
        <v>2158.0956521739131</v>
      </c>
      <c r="S7" s="89">
        <f t="shared" si="5"/>
        <v>9.8705417917683922E-3</v>
      </c>
      <c r="T7" s="310">
        <v>3872</v>
      </c>
      <c r="U7" s="26"/>
      <c r="W7" s="238">
        <v>47720.75</v>
      </c>
      <c r="X7" s="386">
        <f t="shared" si="10"/>
        <v>41496.304347826088</v>
      </c>
      <c r="Z7" s="238">
        <v>2481.81</v>
      </c>
      <c r="AA7" s="386">
        <f t="shared" si="11"/>
        <v>2158.0956521739131</v>
      </c>
    </row>
    <row r="8" spans="1:27" ht="15.6" customHeight="1" x14ac:dyDescent="0.3">
      <c r="A8" s="12" t="s">
        <v>27</v>
      </c>
      <c r="B8" s="310">
        <v>128595.12</v>
      </c>
      <c r="C8" s="310">
        <v>129509</v>
      </c>
      <c r="D8" s="310">
        <v>125945.97</v>
      </c>
      <c r="E8" s="86">
        <f t="shared" si="6"/>
        <v>-7.0564980039997576E-3</v>
      </c>
      <c r="F8" s="310">
        <v>233684.46</v>
      </c>
      <c r="G8" s="310">
        <v>137113.72</v>
      </c>
      <c r="H8" s="86">
        <f t="shared" si="0"/>
        <v>-6.2127991276146585E-2</v>
      </c>
      <c r="I8" s="86">
        <f t="shared" si="1"/>
        <v>2.1034019587923253E-2</v>
      </c>
      <c r="J8" s="311">
        <v>456</v>
      </c>
      <c r="K8" s="63">
        <f t="shared" si="7"/>
        <v>282.00684210526316</v>
      </c>
      <c r="L8" s="61">
        <v>11</v>
      </c>
      <c r="M8" s="28">
        <f t="shared" si="2"/>
        <v>2.4122807017543858E-2</v>
      </c>
      <c r="N8" s="46">
        <v>25</v>
      </c>
      <c r="O8" s="89">
        <f t="shared" si="3"/>
        <v>5.4824561403508769E-2</v>
      </c>
      <c r="P8" s="260">
        <f t="shared" si="8"/>
        <v>50211.721739130444</v>
      </c>
      <c r="Q8" s="89">
        <f t="shared" si="4"/>
        <v>0.39046366408873406</v>
      </c>
      <c r="R8" s="260">
        <f t="shared" si="9"/>
        <v>23316.391304347828</v>
      </c>
      <c r="S8" s="89">
        <f t="shared" si="5"/>
        <v>0.1813162995947889</v>
      </c>
      <c r="T8" s="310">
        <v>4365.55</v>
      </c>
      <c r="U8" s="9"/>
      <c r="W8" s="238">
        <v>30929.63</v>
      </c>
      <c r="X8" s="386">
        <f t="shared" si="10"/>
        <v>26895.330434782612</v>
      </c>
      <c r="Z8" s="238">
        <v>26813.85</v>
      </c>
      <c r="AA8" s="386">
        <f t="shared" si="11"/>
        <v>23316.391304347828</v>
      </c>
    </row>
    <row r="9" spans="1:27" ht="15.6" customHeight="1" x14ac:dyDescent="0.3">
      <c r="A9" s="12" t="s">
        <v>23</v>
      </c>
      <c r="B9" s="310">
        <v>198421.22</v>
      </c>
      <c r="C9" s="310">
        <v>217415.04000000001</v>
      </c>
      <c r="D9" s="310">
        <v>243010.12</v>
      </c>
      <c r="E9" s="86">
        <f t="shared" si="6"/>
        <v>-8.7362033463738317E-2</v>
      </c>
      <c r="F9" s="310">
        <v>370800.98</v>
      </c>
      <c r="G9" s="310">
        <v>192037.69</v>
      </c>
      <c r="H9" s="86">
        <f t="shared" si="0"/>
        <v>3.3241026800520247E-2</v>
      </c>
      <c r="I9" s="86">
        <f t="shared" si="1"/>
        <v>-0.18348577417269699</v>
      </c>
      <c r="J9" s="311">
        <v>673</v>
      </c>
      <c r="K9" s="63">
        <f t="shared" si="7"/>
        <v>294.83093610698364</v>
      </c>
      <c r="L9" s="61">
        <v>15</v>
      </c>
      <c r="M9" s="28">
        <f t="shared" si="2"/>
        <v>2.2288261515601784E-2</v>
      </c>
      <c r="N9" s="46">
        <v>48</v>
      </c>
      <c r="O9" s="89">
        <f t="shared" si="3"/>
        <v>7.1322436849925702E-2</v>
      </c>
      <c r="P9" s="260">
        <f t="shared" si="8"/>
        <v>61544.391304347831</v>
      </c>
      <c r="Q9" s="89">
        <f t="shared" si="4"/>
        <v>0.31017041072697682</v>
      </c>
      <c r="R9" s="260">
        <f t="shared" si="9"/>
        <v>25106.400000000001</v>
      </c>
      <c r="S9" s="89">
        <f t="shared" si="5"/>
        <v>0.12653082165304699</v>
      </c>
      <c r="T9" s="310">
        <v>4004.5</v>
      </c>
      <c r="U9" s="26"/>
      <c r="W9" s="238">
        <v>41903.69</v>
      </c>
      <c r="X9" s="386">
        <f t="shared" si="10"/>
        <v>36437.99130434783</v>
      </c>
      <c r="Z9" s="238">
        <v>28872.36</v>
      </c>
      <c r="AA9" s="386">
        <f t="shared" si="11"/>
        <v>25106.400000000001</v>
      </c>
    </row>
    <row r="10" spans="1:27" ht="15.6" customHeight="1" x14ac:dyDescent="0.3">
      <c r="A10" s="445" t="s">
        <v>16</v>
      </c>
      <c r="B10" s="310">
        <v>158185.78</v>
      </c>
      <c r="C10" s="310">
        <v>229895.69</v>
      </c>
      <c r="D10" s="310">
        <v>191397.82</v>
      </c>
      <c r="E10" s="86">
        <f t="shared" si="6"/>
        <v>-0.31192368156184225</v>
      </c>
      <c r="F10" s="310">
        <v>342809.32</v>
      </c>
      <c r="G10" s="310">
        <v>207551.54</v>
      </c>
      <c r="H10" s="86">
        <f t="shared" si="0"/>
        <v>-0.23784819905455776</v>
      </c>
      <c r="I10" s="86">
        <f t="shared" si="1"/>
        <v>-0.17352360648621812</v>
      </c>
      <c r="J10" s="311">
        <v>542</v>
      </c>
      <c r="K10" s="63">
        <f t="shared" si="7"/>
        <v>291.85568265682656</v>
      </c>
      <c r="L10" s="61">
        <v>1</v>
      </c>
      <c r="M10" s="28">
        <f t="shared" si="2"/>
        <v>1.8450184501845018E-3</v>
      </c>
      <c r="N10" s="46">
        <v>15</v>
      </c>
      <c r="O10" s="89">
        <f t="shared" si="3"/>
        <v>2.7675276752767528E-2</v>
      </c>
      <c r="P10" s="260">
        <f t="shared" si="8"/>
        <v>30005.504347826085</v>
      </c>
      <c r="Q10" s="89">
        <f t="shared" si="4"/>
        <v>0.1896852191633539</v>
      </c>
      <c r="R10" s="260">
        <f t="shared" si="9"/>
        <v>16624.347826086956</v>
      </c>
      <c r="S10" s="89">
        <f t="shared" si="5"/>
        <v>0.10509381959672327</v>
      </c>
      <c r="T10" s="310">
        <v>8887.08</v>
      </c>
      <c r="U10" s="26"/>
      <c r="W10" s="238">
        <v>15388.33</v>
      </c>
      <c r="X10" s="386">
        <f t="shared" si="10"/>
        <v>13381.156521739131</v>
      </c>
      <c r="Z10" s="238">
        <v>19118</v>
      </c>
      <c r="AA10" s="386">
        <f t="shared" si="11"/>
        <v>16624.347826086956</v>
      </c>
    </row>
    <row r="11" spans="1:27" ht="15.6" customHeight="1" x14ac:dyDescent="0.3">
      <c r="A11" s="445" t="s">
        <v>17</v>
      </c>
      <c r="B11" s="310">
        <v>146668.79</v>
      </c>
      <c r="C11" s="310">
        <v>136438.82999999999</v>
      </c>
      <c r="D11" s="310">
        <v>86713.33</v>
      </c>
      <c r="E11" s="86">
        <f t="shared" si="6"/>
        <v>7.4978362098238618E-2</v>
      </c>
      <c r="F11" s="310">
        <v>255506.69</v>
      </c>
      <c r="G11" s="310">
        <v>124702.84</v>
      </c>
      <c r="H11" s="86">
        <f t="shared" si="0"/>
        <v>0.17614634919300964</v>
      </c>
      <c r="I11" s="86">
        <f t="shared" si="1"/>
        <v>0.69142149194362623</v>
      </c>
      <c r="J11" s="311">
        <v>502</v>
      </c>
      <c r="K11" s="63">
        <f t="shared" si="7"/>
        <v>292.16890438247015</v>
      </c>
      <c r="L11" s="61">
        <v>3</v>
      </c>
      <c r="M11" s="28">
        <f t="shared" si="2"/>
        <v>5.9760956175298804E-3</v>
      </c>
      <c r="N11" s="46">
        <v>22</v>
      </c>
      <c r="O11" s="89">
        <f t="shared" si="3"/>
        <v>4.3824701195219126E-2</v>
      </c>
      <c r="P11" s="260">
        <f t="shared" si="8"/>
        <v>76386.478260869568</v>
      </c>
      <c r="Q11" s="89">
        <f t="shared" si="4"/>
        <v>0.5208093573340965</v>
      </c>
      <c r="R11" s="260">
        <f t="shared" si="9"/>
        <v>26496.313043478262</v>
      </c>
      <c r="S11" s="89">
        <f t="shared" si="5"/>
        <v>0.18065406446373669</v>
      </c>
      <c r="T11" s="310">
        <v>4387.1499999999996</v>
      </c>
      <c r="U11" s="26"/>
      <c r="W11" s="238">
        <v>57373.69</v>
      </c>
      <c r="X11" s="386">
        <f t="shared" si="10"/>
        <v>49890.16521739131</v>
      </c>
      <c r="Z11" s="238">
        <v>30470.76</v>
      </c>
      <c r="AA11" s="386">
        <f t="shared" si="11"/>
        <v>26496.313043478262</v>
      </c>
    </row>
    <row r="12" spans="1:27" ht="15.6" customHeight="1" x14ac:dyDescent="0.3">
      <c r="A12" s="12" t="s">
        <v>55</v>
      </c>
      <c r="B12" s="310">
        <v>217602.7</v>
      </c>
      <c r="C12" s="310">
        <v>214787.51</v>
      </c>
      <c r="D12" s="310">
        <v>206751.49</v>
      </c>
      <c r="E12" s="86">
        <f t="shared" si="6"/>
        <v>1.3106860822586948E-2</v>
      </c>
      <c r="F12" s="310">
        <v>392291.58</v>
      </c>
      <c r="G12" s="310">
        <v>171421.97</v>
      </c>
      <c r="H12" s="86">
        <f t="shared" si="0"/>
        <v>0.26939796573333052</v>
      </c>
      <c r="I12" s="86">
        <f t="shared" si="1"/>
        <v>5.2484313414138013E-2</v>
      </c>
      <c r="J12" s="311">
        <v>720</v>
      </c>
      <c r="K12" s="63">
        <f t="shared" si="7"/>
        <v>302.22597222222225</v>
      </c>
      <c r="L12" s="61">
        <v>7</v>
      </c>
      <c r="M12" s="28">
        <f t="shared" si="2"/>
        <v>9.7222222222222224E-3</v>
      </c>
      <c r="N12" s="46">
        <v>17</v>
      </c>
      <c r="O12" s="89">
        <f t="shared" si="3"/>
        <v>2.361111111111111E-2</v>
      </c>
      <c r="P12" s="260">
        <f t="shared" si="8"/>
        <v>73830.147826086963</v>
      </c>
      <c r="Q12" s="89">
        <f t="shared" si="4"/>
        <v>0.33928874883485799</v>
      </c>
      <c r="R12" s="260">
        <f t="shared" si="9"/>
        <v>36153.356521739137</v>
      </c>
      <c r="S12" s="89">
        <f t="shared" si="5"/>
        <v>0.16614387836979566</v>
      </c>
      <c r="T12" s="310">
        <v>5152.6000000000004</v>
      </c>
      <c r="U12" s="9"/>
      <c r="W12" s="238">
        <v>43328.31</v>
      </c>
      <c r="X12" s="386">
        <f t="shared" si="10"/>
        <v>37676.791304347826</v>
      </c>
      <c r="Z12" s="238">
        <v>41576.36</v>
      </c>
      <c r="AA12" s="386">
        <f t="shared" si="11"/>
        <v>36153.356521739137</v>
      </c>
    </row>
    <row r="13" spans="1:27" ht="15.6" customHeight="1" x14ac:dyDescent="0.3">
      <c r="A13" s="12" t="s">
        <v>33</v>
      </c>
      <c r="B13" s="310">
        <v>176484.39</v>
      </c>
      <c r="C13" s="310">
        <v>191737.13</v>
      </c>
      <c r="D13" s="310"/>
      <c r="E13" s="86">
        <f t="shared" si="6"/>
        <v>-7.9550267598143307E-2</v>
      </c>
      <c r="F13" s="310">
        <v>322086.2</v>
      </c>
      <c r="G13" s="310">
        <v>176783.81</v>
      </c>
      <c r="H13" s="86">
        <f t="shared" si="0"/>
        <v>-1.6937071330230054E-3</v>
      </c>
      <c r="I13" s="86">
        <f t="shared" si="1"/>
        <v>0</v>
      </c>
      <c r="J13" s="311">
        <v>601</v>
      </c>
      <c r="K13" s="63">
        <f t="shared" si="7"/>
        <v>293.65123128119802</v>
      </c>
      <c r="L13" s="61">
        <v>13</v>
      </c>
      <c r="M13" s="28">
        <f t="shared" si="2"/>
        <v>2.1630615640599003E-2</v>
      </c>
      <c r="N13" s="46">
        <v>37</v>
      </c>
      <c r="O13" s="89">
        <f t="shared" si="3"/>
        <v>6.156405990016639E-2</v>
      </c>
      <c r="P13" s="260">
        <f t="shared" si="8"/>
        <v>49889.782608695656</v>
      </c>
      <c r="Q13" s="89">
        <f t="shared" si="4"/>
        <v>0.28268665919232661</v>
      </c>
      <c r="R13" s="260">
        <f t="shared" si="9"/>
        <v>27760.808695652177</v>
      </c>
      <c r="S13" s="89">
        <f t="shared" si="5"/>
        <v>0.15729894692472335</v>
      </c>
      <c r="T13" s="310">
        <v>4762.5</v>
      </c>
      <c r="U13" s="9"/>
      <c r="W13" s="238">
        <v>25448.32</v>
      </c>
      <c r="X13" s="386">
        <f t="shared" si="10"/>
        <v>22128.973913043479</v>
      </c>
      <c r="Z13" s="238">
        <v>31924.93</v>
      </c>
      <c r="AA13" s="386">
        <f t="shared" si="11"/>
        <v>27760.808695652177</v>
      </c>
    </row>
    <row r="14" spans="1:27" ht="15.6" customHeight="1" x14ac:dyDescent="0.3">
      <c r="A14" s="445" t="s">
        <v>20</v>
      </c>
      <c r="B14" s="310">
        <v>137720.98000000001</v>
      </c>
      <c r="C14" s="310">
        <v>178528.49</v>
      </c>
      <c r="D14" s="310">
        <v>144600.03</v>
      </c>
      <c r="E14" s="86">
        <f t="shared" si="6"/>
        <v>-0.22857701871561217</v>
      </c>
      <c r="F14" s="310">
        <v>289457.73</v>
      </c>
      <c r="G14" s="310">
        <v>150013.85</v>
      </c>
      <c r="H14" s="86">
        <f t="shared" si="0"/>
        <v>-8.1944900420861111E-2</v>
      </c>
      <c r="I14" s="86">
        <f t="shared" si="1"/>
        <v>-4.7572950019443207E-2</v>
      </c>
      <c r="J14" s="311">
        <v>437</v>
      </c>
      <c r="K14" s="63">
        <f t="shared" si="7"/>
        <v>315.1509839816934</v>
      </c>
      <c r="L14" s="61">
        <v>11</v>
      </c>
      <c r="M14" s="28">
        <f t="shared" si="2"/>
        <v>2.5171624713958809E-2</v>
      </c>
      <c r="N14" s="46">
        <v>41</v>
      </c>
      <c r="O14" s="89">
        <f t="shared" si="3"/>
        <v>9.3821510297482841E-2</v>
      </c>
      <c r="P14" s="260">
        <f t="shared" si="8"/>
        <v>56059.321739130435</v>
      </c>
      <c r="Q14" s="89">
        <f t="shared" si="4"/>
        <v>0.40704997698339374</v>
      </c>
      <c r="R14" s="260">
        <f t="shared" si="9"/>
        <v>24053.078260869566</v>
      </c>
      <c r="S14" s="89">
        <f t="shared" si="5"/>
        <v>0.17465079220950624</v>
      </c>
      <c r="T14" s="310">
        <v>1295.1500000000001</v>
      </c>
      <c r="U14" s="26"/>
      <c r="W14" s="238">
        <v>36807.18</v>
      </c>
      <c r="X14" s="386">
        <f t="shared" si="10"/>
        <v>32006.243478260873</v>
      </c>
      <c r="Z14" s="238">
        <v>27661.040000000001</v>
      </c>
      <c r="AA14" s="386">
        <f t="shared" si="11"/>
        <v>24053.078260869566</v>
      </c>
    </row>
    <row r="15" spans="1:27" ht="16.2" customHeight="1" thickBot="1" x14ac:dyDescent="0.35">
      <c r="A15" s="12" t="s">
        <v>22</v>
      </c>
      <c r="B15" s="310">
        <v>154324.73000000001</v>
      </c>
      <c r="C15" s="310">
        <v>164266.12</v>
      </c>
      <c r="D15" s="310">
        <v>152846.04</v>
      </c>
      <c r="E15" s="86">
        <f t="shared" si="6"/>
        <v>-6.0520026892946548E-2</v>
      </c>
      <c r="F15" s="310">
        <v>285284.73</v>
      </c>
      <c r="G15" s="310">
        <v>130813.15</v>
      </c>
      <c r="H15" s="86">
        <f t="shared" si="0"/>
        <v>0.17973407107771672</v>
      </c>
      <c r="I15" s="86">
        <f t="shared" si="1"/>
        <v>9.6743756004408245E-3</v>
      </c>
      <c r="J15" s="311">
        <v>540</v>
      </c>
      <c r="K15" s="63">
        <f t="shared" si="7"/>
        <v>285.78653703703708</v>
      </c>
      <c r="L15" s="61">
        <v>6</v>
      </c>
      <c r="M15" s="28">
        <f t="shared" si="2"/>
        <v>1.1111111111111112E-2</v>
      </c>
      <c r="N15" s="46">
        <v>27</v>
      </c>
      <c r="O15" s="89">
        <f t="shared" si="3"/>
        <v>0.05</v>
      </c>
      <c r="P15" s="260">
        <f t="shared" si="8"/>
        <v>38763.547826086957</v>
      </c>
      <c r="Q15" s="89">
        <f t="shared" si="4"/>
        <v>0.25118169865637835</v>
      </c>
      <c r="R15" s="260">
        <f t="shared" si="9"/>
        <v>21544.104347826091</v>
      </c>
      <c r="S15" s="89">
        <f t="shared" si="5"/>
        <v>0.13960241075961116</v>
      </c>
      <c r="T15" s="310">
        <v>6304.75</v>
      </c>
      <c r="U15" s="26"/>
      <c r="W15" s="238">
        <v>19802.36</v>
      </c>
      <c r="X15" s="388">
        <f t="shared" si="10"/>
        <v>17219.44347826087</v>
      </c>
      <c r="Z15" s="238">
        <v>24775.72</v>
      </c>
      <c r="AA15" s="388">
        <f t="shared" si="11"/>
        <v>21544.104347826091</v>
      </c>
    </row>
    <row r="16" spans="1:27" ht="15" customHeight="1" thickTop="1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E5:E15 H5:I15 K5:S15">
    <cfRule type="cellIs" dxfId="61" priority="4" operator="equal">
      <formula>0</formula>
    </cfRule>
  </conditionalFormatting>
  <conditionalFormatting sqref="P12:P13">
    <cfRule type="cellIs" dxfId="60" priority="2" operator="equal">
      <formula>0</formula>
    </cfRule>
  </conditionalFormatting>
  <conditionalFormatting sqref="W5">
    <cfRule type="cellIs" dxfId="59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AA37"/>
  <sheetViews>
    <sheetView zoomScale="60" zoomScaleNormal="60" workbookViewId="0">
      <pane xSplit="1" topLeftCell="B1" activePane="topRight" state="frozen"/>
      <selection pane="topRight" activeCell="F15" sqref="F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400">
        <f>((B4-C4)/B4)</f>
        <v>0.17156698619937422</v>
      </c>
      <c r="F2" s="426"/>
      <c r="G2" s="1"/>
      <c r="H2" s="427"/>
      <c r="I2" s="422">
        <f>((B4-D4)/D4)</f>
        <v>0.33450409648067286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Top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5.6" customHeight="1" x14ac:dyDescent="0.3">
      <c r="A4" s="3" t="s">
        <v>13</v>
      </c>
      <c r="B4" s="98">
        <f>SUM(B5:B15)</f>
        <v>2522495.0300000003</v>
      </c>
      <c r="C4" s="98">
        <f>SUM(C5:C15)</f>
        <v>2089718.1600000001</v>
      </c>
      <c r="D4" s="98">
        <f>SUM(D5:D15)</f>
        <v>1890211.53</v>
      </c>
      <c r="E4" s="436">
        <f>IFERROR((SUM(B4-C4)/B4),0)</f>
        <v>0.17156698619937422</v>
      </c>
      <c r="F4" s="98">
        <f>SUM(F5:F15)</f>
        <v>6413971.6999999993</v>
      </c>
      <c r="G4" s="98">
        <f>SUM(G5:G15)</f>
        <v>2301217</v>
      </c>
      <c r="H4" s="436">
        <f t="shared" ref="H4:H15" si="0">IFERROR((SUM(B4-G4)/G4),0)</f>
        <v>9.6156959556617336E-2</v>
      </c>
      <c r="I4" s="436">
        <f t="shared" ref="I4:I15" si="1">IFERROR((SUM(B4-D4)/D4),0)</f>
        <v>0.33450409648067286</v>
      </c>
      <c r="J4" s="437">
        <f>SUM(J5:J15)</f>
        <v>8125</v>
      </c>
      <c r="K4" s="438">
        <f>AVERAGE(K5:K15)</f>
        <v>309.03735031757981</v>
      </c>
      <c r="L4" s="439">
        <f>SUM(L5:L15)</f>
        <v>91</v>
      </c>
      <c r="M4" s="440">
        <f t="shared" ref="M4:M15" si="2">IFERROR(L4/J4,0)</f>
        <v>1.12E-2</v>
      </c>
      <c r="N4" s="441">
        <f>SUM(N7:N15)</f>
        <v>256</v>
      </c>
      <c r="O4" s="442">
        <f t="shared" ref="O4:O15" si="3">IFERROR(N4/SUM(J4),0)</f>
        <v>3.1507692307692306E-2</v>
      </c>
      <c r="P4" s="443">
        <f>SUM(P5:P15)</f>
        <v>796836.87826086965</v>
      </c>
      <c r="Q4" s="442">
        <f t="shared" ref="Q4:Q15" si="4">SUM(P4/B4)</f>
        <v>0.31589234816485229</v>
      </c>
      <c r="R4" s="443">
        <f>SUM(R5:R15)</f>
        <v>277777.82608695654</v>
      </c>
      <c r="S4" s="442">
        <f t="shared" ref="S4:S15" si="5">SUM(R4/B4)</f>
        <v>0.1101202669513115</v>
      </c>
      <c r="T4" s="444">
        <f>SUM(T5:T15)</f>
        <v>56778.67</v>
      </c>
      <c r="U4" s="24"/>
      <c r="W4" s="362"/>
      <c r="X4" s="384"/>
      <c r="Z4" s="362"/>
      <c r="AA4" s="384"/>
    </row>
    <row r="5" spans="1:27" ht="15.6" customHeight="1" x14ac:dyDescent="0.3">
      <c r="A5" s="12" t="s">
        <v>26</v>
      </c>
      <c r="B5" s="310">
        <v>365936.04</v>
      </c>
      <c r="C5" s="310">
        <v>327318.78999999998</v>
      </c>
      <c r="D5" s="310">
        <v>166877.21</v>
      </c>
      <c r="E5" s="86">
        <f t="shared" ref="E5:E15" si="6">IFERROR((SUM(B5-C5)/C5),0)</f>
        <v>0.11798054734346293</v>
      </c>
      <c r="F5" s="310">
        <v>935092</v>
      </c>
      <c r="G5" s="310">
        <v>285092.86</v>
      </c>
      <c r="H5" s="86">
        <f t="shared" si="0"/>
        <v>0.28356788731924049</v>
      </c>
      <c r="I5" s="86">
        <f t="shared" si="1"/>
        <v>1.1928461052291082</v>
      </c>
      <c r="J5" s="311">
        <v>1103</v>
      </c>
      <c r="K5" s="63">
        <f t="shared" ref="K5:K15" si="7">IFERROR(B5/J5,0)</f>
        <v>331.76431550317312</v>
      </c>
      <c r="L5" s="61">
        <v>10</v>
      </c>
      <c r="M5" s="28">
        <f t="shared" si="2"/>
        <v>9.0661831368993653E-3</v>
      </c>
      <c r="N5" s="46">
        <v>42</v>
      </c>
      <c r="O5" s="89">
        <f t="shared" si="3"/>
        <v>3.8077969174977334E-2</v>
      </c>
      <c r="P5" s="260">
        <f t="shared" ref="P5:P15" si="8">SUM(X5+AA5)</f>
        <v>27806.521739130436</v>
      </c>
      <c r="Q5" s="89">
        <f t="shared" si="4"/>
        <v>7.5987382218844685E-2</v>
      </c>
      <c r="R5" s="260">
        <f t="shared" ref="R5:R15" si="9">SUM(AA5)</f>
        <v>27806.521739130436</v>
      </c>
      <c r="S5" s="89">
        <f t="shared" si="5"/>
        <v>7.5987382218844685E-2</v>
      </c>
      <c r="T5" s="310">
        <v>3234.2</v>
      </c>
      <c r="U5" s="9"/>
      <c r="W5" s="385"/>
      <c r="X5" s="386">
        <f t="shared" ref="X5:X15" si="10">W5/1.15</f>
        <v>0</v>
      </c>
      <c r="Z5" s="238">
        <v>31977.5</v>
      </c>
      <c r="AA5" s="386">
        <f t="shared" ref="AA5:AA15" si="11">SUM(Z5)/1.15</f>
        <v>27806.521739130436</v>
      </c>
    </row>
    <row r="6" spans="1:27" ht="15.6" customHeight="1" x14ac:dyDescent="0.3">
      <c r="A6" s="445" t="s">
        <v>21</v>
      </c>
      <c r="B6" s="310">
        <v>239113.47</v>
      </c>
      <c r="C6" s="310">
        <v>225755.62</v>
      </c>
      <c r="D6" s="310">
        <v>317233.91999999998</v>
      </c>
      <c r="E6" s="86">
        <f t="shared" si="6"/>
        <v>5.9169512590650043E-2</v>
      </c>
      <c r="F6" s="310">
        <v>654974.69999999995</v>
      </c>
      <c r="G6" s="310">
        <v>245857.17</v>
      </c>
      <c r="H6" s="86">
        <f t="shared" si="0"/>
        <v>-2.7429340376772464E-2</v>
      </c>
      <c r="I6" s="86">
        <f t="shared" si="1"/>
        <v>-0.24625503477055666</v>
      </c>
      <c r="J6" s="311">
        <v>778</v>
      </c>
      <c r="K6" s="63">
        <f t="shared" si="7"/>
        <v>307.34379177377895</v>
      </c>
      <c r="L6" s="61">
        <v>10</v>
      </c>
      <c r="M6" s="28">
        <f t="shared" si="2"/>
        <v>1.2853470437017995E-2</v>
      </c>
      <c r="N6" s="46">
        <v>42</v>
      </c>
      <c r="O6" s="89">
        <f t="shared" si="3"/>
        <v>5.3984575835475578E-2</v>
      </c>
      <c r="P6" s="260">
        <f t="shared" si="8"/>
        <v>64648.147826086963</v>
      </c>
      <c r="Q6" s="89">
        <f t="shared" si="4"/>
        <v>0.27036598074582313</v>
      </c>
      <c r="R6" s="260">
        <f t="shared" si="9"/>
        <v>22560.234782608699</v>
      </c>
      <c r="S6" s="89">
        <f t="shared" si="5"/>
        <v>9.4349493496157691E-2</v>
      </c>
      <c r="T6" s="310">
        <v>8272.02</v>
      </c>
      <c r="U6" s="26"/>
      <c r="W6" s="238">
        <v>48401.1</v>
      </c>
      <c r="X6" s="386">
        <f t="shared" si="10"/>
        <v>42087.913043478264</v>
      </c>
      <c r="Z6" s="238">
        <v>25944.27</v>
      </c>
      <c r="AA6" s="386">
        <f t="shared" si="11"/>
        <v>22560.234782608699</v>
      </c>
    </row>
    <row r="7" spans="1:27" ht="16.5" customHeight="1" x14ac:dyDescent="0.3">
      <c r="A7" s="445" t="s">
        <v>15</v>
      </c>
      <c r="B7" s="310">
        <v>275797.64</v>
      </c>
      <c r="C7" s="310">
        <v>218640.04</v>
      </c>
      <c r="D7" s="310">
        <v>254835.6</v>
      </c>
      <c r="E7" s="86">
        <f t="shared" si="6"/>
        <v>0.26142329648311446</v>
      </c>
      <c r="F7" s="310">
        <v>690335.43</v>
      </c>
      <c r="G7" s="310">
        <v>265554.03000000003</v>
      </c>
      <c r="H7" s="86">
        <f t="shared" si="0"/>
        <v>3.8574485199866802E-2</v>
      </c>
      <c r="I7" s="86">
        <f t="shared" si="1"/>
        <v>8.2257110074102704E-2</v>
      </c>
      <c r="J7" s="311">
        <v>760</v>
      </c>
      <c r="K7" s="63">
        <f t="shared" si="7"/>
        <v>362.8916315789474</v>
      </c>
      <c r="L7" s="61">
        <v>4</v>
      </c>
      <c r="M7" s="28">
        <f t="shared" si="2"/>
        <v>5.263157894736842E-3</v>
      </c>
      <c r="N7" s="46">
        <v>24</v>
      </c>
      <c r="O7" s="89">
        <f t="shared" si="3"/>
        <v>3.1578947368421054E-2</v>
      </c>
      <c r="P7" s="260">
        <f t="shared" si="8"/>
        <v>44672.217391304352</v>
      </c>
      <c r="Q7" s="89">
        <f t="shared" si="4"/>
        <v>0.16197461802539118</v>
      </c>
      <c r="R7" s="260">
        <f t="shared" si="9"/>
        <v>3590.3304347826092</v>
      </c>
      <c r="S7" s="89">
        <f t="shared" si="5"/>
        <v>1.3017988242330896E-2</v>
      </c>
      <c r="T7" s="310">
        <v>5454.47</v>
      </c>
      <c r="U7" s="26"/>
      <c r="W7" s="238">
        <v>47244.17</v>
      </c>
      <c r="X7" s="386">
        <f t="shared" si="10"/>
        <v>41081.886956521739</v>
      </c>
      <c r="Z7" s="238">
        <v>4128.88</v>
      </c>
      <c r="AA7" s="386">
        <f t="shared" si="11"/>
        <v>3590.3304347826092</v>
      </c>
    </row>
    <row r="8" spans="1:27" ht="15.6" customHeight="1" x14ac:dyDescent="0.3">
      <c r="A8" s="12" t="s">
        <v>27</v>
      </c>
      <c r="B8" s="310">
        <v>174381.63</v>
      </c>
      <c r="C8" s="310">
        <v>128595.12</v>
      </c>
      <c r="D8" s="310">
        <v>125945.97</v>
      </c>
      <c r="E8" s="86">
        <f t="shared" si="6"/>
        <v>0.35605169154163868</v>
      </c>
      <c r="F8" s="310">
        <v>408066.09</v>
      </c>
      <c r="G8" s="310">
        <v>156319.54999999999</v>
      </c>
      <c r="H8" s="86">
        <f t="shared" si="0"/>
        <v>0.11554588021779756</v>
      </c>
      <c r="I8" s="86">
        <f t="shared" si="1"/>
        <v>0.38457490938376199</v>
      </c>
      <c r="J8" s="311">
        <v>577</v>
      </c>
      <c r="K8" s="63">
        <f t="shared" si="7"/>
        <v>302.22119584055463</v>
      </c>
      <c r="L8" s="61">
        <v>11</v>
      </c>
      <c r="M8" s="28">
        <f t="shared" si="2"/>
        <v>1.9064124783362217E-2</v>
      </c>
      <c r="N8" s="46">
        <v>25</v>
      </c>
      <c r="O8" s="89">
        <f t="shared" si="3"/>
        <v>4.3327556325823226E-2</v>
      </c>
      <c r="P8" s="260">
        <f t="shared" si="8"/>
        <v>53666.321739130435</v>
      </c>
      <c r="Q8" s="89">
        <f t="shared" si="4"/>
        <v>0.30775215106734827</v>
      </c>
      <c r="R8" s="260">
        <f t="shared" si="9"/>
        <v>23909.278260869567</v>
      </c>
      <c r="S8" s="89">
        <f t="shared" si="5"/>
        <v>0.13710892747630335</v>
      </c>
      <c r="T8" s="310">
        <v>6808.74</v>
      </c>
      <c r="U8" s="9"/>
      <c r="W8" s="238">
        <v>34220.6</v>
      </c>
      <c r="X8" s="386">
        <f t="shared" si="10"/>
        <v>29757.043478260872</v>
      </c>
      <c r="Z8" s="238">
        <v>27495.67</v>
      </c>
      <c r="AA8" s="386">
        <f t="shared" si="11"/>
        <v>23909.278260869567</v>
      </c>
    </row>
    <row r="9" spans="1:27" ht="15.6" customHeight="1" x14ac:dyDescent="0.3">
      <c r="A9" s="12" t="s">
        <v>23</v>
      </c>
      <c r="B9" s="310">
        <v>286745.38</v>
      </c>
      <c r="C9" s="310">
        <v>198421.22</v>
      </c>
      <c r="D9" s="310">
        <v>243010.12</v>
      </c>
      <c r="E9" s="86">
        <f t="shared" si="6"/>
        <v>0.44513464840101274</v>
      </c>
      <c r="F9" s="310">
        <v>657546.36</v>
      </c>
      <c r="G9" s="310">
        <v>239450.65</v>
      </c>
      <c r="H9" s="86">
        <f t="shared" si="0"/>
        <v>0.19751347511480971</v>
      </c>
      <c r="I9" s="86">
        <f t="shared" si="1"/>
        <v>0.17997299865536467</v>
      </c>
      <c r="J9" s="311">
        <v>943</v>
      </c>
      <c r="K9" s="63">
        <f t="shared" si="7"/>
        <v>304.07781548250267</v>
      </c>
      <c r="L9" s="61">
        <v>15</v>
      </c>
      <c r="M9" s="28">
        <f t="shared" si="2"/>
        <v>1.5906680805938492E-2</v>
      </c>
      <c r="N9" s="46">
        <v>48</v>
      </c>
      <c r="O9" s="89">
        <f t="shared" si="3"/>
        <v>5.0901378579003183E-2</v>
      </c>
      <c r="P9" s="260">
        <f t="shared" si="8"/>
        <v>76156.921739130441</v>
      </c>
      <c r="Q9" s="89">
        <f t="shared" si="4"/>
        <v>0.26559075420545725</v>
      </c>
      <c r="R9" s="260">
        <f t="shared" si="9"/>
        <v>37548.886956521746</v>
      </c>
      <c r="S9" s="89">
        <f t="shared" si="5"/>
        <v>0.13094853335220866</v>
      </c>
      <c r="T9" s="310">
        <v>5181.5</v>
      </c>
      <c r="U9" s="26"/>
      <c r="W9" s="238">
        <v>44399.24</v>
      </c>
      <c r="X9" s="386">
        <f t="shared" si="10"/>
        <v>38608.034782608695</v>
      </c>
      <c r="Z9" s="238">
        <v>43181.22</v>
      </c>
      <c r="AA9" s="386">
        <f t="shared" si="11"/>
        <v>37548.886956521746</v>
      </c>
    </row>
    <row r="10" spans="1:27" ht="15.6" customHeight="1" x14ac:dyDescent="0.3">
      <c r="A10" s="445" t="s">
        <v>16</v>
      </c>
      <c r="B10" s="310">
        <v>203270.01</v>
      </c>
      <c r="C10" s="310">
        <v>158185.78</v>
      </c>
      <c r="D10" s="310">
        <v>191397.82</v>
      </c>
      <c r="E10" s="86">
        <f t="shared" si="6"/>
        <v>0.28500810881989525</v>
      </c>
      <c r="F10" s="310">
        <v>546079.32999999996</v>
      </c>
      <c r="G10" s="310">
        <v>254328.75</v>
      </c>
      <c r="H10" s="86">
        <f t="shared" si="0"/>
        <v>-0.20075882101414014</v>
      </c>
      <c r="I10" s="86">
        <f t="shared" si="1"/>
        <v>6.2028867413432408E-2</v>
      </c>
      <c r="J10" s="311">
        <v>683</v>
      </c>
      <c r="K10" s="63">
        <f t="shared" si="7"/>
        <v>297.61348462664716</v>
      </c>
      <c r="L10" s="61">
        <v>1</v>
      </c>
      <c r="M10" s="28">
        <f t="shared" si="2"/>
        <v>1.4641288433382138E-3</v>
      </c>
      <c r="N10" s="46">
        <v>15</v>
      </c>
      <c r="O10" s="89">
        <f t="shared" si="3"/>
        <v>2.1961932650073207E-2</v>
      </c>
      <c r="P10" s="260">
        <f t="shared" si="8"/>
        <v>44591.043478260879</v>
      </c>
      <c r="Q10" s="89">
        <f t="shared" si="4"/>
        <v>0.21936853094197653</v>
      </c>
      <c r="R10" s="260">
        <f t="shared" si="9"/>
        <v>25807.54782608696</v>
      </c>
      <c r="S10" s="89">
        <f t="shared" si="5"/>
        <v>0.1269619056253648</v>
      </c>
      <c r="T10" s="310">
        <v>11305.79</v>
      </c>
      <c r="U10" s="26"/>
      <c r="W10" s="238">
        <v>21601.02</v>
      </c>
      <c r="X10" s="386">
        <f t="shared" si="10"/>
        <v>18783.495652173915</v>
      </c>
      <c r="Z10" s="238">
        <v>29678.68</v>
      </c>
      <c r="AA10" s="386">
        <f t="shared" si="11"/>
        <v>25807.54782608696</v>
      </c>
    </row>
    <row r="11" spans="1:27" ht="15.6" customHeight="1" x14ac:dyDescent="0.3">
      <c r="A11" s="445" t="s">
        <v>17</v>
      </c>
      <c r="B11" s="310">
        <v>161376.59</v>
      </c>
      <c r="C11" s="310">
        <v>146668.79</v>
      </c>
      <c r="D11" s="310">
        <v>86713.33</v>
      </c>
      <c r="E11" s="86">
        <f t="shared" si="6"/>
        <v>0.10027900277898241</v>
      </c>
      <c r="F11" s="310">
        <v>416883.28</v>
      </c>
      <c r="G11" s="310">
        <v>135242.6</v>
      </c>
      <c r="H11" s="86">
        <f t="shared" si="0"/>
        <v>0.19323785552777001</v>
      </c>
      <c r="I11" s="86">
        <f t="shared" si="1"/>
        <v>0.86103555243467178</v>
      </c>
      <c r="J11" s="311">
        <v>569</v>
      </c>
      <c r="K11" s="63">
        <f t="shared" si="7"/>
        <v>283.61439367311073</v>
      </c>
      <c r="L11" s="61">
        <v>3</v>
      </c>
      <c r="M11" s="28">
        <f t="shared" si="2"/>
        <v>5.272407732864675E-3</v>
      </c>
      <c r="N11" s="46">
        <v>22</v>
      </c>
      <c r="O11" s="89">
        <f t="shared" si="3"/>
        <v>3.8664323374340948E-2</v>
      </c>
      <c r="P11" s="260">
        <f t="shared" si="8"/>
        <v>75411.121739130438</v>
      </c>
      <c r="Q11" s="89">
        <f t="shared" si="4"/>
        <v>0.46729901616542052</v>
      </c>
      <c r="R11" s="260">
        <f t="shared" si="9"/>
        <v>23830.26086956522</v>
      </c>
      <c r="S11" s="89">
        <f t="shared" si="5"/>
        <v>0.14766863564018312</v>
      </c>
      <c r="T11" s="310">
        <v>1883.5</v>
      </c>
      <c r="U11" s="26"/>
      <c r="W11" s="238">
        <v>59317.99</v>
      </c>
      <c r="X11" s="386">
        <f t="shared" si="10"/>
        <v>51580.860869565222</v>
      </c>
      <c r="Z11" s="238">
        <v>27404.799999999999</v>
      </c>
      <c r="AA11" s="386">
        <f t="shared" si="11"/>
        <v>23830.26086956522</v>
      </c>
    </row>
    <row r="12" spans="1:27" ht="15.6" customHeight="1" x14ac:dyDescent="0.3">
      <c r="A12" s="12" t="s">
        <v>55</v>
      </c>
      <c r="B12" s="310">
        <v>229013.27</v>
      </c>
      <c r="C12" s="310">
        <v>217602.7</v>
      </c>
      <c r="D12" s="310">
        <v>206751.49</v>
      </c>
      <c r="E12" s="86">
        <f t="shared" si="6"/>
        <v>5.243763059925257E-2</v>
      </c>
      <c r="F12" s="310">
        <v>621304.85</v>
      </c>
      <c r="G12" s="310">
        <v>185899.75</v>
      </c>
      <c r="H12" s="86">
        <f t="shared" si="0"/>
        <v>0.23191811715723118</v>
      </c>
      <c r="I12" s="86">
        <f t="shared" si="1"/>
        <v>0.10767409705245655</v>
      </c>
      <c r="J12" s="311">
        <v>794</v>
      </c>
      <c r="K12" s="63">
        <f t="shared" si="7"/>
        <v>288.42981108312341</v>
      </c>
      <c r="L12" s="61">
        <v>7</v>
      </c>
      <c r="M12" s="28">
        <f t="shared" si="2"/>
        <v>8.8161209068010078E-3</v>
      </c>
      <c r="N12" s="46">
        <v>17</v>
      </c>
      <c r="O12" s="89">
        <f t="shared" si="3"/>
        <v>2.1410579345088162E-2</v>
      </c>
      <c r="P12" s="260">
        <f t="shared" si="8"/>
        <v>247601.78260869568</v>
      </c>
      <c r="Q12" s="89">
        <f t="shared" si="4"/>
        <v>1.0811678406613543</v>
      </c>
      <c r="R12" s="260">
        <f t="shared" si="9"/>
        <v>32857.434782608703</v>
      </c>
      <c r="S12" s="89">
        <f t="shared" si="5"/>
        <v>0.14347393398910335</v>
      </c>
      <c r="T12" s="310">
        <v>3210</v>
      </c>
      <c r="U12" s="9"/>
      <c r="W12" s="238">
        <v>246956</v>
      </c>
      <c r="X12" s="386">
        <f t="shared" si="10"/>
        <v>214744.34782608697</v>
      </c>
      <c r="Z12" s="238">
        <v>37786.050000000003</v>
      </c>
      <c r="AA12" s="386">
        <f t="shared" si="11"/>
        <v>32857.434782608703</v>
      </c>
    </row>
    <row r="13" spans="1:27" ht="15.6" customHeight="1" x14ac:dyDescent="0.3">
      <c r="A13" s="12" t="s">
        <v>33</v>
      </c>
      <c r="B13" s="310">
        <v>186426.95</v>
      </c>
      <c r="C13" s="310">
        <v>176484.39</v>
      </c>
      <c r="D13" s="310"/>
      <c r="E13" s="86">
        <f t="shared" si="6"/>
        <v>5.6336767234767882E-2</v>
      </c>
      <c r="F13" s="310">
        <v>508513.15</v>
      </c>
      <c r="G13" s="310">
        <v>193115.24</v>
      </c>
      <c r="H13" s="86">
        <f t="shared" si="0"/>
        <v>-3.4633672619519718E-2</v>
      </c>
      <c r="I13" s="86">
        <f t="shared" si="1"/>
        <v>0</v>
      </c>
      <c r="J13" s="311">
        <v>671</v>
      </c>
      <c r="K13" s="63">
        <f t="shared" si="7"/>
        <v>277.8345007451565</v>
      </c>
      <c r="L13" s="61">
        <v>13</v>
      </c>
      <c r="M13" s="28">
        <f t="shared" si="2"/>
        <v>1.9374068554396422E-2</v>
      </c>
      <c r="N13" s="46">
        <v>37</v>
      </c>
      <c r="O13" s="89">
        <f t="shared" si="3"/>
        <v>5.5141579731743669E-2</v>
      </c>
      <c r="P13" s="260">
        <f t="shared" si="8"/>
        <v>53167.017391304355</v>
      </c>
      <c r="Q13" s="89">
        <f t="shared" si="4"/>
        <v>0.28518954685094805</v>
      </c>
      <c r="R13" s="260">
        <f t="shared" si="9"/>
        <v>27927.930434782611</v>
      </c>
      <c r="S13" s="89">
        <f t="shared" si="5"/>
        <v>0.14980629375089069</v>
      </c>
      <c r="T13" s="310">
        <v>5883.75</v>
      </c>
      <c r="U13" s="9"/>
      <c r="W13" s="238">
        <v>29024.95</v>
      </c>
      <c r="X13" s="386">
        <f t="shared" si="10"/>
        <v>25239.08695652174</v>
      </c>
      <c r="Z13" s="238">
        <v>32117.119999999999</v>
      </c>
      <c r="AA13" s="386">
        <f t="shared" si="11"/>
        <v>27927.930434782611</v>
      </c>
    </row>
    <row r="14" spans="1:27" ht="15.6" customHeight="1" x14ac:dyDescent="0.3">
      <c r="A14" s="445" t="s">
        <v>20</v>
      </c>
      <c r="B14" s="310">
        <v>180224.26</v>
      </c>
      <c r="C14" s="310">
        <v>137720.98000000001</v>
      </c>
      <c r="D14" s="310">
        <v>144600.03</v>
      </c>
      <c r="E14" s="86">
        <f t="shared" si="6"/>
        <v>0.30861877398781212</v>
      </c>
      <c r="F14" s="310">
        <v>469681.99</v>
      </c>
      <c r="G14" s="310">
        <v>195597.79</v>
      </c>
      <c r="H14" s="86">
        <f t="shared" si="0"/>
        <v>-7.8597667182231448E-2</v>
      </c>
      <c r="I14" s="86">
        <f t="shared" si="1"/>
        <v>0.2463639184583849</v>
      </c>
      <c r="J14" s="311">
        <v>550</v>
      </c>
      <c r="K14" s="63">
        <f t="shared" si="7"/>
        <v>327.68047272727273</v>
      </c>
      <c r="L14" s="61">
        <v>11</v>
      </c>
      <c r="M14" s="28">
        <f t="shared" si="2"/>
        <v>0.02</v>
      </c>
      <c r="N14" s="46">
        <v>41</v>
      </c>
      <c r="O14" s="89">
        <f t="shared" si="3"/>
        <v>7.454545454545454E-2</v>
      </c>
      <c r="P14" s="260">
        <f t="shared" si="8"/>
        <v>66933.695652173919</v>
      </c>
      <c r="Q14" s="89">
        <f t="shared" si="4"/>
        <v>0.37139115262381389</v>
      </c>
      <c r="R14" s="260">
        <f t="shared" si="9"/>
        <v>23985.121739130434</v>
      </c>
      <c r="S14" s="89">
        <f t="shared" si="5"/>
        <v>0.13308486737096567</v>
      </c>
      <c r="T14" s="310">
        <v>2670.2</v>
      </c>
      <c r="U14" s="26"/>
      <c r="W14" s="238">
        <v>49390.86</v>
      </c>
      <c r="X14" s="386">
        <f t="shared" si="10"/>
        <v>42948.573913043481</v>
      </c>
      <c r="Z14" s="238">
        <v>27582.89</v>
      </c>
      <c r="AA14" s="386">
        <f t="shared" si="11"/>
        <v>23985.121739130434</v>
      </c>
    </row>
    <row r="15" spans="1:27" ht="16.2" customHeight="1" thickBot="1" x14ac:dyDescent="0.35">
      <c r="A15" s="12" t="s">
        <v>22</v>
      </c>
      <c r="B15" s="310">
        <v>220209.79</v>
      </c>
      <c r="C15" s="310">
        <v>154324.73000000001</v>
      </c>
      <c r="D15" s="310">
        <v>152846.04</v>
      </c>
      <c r="E15" s="86">
        <f t="shared" si="6"/>
        <v>0.42692483570196427</v>
      </c>
      <c r="F15" s="310">
        <v>505494.52</v>
      </c>
      <c r="G15" s="310">
        <v>144758.60999999999</v>
      </c>
      <c r="H15" s="86">
        <f t="shared" si="0"/>
        <v>0.52122067212444245</v>
      </c>
      <c r="I15" s="86">
        <f t="shared" si="1"/>
        <v>0.44072944251614238</v>
      </c>
      <c r="J15" s="311">
        <v>697</v>
      </c>
      <c r="K15" s="63">
        <f t="shared" si="7"/>
        <v>315.93944045911047</v>
      </c>
      <c r="L15" s="61">
        <v>6</v>
      </c>
      <c r="M15" s="28">
        <f t="shared" si="2"/>
        <v>8.60832137733142E-3</v>
      </c>
      <c r="N15" s="46">
        <v>27</v>
      </c>
      <c r="O15" s="89">
        <f t="shared" si="3"/>
        <v>3.8737446197991389E-2</v>
      </c>
      <c r="P15" s="260">
        <f t="shared" si="8"/>
        <v>42182.086956521744</v>
      </c>
      <c r="Q15" s="89">
        <f t="shared" si="4"/>
        <v>0.19155409465002324</v>
      </c>
      <c r="R15" s="260">
        <f t="shared" si="9"/>
        <v>27954.278260869567</v>
      </c>
      <c r="S15" s="89">
        <f t="shared" si="5"/>
        <v>0.12694384868569905</v>
      </c>
      <c r="T15" s="310">
        <v>2874.5</v>
      </c>
      <c r="U15" s="26"/>
      <c r="W15" s="238">
        <v>16361.98</v>
      </c>
      <c r="X15" s="388">
        <f t="shared" si="10"/>
        <v>14227.808695652175</v>
      </c>
      <c r="Z15" s="238">
        <v>32147.42</v>
      </c>
      <c r="AA15" s="388">
        <f t="shared" si="11"/>
        <v>27954.278260869567</v>
      </c>
    </row>
    <row r="16" spans="1:27" ht="15" customHeight="1" thickTop="1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</sheetData>
  <conditionalFormatting sqref="E5:E15 H5:I15 K5:S15">
    <cfRule type="cellIs" dxfId="58" priority="4" operator="equal">
      <formula>0</formula>
    </cfRule>
  </conditionalFormatting>
  <conditionalFormatting sqref="P12:P13">
    <cfRule type="cellIs" dxfId="57" priority="2" operator="equal">
      <formula>0</formula>
    </cfRule>
  </conditionalFormatting>
  <conditionalFormatting sqref="W5">
    <cfRule type="cellIs" dxfId="5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AA49"/>
  <sheetViews>
    <sheetView zoomScale="70" zoomScaleNormal="70" workbookViewId="0">
      <pane xSplit="1" topLeftCell="B1" activePane="topRight" state="frozen"/>
      <selection pane="topRight" activeCell="G5" sqref="G5:G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400">
        <f>((B4-C4)/B4)</f>
        <v>-0.15937885428158788</v>
      </c>
      <c r="F2" s="426"/>
      <c r="G2" s="1"/>
      <c r="H2" s="427"/>
      <c r="I2" s="422">
        <f>((B4-D4)/D4)</f>
        <v>0.15105091968198933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Top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5.6" customHeight="1" x14ac:dyDescent="0.3">
      <c r="A4" s="3" t="s">
        <v>13</v>
      </c>
      <c r="B4" s="98">
        <f>SUM(B5:B15)</f>
        <v>2175729.7200000002</v>
      </c>
      <c r="C4" s="98">
        <f>SUM(C5:C15)</f>
        <v>2522495.0300000003</v>
      </c>
      <c r="D4" s="98">
        <f>SUM(D5:D15)</f>
        <v>1890211.53</v>
      </c>
      <c r="E4" s="436">
        <f>IFERROR((SUM(B4-C4)/B4),0)</f>
        <v>-0.15937885428158788</v>
      </c>
      <c r="F4" s="98">
        <f>SUM(F5:F15)</f>
        <v>8436569.4800000004</v>
      </c>
      <c r="G4" s="98">
        <f>SUM(G5:G15)</f>
        <v>2109487.0199999996</v>
      </c>
      <c r="H4" s="436">
        <f t="shared" ref="H4:H15" si="0">IFERROR((SUM(B4-G4)/G4),0)</f>
        <v>3.1402279024215406E-2</v>
      </c>
      <c r="I4" s="436">
        <f t="shared" ref="I4:I15" si="1">IFERROR((SUM(B4-D4)/D4),0)</f>
        <v>0.15105091968198933</v>
      </c>
      <c r="J4" s="437">
        <f>SUM(J5:J15)</f>
        <v>7201</v>
      </c>
      <c r="K4" s="438">
        <f>AVERAGE(K5:K15)</f>
        <v>300.20870588029879</v>
      </c>
      <c r="L4" s="439">
        <f>SUM(L5:L15)</f>
        <v>91</v>
      </c>
      <c r="M4" s="440">
        <f t="shared" ref="M4:M15" si="2">IFERROR(L4/J4,0)</f>
        <v>1.263713373142619E-2</v>
      </c>
      <c r="N4" s="441">
        <f>SUM(N7:N15)</f>
        <v>256</v>
      </c>
      <c r="O4" s="442">
        <f t="shared" ref="O4:O15" si="3">IFERROR(N4/SUM(J4),0)</f>
        <v>3.5550617969726424E-2</v>
      </c>
      <c r="P4" s="443">
        <f>SUM(P5:P15)</f>
        <v>588393.78260869568</v>
      </c>
      <c r="Q4" s="442">
        <f t="shared" ref="Q4:Q15" si="4">SUM(P4/B4)</f>
        <v>0.27043514513774053</v>
      </c>
      <c r="R4" s="443">
        <f>SUM(R5:R15)</f>
        <v>265820.40869565227</v>
      </c>
      <c r="S4" s="442">
        <f t="shared" ref="S4:S15" si="5">SUM(R4/B4)</f>
        <v>0.12217528962910533</v>
      </c>
      <c r="T4" s="444">
        <f>SUM(T5:T15)</f>
        <v>51066.8</v>
      </c>
      <c r="U4" s="24"/>
      <c r="W4" s="362"/>
      <c r="X4" s="384"/>
      <c r="Z4" s="362"/>
      <c r="AA4" s="384"/>
    </row>
    <row r="5" spans="1:27" ht="15.6" customHeight="1" x14ac:dyDescent="0.3">
      <c r="A5" s="12" t="s">
        <v>26</v>
      </c>
      <c r="B5" s="310">
        <v>296067.74</v>
      </c>
      <c r="C5" s="310">
        <v>365936.04</v>
      </c>
      <c r="D5" s="310">
        <v>166877.21</v>
      </c>
      <c r="E5" s="86">
        <f t="shared" ref="E5:E15" si="6">IFERROR((SUM(B5-C5)/C5),0)</f>
        <v>-0.19093036039850023</v>
      </c>
      <c r="F5" s="310">
        <v>1202648.17</v>
      </c>
      <c r="G5" s="310">
        <v>243303.6</v>
      </c>
      <c r="H5" s="86">
        <f t="shared" si="0"/>
        <v>0.21686543068002276</v>
      </c>
      <c r="I5" s="86">
        <f t="shared" si="1"/>
        <v>0.77416520805926703</v>
      </c>
      <c r="J5" s="311">
        <v>898</v>
      </c>
      <c r="K5" s="63">
        <f t="shared" ref="K5:K15" si="7">IFERROR(B5/J5,0)</f>
        <v>329.69681514476616</v>
      </c>
      <c r="L5" s="61">
        <v>10</v>
      </c>
      <c r="M5" s="28">
        <f t="shared" si="2"/>
        <v>1.1135857461024499E-2</v>
      </c>
      <c r="N5" s="46">
        <v>42</v>
      </c>
      <c r="O5" s="89">
        <f t="shared" si="3"/>
        <v>4.6770601336302897E-2</v>
      </c>
      <c r="P5" s="260">
        <f t="shared" ref="P5:P15" si="8">SUM(X5+AA5)</f>
        <v>28595.478260869571</v>
      </c>
      <c r="Q5" s="89">
        <f t="shared" si="4"/>
        <v>9.6584242041600252E-2</v>
      </c>
      <c r="R5" s="260">
        <f t="shared" ref="R5:R15" si="9">SUM(AA5)</f>
        <v>28595.478260869571</v>
      </c>
      <c r="S5" s="89">
        <f t="shared" si="5"/>
        <v>9.6584242041600252E-2</v>
      </c>
      <c r="T5" s="310">
        <v>1543.9</v>
      </c>
      <c r="U5" s="9"/>
      <c r="W5" s="362"/>
      <c r="X5" s="386">
        <f t="shared" ref="X5:X15" si="10">W5/1.15</f>
        <v>0</v>
      </c>
      <c r="Y5" s="451"/>
      <c r="Z5" s="447">
        <v>32884.800000000003</v>
      </c>
      <c r="AA5" s="386">
        <f t="shared" ref="AA5:AA15" si="11">SUM(Z5)/1.15</f>
        <v>28595.478260869571</v>
      </c>
    </row>
    <row r="6" spans="1:27" ht="15.6" customHeight="1" x14ac:dyDescent="0.3">
      <c r="A6" s="445" t="s">
        <v>21</v>
      </c>
      <c r="B6" s="310">
        <v>236901.33</v>
      </c>
      <c r="C6" s="310">
        <v>239113.47</v>
      </c>
      <c r="D6" s="310">
        <v>317233.91999999998</v>
      </c>
      <c r="E6" s="86">
        <f t="shared" si="6"/>
        <v>-9.2514236023592232E-3</v>
      </c>
      <c r="F6" s="310">
        <v>891876.03</v>
      </c>
      <c r="G6" s="310">
        <v>232444.11</v>
      </c>
      <c r="H6" s="86">
        <f t="shared" si="0"/>
        <v>1.9175448240009184E-2</v>
      </c>
      <c r="I6" s="86">
        <f t="shared" si="1"/>
        <v>-0.25322824873203975</v>
      </c>
      <c r="J6" s="311">
        <v>752</v>
      </c>
      <c r="K6" s="63">
        <f t="shared" si="7"/>
        <v>315.02836436170213</v>
      </c>
      <c r="L6" s="61">
        <v>10</v>
      </c>
      <c r="M6" s="28">
        <f t="shared" si="2"/>
        <v>1.3297872340425532E-2</v>
      </c>
      <c r="N6" s="46">
        <v>42</v>
      </c>
      <c r="O6" s="89">
        <f t="shared" si="3"/>
        <v>5.5851063829787231E-2</v>
      </c>
      <c r="P6" s="260">
        <f t="shared" si="8"/>
        <v>68939.469565217398</v>
      </c>
      <c r="Q6" s="89">
        <f t="shared" si="4"/>
        <v>0.29100499167825439</v>
      </c>
      <c r="R6" s="260">
        <f t="shared" si="9"/>
        <v>21729.069565217393</v>
      </c>
      <c r="S6" s="89">
        <f t="shared" si="5"/>
        <v>9.1722024377057718E-2</v>
      </c>
      <c r="T6" s="310">
        <v>8084.94</v>
      </c>
      <c r="U6" s="26"/>
      <c r="V6" s="449"/>
      <c r="W6" s="447">
        <v>54291.96</v>
      </c>
      <c r="X6" s="386">
        <f t="shared" si="10"/>
        <v>47210.400000000001</v>
      </c>
      <c r="Y6" s="451"/>
      <c r="Z6" s="447">
        <v>24988.43</v>
      </c>
      <c r="AA6" s="386">
        <f t="shared" si="11"/>
        <v>21729.069565217393</v>
      </c>
    </row>
    <row r="7" spans="1:27" ht="16.5" customHeight="1" x14ac:dyDescent="0.3">
      <c r="A7" s="445" t="s">
        <v>15</v>
      </c>
      <c r="B7" s="310">
        <v>244342.49</v>
      </c>
      <c r="C7" s="310">
        <v>275797.64</v>
      </c>
      <c r="D7" s="310">
        <v>254835.6</v>
      </c>
      <c r="E7" s="86">
        <f t="shared" si="6"/>
        <v>-0.11405155606117595</v>
      </c>
      <c r="F7" s="310">
        <v>918817.33</v>
      </c>
      <c r="G7" s="310">
        <v>239048.72</v>
      </c>
      <c r="H7" s="86">
        <f t="shared" si="0"/>
        <v>2.2145150996834409E-2</v>
      </c>
      <c r="I7" s="86">
        <f t="shared" si="1"/>
        <v>-4.1175997388120084E-2</v>
      </c>
      <c r="J7" s="311">
        <v>761</v>
      </c>
      <c r="K7" s="63">
        <f t="shared" si="7"/>
        <v>321.08080157687255</v>
      </c>
      <c r="L7" s="61">
        <v>4</v>
      </c>
      <c r="M7" s="28">
        <f t="shared" si="2"/>
        <v>5.2562417871222077E-3</v>
      </c>
      <c r="N7" s="46">
        <v>24</v>
      </c>
      <c r="O7" s="89">
        <f t="shared" si="3"/>
        <v>3.1537450722733243E-2</v>
      </c>
      <c r="P7" s="260">
        <f t="shared" si="8"/>
        <v>51520.417391304356</v>
      </c>
      <c r="Q7" s="89">
        <f t="shared" si="4"/>
        <v>0.21085328790463073</v>
      </c>
      <c r="R7" s="260">
        <f t="shared" si="9"/>
        <v>5513.7826086956529</v>
      </c>
      <c r="S7" s="89">
        <f t="shared" si="5"/>
        <v>2.2565795284707351E-2</v>
      </c>
      <c r="T7" s="310">
        <v>8180.04</v>
      </c>
      <c r="U7" s="26"/>
      <c r="V7" s="449"/>
      <c r="W7" s="447">
        <v>52907.63</v>
      </c>
      <c r="X7" s="386">
        <f t="shared" si="10"/>
        <v>46006.6347826087</v>
      </c>
      <c r="Y7" s="451"/>
      <c r="Z7" s="447">
        <v>6340.85</v>
      </c>
      <c r="AA7" s="386">
        <f t="shared" si="11"/>
        <v>5513.7826086956529</v>
      </c>
    </row>
    <row r="8" spans="1:27" ht="15.6" customHeight="1" x14ac:dyDescent="0.3">
      <c r="A8" s="12" t="s">
        <v>27</v>
      </c>
      <c r="B8" s="310">
        <v>160772.20000000001</v>
      </c>
      <c r="C8" s="310">
        <v>174381.63</v>
      </c>
      <c r="D8" s="310">
        <v>125945.97</v>
      </c>
      <c r="E8" s="86">
        <f t="shared" si="6"/>
        <v>-7.8043943046065073E-2</v>
      </c>
      <c r="F8" s="310">
        <v>556427.68000000005</v>
      </c>
      <c r="G8" s="310">
        <v>152682.18</v>
      </c>
      <c r="H8" s="86">
        <f t="shared" si="0"/>
        <v>5.2986013168007023E-2</v>
      </c>
      <c r="I8" s="86">
        <f t="shared" si="1"/>
        <v>0.27651722401280493</v>
      </c>
      <c r="J8" s="311">
        <v>550</v>
      </c>
      <c r="K8" s="63">
        <f t="shared" si="7"/>
        <v>292.31309090909093</v>
      </c>
      <c r="L8" s="61">
        <v>11</v>
      </c>
      <c r="M8" s="28">
        <f t="shared" si="2"/>
        <v>0.02</v>
      </c>
      <c r="N8" s="46">
        <v>25</v>
      </c>
      <c r="O8" s="89">
        <f t="shared" si="3"/>
        <v>4.5454545454545456E-2</v>
      </c>
      <c r="P8" s="260">
        <f t="shared" si="8"/>
        <v>64638.704347826089</v>
      </c>
      <c r="Q8" s="89">
        <f t="shared" si="4"/>
        <v>0.40205150111664878</v>
      </c>
      <c r="R8" s="260">
        <f t="shared" si="9"/>
        <v>31441.043478260868</v>
      </c>
      <c r="S8" s="89">
        <f t="shared" si="5"/>
        <v>0.19556268731945489</v>
      </c>
      <c r="T8" s="310">
        <v>5251.1</v>
      </c>
      <c r="U8" s="9"/>
      <c r="V8" s="449"/>
      <c r="W8" s="447">
        <v>38177.31</v>
      </c>
      <c r="X8" s="386">
        <f t="shared" si="10"/>
        <v>33197.660869565218</v>
      </c>
      <c r="Y8" s="451"/>
      <c r="Z8" s="447">
        <v>36157.199999999997</v>
      </c>
      <c r="AA8" s="386">
        <f t="shared" si="11"/>
        <v>31441.043478260868</v>
      </c>
    </row>
    <row r="9" spans="1:27" ht="15.6" customHeight="1" x14ac:dyDescent="0.3">
      <c r="A9" s="12" t="s">
        <v>23</v>
      </c>
      <c r="B9" s="310">
        <v>232807.6</v>
      </c>
      <c r="C9" s="310">
        <v>286745.38</v>
      </c>
      <c r="D9" s="310">
        <v>243010.12</v>
      </c>
      <c r="E9" s="86">
        <f t="shared" si="6"/>
        <v>-0.18810339681845964</v>
      </c>
      <c r="F9" s="310">
        <v>874032.55</v>
      </c>
      <c r="G9" s="310">
        <v>220664.45</v>
      </c>
      <c r="H9" s="86">
        <f t="shared" si="0"/>
        <v>5.5029933457790746E-2</v>
      </c>
      <c r="I9" s="86">
        <f t="shared" si="1"/>
        <v>-4.198393054577311E-2</v>
      </c>
      <c r="J9" s="311">
        <v>802</v>
      </c>
      <c r="K9" s="63">
        <f t="shared" si="7"/>
        <v>290.28379052369075</v>
      </c>
      <c r="L9" s="61">
        <v>15</v>
      </c>
      <c r="M9" s="28">
        <f t="shared" si="2"/>
        <v>1.8703241895261846E-2</v>
      </c>
      <c r="N9" s="46">
        <v>48</v>
      </c>
      <c r="O9" s="89">
        <f t="shared" si="3"/>
        <v>5.9850374064837904E-2</v>
      </c>
      <c r="P9" s="260">
        <f t="shared" si="8"/>
        <v>67263.808695652173</v>
      </c>
      <c r="Q9" s="89">
        <f t="shared" si="4"/>
        <v>0.28892445390808619</v>
      </c>
      <c r="R9" s="260">
        <f t="shared" si="9"/>
        <v>31391.591304347829</v>
      </c>
      <c r="S9" s="89">
        <f t="shared" si="5"/>
        <v>0.13483920329210827</v>
      </c>
      <c r="T9" s="310">
        <v>6147</v>
      </c>
      <c r="U9" s="26"/>
      <c r="V9" s="449"/>
      <c r="W9" s="447">
        <v>41253.050000000003</v>
      </c>
      <c r="X9" s="386">
        <f t="shared" si="10"/>
        <v>35872.217391304352</v>
      </c>
      <c r="Y9" s="451"/>
      <c r="Z9" s="447">
        <v>36100.33</v>
      </c>
      <c r="AA9" s="386">
        <f t="shared" si="11"/>
        <v>31391.591304347829</v>
      </c>
    </row>
    <row r="10" spans="1:27" ht="15.6" customHeight="1" x14ac:dyDescent="0.3">
      <c r="A10" s="445" t="s">
        <v>16</v>
      </c>
      <c r="B10" s="310">
        <v>132305.98000000001</v>
      </c>
      <c r="C10" s="310">
        <v>203270.01</v>
      </c>
      <c r="D10" s="310">
        <v>191397.82</v>
      </c>
      <c r="E10" s="86">
        <f t="shared" si="6"/>
        <v>-0.34911214890971864</v>
      </c>
      <c r="F10" s="310">
        <v>668014.29</v>
      </c>
      <c r="G10" s="310">
        <v>243180.16</v>
      </c>
      <c r="H10" s="86">
        <f t="shared" si="0"/>
        <v>-0.45593431635212345</v>
      </c>
      <c r="I10" s="86">
        <f t="shared" si="1"/>
        <v>-0.30873831269342561</v>
      </c>
      <c r="J10" s="311">
        <v>461</v>
      </c>
      <c r="K10" s="63">
        <f t="shared" si="7"/>
        <v>286.99778741865509</v>
      </c>
      <c r="L10" s="61">
        <v>1</v>
      </c>
      <c r="M10" s="28">
        <f t="shared" si="2"/>
        <v>2.1691973969631237E-3</v>
      </c>
      <c r="N10" s="46">
        <v>15</v>
      </c>
      <c r="O10" s="89">
        <f t="shared" si="3"/>
        <v>3.2537960954446853E-2</v>
      </c>
      <c r="P10" s="260">
        <f t="shared" si="8"/>
        <v>34241.756521739138</v>
      </c>
      <c r="Q10" s="89">
        <f t="shared" si="4"/>
        <v>0.25880732315908273</v>
      </c>
      <c r="R10" s="260">
        <f t="shared" si="9"/>
        <v>17990.156521739133</v>
      </c>
      <c r="S10" s="89">
        <f t="shared" si="5"/>
        <v>0.13597387300059402</v>
      </c>
      <c r="T10" s="310">
        <v>7682.24</v>
      </c>
      <c r="U10" s="26"/>
      <c r="V10" s="449"/>
      <c r="W10" s="447">
        <v>18689.34</v>
      </c>
      <c r="X10" s="386">
        <f t="shared" si="10"/>
        <v>16251.600000000002</v>
      </c>
      <c r="Y10" s="451"/>
      <c r="Z10" s="447">
        <v>20688.68</v>
      </c>
      <c r="AA10" s="386">
        <f t="shared" si="11"/>
        <v>17990.156521739133</v>
      </c>
    </row>
    <row r="11" spans="1:27" ht="15.6" customHeight="1" x14ac:dyDescent="0.3">
      <c r="A11" s="445" t="s">
        <v>17</v>
      </c>
      <c r="B11" s="310">
        <v>142849.51</v>
      </c>
      <c r="C11" s="310">
        <v>161376.59</v>
      </c>
      <c r="D11" s="310">
        <v>86713.33</v>
      </c>
      <c r="E11" s="86">
        <f t="shared" si="6"/>
        <v>-0.11480649082992761</v>
      </c>
      <c r="F11" s="310">
        <v>548326.40000000002</v>
      </c>
      <c r="G11" s="310">
        <v>135782.1</v>
      </c>
      <c r="H11" s="86">
        <f t="shared" si="0"/>
        <v>5.204964424618564E-2</v>
      </c>
      <c r="I11" s="86">
        <f t="shared" si="1"/>
        <v>0.64737659134991132</v>
      </c>
      <c r="J11" s="311">
        <v>518</v>
      </c>
      <c r="K11" s="63">
        <f t="shared" si="7"/>
        <v>275.77125482625485</v>
      </c>
      <c r="L11" s="61">
        <v>3</v>
      </c>
      <c r="M11" s="28">
        <f t="shared" si="2"/>
        <v>5.7915057915057912E-3</v>
      </c>
      <c r="N11" s="46">
        <v>22</v>
      </c>
      <c r="O11" s="89">
        <f t="shared" si="3"/>
        <v>4.2471042471042469E-2</v>
      </c>
      <c r="P11" s="260">
        <f t="shared" si="8"/>
        <v>62363.295652173925</v>
      </c>
      <c r="Q11" s="89">
        <f t="shared" si="4"/>
        <v>0.43656639530771874</v>
      </c>
      <c r="R11" s="260">
        <f t="shared" si="9"/>
        <v>21769.773913043482</v>
      </c>
      <c r="S11" s="89">
        <f t="shared" si="5"/>
        <v>0.15239655993950194</v>
      </c>
      <c r="T11" s="310">
        <v>2404.25</v>
      </c>
      <c r="U11" s="26"/>
      <c r="V11" s="449"/>
      <c r="W11" s="447">
        <v>46682.55</v>
      </c>
      <c r="X11" s="386">
        <f t="shared" si="10"/>
        <v>40593.52173913044</v>
      </c>
      <c r="Y11" s="451"/>
      <c r="Z11" s="447">
        <v>25035.24</v>
      </c>
      <c r="AA11" s="386">
        <f t="shared" si="11"/>
        <v>21769.773913043482</v>
      </c>
    </row>
    <row r="12" spans="1:27" ht="15.6" customHeight="1" x14ac:dyDescent="0.3">
      <c r="A12" s="12" t="s">
        <v>55</v>
      </c>
      <c r="B12" s="310">
        <v>239905.45</v>
      </c>
      <c r="C12" s="310">
        <v>229013.27</v>
      </c>
      <c r="D12" s="310">
        <v>206751.49</v>
      </c>
      <c r="E12" s="86">
        <f t="shared" si="6"/>
        <v>4.756134873756452E-2</v>
      </c>
      <c r="F12" s="310">
        <v>843885.6</v>
      </c>
      <c r="G12" s="310">
        <v>205896.16</v>
      </c>
      <c r="H12" s="86">
        <f t="shared" si="0"/>
        <v>0.1651769027649666</v>
      </c>
      <c r="I12" s="86">
        <f t="shared" si="1"/>
        <v>0.16035657106993531</v>
      </c>
      <c r="J12" s="311">
        <v>796</v>
      </c>
      <c r="K12" s="63">
        <f t="shared" si="7"/>
        <v>301.38875628140704</v>
      </c>
      <c r="L12" s="61">
        <v>7</v>
      </c>
      <c r="M12" s="28">
        <f t="shared" si="2"/>
        <v>8.7939698492462311E-3</v>
      </c>
      <c r="N12" s="46">
        <v>17</v>
      </c>
      <c r="O12" s="89">
        <f t="shared" si="3"/>
        <v>2.1356783919597989E-2</v>
      </c>
      <c r="P12" s="260">
        <f t="shared" si="8"/>
        <v>73047.034782608709</v>
      </c>
      <c r="Q12" s="89">
        <f t="shared" si="4"/>
        <v>0.30448259838452485</v>
      </c>
      <c r="R12" s="260">
        <f t="shared" si="9"/>
        <v>38175.695652173919</v>
      </c>
      <c r="S12" s="89">
        <f t="shared" si="5"/>
        <v>0.15912808838721221</v>
      </c>
      <c r="T12" s="310">
        <v>3775</v>
      </c>
      <c r="U12" s="9"/>
      <c r="V12" s="449"/>
      <c r="W12" s="447">
        <v>40102.04</v>
      </c>
      <c r="X12" s="386">
        <f t="shared" si="10"/>
        <v>34871.33913043479</v>
      </c>
      <c r="Y12" s="451"/>
      <c r="Z12" s="447">
        <v>43902.05</v>
      </c>
      <c r="AA12" s="386">
        <f t="shared" si="11"/>
        <v>38175.695652173919</v>
      </c>
    </row>
    <row r="13" spans="1:27" ht="15.6" customHeight="1" x14ac:dyDescent="0.3">
      <c r="A13" s="12" t="s">
        <v>33</v>
      </c>
      <c r="B13" s="310">
        <v>206239.3</v>
      </c>
      <c r="C13" s="310">
        <v>186426.95</v>
      </c>
      <c r="D13" s="310"/>
      <c r="E13" s="86">
        <f t="shared" si="6"/>
        <v>0.10627406606180048</v>
      </c>
      <c r="F13" s="310">
        <v>700192.7</v>
      </c>
      <c r="G13" s="310">
        <v>158701.21</v>
      </c>
      <c r="H13" s="86">
        <f t="shared" si="0"/>
        <v>0.29954459704497527</v>
      </c>
      <c r="I13" s="86">
        <f t="shared" si="1"/>
        <v>0</v>
      </c>
      <c r="J13" s="311">
        <v>721</v>
      </c>
      <c r="K13" s="63">
        <f t="shared" si="7"/>
        <v>286.04618585298198</v>
      </c>
      <c r="L13" s="61">
        <v>13</v>
      </c>
      <c r="M13" s="28">
        <f t="shared" si="2"/>
        <v>1.8030513176144243E-2</v>
      </c>
      <c r="N13" s="46">
        <v>37</v>
      </c>
      <c r="O13" s="89">
        <f t="shared" si="3"/>
        <v>5.1317614424410539E-2</v>
      </c>
      <c r="P13" s="260">
        <f t="shared" si="8"/>
        <v>56428.33913043479</v>
      </c>
      <c r="Q13" s="89">
        <f t="shared" si="4"/>
        <v>0.273606141654063</v>
      </c>
      <c r="R13" s="260">
        <f t="shared" si="9"/>
        <v>28317.55652173913</v>
      </c>
      <c r="S13" s="89">
        <f t="shared" si="5"/>
        <v>0.13730436692589207</v>
      </c>
      <c r="T13" s="310">
        <v>3874</v>
      </c>
      <c r="U13" s="9"/>
      <c r="V13" s="449"/>
      <c r="W13" s="447">
        <v>32327.4</v>
      </c>
      <c r="X13" s="386">
        <f t="shared" si="10"/>
        <v>28110.782608695656</v>
      </c>
      <c r="Y13" s="451"/>
      <c r="Z13" s="447">
        <v>32565.19</v>
      </c>
      <c r="AA13" s="386">
        <f t="shared" si="11"/>
        <v>28317.55652173913</v>
      </c>
    </row>
    <row r="14" spans="1:27" ht="15.6" customHeight="1" x14ac:dyDescent="0.3">
      <c r="A14" s="445" t="s">
        <v>20</v>
      </c>
      <c r="B14" s="310">
        <v>133573.72</v>
      </c>
      <c r="C14" s="310">
        <v>180224.26</v>
      </c>
      <c r="D14" s="310">
        <v>144600.03</v>
      </c>
      <c r="E14" s="86">
        <f t="shared" si="6"/>
        <v>-0.25884717185133682</v>
      </c>
      <c r="F14" s="310">
        <v>593294</v>
      </c>
      <c r="G14" s="310">
        <v>146542.06</v>
      </c>
      <c r="H14" s="86">
        <f t="shared" si="0"/>
        <v>-8.8495685129579837E-2</v>
      </c>
      <c r="I14" s="86">
        <f t="shared" si="1"/>
        <v>-7.6253856932118183E-2</v>
      </c>
      <c r="J14" s="311">
        <v>429</v>
      </c>
      <c r="K14" s="63">
        <f t="shared" si="7"/>
        <v>311.36065268065266</v>
      </c>
      <c r="L14" s="61">
        <v>11</v>
      </c>
      <c r="M14" s="28">
        <f t="shared" si="2"/>
        <v>2.564102564102564E-2</v>
      </c>
      <c r="N14" s="46">
        <v>41</v>
      </c>
      <c r="O14" s="89">
        <f t="shared" si="3"/>
        <v>9.5571095571095568E-2</v>
      </c>
      <c r="P14" s="260">
        <f t="shared" si="8"/>
        <v>40348.817391304357</v>
      </c>
      <c r="Q14" s="89">
        <f t="shared" si="4"/>
        <v>0.30207152568113216</v>
      </c>
      <c r="R14" s="260">
        <f t="shared" si="9"/>
        <v>17451.652173913048</v>
      </c>
      <c r="S14" s="89">
        <f t="shared" si="5"/>
        <v>0.13065183910362793</v>
      </c>
      <c r="T14" s="310">
        <v>2184.4</v>
      </c>
      <c r="U14" s="26"/>
      <c r="V14" s="449"/>
      <c r="W14" s="447">
        <v>26331.74</v>
      </c>
      <c r="X14" s="386">
        <f t="shared" si="10"/>
        <v>22897.165217391306</v>
      </c>
      <c r="Y14" s="451"/>
      <c r="Z14" s="447">
        <v>20069.400000000001</v>
      </c>
      <c r="AA14" s="386">
        <f t="shared" si="11"/>
        <v>17451.652173913048</v>
      </c>
    </row>
    <row r="15" spans="1:27" ht="16.2" customHeight="1" thickBot="1" x14ac:dyDescent="0.35">
      <c r="A15" s="12" t="s">
        <v>22</v>
      </c>
      <c r="B15" s="310">
        <v>149964.4</v>
      </c>
      <c r="C15" s="310">
        <v>220209.79</v>
      </c>
      <c r="D15" s="310">
        <v>152846.04</v>
      </c>
      <c r="E15" s="86">
        <f t="shared" si="6"/>
        <v>-0.31899303841123511</v>
      </c>
      <c r="F15" s="310">
        <v>639054.73</v>
      </c>
      <c r="G15" s="310">
        <v>131242.26999999999</v>
      </c>
      <c r="H15" s="86">
        <f t="shared" si="0"/>
        <v>0.142653201594273</v>
      </c>
      <c r="I15" s="86">
        <f t="shared" si="1"/>
        <v>-1.8853219880606745E-2</v>
      </c>
      <c r="J15" s="311">
        <v>513</v>
      </c>
      <c r="K15" s="63">
        <f t="shared" si="7"/>
        <v>292.32826510721247</v>
      </c>
      <c r="L15" s="61">
        <v>6</v>
      </c>
      <c r="M15" s="28">
        <f t="shared" si="2"/>
        <v>1.1695906432748537E-2</v>
      </c>
      <c r="N15" s="46">
        <v>27</v>
      </c>
      <c r="O15" s="89">
        <f t="shared" si="3"/>
        <v>5.2631578947368418E-2</v>
      </c>
      <c r="P15" s="260">
        <f t="shared" si="8"/>
        <v>41006.660869565225</v>
      </c>
      <c r="Q15" s="89">
        <f t="shared" si="4"/>
        <v>0.27344263618275555</v>
      </c>
      <c r="R15" s="260">
        <f t="shared" si="9"/>
        <v>23444.608695652176</v>
      </c>
      <c r="S15" s="89">
        <f t="shared" si="5"/>
        <v>0.15633449469108787</v>
      </c>
      <c r="T15" s="310">
        <v>1939.93</v>
      </c>
      <c r="U15" s="26"/>
      <c r="V15" s="449"/>
      <c r="W15" s="450">
        <v>20196.36</v>
      </c>
      <c r="X15" s="388">
        <f t="shared" si="10"/>
        <v>17562.052173913045</v>
      </c>
      <c r="Y15" s="451"/>
      <c r="Z15" s="448">
        <v>26961.3</v>
      </c>
      <c r="AA15" s="388">
        <f t="shared" si="11"/>
        <v>23444.608695652176</v>
      </c>
    </row>
    <row r="16" spans="1:27" ht="15" customHeight="1" thickTop="1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H5:I15 K5:S15">
    <cfRule type="cellIs" dxfId="55" priority="4" operator="equal">
      <formula>0</formula>
    </cfRule>
  </conditionalFormatting>
  <conditionalFormatting sqref="P12:P13">
    <cfRule type="cellIs" dxfId="54" priority="2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AA49"/>
  <sheetViews>
    <sheetView zoomScale="70" zoomScaleNormal="70" workbookViewId="0">
      <pane xSplit="1" topLeftCell="B1" activePane="topRight" state="frozen"/>
      <selection pane="topRight" activeCell="F5" sqref="F5:G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400">
        <f>((B4-C4)/B4)</f>
        <v>-8.6314802839402432E-2</v>
      </c>
      <c r="F2" s="426"/>
      <c r="G2" s="1"/>
      <c r="H2" s="427"/>
      <c r="I2" s="422">
        <f>((B4-D4)/D4)</f>
        <v>5.9592409744744411E-2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Top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5.6" customHeight="1" x14ac:dyDescent="0.3">
      <c r="A4" s="3" t="s">
        <v>13</v>
      </c>
      <c r="B4" s="98">
        <f>SUM(B5:B15)</f>
        <v>2002853.7900000003</v>
      </c>
      <c r="C4" s="98">
        <f>SUM(C5:C15)</f>
        <v>2175729.7200000002</v>
      </c>
      <c r="D4" s="98">
        <f>SUM(D5:D15)</f>
        <v>1890211.53</v>
      </c>
      <c r="E4" s="436">
        <f>IFERROR((SUM(B4-C4)/B4),0)</f>
        <v>-8.6314802839402432E-2</v>
      </c>
      <c r="F4" s="98">
        <f>SUM(F5:F15)</f>
        <v>1599334.98</v>
      </c>
      <c r="G4" s="98">
        <f>SUM(G5:G15)</f>
        <v>2034440.4100000001</v>
      </c>
      <c r="H4" s="436">
        <f t="shared" ref="H4:H15" si="0">IFERROR((SUM(B4-G4)/G4),0)</f>
        <v>-1.5525949958888143E-2</v>
      </c>
      <c r="I4" s="436">
        <f t="shared" ref="I4:I15" si="1">IFERROR((SUM(B4-D4)/D4),0)</f>
        <v>5.9592409744744411E-2</v>
      </c>
      <c r="J4" s="437">
        <f>SUM(J5:J15)</f>
        <v>6718</v>
      </c>
      <c r="K4" s="438">
        <f>AVERAGE(K5:K15)</f>
        <v>269.91076260332778</v>
      </c>
      <c r="L4" s="439">
        <f>SUM(L5:L15)</f>
        <v>91</v>
      </c>
      <c r="M4" s="440">
        <f t="shared" ref="M4:M15" si="2">IFERROR(L4/J4,0)</f>
        <v>1.3545698124441799E-2</v>
      </c>
      <c r="N4" s="441">
        <f>SUM(N7:N15)</f>
        <v>256</v>
      </c>
      <c r="O4" s="442">
        <f t="shared" ref="O4:O15" si="3">IFERROR(N4/SUM(J4),0)</f>
        <v>3.8106579339089015E-2</v>
      </c>
      <c r="P4" s="443">
        <f>SUM(P5:P15)</f>
        <v>553583.93913043488</v>
      </c>
      <c r="Q4" s="442">
        <f t="shared" ref="Q4:Q15" si="4">SUM(P4/B4)</f>
        <v>0.27639757924138575</v>
      </c>
      <c r="R4" s="443">
        <f>SUM(R5:R15)</f>
        <v>239609.09565217394</v>
      </c>
      <c r="S4" s="442">
        <f t="shared" ref="S4:S15" si="5">SUM(R4/B4)</f>
        <v>0.11963384289383096</v>
      </c>
      <c r="T4" s="444">
        <f>SUM(T5:T15)</f>
        <v>44747.56</v>
      </c>
      <c r="U4" s="24"/>
      <c r="W4" s="362"/>
      <c r="X4" s="384"/>
      <c r="Z4" s="362"/>
      <c r="AA4" s="384"/>
    </row>
    <row r="5" spans="1:27" ht="15.6" customHeight="1" x14ac:dyDescent="0.3">
      <c r="A5" s="12" t="s">
        <v>26</v>
      </c>
      <c r="B5" s="310">
        <v>289319.99</v>
      </c>
      <c r="C5" s="310">
        <v>296067.74</v>
      </c>
      <c r="D5" s="310">
        <v>166877.21</v>
      </c>
      <c r="E5" s="86">
        <f t="shared" ref="E5:E15" si="6">IFERROR((SUM(B5-C5)/C5),0)</f>
        <v>-2.2791236897339778E-2</v>
      </c>
      <c r="F5" s="238">
        <v>222432.32</v>
      </c>
      <c r="G5" s="238">
        <v>241742.72</v>
      </c>
      <c r="H5" s="86">
        <f t="shared" si="0"/>
        <v>0.19680952543265828</v>
      </c>
      <c r="I5" s="86">
        <f t="shared" si="1"/>
        <v>0.73372978850737025</v>
      </c>
      <c r="J5" s="311">
        <v>902</v>
      </c>
      <c r="K5" s="63">
        <f t="shared" ref="K5:K15" si="7">IFERROR(B5/J5,0)</f>
        <v>320.75386917960088</v>
      </c>
      <c r="L5" s="61">
        <v>10</v>
      </c>
      <c r="M5" s="28">
        <f t="shared" si="2"/>
        <v>1.1086474501108648E-2</v>
      </c>
      <c r="N5" s="46">
        <v>42</v>
      </c>
      <c r="O5" s="89">
        <f t="shared" si="3"/>
        <v>4.6563192904656318E-2</v>
      </c>
      <c r="P5" s="260">
        <f t="shared" ref="P5:P15" si="8">SUM(X5+AA5)</f>
        <v>28308.26086956522</v>
      </c>
      <c r="Q5" s="89">
        <f t="shared" si="4"/>
        <v>9.7844123627839272E-2</v>
      </c>
      <c r="R5" s="260">
        <f t="shared" ref="R5:R15" si="9">SUM(AA5)</f>
        <v>28308.26086956522</v>
      </c>
      <c r="S5" s="89">
        <f t="shared" si="5"/>
        <v>9.7844123627839272E-2</v>
      </c>
      <c r="T5" s="311">
        <v>2399.7399999999998</v>
      </c>
      <c r="U5" s="9"/>
      <c r="W5" s="362"/>
      <c r="X5" s="386">
        <f t="shared" ref="X5:X15" si="10">W5/1.15</f>
        <v>0</v>
      </c>
      <c r="Y5" s="451"/>
      <c r="Z5">
        <v>32554.5</v>
      </c>
      <c r="AA5" s="386">
        <f t="shared" ref="AA5:AA15" si="11">SUM(Z5)/1.15</f>
        <v>28308.26086956522</v>
      </c>
    </row>
    <row r="6" spans="1:27" ht="15.6" customHeight="1" x14ac:dyDescent="0.3">
      <c r="A6" s="445" t="s">
        <v>21</v>
      </c>
      <c r="B6" s="310">
        <v>254321.2</v>
      </c>
      <c r="C6" s="310">
        <v>236901.33</v>
      </c>
      <c r="D6" s="310">
        <v>317233.91999999998</v>
      </c>
      <c r="E6" s="86">
        <f t="shared" si="6"/>
        <v>7.3532174766600192E-2</v>
      </c>
      <c r="F6" s="238">
        <v>204389.87</v>
      </c>
      <c r="G6" s="238">
        <v>224089.43</v>
      </c>
      <c r="H6" s="86">
        <f t="shared" si="0"/>
        <v>0.13490939755614542</v>
      </c>
      <c r="I6" s="86">
        <f t="shared" si="1"/>
        <v>-0.19831649780704402</v>
      </c>
      <c r="J6" s="311">
        <v>816</v>
      </c>
      <c r="K6" s="63">
        <f t="shared" si="7"/>
        <v>311.66813725490198</v>
      </c>
      <c r="L6" s="61">
        <v>10</v>
      </c>
      <c r="M6" s="28">
        <f t="shared" si="2"/>
        <v>1.2254901960784314E-2</v>
      </c>
      <c r="N6" s="46">
        <v>42</v>
      </c>
      <c r="O6" s="89">
        <f t="shared" si="3"/>
        <v>5.1470588235294115E-2</v>
      </c>
      <c r="P6" s="260">
        <f t="shared" si="8"/>
        <v>64620.313043478265</v>
      </c>
      <c r="Q6" s="89">
        <f t="shared" si="4"/>
        <v>0.25408936826138862</v>
      </c>
      <c r="R6" s="260">
        <f t="shared" si="9"/>
        <v>21699.747826086958</v>
      </c>
      <c r="S6" s="89">
        <f t="shared" si="5"/>
        <v>8.532417991927907E-2</v>
      </c>
      <c r="T6" s="311">
        <v>9429.6299999999992</v>
      </c>
      <c r="U6" s="26"/>
      <c r="V6" s="449"/>
      <c r="W6">
        <v>49358.65</v>
      </c>
      <c r="X6" s="386">
        <f t="shared" si="10"/>
        <v>42920.565217391311</v>
      </c>
      <c r="Y6" s="451"/>
      <c r="Z6">
        <v>24954.71</v>
      </c>
      <c r="AA6" s="386">
        <f t="shared" si="11"/>
        <v>21699.747826086958</v>
      </c>
    </row>
    <row r="7" spans="1:27" ht="16.5" customHeight="1" x14ac:dyDescent="0.3">
      <c r="A7" s="445" t="s">
        <v>15</v>
      </c>
      <c r="B7" s="310">
        <v>215892.02</v>
      </c>
      <c r="C7" s="310">
        <v>244342.49</v>
      </c>
      <c r="D7" s="310">
        <v>254835.6</v>
      </c>
      <c r="E7" s="86">
        <f t="shared" si="6"/>
        <v>-0.11643685058624066</v>
      </c>
      <c r="F7" s="238">
        <v>176467.25</v>
      </c>
      <c r="G7" s="238">
        <v>218365.17</v>
      </c>
      <c r="H7" s="86">
        <f t="shared" si="0"/>
        <v>-1.1325753095148019E-2</v>
      </c>
      <c r="I7" s="86">
        <f t="shared" si="1"/>
        <v>-0.15281844451874077</v>
      </c>
      <c r="J7" s="311">
        <v>683</v>
      </c>
      <c r="K7" s="63">
        <f t="shared" si="7"/>
        <v>316.0937335285505</v>
      </c>
      <c r="L7" s="61">
        <v>4</v>
      </c>
      <c r="M7" s="28">
        <f t="shared" si="2"/>
        <v>5.8565153733528552E-3</v>
      </c>
      <c r="N7" s="46">
        <v>24</v>
      </c>
      <c r="O7" s="89">
        <f t="shared" si="3"/>
        <v>3.5139092240117131E-2</v>
      </c>
      <c r="P7" s="260">
        <f t="shared" si="8"/>
        <v>46258.408695652179</v>
      </c>
      <c r="Q7" s="89">
        <f t="shared" si="4"/>
        <v>0.2142664128838675</v>
      </c>
      <c r="R7" s="260">
        <f t="shared" si="9"/>
        <v>3714.6782608695657</v>
      </c>
      <c r="S7" s="89">
        <f t="shared" si="5"/>
        <v>1.7206186040917889E-2</v>
      </c>
      <c r="T7" s="311">
        <v>5187.95</v>
      </c>
      <c r="U7" s="26"/>
      <c r="V7" s="449"/>
      <c r="W7">
        <v>48925.29</v>
      </c>
      <c r="X7" s="386">
        <f t="shared" si="10"/>
        <v>42543.730434782614</v>
      </c>
      <c r="Y7" s="451"/>
      <c r="Z7">
        <v>4271.88</v>
      </c>
      <c r="AA7" s="386">
        <f t="shared" si="11"/>
        <v>3714.6782608695657</v>
      </c>
    </row>
    <row r="8" spans="1:27" ht="15.6" customHeight="1" x14ac:dyDescent="0.3">
      <c r="A8" s="12" t="s">
        <v>27</v>
      </c>
      <c r="B8" s="310">
        <v>151281.76</v>
      </c>
      <c r="C8" s="310">
        <v>160772.20000000001</v>
      </c>
      <c r="D8" s="310">
        <v>125945.97</v>
      </c>
      <c r="E8" s="86">
        <f t="shared" si="6"/>
        <v>-5.9030354750385962E-2</v>
      </c>
      <c r="F8" s="238">
        <v>121647.85</v>
      </c>
      <c r="G8" s="238">
        <v>145092.71</v>
      </c>
      <c r="H8" s="86">
        <f t="shared" si="0"/>
        <v>4.2655830192985009E-2</v>
      </c>
      <c r="I8" s="86">
        <f t="shared" si="1"/>
        <v>0.20116395943435117</v>
      </c>
      <c r="J8" s="311">
        <v>542</v>
      </c>
      <c r="K8" s="63">
        <f t="shared" si="7"/>
        <v>279.11763837638381</v>
      </c>
      <c r="L8" s="61">
        <v>11</v>
      </c>
      <c r="M8" s="28">
        <f t="shared" si="2"/>
        <v>2.0295202952029519E-2</v>
      </c>
      <c r="N8" s="46">
        <v>25</v>
      </c>
      <c r="O8" s="89">
        <f t="shared" si="3"/>
        <v>4.6125461254612546E-2</v>
      </c>
      <c r="P8" s="260">
        <f t="shared" si="8"/>
        <v>57219.33043478262</v>
      </c>
      <c r="Q8" s="89">
        <f t="shared" si="4"/>
        <v>0.37823020061891544</v>
      </c>
      <c r="R8" s="260">
        <f t="shared" si="9"/>
        <v>20888.26086956522</v>
      </c>
      <c r="S8" s="89">
        <f t="shared" si="5"/>
        <v>0.13807521058431116</v>
      </c>
      <c r="T8" s="311">
        <v>7008.14</v>
      </c>
      <c r="U8" s="9"/>
      <c r="V8" s="449"/>
      <c r="W8">
        <v>41780.730000000003</v>
      </c>
      <c r="X8" s="386">
        <f t="shared" si="10"/>
        <v>36331.069565217396</v>
      </c>
      <c r="Y8" s="451"/>
      <c r="Z8">
        <v>24021.5</v>
      </c>
      <c r="AA8" s="386">
        <f t="shared" si="11"/>
        <v>20888.26086956522</v>
      </c>
    </row>
    <row r="9" spans="1:27" ht="15.6" customHeight="1" x14ac:dyDescent="0.3">
      <c r="A9" s="12" t="s">
        <v>23</v>
      </c>
      <c r="B9" s="310">
        <v>246719.88</v>
      </c>
      <c r="C9" s="310">
        <v>232807.6</v>
      </c>
      <c r="D9" s="310">
        <v>243010.12</v>
      </c>
      <c r="E9" s="86">
        <f t="shared" si="6"/>
        <v>5.9758702035500551E-2</v>
      </c>
      <c r="F9" s="238">
        <v>200585.71</v>
      </c>
      <c r="G9" s="238">
        <v>228031.91</v>
      </c>
      <c r="H9" s="86">
        <f t="shared" si="0"/>
        <v>8.1953310832681273E-2</v>
      </c>
      <c r="I9" s="86">
        <f t="shared" si="1"/>
        <v>1.5265866293963435E-2</v>
      </c>
      <c r="J9" s="311">
        <v>832</v>
      </c>
      <c r="K9" s="63">
        <f t="shared" si="7"/>
        <v>296.5383173076923</v>
      </c>
      <c r="L9" s="61">
        <v>15</v>
      </c>
      <c r="M9" s="28">
        <f t="shared" si="2"/>
        <v>1.8028846153846152E-2</v>
      </c>
      <c r="N9" s="46">
        <v>48</v>
      </c>
      <c r="O9" s="89">
        <f t="shared" si="3"/>
        <v>5.7692307692307696E-2</v>
      </c>
      <c r="P9" s="260">
        <f t="shared" si="8"/>
        <v>72588.104347826098</v>
      </c>
      <c r="Q9" s="89">
        <f t="shared" si="4"/>
        <v>0.2942126282966176</v>
      </c>
      <c r="R9" s="260">
        <f t="shared" si="9"/>
        <v>37214.860869565215</v>
      </c>
      <c r="S9" s="89">
        <f t="shared" si="5"/>
        <v>0.15083851722676428</v>
      </c>
      <c r="T9" s="311">
        <v>4727</v>
      </c>
      <c r="U9" s="26"/>
      <c r="V9" s="449"/>
      <c r="W9">
        <v>40679.230000000003</v>
      </c>
      <c r="X9" s="386">
        <f t="shared" si="10"/>
        <v>35373.243478260876</v>
      </c>
      <c r="Y9" s="451"/>
      <c r="Z9">
        <v>42797.09</v>
      </c>
      <c r="AA9" s="386">
        <f t="shared" si="11"/>
        <v>37214.860869565215</v>
      </c>
    </row>
    <row r="10" spans="1:27" ht="15.6" customHeight="1" x14ac:dyDescent="0.3">
      <c r="A10" s="445" t="s">
        <v>16</v>
      </c>
      <c r="B10" s="310"/>
      <c r="C10" s="310">
        <v>132305.98000000001</v>
      </c>
      <c r="D10" s="310">
        <v>191397.82</v>
      </c>
      <c r="E10" s="86">
        <f t="shared" si="6"/>
        <v>-1</v>
      </c>
      <c r="F10" s="310"/>
      <c r="G10" s="238">
        <v>205166.89</v>
      </c>
      <c r="H10" s="86">
        <f t="shared" si="0"/>
        <v>-1</v>
      </c>
      <c r="I10" s="86">
        <f t="shared" si="1"/>
        <v>-1</v>
      </c>
      <c r="J10" s="311"/>
      <c r="K10" s="63">
        <f t="shared" si="7"/>
        <v>0</v>
      </c>
      <c r="L10" s="61">
        <v>1</v>
      </c>
      <c r="M10" s="28">
        <f t="shared" si="2"/>
        <v>0</v>
      </c>
      <c r="N10" s="46">
        <v>15</v>
      </c>
      <c r="O10" s="89">
        <f t="shared" si="3"/>
        <v>0</v>
      </c>
      <c r="P10" s="260">
        <f t="shared" si="8"/>
        <v>0</v>
      </c>
      <c r="Q10" s="89" t="e">
        <f t="shared" si="4"/>
        <v>#DIV/0!</v>
      </c>
      <c r="R10" s="260">
        <f t="shared" si="9"/>
        <v>0</v>
      </c>
      <c r="S10" s="89" t="e">
        <f t="shared" si="5"/>
        <v>#DIV/0!</v>
      </c>
      <c r="T10" s="310"/>
      <c r="U10" s="26"/>
      <c r="V10" s="449"/>
      <c r="W10" s="447"/>
      <c r="X10" s="386">
        <f t="shared" si="10"/>
        <v>0</v>
      </c>
      <c r="Y10" s="451"/>
      <c r="Z10" s="447"/>
      <c r="AA10" s="386">
        <f t="shared" si="11"/>
        <v>0</v>
      </c>
    </row>
    <row r="11" spans="1:27" ht="15.6" customHeight="1" x14ac:dyDescent="0.3">
      <c r="A11" s="445" t="s">
        <v>17</v>
      </c>
      <c r="B11" s="310">
        <v>156534.45000000001</v>
      </c>
      <c r="C11" s="310">
        <v>142849.51</v>
      </c>
      <c r="D11" s="310">
        <v>86713.33</v>
      </c>
      <c r="E11" s="86">
        <f t="shared" si="6"/>
        <v>9.5799698577895026E-2</v>
      </c>
      <c r="F11" s="238">
        <v>116785.44</v>
      </c>
      <c r="G11" s="238">
        <v>144923.59</v>
      </c>
      <c r="H11" s="86">
        <f t="shared" si="0"/>
        <v>8.0117115508938297E-2</v>
      </c>
      <c r="I11" s="86">
        <f t="shared" si="1"/>
        <v>0.80519477224551295</v>
      </c>
      <c r="J11" s="311">
        <v>544</v>
      </c>
      <c r="K11" s="63">
        <f t="shared" si="7"/>
        <v>287.74715073529416</v>
      </c>
      <c r="L11" s="61">
        <v>3</v>
      </c>
      <c r="M11" s="28">
        <f t="shared" si="2"/>
        <v>5.5147058823529415E-3</v>
      </c>
      <c r="N11" s="46">
        <v>22</v>
      </c>
      <c r="O11" s="89">
        <f t="shared" si="3"/>
        <v>4.0441176470588237E-2</v>
      </c>
      <c r="P11" s="260">
        <f t="shared" si="8"/>
        <v>74468.62608695653</v>
      </c>
      <c r="Q11" s="89">
        <f t="shared" si="4"/>
        <v>0.47573314428201924</v>
      </c>
      <c r="R11" s="260">
        <f t="shared" si="9"/>
        <v>18897.826086956524</v>
      </c>
      <c r="S11" s="89">
        <f t="shared" si="5"/>
        <v>0.12072630712891969</v>
      </c>
      <c r="T11" s="311">
        <v>3492.9</v>
      </c>
      <c r="U11" s="26"/>
      <c r="V11" s="449"/>
      <c r="W11">
        <v>63906.42</v>
      </c>
      <c r="X11" s="386">
        <f t="shared" si="10"/>
        <v>55570.8</v>
      </c>
      <c r="Y11" s="451"/>
      <c r="Z11">
        <v>21732.5</v>
      </c>
      <c r="AA11" s="386">
        <f t="shared" si="11"/>
        <v>18897.826086956524</v>
      </c>
    </row>
    <row r="12" spans="1:27" ht="15.6" customHeight="1" x14ac:dyDescent="0.3">
      <c r="A12" s="12" t="s">
        <v>55</v>
      </c>
      <c r="B12" s="310">
        <v>199494.54</v>
      </c>
      <c r="C12" s="310">
        <v>239905.45</v>
      </c>
      <c r="D12" s="310">
        <v>206751.49</v>
      </c>
      <c r="E12" s="86">
        <f t="shared" si="6"/>
        <v>-0.16844515203802166</v>
      </c>
      <c r="F12" s="238">
        <v>166592.66</v>
      </c>
      <c r="G12" s="238">
        <v>181925.54</v>
      </c>
      <c r="H12" s="86">
        <f t="shared" si="0"/>
        <v>9.6572476849594621E-2</v>
      </c>
      <c r="I12" s="86">
        <f t="shared" si="1"/>
        <v>-3.5099867962257406E-2</v>
      </c>
      <c r="J12" s="311">
        <v>723</v>
      </c>
      <c r="K12" s="63">
        <f t="shared" si="7"/>
        <v>275.92605809128634</v>
      </c>
      <c r="L12" s="61">
        <v>7</v>
      </c>
      <c r="M12" s="28">
        <f t="shared" si="2"/>
        <v>9.6818810511756573E-3</v>
      </c>
      <c r="N12" s="46">
        <v>17</v>
      </c>
      <c r="O12" s="89">
        <f t="shared" si="3"/>
        <v>2.351313969571231E-2</v>
      </c>
      <c r="P12" s="260">
        <f t="shared" si="8"/>
        <v>64648.721739130437</v>
      </c>
      <c r="Q12" s="89">
        <f t="shared" si="4"/>
        <v>0.32406261213530174</v>
      </c>
      <c r="R12" s="260">
        <f t="shared" si="9"/>
        <v>34542.756521739131</v>
      </c>
      <c r="S12" s="89">
        <f t="shared" si="5"/>
        <v>0.17315138811187078</v>
      </c>
      <c r="T12" s="311">
        <v>3595.5</v>
      </c>
      <c r="U12" s="9"/>
      <c r="V12" s="449"/>
      <c r="W12">
        <v>34621.86</v>
      </c>
      <c r="X12" s="386">
        <f t="shared" si="10"/>
        <v>30105.965217391305</v>
      </c>
      <c r="Y12" s="451"/>
      <c r="Z12">
        <v>39724.17</v>
      </c>
      <c r="AA12" s="386">
        <f t="shared" si="11"/>
        <v>34542.756521739131</v>
      </c>
    </row>
    <row r="13" spans="1:27" ht="15.6" customHeight="1" x14ac:dyDescent="0.3">
      <c r="A13" s="12" t="s">
        <v>33</v>
      </c>
      <c r="B13" s="310">
        <v>186765.79</v>
      </c>
      <c r="C13" s="310">
        <v>206239.3</v>
      </c>
      <c r="D13" s="310"/>
      <c r="E13" s="86">
        <f t="shared" si="6"/>
        <v>-9.4421916676404455E-2</v>
      </c>
      <c r="F13" s="238">
        <v>145657.49</v>
      </c>
      <c r="G13" s="238">
        <v>156833.12</v>
      </c>
      <c r="H13" s="86">
        <f t="shared" si="0"/>
        <v>0.19085681646835831</v>
      </c>
      <c r="I13" s="86">
        <f t="shared" si="1"/>
        <v>0</v>
      </c>
      <c r="J13" s="311">
        <v>680</v>
      </c>
      <c r="K13" s="63">
        <f t="shared" si="7"/>
        <v>274.65557352941175</v>
      </c>
      <c r="L13" s="61">
        <v>13</v>
      </c>
      <c r="M13" s="28">
        <f t="shared" si="2"/>
        <v>1.9117647058823531E-2</v>
      </c>
      <c r="N13" s="46">
        <v>37</v>
      </c>
      <c r="O13" s="89">
        <f t="shared" si="3"/>
        <v>5.4411764705882354E-2</v>
      </c>
      <c r="P13" s="260">
        <f t="shared" si="8"/>
        <v>50895.982608695653</v>
      </c>
      <c r="Q13" s="89">
        <f t="shared" si="4"/>
        <v>0.2725123407702002</v>
      </c>
      <c r="R13" s="260">
        <f t="shared" si="9"/>
        <v>26732.2</v>
      </c>
      <c r="S13" s="89">
        <f t="shared" si="5"/>
        <v>0.14313220852705413</v>
      </c>
      <c r="T13" s="311">
        <v>3882.25</v>
      </c>
      <c r="U13" s="9"/>
      <c r="V13" s="449"/>
      <c r="W13">
        <v>27788.35</v>
      </c>
      <c r="X13" s="386">
        <f t="shared" si="10"/>
        <v>24163.782608695652</v>
      </c>
      <c r="Y13" s="451"/>
      <c r="Z13">
        <v>30742.03</v>
      </c>
      <c r="AA13" s="386">
        <f t="shared" si="11"/>
        <v>26732.2</v>
      </c>
    </row>
    <row r="14" spans="1:27" ht="15.6" customHeight="1" x14ac:dyDescent="0.3">
      <c r="A14" s="445" t="s">
        <v>20</v>
      </c>
      <c r="B14" s="310">
        <v>139177.57</v>
      </c>
      <c r="C14" s="310">
        <v>133573.72</v>
      </c>
      <c r="D14" s="310">
        <v>144600.03</v>
      </c>
      <c r="E14" s="86">
        <f t="shared" si="6"/>
        <v>4.1953237508096694E-2</v>
      </c>
      <c r="F14" s="238">
        <v>114935.27</v>
      </c>
      <c r="G14" s="238">
        <v>158186.46</v>
      </c>
      <c r="H14" s="86">
        <f t="shared" si="0"/>
        <v>-0.12016761738014736</v>
      </c>
      <c r="I14" s="86">
        <f t="shared" si="1"/>
        <v>-3.7499715594803071E-2</v>
      </c>
      <c r="J14" s="311">
        <v>476</v>
      </c>
      <c r="K14" s="63">
        <f t="shared" si="7"/>
        <v>292.38985294117646</v>
      </c>
      <c r="L14" s="61">
        <v>11</v>
      </c>
      <c r="M14" s="28">
        <f t="shared" si="2"/>
        <v>2.3109243697478993E-2</v>
      </c>
      <c r="N14" s="46">
        <v>41</v>
      </c>
      <c r="O14" s="89">
        <f t="shared" si="3"/>
        <v>8.6134453781512604E-2</v>
      </c>
      <c r="P14" s="260">
        <f t="shared" si="8"/>
        <v>49599.382608695661</v>
      </c>
      <c r="Q14" s="89">
        <f t="shared" si="4"/>
        <v>0.35637482827653666</v>
      </c>
      <c r="R14" s="260">
        <f t="shared" si="9"/>
        <v>15089.443478260871</v>
      </c>
      <c r="S14" s="89">
        <f t="shared" si="5"/>
        <v>0.10841864445729919</v>
      </c>
      <c r="T14" s="311">
        <v>2198.5</v>
      </c>
      <c r="U14" s="26"/>
      <c r="V14" s="449"/>
      <c r="W14">
        <v>39686.43</v>
      </c>
      <c r="X14" s="386">
        <f t="shared" si="10"/>
        <v>34509.939130434788</v>
      </c>
      <c r="Y14" s="451"/>
      <c r="Z14">
        <v>17352.86</v>
      </c>
      <c r="AA14" s="386">
        <f t="shared" si="11"/>
        <v>15089.443478260871</v>
      </c>
    </row>
    <row r="15" spans="1:27" ht="16.2" customHeight="1" thickBot="1" x14ac:dyDescent="0.35">
      <c r="A15" s="12" t="s">
        <v>22</v>
      </c>
      <c r="B15" s="310">
        <v>163346.59</v>
      </c>
      <c r="C15" s="310">
        <v>149964.4</v>
      </c>
      <c r="D15" s="310">
        <v>152846.04</v>
      </c>
      <c r="E15" s="86">
        <f t="shared" si="6"/>
        <v>8.9235778624793635E-2</v>
      </c>
      <c r="F15" s="238">
        <v>129841.12</v>
      </c>
      <c r="G15" s="238">
        <v>130082.87</v>
      </c>
      <c r="H15" s="86">
        <f t="shared" si="0"/>
        <v>0.25571176281704117</v>
      </c>
      <c r="I15" s="86">
        <f t="shared" si="1"/>
        <v>6.8700176988556516E-2</v>
      </c>
      <c r="J15" s="311">
        <v>520</v>
      </c>
      <c r="K15" s="63">
        <f t="shared" si="7"/>
        <v>314.12805769230766</v>
      </c>
      <c r="L15" s="61">
        <v>6</v>
      </c>
      <c r="M15" s="28">
        <f t="shared" si="2"/>
        <v>1.1538461538461539E-2</v>
      </c>
      <c r="N15" s="46">
        <v>27</v>
      </c>
      <c r="O15" s="89">
        <f t="shared" si="3"/>
        <v>5.1923076923076926E-2</v>
      </c>
      <c r="P15" s="260">
        <f t="shared" si="8"/>
        <v>44976.80869565218</v>
      </c>
      <c r="Q15" s="89">
        <f t="shared" si="4"/>
        <v>0.27534586853421417</v>
      </c>
      <c r="R15" s="260">
        <f t="shared" si="9"/>
        <v>32521.060869565223</v>
      </c>
      <c r="S15" s="89">
        <f t="shared" si="5"/>
        <v>0.19909237694870291</v>
      </c>
      <c r="T15" s="311">
        <v>2825.95</v>
      </c>
      <c r="U15" s="26"/>
      <c r="V15" s="449"/>
      <c r="W15">
        <v>14324.11</v>
      </c>
      <c r="X15" s="388">
        <f t="shared" si="10"/>
        <v>12455.747826086958</v>
      </c>
      <c r="Y15" s="451"/>
      <c r="Z15">
        <v>37399.22</v>
      </c>
      <c r="AA15" s="388">
        <f t="shared" si="11"/>
        <v>32521.060869565223</v>
      </c>
    </row>
    <row r="16" spans="1:27" ht="15" customHeight="1" thickTop="1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H5:I15 K5:S15">
    <cfRule type="cellIs" dxfId="53" priority="3" operator="equal">
      <formula>0</formula>
    </cfRule>
  </conditionalFormatting>
  <conditionalFormatting sqref="P12:P13">
    <cfRule type="cellIs" dxfId="5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AA49"/>
  <sheetViews>
    <sheetView topLeftCell="A2" zoomScale="70" zoomScaleNormal="70" workbookViewId="0">
      <pane xSplit="1" topLeftCell="B1" activePane="topRight" state="frozen"/>
      <selection pane="topRight" activeCell="F5" sqref="F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thickBot="1" x14ac:dyDescent="0.35">
      <c r="A2" s="1"/>
      <c r="B2" s="1"/>
      <c r="C2" s="1"/>
      <c r="D2" s="1"/>
      <c r="E2" s="400">
        <f>((B4-C4)/B4)</f>
        <v>-9.1462927033347047E-2</v>
      </c>
      <c r="F2" s="426"/>
      <c r="G2" s="1"/>
      <c r="H2" s="427"/>
      <c r="I2" s="422">
        <f>((B4-D4)/D4)</f>
        <v>-2.919981659407192E-2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8" customHeight="1" thickTop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383" t="s">
        <v>57</v>
      </c>
      <c r="X3" s="389"/>
      <c r="Z3" s="383" t="s">
        <v>61</v>
      </c>
      <c r="AA3" s="389"/>
    </row>
    <row r="4" spans="1:27" ht="15.6" customHeight="1" x14ac:dyDescent="0.3">
      <c r="A4" s="3" t="s">
        <v>13</v>
      </c>
      <c r="B4" s="98">
        <f>SUM(B5:B15)</f>
        <v>1835017.7</v>
      </c>
      <c r="C4" s="98">
        <f>SUM(C5:C15)</f>
        <v>2002853.7900000003</v>
      </c>
      <c r="D4" s="98">
        <f>SUM(D5:D15)</f>
        <v>1890211.53</v>
      </c>
      <c r="E4" s="436">
        <f>IFERROR((SUM(B4-C4)/B4),0)</f>
        <v>-9.1462927033347047E-2</v>
      </c>
      <c r="F4" s="98">
        <f>SUM(F5:F15)</f>
        <v>3434352.6799999997</v>
      </c>
      <c r="G4" s="98">
        <f>SUM(G5:G15)</f>
        <v>2030379.34</v>
      </c>
      <c r="H4" s="436">
        <f t="shared" ref="H4:H9" si="0">IFERROR((SUM(B4-G4)/G4),0)</f>
        <v>-9.6219280875858459E-2</v>
      </c>
      <c r="I4" s="436">
        <f t="shared" ref="I4:I9" si="1">IFERROR((SUM(B4-D4)/D4),0)</f>
        <v>-2.919981659407192E-2</v>
      </c>
      <c r="J4" s="437">
        <f>SUM(J5:J15)</f>
        <v>6059</v>
      </c>
      <c r="K4" s="438">
        <f>AVERAGE(K5:K15)</f>
        <v>247.58259249944251</v>
      </c>
      <c r="L4" s="439">
        <f>SUM(L5:L15)</f>
        <v>91</v>
      </c>
      <c r="M4" s="440">
        <f t="shared" ref="M4:M15" si="2">IFERROR(L4/J4,0)</f>
        <v>1.5018980029707873E-2</v>
      </c>
      <c r="N4" s="441">
        <f>SUM(N7:N15)</f>
        <v>256</v>
      </c>
      <c r="O4" s="442">
        <f t="shared" ref="O4:O15" si="3">IFERROR(N4/SUM(J4),0)</f>
        <v>4.2251196567090282E-2</v>
      </c>
      <c r="P4" s="443">
        <f>SUM(P5:P15)</f>
        <v>449504.73043478263</v>
      </c>
      <c r="Q4" s="442">
        <f t="shared" ref="Q4:Q9" si="4">SUM(P4/B4)</f>
        <v>0.24495934313591777</v>
      </c>
      <c r="R4" s="443">
        <f>SUM(R5:R15)</f>
        <v>212960.26086956525</v>
      </c>
      <c r="S4" s="442">
        <f t="shared" ref="S4:S9" si="5">SUM(R4/B4)</f>
        <v>0.11605351864974668</v>
      </c>
      <c r="T4" s="444">
        <f>SUM(T5:T15)</f>
        <v>44811.32</v>
      </c>
      <c r="U4" s="24"/>
      <c r="W4" s="362"/>
      <c r="X4" s="384"/>
      <c r="Z4" s="362"/>
      <c r="AA4" s="384"/>
    </row>
    <row r="5" spans="1:27" ht="15.6" customHeight="1" x14ac:dyDescent="0.3">
      <c r="A5" s="12" t="s">
        <v>26</v>
      </c>
      <c r="B5">
        <v>258961.91</v>
      </c>
      <c r="C5" s="310">
        <v>289319.99</v>
      </c>
      <c r="D5" s="310">
        <v>166877.21</v>
      </c>
      <c r="E5" s="86">
        <f>IFERROR((SUM(B5-C5)/C5),0)</f>
        <v>-0.10492907869933214</v>
      </c>
      <c r="F5" s="238">
        <v>481394.23</v>
      </c>
      <c r="G5">
        <v>226735.62</v>
      </c>
      <c r="H5" s="86">
        <f t="shared" si="0"/>
        <v>0.14213157156339179</v>
      </c>
      <c r="I5" s="86">
        <f t="shared" si="1"/>
        <v>0.55181111908570391</v>
      </c>
      <c r="J5">
        <v>816</v>
      </c>
      <c r="K5" s="63">
        <f>IFERROR(B5/J5,0)</f>
        <v>317.35528186274513</v>
      </c>
      <c r="L5" s="61">
        <v>10</v>
      </c>
      <c r="M5" s="28">
        <f t="shared" si="2"/>
        <v>1.2254901960784314E-2</v>
      </c>
      <c r="N5" s="46">
        <v>42</v>
      </c>
      <c r="O5" s="89">
        <f t="shared" si="3"/>
        <v>5.1470588235294115E-2</v>
      </c>
      <c r="P5" s="260">
        <f t="shared" ref="P5:P15" si="6">SUM(X5+AA5)</f>
        <v>26342.17391304348</v>
      </c>
      <c r="Q5" s="89">
        <f t="shared" si="4"/>
        <v>0.10172219502491112</v>
      </c>
      <c r="R5" s="260">
        <f t="shared" ref="R5:R15" si="7">SUM(AA5)</f>
        <v>26342.17391304348</v>
      </c>
      <c r="S5" s="89">
        <f t="shared" si="5"/>
        <v>0.10172219502491112</v>
      </c>
      <c r="T5">
        <v>2768.8</v>
      </c>
      <c r="U5" s="9"/>
      <c r="W5">
        <v>0</v>
      </c>
      <c r="X5" s="386">
        <f t="shared" ref="X5:X15" si="8">W5/1.15</f>
        <v>0</v>
      </c>
      <c r="Y5" s="451"/>
      <c r="Z5">
        <v>30293.5</v>
      </c>
      <c r="AA5" s="386">
        <f t="shared" ref="AA5:AA15" si="9">SUM(Z5)/1.15</f>
        <v>26342.17391304348</v>
      </c>
    </row>
    <row r="6" spans="1:27" ht="15.6" customHeight="1" x14ac:dyDescent="0.3">
      <c r="A6" s="445" t="s">
        <v>21</v>
      </c>
      <c r="B6">
        <v>204232.59</v>
      </c>
      <c r="C6" s="310">
        <v>254321.2</v>
      </c>
      <c r="D6" s="310">
        <v>317233.91999999998</v>
      </c>
      <c r="E6" s="86">
        <f>IFERROR((SUM(B6-C6)/C6),0)</f>
        <v>-0.19695019526488555</v>
      </c>
      <c r="F6" s="238">
        <v>408622.46</v>
      </c>
      <c r="G6">
        <v>233868.56</v>
      </c>
      <c r="H6" s="86">
        <f t="shared" si="0"/>
        <v>-0.12672062461067876</v>
      </c>
      <c r="I6" s="86">
        <f t="shared" si="1"/>
        <v>-0.35620822010458403</v>
      </c>
      <c r="J6">
        <v>687</v>
      </c>
      <c r="K6" s="63">
        <f>IFERROR(B6/J6,0)</f>
        <v>297.28179039301307</v>
      </c>
      <c r="L6" s="61">
        <v>10</v>
      </c>
      <c r="M6" s="28">
        <f t="shared" si="2"/>
        <v>1.4556040756914119E-2</v>
      </c>
      <c r="N6" s="46">
        <v>42</v>
      </c>
      <c r="O6" s="89">
        <f t="shared" si="3"/>
        <v>6.1135371179039298E-2</v>
      </c>
      <c r="P6" s="260">
        <f t="shared" si="6"/>
        <v>61264.739130434784</v>
      </c>
      <c r="Q6" s="89">
        <f t="shared" si="4"/>
        <v>0.29997533268532112</v>
      </c>
      <c r="R6" s="260">
        <f t="shared" si="7"/>
        <v>21727.286956521741</v>
      </c>
      <c r="S6" s="89">
        <f t="shared" si="5"/>
        <v>0.10638501404952921</v>
      </c>
      <c r="T6">
        <v>8798.14</v>
      </c>
      <c r="U6" s="26"/>
      <c r="V6" s="449"/>
      <c r="W6">
        <v>45468.07</v>
      </c>
      <c r="X6" s="386">
        <f t="shared" si="8"/>
        <v>39537.452173913043</v>
      </c>
      <c r="Y6" s="451"/>
      <c r="Z6">
        <v>24986.38</v>
      </c>
      <c r="AA6" s="386">
        <f t="shared" si="9"/>
        <v>21727.286956521741</v>
      </c>
    </row>
    <row r="7" spans="1:27" ht="16.5" customHeight="1" x14ac:dyDescent="0.3">
      <c r="A7" s="445" t="s">
        <v>15</v>
      </c>
      <c r="B7">
        <v>236925.02</v>
      </c>
      <c r="C7" s="310">
        <v>215892.02</v>
      </c>
      <c r="D7" s="310">
        <v>254835.6</v>
      </c>
      <c r="E7" s="86">
        <f>IFERROR((SUM(B7-C7)/C7),0)</f>
        <v>9.7423702830702133E-2</v>
      </c>
      <c r="F7">
        <v>413392.27</v>
      </c>
      <c r="G7">
        <v>220633.44</v>
      </c>
      <c r="H7" s="86">
        <f t="shared" si="0"/>
        <v>7.3840030776839566E-2</v>
      </c>
      <c r="I7" s="86">
        <f t="shared" si="1"/>
        <v>-7.0282880413882587E-2</v>
      </c>
      <c r="J7">
        <v>715</v>
      </c>
      <c r="K7" s="63">
        <f>IFERROR(B7/J7,0)</f>
        <v>331.36366433566434</v>
      </c>
      <c r="L7" s="61">
        <v>4</v>
      </c>
      <c r="M7" s="28">
        <f t="shared" si="2"/>
        <v>5.5944055944055944E-3</v>
      </c>
      <c r="N7" s="46">
        <v>24</v>
      </c>
      <c r="O7" s="89">
        <f t="shared" si="3"/>
        <v>3.3566433566433566E-2</v>
      </c>
      <c r="P7" s="260">
        <f t="shared" si="6"/>
        <v>5916.2782608695661</v>
      </c>
      <c r="Q7" s="89">
        <f t="shared" si="4"/>
        <v>2.4971099552379764E-2</v>
      </c>
      <c r="R7" s="260">
        <f t="shared" si="7"/>
        <v>1424.1043478260872</v>
      </c>
      <c r="S7" s="89">
        <f t="shared" si="5"/>
        <v>6.0107807433173888E-3</v>
      </c>
      <c r="T7">
        <v>5166</v>
      </c>
      <c r="U7" s="26"/>
      <c r="V7" s="449"/>
      <c r="W7">
        <v>5166</v>
      </c>
      <c r="X7" s="386">
        <f t="shared" si="8"/>
        <v>4492.1739130434789</v>
      </c>
      <c r="Y7" s="451"/>
      <c r="Z7">
        <v>1637.72</v>
      </c>
      <c r="AA7" s="386">
        <f t="shared" si="9"/>
        <v>1424.1043478260872</v>
      </c>
    </row>
    <row r="8" spans="1:27" ht="15.6" customHeight="1" x14ac:dyDescent="0.3">
      <c r="A8" s="12" t="s">
        <v>27</v>
      </c>
      <c r="B8">
        <v>124637.15</v>
      </c>
      <c r="C8" s="310">
        <v>151281.76</v>
      </c>
      <c r="D8" s="310">
        <v>125945.97</v>
      </c>
      <c r="E8" s="86">
        <f>IFERROR((SUM(B8-C8)/C8),0)</f>
        <v>-0.17612572725224782</v>
      </c>
      <c r="F8">
        <v>246285</v>
      </c>
      <c r="G8">
        <v>150819.63</v>
      </c>
      <c r="H8" s="86">
        <f t="shared" si="0"/>
        <v>-0.17360127458209523</v>
      </c>
      <c r="I8" s="86">
        <f t="shared" si="1"/>
        <v>-1.0391916470213433E-2</v>
      </c>
      <c r="J8">
        <v>429</v>
      </c>
      <c r="K8" s="63">
        <f>IFERROR(B8/J8,0)</f>
        <v>290.52948717948715</v>
      </c>
      <c r="L8" s="61">
        <v>11</v>
      </c>
      <c r="M8" s="28">
        <f t="shared" si="2"/>
        <v>2.564102564102564E-2</v>
      </c>
      <c r="N8" s="46">
        <v>25</v>
      </c>
      <c r="O8" s="89">
        <f t="shared" si="3"/>
        <v>5.8275058275058272E-2</v>
      </c>
      <c r="P8" s="260">
        <f t="shared" si="6"/>
        <v>47326.478260869568</v>
      </c>
      <c r="Q8" s="89">
        <f t="shared" si="4"/>
        <v>0.37971406006050018</v>
      </c>
      <c r="R8" s="260">
        <f t="shared" si="7"/>
        <v>22173.130434782608</v>
      </c>
      <c r="S8" s="89">
        <f t="shared" si="5"/>
        <v>0.17790145582422745</v>
      </c>
      <c r="T8">
        <v>5141.5</v>
      </c>
      <c r="U8" s="9"/>
      <c r="V8" s="449"/>
      <c r="W8">
        <v>28926.35</v>
      </c>
      <c r="X8" s="386">
        <f t="shared" si="8"/>
        <v>25153.347826086956</v>
      </c>
      <c r="Y8" s="451"/>
      <c r="Z8">
        <v>25499.1</v>
      </c>
      <c r="AA8" s="386">
        <f t="shared" si="9"/>
        <v>22173.130434782608</v>
      </c>
    </row>
    <row r="9" spans="1:27" ht="15.6" customHeight="1" x14ac:dyDescent="0.3">
      <c r="A9" s="12" t="s">
        <v>23</v>
      </c>
      <c r="B9">
        <v>198247.33</v>
      </c>
      <c r="C9" s="310">
        <v>246719.88</v>
      </c>
      <c r="D9" s="310">
        <v>243010.12</v>
      </c>
      <c r="E9" s="86">
        <f>IFERROR((SUM(B9-C9)/C9),0)</f>
        <v>-0.19646795385925128</v>
      </c>
      <c r="F9">
        <v>398833.04</v>
      </c>
      <c r="G9">
        <v>212862.25</v>
      </c>
      <c r="H9" s="86">
        <f t="shared" si="0"/>
        <v>-6.8659050630161117E-2</v>
      </c>
      <c r="I9" s="86">
        <f t="shared" si="1"/>
        <v>-0.18420134107995176</v>
      </c>
      <c r="J9">
        <v>668</v>
      </c>
      <c r="K9" s="63">
        <f>IFERROR(B9/J9,0)</f>
        <v>296.77744011976046</v>
      </c>
      <c r="L9" s="61">
        <v>15</v>
      </c>
      <c r="M9" s="28">
        <f t="shared" si="2"/>
        <v>2.2455089820359281E-2</v>
      </c>
      <c r="N9" s="46">
        <v>48</v>
      </c>
      <c r="O9" s="89">
        <f t="shared" si="3"/>
        <v>7.1856287425149698E-2</v>
      </c>
      <c r="P9" s="260">
        <f t="shared" si="6"/>
        <v>51979.243478260876</v>
      </c>
      <c r="Q9" s="89">
        <f t="shared" si="4"/>
        <v>0.26219391443133627</v>
      </c>
      <c r="R9" s="260">
        <f t="shared" si="7"/>
        <v>24989.278260869567</v>
      </c>
      <c r="S9" s="89">
        <f t="shared" si="5"/>
        <v>0.12605102051497777</v>
      </c>
      <c r="T9">
        <v>4292</v>
      </c>
      <c r="U9" s="26"/>
      <c r="V9" s="449"/>
      <c r="W9">
        <v>31038.46</v>
      </c>
      <c r="X9" s="386">
        <f t="shared" si="8"/>
        <v>26989.965217391305</v>
      </c>
      <c r="Y9" s="451"/>
      <c r="Z9">
        <v>28737.67</v>
      </c>
      <c r="AA9" s="386">
        <f t="shared" si="9"/>
        <v>24989.278260869567</v>
      </c>
    </row>
    <row r="10" spans="1:27" ht="15.6" customHeight="1" x14ac:dyDescent="0.3">
      <c r="A10" s="445" t="s">
        <v>16</v>
      </c>
      <c r="C10" s="310">
        <v>0</v>
      </c>
      <c r="D10" s="310">
        <v>191397.82</v>
      </c>
      <c r="E10" s="86">
        <f>IFERROR((SUM(B11-C10)/C10),0)</f>
        <v>0</v>
      </c>
      <c r="F10" s="238"/>
      <c r="G10">
        <v>229538.83</v>
      </c>
      <c r="H10" s="86">
        <f>IFERROR((SUM(B11-G10)/G10),0)</f>
        <v>-0.39405768514198658</v>
      </c>
      <c r="I10" s="86">
        <f>IFERROR((SUM(B11-D10)/D10),0)</f>
        <v>-0.27330786735188517</v>
      </c>
      <c r="J10" s="311"/>
      <c r="K10" s="63">
        <f>IFERROR(B11/J10,0)</f>
        <v>0</v>
      </c>
      <c r="L10" s="61">
        <v>1</v>
      </c>
      <c r="M10" s="28">
        <f t="shared" si="2"/>
        <v>0</v>
      </c>
      <c r="N10" s="46">
        <v>15</v>
      </c>
      <c r="O10" s="89">
        <f t="shared" si="3"/>
        <v>0</v>
      </c>
      <c r="P10" s="260">
        <f t="shared" si="6"/>
        <v>0</v>
      </c>
      <c r="Q10" s="89">
        <f>SUM(P10/B11)</f>
        <v>0</v>
      </c>
      <c r="R10" s="260">
        <f t="shared" si="7"/>
        <v>0</v>
      </c>
      <c r="S10" s="89">
        <f>SUM(R10/B11)</f>
        <v>0</v>
      </c>
      <c r="T10" s="311"/>
      <c r="U10" s="26"/>
      <c r="V10" s="449"/>
      <c r="W10" s="362"/>
      <c r="X10" s="386">
        <f t="shared" si="8"/>
        <v>0</v>
      </c>
      <c r="Y10" s="451"/>
      <c r="AA10" s="386">
        <f t="shared" si="9"/>
        <v>0</v>
      </c>
    </row>
    <row r="11" spans="1:27" ht="15.6" customHeight="1" x14ac:dyDescent="0.3">
      <c r="A11" s="445" t="s">
        <v>17</v>
      </c>
      <c r="B11">
        <v>139087.29</v>
      </c>
      <c r="C11" s="310">
        <v>156534.45000000001</v>
      </c>
      <c r="D11" s="310">
        <v>86713.33</v>
      </c>
      <c r="E11" s="86">
        <f>IFERROR((SUM(#REF!-C11)/C11),0)</f>
        <v>0</v>
      </c>
      <c r="F11">
        <v>255872.73</v>
      </c>
      <c r="G11">
        <v>143637.97</v>
      </c>
      <c r="H11" s="86">
        <f>IFERROR((SUM(#REF!-G11)/G11),0)</f>
        <v>0</v>
      </c>
      <c r="I11" s="86">
        <f>IFERROR((SUM(#REF!-D11)/D11),0)</f>
        <v>0</v>
      </c>
      <c r="J11">
        <v>484</v>
      </c>
      <c r="K11" s="63">
        <f>IFERROR(#REF!/J11,0)</f>
        <v>0</v>
      </c>
      <c r="L11" s="61">
        <v>3</v>
      </c>
      <c r="M11" s="28">
        <f t="shared" si="2"/>
        <v>6.1983471074380167E-3</v>
      </c>
      <c r="N11" s="46">
        <v>22</v>
      </c>
      <c r="O11" s="89">
        <f t="shared" si="3"/>
        <v>4.5454545454545456E-2</v>
      </c>
      <c r="P11" s="260">
        <f t="shared" si="6"/>
        <v>64357.086956521744</v>
      </c>
      <c r="Q11" s="89" t="e">
        <f>SUM(P11/#REF!)</f>
        <v>#REF!</v>
      </c>
      <c r="R11" s="260">
        <f t="shared" si="7"/>
        <v>25157.182608695653</v>
      </c>
      <c r="S11" s="89" t="e">
        <f>SUM(R11/#REF!)</f>
        <v>#REF!</v>
      </c>
      <c r="T11">
        <v>1613.55</v>
      </c>
      <c r="U11" s="26"/>
      <c r="V11" s="449"/>
      <c r="W11">
        <v>45079.89</v>
      </c>
      <c r="X11" s="386">
        <f t="shared" si="8"/>
        <v>39199.904347826086</v>
      </c>
      <c r="Y11" s="451"/>
      <c r="Z11">
        <v>28930.76</v>
      </c>
      <c r="AA11" s="386">
        <f t="shared" si="9"/>
        <v>25157.182608695653</v>
      </c>
    </row>
    <row r="12" spans="1:27" ht="15.6" customHeight="1" x14ac:dyDescent="0.3">
      <c r="A12" s="12" t="s">
        <v>55</v>
      </c>
      <c r="B12">
        <v>212428.92</v>
      </c>
      <c r="C12" s="310">
        <v>199494.54</v>
      </c>
      <c r="D12" s="310">
        <v>206751.49</v>
      </c>
      <c r="E12" s="86">
        <f>IFERROR((SUM(B12-C12)/C12),0)</f>
        <v>6.4835759414768962E-2</v>
      </c>
      <c r="F12">
        <v>379021.58</v>
      </c>
      <c r="G12">
        <v>190573.92</v>
      </c>
      <c r="H12" s="86">
        <f>IFERROR((SUM(B12-G12)/G12),0)</f>
        <v>0.1146799100317609</v>
      </c>
      <c r="I12" s="86">
        <f>IFERROR((SUM(B12-D12)/D12),0)</f>
        <v>2.746016485782048E-2</v>
      </c>
      <c r="J12" s="311">
        <v>687</v>
      </c>
      <c r="K12" s="63">
        <f>IFERROR(B12/J12,0)</f>
        <v>309.21240174672494</v>
      </c>
      <c r="L12" s="61">
        <v>7</v>
      </c>
      <c r="M12" s="28">
        <f t="shared" si="2"/>
        <v>1.0189228529839884E-2</v>
      </c>
      <c r="N12" s="46">
        <v>17</v>
      </c>
      <c r="O12" s="89">
        <f t="shared" si="3"/>
        <v>2.4745269286754003E-2</v>
      </c>
      <c r="P12" s="260">
        <f t="shared" si="6"/>
        <v>54141.243478260876</v>
      </c>
      <c r="Q12" s="89">
        <f>SUM(P12/B12)</f>
        <v>0.25486757395490628</v>
      </c>
      <c r="R12" s="260">
        <f t="shared" si="7"/>
        <v>25676.895652173916</v>
      </c>
      <c r="S12" s="89">
        <f>SUM(R12/B12)</f>
        <v>0.12087288139568715</v>
      </c>
      <c r="T12">
        <v>6155</v>
      </c>
      <c r="U12" s="9"/>
      <c r="V12" s="449"/>
      <c r="W12">
        <v>32734</v>
      </c>
      <c r="X12" s="386">
        <f t="shared" si="8"/>
        <v>28464.34782608696</v>
      </c>
      <c r="Y12" s="451"/>
      <c r="Z12">
        <v>29528.43</v>
      </c>
      <c r="AA12" s="386">
        <f t="shared" si="9"/>
        <v>25676.895652173916</v>
      </c>
    </row>
    <row r="13" spans="1:27" ht="15.6" customHeight="1" x14ac:dyDescent="0.3">
      <c r="A13" s="12" t="s">
        <v>33</v>
      </c>
      <c r="B13">
        <v>167341.57999999999</v>
      </c>
      <c r="C13" s="310">
        <v>186765.79</v>
      </c>
      <c r="D13" s="310"/>
      <c r="E13" s="86">
        <f>IFERROR((SUM(B13-C13)/C13),0)</f>
        <v>-0.10400304038550111</v>
      </c>
      <c r="F13">
        <v>312999.07</v>
      </c>
      <c r="G13">
        <v>139274.85999999999</v>
      </c>
      <c r="H13" s="86">
        <f>IFERROR((SUM(B13-G13)/G13),0)</f>
        <v>0.20152036053024935</v>
      </c>
      <c r="I13" s="86">
        <f>IFERROR((SUM(B13-D13)/D13),0)</f>
        <v>0</v>
      </c>
      <c r="J13">
        <v>596</v>
      </c>
      <c r="K13" s="63">
        <f>IFERROR(B13/J13,0)</f>
        <v>280.77446308724831</v>
      </c>
      <c r="L13" s="61">
        <v>13</v>
      </c>
      <c r="M13" s="28">
        <f t="shared" si="2"/>
        <v>2.1812080536912751E-2</v>
      </c>
      <c r="N13" s="46">
        <v>37</v>
      </c>
      <c r="O13" s="89">
        <f t="shared" si="3"/>
        <v>6.2080536912751678E-2</v>
      </c>
      <c r="P13" s="260">
        <f t="shared" si="6"/>
        <v>48139.33913043479</v>
      </c>
      <c r="Q13" s="89">
        <f>SUM(P13/B13)</f>
        <v>0.28767111635037024</v>
      </c>
      <c r="R13" s="260">
        <f t="shared" si="7"/>
        <v>23441.095652173914</v>
      </c>
      <c r="S13" s="89">
        <f>SUM(R13/B13)</f>
        <v>0.14007932548607416</v>
      </c>
      <c r="T13">
        <v>3153.53</v>
      </c>
      <c r="U13" s="9"/>
      <c r="V13" s="449"/>
      <c r="W13">
        <v>28402.98</v>
      </c>
      <c r="X13" s="386">
        <f t="shared" si="8"/>
        <v>24698.243478260873</v>
      </c>
      <c r="Y13" s="451"/>
      <c r="Z13">
        <v>26957.26</v>
      </c>
      <c r="AA13" s="386">
        <f t="shared" si="9"/>
        <v>23441.095652173914</v>
      </c>
    </row>
    <row r="14" spans="1:27" ht="15.6" customHeight="1" x14ac:dyDescent="0.3">
      <c r="A14" s="445" t="s">
        <v>20</v>
      </c>
      <c r="B14">
        <v>146090.99</v>
      </c>
      <c r="C14" s="310">
        <v>139177.57</v>
      </c>
      <c r="D14" s="310">
        <v>144600.03</v>
      </c>
      <c r="E14" s="86">
        <f>IFERROR((SUM(B14-C14)/C14),0)</f>
        <v>4.967337768578646E-2</v>
      </c>
      <c r="F14">
        <v>261026.26</v>
      </c>
      <c r="G14">
        <v>152386.4</v>
      </c>
      <c r="H14" s="86">
        <f>IFERROR((SUM(B14-G14)/G14),0)</f>
        <v>-4.1312151215594069E-2</v>
      </c>
      <c r="I14" s="86">
        <f>IFERROR((SUM(B14-D14)/D14),0)</f>
        <v>1.0310924555133162E-2</v>
      </c>
      <c r="J14">
        <v>487</v>
      </c>
      <c r="K14" s="63">
        <f>IFERROR(B14/J14,0)</f>
        <v>299.98149897330592</v>
      </c>
      <c r="L14" s="61">
        <v>11</v>
      </c>
      <c r="M14" s="28">
        <f t="shared" si="2"/>
        <v>2.2587268993839837E-2</v>
      </c>
      <c r="N14" s="46">
        <v>41</v>
      </c>
      <c r="O14" s="89">
        <f t="shared" si="3"/>
        <v>8.4188911704312114E-2</v>
      </c>
      <c r="P14" s="260">
        <f t="shared" si="6"/>
        <v>54906.34782608696</v>
      </c>
      <c r="Q14" s="89">
        <f>SUM(P14/B14)</f>
        <v>0.37583664691496005</v>
      </c>
      <c r="R14" s="260">
        <f t="shared" si="7"/>
        <v>19286.695652173916</v>
      </c>
      <c r="S14" s="89">
        <f>SUM(R14/B14)</f>
        <v>0.13201837876636963</v>
      </c>
      <c r="T14">
        <v>4220.8999999999996</v>
      </c>
      <c r="U14" s="26"/>
      <c r="V14" s="449"/>
      <c r="W14">
        <v>40962.6</v>
      </c>
      <c r="X14" s="386">
        <f t="shared" si="8"/>
        <v>35619.652173913048</v>
      </c>
      <c r="Y14" s="451"/>
      <c r="Z14">
        <v>22179.7</v>
      </c>
      <c r="AA14" s="386">
        <f t="shared" si="9"/>
        <v>19286.695652173916</v>
      </c>
    </row>
    <row r="15" spans="1:27" ht="16.2" customHeight="1" thickBot="1" x14ac:dyDescent="0.35">
      <c r="A15" s="12" t="s">
        <v>22</v>
      </c>
      <c r="B15">
        <v>147064.92000000001</v>
      </c>
      <c r="C15" s="310">
        <v>163346.59</v>
      </c>
      <c r="D15" s="310">
        <v>152846.04</v>
      </c>
      <c r="E15" s="86">
        <f>IFERROR((SUM(B15-C15)/C15),0)</f>
        <v>-9.9675603880068658E-2</v>
      </c>
      <c r="F15">
        <v>276906.03999999998</v>
      </c>
      <c r="G15">
        <v>130047.86</v>
      </c>
      <c r="H15" s="86">
        <f>IFERROR((SUM(B15-G15)/G15),0)</f>
        <v>0.13085228776544275</v>
      </c>
      <c r="I15" s="86">
        <f>IFERROR((SUM(B15-D15)/D15),0)</f>
        <v>-3.7823158519514115E-2</v>
      </c>
      <c r="J15">
        <v>490</v>
      </c>
      <c r="K15" s="63">
        <f>IFERROR(B15/J15,0)</f>
        <v>300.13248979591839</v>
      </c>
      <c r="L15" s="61">
        <v>6</v>
      </c>
      <c r="M15" s="28">
        <f t="shared" si="2"/>
        <v>1.2244897959183673E-2</v>
      </c>
      <c r="N15" s="46">
        <v>27</v>
      </c>
      <c r="O15" s="89">
        <f t="shared" si="3"/>
        <v>5.5102040816326532E-2</v>
      </c>
      <c r="P15" s="260">
        <f t="shared" si="6"/>
        <v>35131.800000000003</v>
      </c>
      <c r="Q15" s="89">
        <f>SUM(P15/B15)</f>
        <v>0.23888633672802459</v>
      </c>
      <c r="R15" s="260">
        <f t="shared" si="7"/>
        <v>22742.417391304349</v>
      </c>
      <c r="S15" s="89">
        <f>SUM(R15/B15)</f>
        <v>0.15464202742098079</v>
      </c>
      <c r="T15">
        <v>3501.9</v>
      </c>
      <c r="U15" s="26"/>
      <c r="V15" s="449"/>
      <c r="W15">
        <v>14247.79</v>
      </c>
      <c r="X15" s="388">
        <f t="shared" si="8"/>
        <v>12389.382608695654</v>
      </c>
      <c r="Y15" s="451"/>
      <c r="Z15">
        <v>26153.78</v>
      </c>
      <c r="AA15" s="388">
        <f t="shared" si="9"/>
        <v>22742.417391304349</v>
      </c>
    </row>
    <row r="16" spans="1:27" ht="15" customHeight="1" thickTop="1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H5:I15 K5:S15">
    <cfRule type="cellIs" dxfId="51" priority="3" operator="equal">
      <formula>0</formula>
    </cfRule>
  </conditionalFormatting>
  <conditionalFormatting sqref="P12:P13">
    <cfRule type="cellIs" dxfId="5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AA49"/>
  <sheetViews>
    <sheetView topLeftCell="A2" zoomScale="70" zoomScaleNormal="70" workbookViewId="0">
      <pane xSplit="1" topLeftCell="B1" activePane="topRight" state="frozen"/>
      <selection pane="topRight" activeCell="C11" sqref="C11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1.0904742793218404E-2</v>
      </c>
      <c r="F2" s="426"/>
      <c r="G2" s="1"/>
      <c r="H2" s="427"/>
      <c r="I2" s="422">
        <f>((B4-D4)/D4)</f>
        <v>-1.849677638988893E-2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298" t="s">
        <v>57</v>
      </c>
      <c r="X3" s="312"/>
      <c r="Z3" s="298" t="s">
        <v>61</v>
      </c>
      <c r="AA3" s="312"/>
    </row>
    <row r="4" spans="1:27" ht="15.6" customHeight="1" x14ac:dyDescent="0.3">
      <c r="A4" s="3" t="s">
        <v>13</v>
      </c>
      <c r="B4" s="98">
        <f>SUM(B5:B15)</f>
        <v>1855248.7100000002</v>
      </c>
      <c r="C4" s="98">
        <f>SUM(C5:C15)</f>
        <v>1835017.7</v>
      </c>
      <c r="D4" s="98">
        <f>SUM(D5:D15)</f>
        <v>1890211.53</v>
      </c>
      <c r="E4" s="436">
        <f>IFERROR((SUM(B4-C4)/B4),0)</f>
        <v>1.0904742793218404E-2</v>
      </c>
      <c r="F4" s="98">
        <f>SUM(F5:F15)</f>
        <v>5289601.3899999997</v>
      </c>
      <c r="G4" s="98">
        <f>SUM(G5:G15)</f>
        <v>1767890.29</v>
      </c>
      <c r="H4" s="436">
        <f t="shared" ref="H4:H9" si="0">IFERROR((SUM(B4-G4)/G4),0)</f>
        <v>4.941393733205026E-2</v>
      </c>
      <c r="I4" s="436">
        <f t="shared" ref="I4:I9" si="1">IFERROR((SUM(B4-D4)/D4),0)</f>
        <v>-1.849677638988893E-2</v>
      </c>
      <c r="J4" s="437">
        <f>SUM(J5:J15)</f>
        <v>6036</v>
      </c>
      <c r="K4" s="438">
        <f>AVERAGE(K5:K15)</f>
        <v>301.78775693534158</v>
      </c>
      <c r="L4" s="439">
        <f>SUM(L5:L15)</f>
        <v>91</v>
      </c>
      <c r="M4" s="440">
        <f t="shared" ref="M4:M9" si="2">IFERROR(L4/J4,0)</f>
        <v>1.5076209410205434E-2</v>
      </c>
      <c r="N4" s="441">
        <f>SUM(N7:N15)</f>
        <v>256</v>
      </c>
      <c r="O4" s="442">
        <f t="shared" ref="O4:O9" si="3">IFERROR(N4/SUM(J4),0)</f>
        <v>4.241219350563287E-2</v>
      </c>
      <c r="P4" s="443">
        <f>SUM(P5:P15)</f>
        <v>482514.60000000009</v>
      </c>
      <c r="Q4" s="442">
        <f t="shared" ref="Q4:Q9" si="4">SUM(P4/B4)</f>
        <v>0.26008081687333451</v>
      </c>
      <c r="R4" s="443">
        <f>SUM(R5:R15)</f>
        <v>221884.07826086957</v>
      </c>
      <c r="S4" s="442">
        <f t="shared" ref="S4:S9" si="5">SUM(R4/B4)</f>
        <v>0.11959802320028</v>
      </c>
      <c r="T4" s="444">
        <f>SUM(T5:T15)</f>
        <v>41560.800000000003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340614.61</v>
      </c>
      <c r="C5" s="310">
        <v>258961.91</v>
      </c>
      <c r="D5" s="310">
        <v>166877.21</v>
      </c>
      <c r="E5" s="86">
        <f t="shared" ref="E5:E15" si="6">IFERROR((SUM(B5-C5)/C5),0)</f>
        <v>0.31530776089811813</v>
      </c>
      <c r="F5" s="311">
        <v>822008.84</v>
      </c>
      <c r="G5" s="311">
        <v>326106.42</v>
      </c>
      <c r="H5" s="86">
        <f t="shared" si="0"/>
        <v>4.4489127199642382E-2</v>
      </c>
      <c r="I5" s="86">
        <f t="shared" si="1"/>
        <v>1.0411092083814202</v>
      </c>
      <c r="J5" s="311">
        <v>978</v>
      </c>
      <c r="K5" s="63">
        <f>IFERROR(B5/J5,0)</f>
        <v>348.27669734151328</v>
      </c>
      <c r="L5" s="61">
        <v>10</v>
      </c>
      <c r="M5" s="28">
        <f t="shared" si="2"/>
        <v>1.0224948875255624E-2</v>
      </c>
      <c r="N5" s="46">
        <v>42</v>
      </c>
      <c r="O5" s="89">
        <f t="shared" si="3"/>
        <v>4.2944785276073622E-2</v>
      </c>
      <c r="P5" s="260">
        <f t="shared" ref="P5:P15" si="7">SUM(X5+AA5)</f>
        <v>30658.26086956522</v>
      </c>
      <c r="Q5" s="89">
        <f t="shared" si="4"/>
        <v>9.0008648981807396E-2</v>
      </c>
      <c r="R5" s="260">
        <f t="shared" ref="R5:R15" si="8">SUM(AA5)</f>
        <v>30658.26086956522</v>
      </c>
      <c r="S5" s="89">
        <f t="shared" si="5"/>
        <v>9.0008648981807396E-2</v>
      </c>
      <c r="T5" s="311">
        <v>2326.0500000000002</v>
      </c>
      <c r="U5" s="9"/>
      <c r="W5" s="311">
        <v>0</v>
      </c>
      <c r="X5" s="297">
        <f t="shared" ref="X5:X15" si="9">W5/1.15</f>
        <v>0</v>
      </c>
      <c r="Z5" s="311">
        <v>35257</v>
      </c>
      <c r="AA5" s="297">
        <f t="shared" ref="AA5:AA15" si="10">SUM(Z5)/1.15</f>
        <v>30658.26086956522</v>
      </c>
    </row>
    <row r="6" spans="1:27" ht="15.6" customHeight="1" x14ac:dyDescent="0.3">
      <c r="A6" s="445" t="s">
        <v>21</v>
      </c>
      <c r="B6" s="310">
        <v>202176.17</v>
      </c>
      <c r="C6" s="310">
        <v>204232.59</v>
      </c>
      <c r="D6" s="310">
        <v>317233.91999999998</v>
      </c>
      <c r="E6" s="86">
        <f t="shared" si="6"/>
        <v>-1.0069010043891545E-2</v>
      </c>
      <c r="F6" s="311">
        <v>610798.63</v>
      </c>
      <c r="G6" s="311">
        <v>193342.85</v>
      </c>
      <c r="H6" s="86">
        <f t="shared" si="0"/>
        <v>4.5687337287104265E-2</v>
      </c>
      <c r="I6" s="86">
        <f t="shared" si="1"/>
        <v>-0.36269056600252575</v>
      </c>
      <c r="J6" s="311">
        <v>648</v>
      </c>
      <c r="K6" s="63">
        <f>IFERROR(B6/J6,0)</f>
        <v>312.000262345679</v>
      </c>
      <c r="L6" s="61">
        <v>10</v>
      </c>
      <c r="M6" s="28">
        <f t="shared" si="2"/>
        <v>1.5432098765432098E-2</v>
      </c>
      <c r="N6" s="46">
        <v>42</v>
      </c>
      <c r="O6" s="89">
        <f t="shared" si="3"/>
        <v>6.4814814814814811E-2</v>
      </c>
      <c r="P6" s="260">
        <f t="shared" si="7"/>
        <v>60691.243478260876</v>
      </c>
      <c r="Q6" s="89">
        <f t="shared" si="4"/>
        <v>0.30018989615967534</v>
      </c>
      <c r="R6" s="260">
        <f t="shared" si="8"/>
        <v>21035</v>
      </c>
      <c r="S6" s="89">
        <f t="shared" si="5"/>
        <v>0.1040429245444703</v>
      </c>
      <c r="T6" s="311">
        <v>6366.9</v>
      </c>
      <c r="U6" s="26"/>
      <c r="W6" s="311">
        <v>45604.68</v>
      </c>
      <c r="X6" s="297">
        <f t="shared" si="9"/>
        <v>39656.243478260876</v>
      </c>
      <c r="Z6" s="311">
        <v>24190.25</v>
      </c>
      <c r="AA6" s="297">
        <f t="shared" si="10"/>
        <v>21035</v>
      </c>
    </row>
    <row r="7" spans="1:27" ht="16.5" customHeight="1" x14ac:dyDescent="0.3">
      <c r="A7" s="445" t="s">
        <v>15</v>
      </c>
      <c r="B7" s="310">
        <v>199957.65</v>
      </c>
      <c r="C7" s="310">
        <v>236925.02</v>
      </c>
      <c r="D7" s="310">
        <v>254835.6</v>
      </c>
      <c r="E7" s="86">
        <f t="shared" si="6"/>
        <v>-0.15602982749563551</v>
      </c>
      <c r="F7" s="311">
        <v>613349.92000000004</v>
      </c>
      <c r="G7" s="311">
        <v>232505.15</v>
      </c>
      <c r="H7" s="86">
        <f t="shared" si="0"/>
        <v>-0.13998614654342065</v>
      </c>
      <c r="I7" s="86">
        <f t="shared" si="1"/>
        <v>-0.21534648220264363</v>
      </c>
      <c r="J7" s="311">
        <v>617</v>
      </c>
      <c r="K7" s="63">
        <f>IFERROR(B7/J7,0)</f>
        <v>324.08047001620747</v>
      </c>
      <c r="L7" s="61">
        <v>4</v>
      </c>
      <c r="M7" s="28">
        <f t="shared" si="2"/>
        <v>6.4829821717990272E-3</v>
      </c>
      <c r="N7" s="46">
        <v>24</v>
      </c>
      <c r="O7" s="89">
        <f t="shared" si="3"/>
        <v>3.8897893030794169E-2</v>
      </c>
      <c r="P7" s="260">
        <f t="shared" si="7"/>
        <v>38818.200000000004</v>
      </c>
      <c r="Q7" s="89">
        <f t="shared" si="4"/>
        <v>0.19413210747375759</v>
      </c>
      <c r="R7" s="260">
        <f t="shared" si="8"/>
        <v>540</v>
      </c>
      <c r="S7" s="89">
        <f t="shared" si="5"/>
        <v>2.7005718460884091E-3</v>
      </c>
      <c r="T7" s="311">
        <v>5167.8500000000004</v>
      </c>
      <c r="U7" s="26"/>
      <c r="W7" s="311">
        <v>44019.93</v>
      </c>
      <c r="X7" s="297">
        <f t="shared" si="9"/>
        <v>38278.200000000004</v>
      </c>
      <c r="Z7" s="311">
        <v>621</v>
      </c>
      <c r="AA7" s="297">
        <f t="shared" si="10"/>
        <v>540</v>
      </c>
    </row>
    <row r="8" spans="1:27" ht="15.6" customHeight="1" x14ac:dyDescent="0.3">
      <c r="A8" s="12" t="s">
        <v>27</v>
      </c>
      <c r="B8" s="310">
        <v>124761.94</v>
      </c>
      <c r="C8" s="310">
        <v>124637.15</v>
      </c>
      <c r="D8" s="310">
        <v>125945.97</v>
      </c>
      <c r="E8" s="86">
        <f t="shared" si="6"/>
        <v>1.0012263598775178E-3</v>
      </c>
      <c r="F8" s="311">
        <v>371046.94</v>
      </c>
      <c r="G8" s="311">
        <v>115253.69</v>
      </c>
      <c r="H8" s="86">
        <f t="shared" si="0"/>
        <v>8.2498443216872275E-2</v>
      </c>
      <c r="I8" s="86">
        <f t="shared" si="1"/>
        <v>-9.401094771035538E-3</v>
      </c>
      <c r="J8" s="311">
        <v>416</v>
      </c>
      <c r="K8" s="63">
        <f>IFERROR(B8/J8,0)</f>
        <v>299.90850961538462</v>
      </c>
      <c r="L8" s="61">
        <v>11</v>
      </c>
      <c r="M8" s="28">
        <f t="shared" si="2"/>
        <v>2.6442307692307692E-2</v>
      </c>
      <c r="N8" s="46">
        <v>25</v>
      </c>
      <c r="O8" s="89">
        <f t="shared" si="3"/>
        <v>6.0096153846153848E-2</v>
      </c>
      <c r="P8" s="260">
        <f t="shared" si="7"/>
        <v>47909.513043478262</v>
      </c>
      <c r="Q8" s="89">
        <f t="shared" si="4"/>
        <v>0.38400743883493843</v>
      </c>
      <c r="R8" s="260">
        <f t="shared" si="8"/>
        <v>23227.626086956523</v>
      </c>
      <c r="S8" s="89">
        <f t="shared" si="5"/>
        <v>0.18617557635731316</v>
      </c>
      <c r="T8" s="311">
        <v>6349</v>
      </c>
      <c r="U8" s="9"/>
      <c r="W8" s="311">
        <v>28384.17</v>
      </c>
      <c r="X8" s="297">
        <f t="shared" si="9"/>
        <v>24681.886956521739</v>
      </c>
      <c r="Z8" s="311">
        <v>26711.77</v>
      </c>
      <c r="AA8" s="297">
        <f t="shared" si="10"/>
        <v>23227.626086956523</v>
      </c>
    </row>
    <row r="9" spans="1:27" ht="15.6" customHeight="1" x14ac:dyDescent="0.3">
      <c r="A9" s="12" t="s">
        <v>23</v>
      </c>
      <c r="B9" s="310">
        <v>207492.95</v>
      </c>
      <c r="C9" s="310">
        <v>198247.33</v>
      </c>
      <c r="D9" s="310">
        <v>243010.12</v>
      </c>
      <c r="E9" s="86">
        <f t="shared" si="6"/>
        <v>4.6636794553550985E-2</v>
      </c>
      <c r="F9" s="311">
        <v>606325.99</v>
      </c>
      <c r="G9" s="311">
        <v>185508.77</v>
      </c>
      <c r="H9" s="86">
        <f t="shared" si="0"/>
        <v>0.11850749697709723</v>
      </c>
      <c r="I9" s="86">
        <f t="shared" si="1"/>
        <v>-0.14615510662683506</v>
      </c>
      <c r="J9" s="311">
        <v>689</v>
      </c>
      <c r="K9" s="63">
        <f>IFERROR(B9/J9,0)</f>
        <v>301.15087082728593</v>
      </c>
      <c r="L9" s="61">
        <v>15</v>
      </c>
      <c r="M9" s="28">
        <f t="shared" si="2"/>
        <v>2.1770682148040638E-2</v>
      </c>
      <c r="N9" s="46">
        <v>48</v>
      </c>
      <c r="O9" s="89">
        <f t="shared" si="3"/>
        <v>6.966618287373004E-2</v>
      </c>
      <c r="P9" s="260">
        <f t="shared" si="7"/>
        <v>64566.965217391313</v>
      </c>
      <c r="Q9" s="89">
        <f t="shared" si="4"/>
        <v>0.31117666994175613</v>
      </c>
      <c r="R9" s="260">
        <f t="shared" si="8"/>
        <v>34221.80869565218</v>
      </c>
      <c r="S9" s="89">
        <f t="shared" si="5"/>
        <v>0.16492998290135727</v>
      </c>
      <c r="T9" s="311">
        <v>3817.25</v>
      </c>
      <c r="U9" s="26"/>
      <c r="W9" s="311">
        <v>34896.93</v>
      </c>
      <c r="X9" s="297">
        <f t="shared" si="9"/>
        <v>30345.156521739133</v>
      </c>
      <c r="Z9" s="311">
        <v>39355.08</v>
      </c>
      <c r="AA9" s="297">
        <f t="shared" si="10"/>
        <v>34221.80869565218</v>
      </c>
    </row>
    <row r="10" spans="1:27" ht="15.6" customHeight="1" x14ac:dyDescent="0.3">
      <c r="A10" s="445" t="s">
        <v>16</v>
      </c>
      <c r="B10" s="310"/>
      <c r="C10" s="310"/>
      <c r="D10" s="310">
        <v>191397.82</v>
      </c>
      <c r="E10" s="86">
        <f t="shared" si="6"/>
        <v>0</v>
      </c>
      <c r="F10" s="310"/>
      <c r="G10" s="311"/>
      <c r="H10" s="86">
        <f>IFERROR((SUM(B11-G10)/G10),0)</f>
        <v>0</v>
      </c>
      <c r="I10" s="86">
        <f>IFERROR((SUM(B11-D10)/D10),0)</f>
        <v>-0.19316014153139252</v>
      </c>
      <c r="J10" s="311"/>
      <c r="K10" s="63">
        <f>IFERROR(B11/J11,0)</f>
        <v>307.62428286852594</v>
      </c>
      <c r="L10" s="61">
        <v>1</v>
      </c>
      <c r="M10" s="28">
        <f>IFERROR(L10/J11,0)</f>
        <v>1.9920318725099601E-3</v>
      </c>
      <c r="N10" s="46">
        <v>15</v>
      </c>
      <c r="O10" s="89">
        <f>IFERROR(N10/SUM(J11),0)</f>
        <v>2.9880478087649404E-2</v>
      </c>
      <c r="P10" s="260">
        <f t="shared" si="7"/>
        <v>0</v>
      </c>
      <c r="Q10" s="89">
        <f>SUM(P10/B11)</f>
        <v>0</v>
      </c>
      <c r="R10" s="260">
        <f t="shared" si="8"/>
        <v>0</v>
      </c>
      <c r="S10" s="89">
        <f>SUM(R10/B11)</f>
        <v>0</v>
      </c>
      <c r="T10" s="311"/>
      <c r="U10" s="26"/>
      <c r="W10" s="311"/>
      <c r="X10" s="297">
        <f t="shared" si="9"/>
        <v>0</v>
      </c>
      <c r="Z10" s="311"/>
      <c r="AA10" s="297">
        <f t="shared" si="10"/>
        <v>0</v>
      </c>
    </row>
    <row r="11" spans="1:27" ht="15.6" customHeight="1" x14ac:dyDescent="0.3">
      <c r="A11" s="445" t="s">
        <v>17</v>
      </c>
      <c r="B11" s="310">
        <v>154427.39000000001</v>
      </c>
      <c r="C11" s="310">
        <v>139087.29</v>
      </c>
      <c r="D11" s="310">
        <v>86713.33</v>
      </c>
      <c r="E11" s="86">
        <f t="shared" si="6"/>
        <v>0.11029117038659683</v>
      </c>
      <c r="F11" s="311">
        <v>410300.12</v>
      </c>
      <c r="G11" s="311">
        <v>126176.68</v>
      </c>
      <c r="H11" s="86">
        <f>IFERROR((SUM(#REF!-G11)/G11),0)</f>
        <v>0</v>
      </c>
      <c r="I11" s="86">
        <f>IFERROR((SUM(#REF!-D11)/D11),0)</f>
        <v>0</v>
      </c>
      <c r="J11" s="311">
        <v>502</v>
      </c>
      <c r="K11" s="63">
        <f>IFERROR(B12/J12,0)</f>
        <v>275.09543446244476</v>
      </c>
      <c r="L11" s="61">
        <v>3</v>
      </c>
      <c r="M11" s="28">
        <f>IFERROR(L11/J12,0)</f>
        <v>4.418262150220913E-3</v>
      </c>
      <c r="N11" s="46">
        <v>22</v>
      </c>
      <c r="O11" s="89">
        <f>IFERROR(N11/SUM(J12),0)</f>
        <v>3.2400589101620032E-2</v>
      </c>
      <c r="P11" s="260">
        <f t="shared" si="7"/>
        <v>52619.078260869574</v>
      </c>
      <c r="Q11" s="89">
        <f>SUM(P11/B12)</f>
        <v>0.28170209647887401</v>
      </c>
      <c r="R11" s="260">
        <f t="shared" si="8"/>
        <v>15080.55652173913</v>
      </c>
      <c r="S11" s="89">
        <f>SUM(R11/B12)</f>
        <v>8.0735439096455655E-2</v>
      </c>
      <c r="T11" s="311">
        <v>3194.1</v>
      </c>
      <c r="U11" s="26"/>
      <c r="W11" s="311">
        <v>43169.3</v>
      </c>
      <c r="X11" s="297">
        <f t="shared" si="9"/>
        <v>37538.52173913044</v>
      </c>
      <c r="Z11" s="311">
        <v>17342.64</v>
      </c>
      <c r="AA11" s="297">
        <f t="shared" si="10"/>
        <v>15080.55652173913</v>
      </c>
    </row>
    <row r="12" spans="1:27" ht="15.6" customHeight="1" x14ac:dyDescent="0.3">
      <c r="A12" s="12" t="s">
        <v>55</v>
      </c>
      <c r="B12" s="310">
        <v>186789.8</v>
      </c>
      <c r="C12" s="310">
        <v>212428.92</v>
      </c>
      <c r="D12" s="310">
        <v>206751.49</v>
      </c>
      <c r="E12" s="86">
        <f t="shared" si="6"/>
        <v>-0.12069505413857973</v>
      </c>
      <c r="F12" s="311">
        <v>565811.38</v>
      </c>
      <c r="G12" s="311">
        <v>172469.75</v>
      </c>
      <c r="H12" s="86">
        <f>IFERROR((SUM(B12-G12)/G12),0)</f>
        <v>8.3029342826785493E-2</v>
      </c>
      <c r="I12" s="86">
        <f>IFERROR((SUM(B12-D12)/D12),0)</f>
        <v>-9.6549195364928217E-2</v>
      </c>
      <c r="J12" s="311">
        <v>679</v>
      </c>
      <c r="K12" s="63">
        <f>IFERROR(B12/J12,0)</f>
        <v>275.09543446244476</v>
      </c>
      <c r="L12" s="61">
        <v>7</v>
      </c>
      <c r="M12" s="28">
        <f>IFERROR(L12/J12,0)</f>
        <v>1.0309278350515464E-2</v>
      </c>
      <c r="N12" s="46">
        <v>17</v>
      </c>
      <c r="O12" s="89">
        <f>IFERROR(N12/SUM(J12),0)</f>
        <v>2.5036818851251842E-2</v>
      </c>
      <c r="P12" s="260">
        <f t="shared" si="7"/>
        <v>60150.791304347833</v>
      </c>
      <c r="Q12" s="89">
        <f>SUM(P12/B12)</f>
        <v>0.3220239611817553</v>
      </c>
      <c r="R12" s="260">
        <f t="shared" si="8"/>
        <v>30843.895652173916</v>
      </c>
      <c r="S12" s="89">
        <f>SUM(R12/B12)</f>
        <v>0.16512623094073617</v>
      </c>
      <c r="T12" s="311">
        <v>5027</v>
      </c>
      <c r="U12" s="9"/>
      <c r="W12" s="311">
        <v>33702.93</v>
      </c>
      <c r="X12" s="297">
        <f t="shared" si="9"/>
        <v>29306.895652173916</v>
      </c>
      <c r="Z12" s="311">
        <v>35470.480000000003</v>
      </c>
      <c r="AA12" s="297">
        <f t="shared" si="10"/>
        <v>30843.895652173916</v>
      </c>
    </row>
    <row r="13" spans="1:27" ht="15.6" customHeight="1" x14ac:dyDescent="0.3">
      <c r="A13" s="12" t="s">
        <v>33</v>
      </c>
      <c r="B13" s="310">
        <v>171118.86</v>
      </c>
      <c r="C13" s="310">
        <v>167341.57999999999</v>
      </c>
      <c r="D13" s="310"/>
      <c r="E13" s="86">
        <f t="shared" si="6"/>
        <v>2.2572274027770022E-2</v>
      </c>
      <c r="F13" s="311">
        <v>484117.93</v>
      </c>
      <c r="G13" s="311">
        <v>160351.54999999999</v>
      </c>
      <c r="H13" s="86">
        <f>IFERROR((SUM(B13-G13)/G13),0)</f>
        <v>6.7148150423241917E-2</v>
      </c>
      <c r="I13" s="86">
        <f>IFERROR((SUM(B13-D13)/D13),0)</f>
        <v>0</v>
      </c>
      <c r="J13" s="311">
        <v>600</v>
      </c>
      <c r="K13" s="63">
        <f>IFERROR(B13/J13,0)</f>
        <v>285.19809999999995</v>
      </c>
      <c r="L13" s="61">
        <v>13</v>
      </c>
      <c r="M13" s="28">
        <f>IFERROR(L13/J13,0)</f>
        <v>2.1666666666666667E-2</v>
      </c>
      <c r="N13" s="46">
        <v>37</v>
      </c>
      <c r="O13" s="89">
        <f>IFERROR(N13/SUM(J13),0)</f>
        <v>6.1666666666666668E-2</v>
      </c>
      <c r="P13" s="260">
        <f t="shared" si="7"/>
        <v>47629.617391304346</v>
      </c>
      <c r="Q13" s="89">
        <f>SUM(P13/B13)</f>
        <v>0.27834230190234055</v>
      </c>
      <c r="R13" s="260">
        <f t="shared" si="8"/>
        <v>26364.330434782609</v>
      </c>
      <c r="S13" s="89">
        <f>SUM(R13/B13)</f>
        <v>0.15407027860507375</v>
      </c>
      <c r="T13" s="311">
        <v>3431.75</v>
      </c>
      <c r="U13" s="9"/>
      <c r="W13" s="311">
        <v>24455.08</v>
      </c>
      <c r="X13" s="297">
        <f t="shared" si="9"/>
        <v>21265.286956521741</v>
      </c>
      <c r="Z13" s="311">
        <v>30318.98</v>
      </c>
      <c r="AA13" s="297">
        <f t="shared" si="10"/>
        <v>26364.330434782609</v>
      </c>
    </row>
    <row r="14" spans="1:27" ht="15.6" customHeight="1" x14ac:dyDescent="0.3">
      <c r="A14" s="445" t="s">
        <v>20</v>
      </c>
      <c r="B14" s="310">
        <v>125512.51</v>
      </c>
      <c r="C14" s="310">
        <v>146090.99</v>
      </c>
      <c r="D14" s="310">
        <v>144600.03</v>
      </c>
      <c r="E14" s="86">
        <f t="shared" si="6"/>
        <v>-0.14086070605723186</v>
      </c>
      <c r="F14" s="311">
        <v>386538.77</v>
      </c>
      <c r="G14" s="311">
        <v>138082.21</v>
      </c>
      <c r="H14" s="86">
        <f>IFERROR((SUM(B14-G14)/G14),0)</f>
        <v>-9.1030553465214659E-2</v>
      </c>
      <c r="I14" s="86">
        <f>IFERROR((SUM(B14-D14)/D14),0)</f>
        <v>-0.1320021856150376</v>
      </c>
      <c r="J14" s="311">
        <v>420</v>
      </c>
      <c r="K14" s="63">
        <f>IFERROR(B14/J14,0)</f>
        <v>298.8393095238095</v>
      </c>
      <c r="L14" s="61">
        <v>11</v>
      </c>
      <c r="M14" s="28">
        <f>IFERROR(L14/J14,0)</f>
        <v>2.6190476190476191E-2</v>
      </c>
      <c r="N14" s="46">
        <v>41</v>
      </c>
      <c r="O14" s="89">
        <f>IFERROR(N14/SUM(J14),0)</f>
        <v>9.7619047619047619E-2</v>
      </c>
      <c r="P14" s="260">
        <f t="shared" si="7"/>
        <v>48792.669565217395</v>
      </c>
      <c r="Q14" s="89">
        <f>SUM(P14/B14)</f>
        <v>0.38874746083252892</v>
      </c>
      <c r="R14" s="260">
        <f t="shared" si="8"/>
        <v>28581.947826086958</v>
      </c>
      <c r="S14" s="89">
        <f>SUM(R14/B14)</f>
        <v>0.22772190458215646</v>
      </c>
      <c r="T14" s="311">
        <v>1774.8</v>
      </c>
      <c r="U14" s="26"/>
      <c r="W14" s="311">
        <v>23242.33</v>
      </c>
      <c r="X14" s="297">
        <f t="shared" si="9"/>
        <v>20210.721739130437</v>
      </c>
      <c r="Z14" s="311">
        <v>32869.24</v>
      </c>
      <c r="AA14" s="297">
        <f t="shared" si="10"/>
        <v>28581.947826086958</v>
      </c>
    </row>
    <row r="15" spans="1:27" ht="15.6" customHeight="1" x14ac:dyDescent="0.3">
      <c r="A15" s="12" t="s">
        <v>22</v>
      </c>
      <c r="B15" s="310">
        <v>142396.82999999999</v>
      </c>
      <c r="C15" s="310">
        <v>147064.92000000001</v>
      </c>
      <c r="D15" s="310">
        <v>152846.04</v>
      </c>
      <c r="E15" s="86">
        <f t="shared" si="6"/>
        <v>-3.1741696116245978E-2</v>
      </c>
      <c r="F15" s="311">
        <v>419302.87</v>
      </c>
      <c r="G15" s="311">
        <v>118093.22</v>
      </c>
      <c r="H15" s="86">
        <f>IFERROR((SUM(B15-G15)/G15),0)</f>
        <v>0.20580021444076116</v>
      </c>
      <c r="I15" s="86">
        <f>IFERROR((SUM(B15-D15)/D15),0)</f>
        <v>-6.8364283431877074E-2</v>
      </c>
      <c r="J15" s="311">
        <v>487</v>
      </c>
      <c r="K15" s="63">
        <f>IFERROR(B15/J15,0)</f>
        <v>292.39595482546201</v>
      </c>
      <c r="L15" s="61">
        <v>6</v>
      </c>
      <c r="M15" s="28">
        <f>IFERROR(L15/J15,0)</f>
        <v>1.2320328542094456E-2</v>
      </c>
      <c r="N15" s="46">
        <v>27</v>
      </c>
      <c r="O15" s="89">
        <f>IFERROR(N15/SUM(J15),0)</f>
        <v>5.5441478439425054E-2</v>
      </c>
      <c r="P15" s="260">
        <f t="shared" si="7"/>
        <v>30678.26086956522</v>
      </c>
      <c r="Q15" s="89">
        <f>SUM(P15/B15)</f>
        <v>0.21544202121328981</v>
      </c>
      <c r="R15" s="260">
        <f t="shared" si="8"/>
        <v>11330.652173913044</v>
      </c>
      <c r="S15" s="89">
        <f>SUM(R15/B15)</f>
        <v>7.9570957962428274E-2</v>
      </c>
      <c r="T15" s="311">
        <v>4106.1000000000004</v>
      </c>
      <c r="U15" s="26"/>
      <c r="W15" s="311">
        <v>22249.75</v>
      </c>
      <c r="X15" s="297">
        <f t="shared" si="9"/>
        <v>19347.608695652176</v>
      </c>
      <c r="Z15" s="311">
        <v>13030.25</v>
      </c>
      <c r="AA15" s="297">
        <f t="shared" si="10"/>
        <v>11330.652173913044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H5:I15 K5:S15">
    <cfRule type="cellIs" dxfId="49" priority="3" operator="equal">
      <formula>0</formula>
    </cfRule>
  </conditionalFormatting>
  <conditionalFormatting sqref="P12:P13">
    <cfRule type="cellIs" dxfId="4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AA49"/>
  <sheetViews>
    <sheetView topLeftCell="A2" zoomScale="70" zoomScaleNormal="70" workbookViewId="0">
      <pane xSplit="1" topLeftCell="B1" activePane="topRight" state="frozen"/>
      <selection pane="topRight" activeCell="B5" sqref="B5:B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0.10156206613272091</v>
      </c>
      <c r="F2" s="426"/>
      <c r="G2" s="1"/>
      <c r="H2" s="427"/>
      <c r="I2" s="422">
        <f>((B4-D4)/D4)</f>
        <v>8.3422282372809353E-2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3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35" t="s">
        <v>53</v>
      </c>
      <c r="U3" s="407"/>
      <c r="W3" s="298" t="s">
        <v>57</v>
      </c>
      <c r="X3" s="312"/>
      <c r="Z3" s="298" t="s">
        <v>61</v>
      </c>
      <c r="AA3" s="312"/>
    </row>
    <row r="4" spans="1:27" ht="15.6" customHeight="1" x14ac:dyDescent="0.3">
      <c r="A4" s="3" t="s">
        <v>13</v>
      </c>
      <c r="B4" s="98">
        <f>SUM(B5:B15)</f>
        <v>2047897.29</v>
      </c>
      <c r="C4" s="98">
        <f>SUM(C5:C15)</f>
        <v>1839908.61</v>
      </c>
      <c r="D4" s="98">
        <f>SUM(D5:D15)</f>
        <v>1890211.53</v>
      </c>
      <c r="E4" s="436">
        <f>IFERROR((SUM(B4-C4)/B4),0)</f>
        <v>0.10156206613272091</v>
      </c>
      <c r="F4" s="98">
        <f>SUM(F5:F15)</f>
        <v>8071124.3500000015</v>
      </c>
      <c r="G4" s="98">
        <f>SUM(G5:G15)</f>
        <v>2351484.9300000002</v>
      </c>
      <c r="H4" s="436">
        <f t="shared" ref="H4:H15" si="0">IFERROR((SUM(B4-G4)/G4),0)</f>
        <v>-0.12910465048143011</v>
      </c>
      <c r="I4" s="436">
        <f t="shared" ref="I4:I9" si="1">IFERROR((SUM(B4-D4)/D4),0)</f>
        <v>8.3422282372809353E-2</v>
      </c>
      <c r="J4" s="437">
        <f>SUM(J5:J15)</f>
        <v>6313</v>
      </c>
      <c r="K4" s="438">
        <f>AVERAGE(K5:K15)</f>
        <v>318.63490649318948</v>
      </c>
      <c r="L4" s="439">
        <f>SUM(L5:L15)</f>
        <v>91</v>
      </c>
      <c r="M4" s="440">
        <f t="shared" ref="M4:M9" si="2">IFERROR(L4/J4,0)</f>
        <v>1.4414699825756376E-2</v>
      </c>
      <c r="N4" s="441">
        <f>SUM(N7:N15)</f>
        <v>256</v>
      </c>
      <c r="O4" s="442">
        <f t="shared" ref="O4:O9" si="3">IFERROR(N4/SUM(J4),0)</f>
        <v>4.0551243465864091E-2</v>
      </c>
      <c r="P4" s="443">
        <f>SUM(P5:P15)</f>
        <v>528493.34782608692</v>
      </c>
      <c r="Q4" s="442">
        <f t="shared" ref="Q4:Q9" si="4">SUM(P4/B4)</f>
        <v>0.25806633487272546</v>
      </c>
      <c r="R4" s="443">
        <f>SUM(R5:R15)</f>
        <v>227272.5391304348</v>
      </c>
      <c r="S4" s="442">
        <f t="shared" ref="S4:S9" si="5">SUM(R4/B4)</f>
        <v>0.1109784852200448</v>
      </c>
      <c r="T4" s="444">
        <f>SUM(T5:T15)</f>
        <v>57009.029999999992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361253.2</v>
      </c>
      <c r="C5" s="344">
        <v>340614.61</v>
      </c>
      <c r="D5" s="310">
        <v>166877.21</v>
      </c>
      <c r="E5" s="86">
        <f t="shared" ref="E5:E15" si="6">IFERROR((SUM(B5-C5)/C5),0)</f>
        <v>6.059220419229823E-2</v>
      </c>
      <c r="F5" s="310">
        <v>1183262.04</v>
      </c>
      <c r="G5" s="310">
        <v>470107.21</v>
      </c>
      <c r="H5" s="452">
        <f t="shared" si="0"/>
        <v>-0.23155145823013437</v>
      </c>
      <c r="I5" s="86">
        <f t="shared" si="1"/>
        <v>1.1647845143144473</v>
      </c>
      <c r="J5" s="311">
        <v>1051</v>
      </c>
      <c r="K5" s="63">
        <f>IFERROR(B5/J5,0)</f>
        <v>343.72331113225499</v>
      </c>
      <c r="L5" s="61">
        <v>10</v>
      </c>
      <c r="M5" s="28">
        <f t="shared" si="2"/>
        <v>9.5147478591817315E-3</v>
      </c>
      <c r="N5" s="46">
        <v>42</v>
      </c>
      <c r="O5" s="89">
        <f t="shared" si="3"/>
        <v>3.9961941008563276E-2</v>
      </c>
      <c r="P5" s="260">
        <f t="shared" ref="P5:P15" si="7">SUM(X5+AA5)</f>
        <v>37692.782608695656</v>
      </c>
      <c r="Q5" s="89">
        <f t="shared" si="4"/>
        <v>0.10433895840561594</v>
      </c>
      <c r="R5" s="260">
        <f t="shared" ref="R5:R15" si="8">SUM(AA5)</f>
        <v>37692.782608695656</v>
      </c>
      <c r="S5" s="89">
        <f t="shared" si="5"/>
        <v>0.10433895840561594</v>
      </c>
      <c r="T5" s="311">
        <v>3361.3</v>
      </c>
      <c r="U5" s="9"/>
      <c r="W5" s="310">
        <v>0</v>
      </c>
      <c r="X5" s="297">
        <f t="shared" ref="X5:X15" si="9">W5/1.15</f>
        <v>0</v>
      </c>
      <c r="Z5" s="310">
        <v>43346.7</v>
      </c>
      <c r="AA5" s="297">
        <f t="shared" ref="AA5:AA15" si="10">SUM(Z5)/1.15</f>
        <v>37692.782608695656</v>
      </c>
    </row>
    <row r="6" spans="1:27" ht="15.6" customHeight="1" x14ac:dyDescent="0.3">
      <c r="A6" s="445" t="s">
        <v>21</v>
      </c>
      <c r="B6" s="310">
        <v>245800.43</v>
      </c>
      <c r="C6" s="344">
        <v>202176.17</v>
      </c>
      <c r="D6" s="310">
        <v>317233.91999999998</v>
      </c>
      <c r="E6" s="86">
        <f t="shared" si="6"/>
        <v>0.21577350090270273</v>
      </c>
      <c r="F6" s="310">
        <v>856599.06</v>
      </c>
      <c r="G6" s="310">
        <v>226906.27</v>
      </c>
      <c r="H6" s="452">
        <f t="shared" si="0"/>
        <v>8.3268567237035823E-2</v>
      </c>
      <c r="I6" s="86">
        <f t="shared" si="1"/>
        <v>-0.22517607827057079</v>
      </c>
      <c r="J6" s="311">
        <v>695</v>
      </c>
      <c r="K6" s="63">
        <f>IFERROR(B6/J6,0)</f>
        <v>353.66968345323738</v>
      </c>
      <c r="L6" s="61">
        <v>10</v>
      </c>
      <c r="M6" s="28">
        <f t="shared" si="2"/>
        <v>1.4388489208633094E-2</v>
      </c>
      <c r="N6" s="46">
        <v>42</v>
      </c>
      <c r="O6" s="89">
        <f t="shared" si="3"/>
        <v>6.0431654676258995E-2</v>
      </c>
      <c r="P6" s="260">
        <f t="shared" si="7"/>
        <v>61662.747826086961</v>
      </c>
      <c r="Q6" s="89">
        <f t="shared" si="4"/>
        <v>0.25086509338525959</v>
      </c>
      <c r="R6" s="260">
        <f t="shared" si="8"/>
        <v>20169.869565217392</v>
      </c>
      <c r="S6" s="89">
        <f t="shared" si="5"/>
        <v>8.2057910009422655E-2</v>
      </c>
      <c r="T6" s="311">
        <v>8578.15</v>
      </c>
      <c r="U6" s="26"/>
      <c r="W6" s="310">
        <v>47716.81</v>
      </c>
      <c r="X6" s="297">
        <f t="shared" si="9"/>
        <v>41492.878260869569</v>
      </c>
      <c r="Z6" s="310">
        <v>23195.35</v>
      </c>
      <c r="AA6" s="297">
        <f t="shared" si="10"/>
        <v>20169.869565217392</v>
      </c>
    </row>
    <row r="7" spans="1:27" ht="16.5" customHeight="1" x14ac:dyDescent="0.3">
      <c r="A7" s="445" t="s">
        <v>15</v>
      </c>
      <c r="B7" s="310">
        <v>284143.42</v>
      </c>
      <c r="C7" s="344">
        <v>199957.65</v>
      </c>
      <c r="D7" s="310">
        <v>254835.6</v>
      </c>
      <c r="E7" s="86">
        <f t="shared" si="6"/>
        <v>0.42101800056161887</v>
      </c>
      <c r="F7" s="310">
        <v>897493.34</v>
      </c>
      <c r="G7" s="310">
        <v>254872.54</v>
      </c>
      <c r="H7" s="452">
        <f t="shared" si="0"/>
        <v>0.11484516927559153</v>
      </c>
      <c r="I7" s="86">
        <f t="shared" si="1"/>
        <v>0.11500677299404</v>
      </c>
      <c r="J7" s="311">
        <v>793</v>
      </c>
      <c r="K7" s="63">
        <f>IFERROR(B7/J7,0)</f>
        <v>358.31452711223199</v>
      </c>
      <c r="L7" s="61">
        <v>4</v>
      </c>
      <c r="M7" s="28">
        <f t="shared" si="2"/>
        <v>5.0441361916771753E-3</v>
      </c>
      <c r="N7" s="46">
        <v>24</v>
      </c>
      <c r="O7" s="89">
        <f t="shared" si="3"/>
        <v>3.0264817150063052E-2</v>
      </c>
      <c r="P7" s="260">
        <f t="shared" si="7"/>
        <v>59447.043478260879</v>
      </c>
      <c r="Q7" s="89">
        <f t="shared" si="4"/>
        <v>0.20921492209202269</v>
      </c>
      <c r="R7" s="260">
        <f t="shared" si="8"/>
        <v>3845.652173913044</v>
      </c>
      <c r="S7" s="89">
        <f t="shared" si="5"/>
        <v>1.3534194013407188E-2</v>
      </c>
      <c r="T7" s="311">
        <v>17024.7</v>
      </c>
      <c r="U7" s="26"/>
      <c r="W7" s="310">
        <v>63941.599999999999</v>
      </c>
      <c r="X7" s="297">
        <f t="shared" si="9"/>
        <v>55601.391304347831</v>
      </c>
      <c r="Z7" s="310">
        <v>4422.5</v>
      </c>
      <c r="AA7" s="297">
        <f t="shared" si="10"/>
        <v>3845.652173913044</v>
      </c>
    </row>
    <row r="8" spans="1:27" ht="15.6" customHeight="1" x14ac:dyDescent="0.3">
      <c r="A8" s="12" t="s">
        <v>27</v>
      </c>
      <c r="B8" s="310">
        <v>147747.95000000001</v>
      </c>
      <c r="C8" s="344">
        <v>124761.94</v>
      </c>
      <c r="D8" s="310">
        <v>125945.97</v>
      </c>
      <c r="E8" s="86">
        <f t="shared" si="6"/>
        <v>0.18423895941342375</v>
      </c>
      <c r="F8" s="310">
        <v>492357.18</v>
      </c>
      <c r="G8" s="310">
        <v>135960.23000000001</v>
      </c>
      <c r="H8" s="452">
        <f t="shared" si="0"/>
        <v>8.6699765071006421E-2</v>
      </c>
      <c r="I8" s="86">
        <f t="shared" si="1"/>
        <v>0.17310581672442565</v>
      </c>
      <c r="J8" s="311">
        <v>412</v>
      </c>
      <c r="K8" s="63">
        <f>IFERROR(B8/J8,0)</f>
        <v>358.61152912621361</v>
      </c>
      <c r="L8" s="61">
        <v>11</v>
      </c>
      <c r="M8" s="28">
        <f t="shared" si="2"/>
        <v>2.6699029126213591E-2</v>
      </c>
      <c r="N8" s="46">
        <v>25</v>
      </c>
      <c r="O8" s="89">
        <f t="shared" si="3"/>
        <v>6.0679611650485438E-2</v>
      </c>
      <c r="P8" s="260">
        <f t="shared" si="7"/>
        <v>46217.121739130438</v>
      </c>
      <c r="Q8" s="89">
        <f t="shared" si="4"/>
        <v>0.31281057868573092</v>
      </c>
      <c r="R8" s="260">
        <f t="shared" si="8"/>
        <v>24550.600000000002</v>
      </c>
      <c r="S8" s="89">
        <f t="shared" si="5"/>
        <v>0.16616541887721623</v>
      </c>
      <c r="T8" s="311">
        <v>4921.1000000000004</v>
      </c>
      <c r="U8" s="9"/>
      <c r="W8" s="310">
        <v>24916.5</v>
      </c>
      <c r="X8" s="297">
        <f t="shared" si="9"/>
        <v>21666.521739130436</v>
      </c>
      <c r="Z8" s="310">
        <v>28233.19</v>
      </c>
      <c r="AA8" s="297">
        <f t="shared" si="10"/>
        <v>24550.600000000002</v>
      </c>
    </row>
    <row r="9" spans="1:27" ht="15.6" customHeight="1" x14ac:dyDescent="0.3">
      <c r="A9" s="12" t="s">
        <v>23</v>
      </c>
      <c r="B9" s="310">
        <v>210366.12</v>
      </c>
      <c r="C9" s="344">
        <v>207492.95</v>
      </c>
      <c r="D9" s="310">
        <v>243010.12</v>
      </c>
      <c r="E9" s="86">
        <f t="shared" si="6"/>
        <v>1.3847072876451868E-2</v>
      </c>
      <c r="F9" s="310">
        <v>816692.11</v>
      </c>
      <c r="G9" s="310">
        <v>229667.33</v>
      </c>
      <c r="H9" s="452">
        <f t="shared" si="0"/>
        <v>-8.4039858868912673E-2</v>
      </c>
      <c r="I9" s="86">
        <f t="shared" si="1"/>
        <v>-0.13433185416311058</v>
      </c>
      <c r="J9" s="311">
        <v>729</v>
      </c>
      <c r="K9" s="63">
        <f>IFERROR(B9/J9,0)</f>
        <v>288.56806584362141</v>
      </c>
      <c r="L9" s="61">
        <v>15</v>
      </c>
      <c r="M9" s="28">
        <f t="shared" si="2"/>
        <v>2.0576131687242798E-2</v>
      </c>
      <c r="N9" s="46">
        <v>48</v>
      </c>
      <c r="O9" s="89">
        <f t="shared" si="3"/>
        <v>6.584362139917696E-2</v>
      </c>
      <c r="P9" s="260">
        <f t="shared" si="7"/>
        <v>63277.930434782611</v>
      </c>
      <c r="Q9" s="89">
        <f t="shared" si="4"/>
        <v>0.30079905659134948</v>
      </c>
      <c r="R9" s="260">
        <f t="shared" si="8"/>
        <v>25788.408695652175</v>
      </c>
      <c r="S9" s="89">
        <f t="shared" si="5"/>
        <v>0.12258822236038852</v>
      </c>
      <c r="T9" s="311">
        <v>4156.3500000000004</v>
      </c>
      <c r="U9" s="26"/>
      <c r="W9" s="310">
        <v>43112.95</v>
      </c>
      <c r="X9" s="297">
        <f t="shared" si="9"/>
        <v>37489.521739130432</v>
      </c>
      <c r="Z9" s="310">
        <v>29656.67</v>
      </c>
      <c r="AA9" s="297">
        <f t="shared" si="10"/>
        <v>25788.408695652175</v>
      </c>
    </row>
    <row r="10" spans="1:27" ht="15.6" customHeight="1" x14ac:dyDescent="0.3">
      <c r="A10" s="445" t="s">
        <v>16</v>
      </c>
      <c r="B10" s="310"/>
      <c r="C10" s="344"/>
      <c r="D10" s="310">
        <v>191397.82</v>
      </c>
      <c r="E10" s="86">
        <f t="shared" si="6"/>
        <v>0</v>
      </c>
      <c r="F10" s="310">
        <v>558040.73</v>
      </c>
      <c r="G10" s="310">
        <v>261094.56</v>
      </c>
      <c r="H10" s="452">
        <f t="shared" si="0"/>
        <v>-1</v>
      </c>
      <c r="I10" s="86">
        <f>IFERROR((SUM(B11-D10)/D10),0)</f>
        <v>-0.22809669410027772</v>
      </c>
      <c r="J10" s="311"/>
      <c r="K10" s="63">
        <f>IFERROR(B11/J11,0)</f>
        <v>300.2857926829268</v>
      </c>
      <c r="L10" s="61">
        <v>1</v>
      </c>
      <c r="M10" s="28">
        <f>IFERROR(L10/J11,0)</f>
        <v>2.0325203252032522E-3</v>
      </c>
      <c r="N10" s="46">
        <v>15</v>
      </c>
      <c r="O10" s="89">
        <f>IFERROR(N10/SUM(J11),0)</f>
        <v>3.048780487804878E-2</v>
      </c>
      <c r="P10" s="260">
        <f t="shared" si="7"/>
        <v>0</v>
      </c>
      <c r="Q10" s="89">
        <f>SUM(P10/B11)</f>
        <v>0</v>
      </c>
      <c r="R10" s="260">
        <f t="shared" si="8"/>
        <v>0</v>
      </c>
      <c r="S10" s="89">
        <f>SUM(R10/B11)</f>
        <v>0</v>
      </c>
      <c r="T10" s="311"/>
      <c r="U10" s="26"/>
      <c r="W10" s="310"/>
      <c r="X10" s="297">
        <f t="shared" si="9"/>
        <v>0</v>
      </c>
      <c r="Z10" s="310"/>
      <c r="AA10" s="297">
        <f t="shared" si="10"/>
        <v>0</v>
      </c>
    </row>
    <row r="11" spans="1:27" ht="15.6" customHeight="1" x14ac:dyDescent="0.3">
      <c r="A11" s="445" t="s">
        <v>17</v>
      </c>
      <c r="B11" s="310">
        <v>147740.60999999999</v>
      </c>
      <c r="C11" s="238">
        <v>139087.29</v>
      </c>
      <c r="D11" s="310">
        <v>86713.33</v>
      </c>
      <c r="E11" s="86">
        <f t="shared" si="6"/>
        <v>6.2215030575403243E-2</v>
      </c>
      <c r="F11" s="310">
        <v>760063.38</v>
      </c>
      <c r="G11" s="310">
        <v>127181.59</v>
      </c>
      <c r="H11" s="452">
        <f t="shared" si="0"/>
        <v>0.16165091189691833</v>
      </c>
      <c r="I11" s="86">
        <f>IFERROR((SUM(#REF!-D11)/D11),0)</f>
        <v>0</v>
      </c>
      <c r="J11" s="311">
        <v>492</v>
      </c>
      <c r="K11" s="63">
        <f>IFERROR(B12/J12,0)</f>
        <v>270.92329149232916</v>
      </c>
      <c r="L11" s="61">
        <v>3</v>
      </c>
      <c r="M11" s="28">
        <f>IFERROR(L11/J12,0)</f>
        <v>4.1841004184100415E-3</v>
      </c>
      <c r="N11" s="46">
        <v>22</v>
      </c>
      <c r="O11" s="89">
        <f>IFERROR(N11/SUM(J12),0)</f>
        <v>3.0683403068340307E-2</v>
      </c>
      <c r="P11" s="260">
        <f t="shared" si="7"/>
        <v>59984.739130434784</v>
      </c>
      <c r="Q11" s="89">
        <f>SUM(P11/B12)</f>
        <v>0.30879856645200454</v>
      </c>
      <c r="R11" s="260">
        <f t="shared" si="8"/>
        <v>19175.26086956522</v>
      </c>
      <c r="S11" s="89">
        <f>SUM(R11/B12)</f>
        <v>9.8713325317449599E-2</v>
      </c>
      <c r="T11" s="311">
        <v>4880.38</v>
      </c>
      <c r="U11" s="26"/>
      <c r="W11" s="310">
        <v>46930.9</v>
      </c>
      <c r="X11" s="297">
        <f t="shared" si="9"/>
        <v>40809.478260869568</v>
      </c>
      <c r="Z11" s="310">
        <v>22051.55</v>
      </c>
      <c r="AA11" s="297">
        <f t="shared" si="10"/>
        <v>19175.26086956522</v>
      </c>
    </row>
    <row r="12" spans="1:27" ht="15.6" customHeight="1" x14ac:dyDescent="0.3">
      <c r="A12" s="12" t="s">
        <v>55</v>
      </c>
      <c r="B12" s="310">
        <v>194252</v>
      </c>
      <c r="C12" s="344">
        <v>186789.8</v>
      </c>
      <c r="D12" s="310">
        <v>206751.49</v>
      </c>
      <c r="E12" s="86">
        <f t="shared" si="6"/>
        <v>3.9949718881866207E-2</v>
      </c>
      <c r="F12" s="310">
        <v>760063.38</v>
      </c>
      <c r="G12" s="310">
        <v>192610.37</v>
      </c>
      <c r="H12" s="452">
        <f t="shared" si="0"/>
        <v>8.5230613491890633E-3</v>
      </c>
      <c r="I12" s="86">
        <f>IFERROR((SUM(B12-D12)/D12),0)</f>
        <v>-6.0456589696161279E-2</v>
      </c>
      <c r="J12" s="311">
        <v>717</v>
      </c>
      <c r="K12" s="63">
        <f>IFERROR(B12/J12,0)</f>
        <v>270.92329149232916</v>
      </c>
      <c r="L12" s="61">
        <v>7</v>
      </c>
      <c r="M12" s="28">
        <f>IFERROR(L12/J12,0)</f>
        <v>9.7629009762900971E-3</v>
      </c>
      <c r="N12" s="46">
        <v>17</v>
      </c>
      <c r="O12" s="89">
        <f>IFERROR(N12/SUM(J12),0)</f>
        <v>2.3709902370990237E-2</v>
      </c>
      <c r="P12" s="260">
        <f t="shared" si="7"/>
        <v>73012.800000000003</v>
      </c>
      <c r="Q12" s="89">
        <f>SUM(P12/B12)</f>
        <v>0.37586640034594238</v>
      </c>
      <c r="R12" s="260">
        <f t="shared" si="8"/>
        <v>37587.495652173915</v>
      </c>
      <c r="S12" s="89">
        <f>SUM(R12/B12)</f>
        <v>0.19349862885413749</v>
      </c>
      <c r="T12" s="311">
        <v>3321</v>
      </c>
      <c r="U12" s="9"/>
      <c r="W12" s="310">
        <v>40739.1</v>
      </c>
      <c r="X12" s="297">
        <f t="shared" si="9"/>
        <v>35425.304347826088</v>
      </c>
      <c r="Z12" s="310">
        <v>43225.62</v>
      </c>
      <c r="AA12" s="297">
        <f t="shared" si="10"/>
        <v>37587.495652173915</v>
      </c>
    </row>
    <row r="13" spans="1:27" ht="15.6" customHeight="1" x14ac:dyDescent="0.3">
      <c r="A13" s="12" t="s">
        <v>33</v>
      </c>
      <c r="B13" s="310">
        <v>174871.18</v>
      </c>
      <c r="C13" s="344">
        <v>171118.86</v>
      </c>
      <c r="D13" s="310"/>
      <c r="E13" s="86">
        <f t="shared" si="6"/>
        <v>2.1928149825215102E-2</v>
      </c>
      <c r="F13" s="310">
        <v>658989.11</v>
      </c>
      <c r="G13" s="310">
        <v>165936.81</v>
      </c>
      <c r="H13" s="452">
        <f t="shared" si="0"/>
        <v>5.3842001663163198E-2</v>
      </c>
      <c r="I13" s="86">
        <f>IFERROR((SUM(B13-D13)/D13),0)</f>
        <v>0</v>
      </c>
      <c r="J13" s="311">
        <v>536</v>
      </c>
      <c r="K13" s="63">
        <f>IFERROR(B13/J13,0)</f>
        <v>326.25220149253732</v>
      </c>
      <c r="L13" s="61">
        <v>13</v>
      </c>
      <c r="M13" s="28">
        <f>IFERROR(L13/J13,0)</f>
        <v>2.4253731343283583E-2</v>
      </c>
      <c r="N13" s="46">
        <v>37</v>
      </c>
      <c r="O13" s="89">
        <f>IFERROR(N13/SUM(J13),0)</f>
        <v>6.9029850746268662E-2</v>
      </c>
      <c r="P13" s="260">
        <f t="shared" si="7"/>
        <v>36549.765217391308</v>
      </c>
      <c r="Q13" s="89">
        <f>SUM(P13/B13)</f>
        <v>0.20900965623604364</v>
      </c>
      <c r="R13" s="260">
        <f t="shared" si="8"/>
        <v>19891.895652173916</v>
      </c>
      <c r="S13" s="89">
        <f>SUM(R13/B13)</f>
        <v>0.1137517094136033</v>
      </c>
      <c r="T13" s="311">
        <v>3285.5</v>
      </c>
      <c r="U13" s="9"/>
      <c r="W13" s="310">
        <v>19156.55</v>
      </c>
      <c r="X13" s="297">
        <f t="shared" si="9"/>
        <v>16657.869565217392</v>
      </c>
      <c r="Z13" s="310">
        <v>22875.68</v>
      </c>
      <c r="AA13" s="297">
        <f t="shared" si="10"/>
        <v>19891.895652173916</v>
      </c>
    </row>
    <row r="14" spans="1:27" ht="15.6" customHeight="1" x14ac:dyDescent="0.3">
      <c r="A14" s="445" t="s">
        <v>20</v>
      </c>
      <c r="B14" s="310">
        <v>161782.76</v>
      </c>
      <c r="C14" s="344">
        <v>125512.51</v>
      </c>
      <c r="D14" s="310">
        <v>144600.03</v>
      </c>
      <c r="E14" s="86">
        <f t="shared" si="6"/>
        <v>0.28897717048284682</v>
      </c>
      <c r="F14" s="310">
        <v>548321.53</v>
      </c>
      <c r="G14" s="310">
        <v>148861.70000000001</v>
      </c>
      <c r="H14" s="452">
        <f t="shared" si="0"/>
        <v>8.6799089356093581E-2</v>
      </c>
      <c r="I14" s="86">
        <f>IFERROR((SUM(B14-D14)/D14),0)</f>
        <v>0.11882936677122412</v>
      </c>
      <c r="J14" s="311">
        <v>448</v>
      </c>
      <c r="K14" s="63">
        <f>IFERROR(B14/J14,0)</f>
        <v>361.12223214285717</v>
      </c>
      <c r="L14" s="61">
        <v>11</v>
      </c>
      <c r="M14" s="28">
        <f>IFERROR(L14/J14,0)</f>
        <v>2.4553571428571428E-2</v>
      </c>
      <c r="N14" s="46">
        <v>41</v>
      </c>
      <c r="O14" s="89">
        <f>IFERROR(N14/SUM(J14),0)</f>
        <v>9.1517857142857137E-2</v>
      </c>
      <c r="P14" s="260">
        <f t="shared" si="7"/>
        <v>52362.869565217392</v>
      </c>
      <c r="Q14" s="89">
        <f>SUM(P14/B14)</f>
        <v>0.32366161614017086</v>
      </c>
      <c r="R14" s="260">
        <f t="shared" si="8"/>
        <v>18751.478260869568</v>
      </c>
      <c r="S14" s="89">
        <f>SUM(R14/B14)</f>
        <v>0.1159052933753236</v>
      </c>
      <c r="T14" s="311">
        <v>3238.6</v>
      </c>
      <c r="U14" s="26"/>
      <c r="W14" s="310">
        <v>38653.1</v>
      </c>
      <c r="X14" s="297">
        <f t="shared" si="9"/>
        <v>33611.391304347824</v>
      </c>
      <c r="Z14" s="310">
        <v>21564.2</v>
      </c>
      <c r="AA14" s="297">
        <f t="shared" si="10"/>
        <v>18751.478260869568</v>
      </c>
    </row>
    <row r="15" spans="1:27" ht="15.6" customHeight="1" x14ac:dyDescent="0.3">
      <c r="A15" s="12" t="s">
        <v>22</v>
      </c>
      <c r="B15" s="310">
        <v>119939.62</v>
      </c>
      <c r="C15" s="344">
        <v>142396.82999999999</v>
      </c>
      <c r="D15" s="310">
        <v>152846.04</v>
      </c>
      <c r="E15" s="86">
        <f t="shared" si="6"/>
        <v>-0.15770863719367906</v>
      </c>
      <c r="F15" s="310">
        <v>539242.49</v>
      </c>
      <c r="G15" s="310">
        <v>138286.32</v>
      </c>
      <c r="H15" s="452">
        <f t="shared" si="0"/>
        <v>-0.13267183623080006</v>
      </c>
      <c r="I15" s="86">
        <f>IFERROR((SUM(B15-D15)/D15),0)</f>
        <v>-0.21529128265279238</v>
      </c>
      <c r="J15" s="311">
        <v>440</v>
      </c>
      <c r="K15" s="63">
        <f>IFERROR(B15/J15,0)</f>
        <v>272.59004545454542</v>
      </c>
      <c r="L15" s="61">
        <v>6</v>
      </c>
      <c r="M15" s="28">
        <f>IFERROR(L15/J15,0)</f>
        <v>1.3636363636363636E-2</v>
      </c>
      <c r="N15" s="46">
        <v>27</v>
      </c>
      <c r="O15" s="89">
        <f>IFERROR(N15/SUM(J15),0)</f>
        <v>6.1363636363636363E-2</v>
      </c>
      <c r="P15" s="260">
        <f t="shared" si="7"/>
        <v>38285.547826086957</v>
      </c>
      <c r="Q15" s="89">
        <f>SUM(P15/B15)</f>
        <v>0.31920684612880179</v>
      </c>
      <c r="R15" s="260">
        <f t="shared" si="8"/>
        <v>19819.095652173914</v>
      </c>
      <c r="S15" s="89">
        <f>SUM(R15/B15)</f>
        <v>0.16524227483940598</v>
      </c>
      <c r="T15" s="311">
        <v>4241.95</v>
      </c>
      <c r="U15" s="26"/>
      <c r="W15" s="310">
        <v>21236.42</v>
      </c>
      <c r="X15" s="297">
        <f t="shared" si="9"/>
        <v>18466.452173913043</v>
      </c>
      <c r="Z15" s="310">
        <v>22791.96</v>
      </c>
      <c r="AA15" s="297">
        <f t="shared" si="10"/>
        <v>19819.095652173914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47" priority="3" operator="equal">
      <formula>0</formula>
    </cfRule>
  </conditionalFormatting>
  <conditionalFormatting sqref="P12:P13">
    <cfRule type="cellIs" dxfId="4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AA49"/>
  <sheetViews>
    <sheetView zoomScale="70" zoomScaleNormal="70" workbookViewId="0">
      <pane xSplit="1" topLeftCell="B1" activePane="topRight" state="frozen"/>
      <selection pane="topRight" activeCell="B5" sqref="B5:B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6.6897432500118897E-2</v>
      </c>
      <c r="F2" s="426"/>
      <c r="G2" s="1"/>
      <c r="H2" s="427"/>
      <c r="I2" s="422">
        <f>((B4-D4)/D4)</f>
        <v>0.16109666837129072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5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2194718.31</v>
      </c>
      <c r="C4" s="98">
        <f>SUM(C5:C15)</f>
        <v>2047897.29</v>
      </c>
      <c r="D4" s="98">
        <f>SUM(D5:D15)</f>
        <v>1890211.53</v>
      </c>
      <c r="E4" s="436">
        <f>IFERROR((SUM(B4-C4)/B4),0)</f>
        <v>6.6897432500118897E-2</v>
      </c>
      <c r="F4" s="455">
        <f>SUM(F5:F15)</f>
        <v>9622117.8999999985</v>
      </c>
      <c r="G4" s="98">
        <f>SUM(G5:G15)</f>
        <v>2418908.85</v>
      </c>
      <c r="H4" s="436">
        <f t="shared" ref="H4:H15" si="0">IFERROR((SUM(B4-G4)/G4),0)</f>
        <v>-9.2682508478978048E-2</v>
      </c>
      <c r="I4" s="436">
        <f t="shared" ref="I4:I9" si="1">IFERROR((SUM(B4-D4)/D4),0)</f>
        <v>0.16109666837129072</v>
      </c>
      <c r="J4" s="437">
        <f>SUM(J5:J15)</f>
        <v>6555</v>
      </c>
      <c r="K4" s="438">
        <f>AVERAGE(K5:K15)</f>
        <v>330.3315049255441</v>
      </c>
      <c r="L4" s="439">
        <f>SUM(L5:L15)</f>
        <v>91</v>
      </c>
      <c r="M4" s="440">
        <f t="shared" ref="M4:M9" si="2">IFERROR(L4/J4,0)</f>
        <v>1.3882532418001525E-2</v>
      </c>
      <c r="N4" s="441">
        <f>SUM(N7:N15)</f>
        <v>256</v>
      </c>
      <c r="O4" s="442">
        <f t="shared" ref="O4:O9" si="3">IFERROR(N4/SUM(J4),0)</f>
        <v>3.9054157131960338E-2</v>
      </c>
      <c r="P4" s="443">
        <f>SUM(P5:P15)</f>
        <v>543554.29565217393</v>
      </c>
      <c r="Q4" s="442">
        <f t="shared" ref="Q4:Q9" si="4">SUM(P4/B4)</f>
        <v>0.247664719966807</v>
      </c>
      <c r="R4" s="443">
        <f>SUM(R5:R15)</f>
        <v>255404.68695652173</v>
      </c>
      <c r="S4" s="442">
        <f t="shared" ref="S4:S9" si="5">SUM(R4/B4)</f>
        <v>0.11637242273543602</v>
      </c>
      <c r="T4" s="444">
        <f>SUM(T5:T15)</f>
        <v>41913.699999999997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492195.44</v>
      </c>
      <c r="C5" s="310">
        <v>361253.2</v>
      </c>
      <c r="D5" s="310">
        <v>166877.21</v>
      </c>
      <c r="E5" s="86">
        <f t="shared" ref="E5:E15" si="6">IFERROR((SUM(B5-C5)/C5),0)</f>
        <v>0.36246665773479647</v>
      </c>
      <c r="F5" s="310">
        <v>1675457.48</v>
      </c>
      <c r="G5" s="310">
        <v>444323.67</v>
      </c>
      <c r="H5" s="452">
        <f t="shared" si="0"/>
        <v>0.10774076024354053</v>
      </c>
      <c r="I5" s="86">
        <f t="shared" si="1"/>
        <v>1.9494467219340497</v>
      </c>
      <c r="J5" s="311">
        <v>1251</v>
      </c>
      <c r="K5" s="63">
        <f>IFERROR(B5/J5,0)</f>
        <v>393.44159872102318</v>
      </c>
      <c r="L5" s="61">
        <v>10</v>
      </c>
      <c r="M5" s="28">
        <f t="shared" si="2"/>
        <v>7.9936051159072742E-3</v>
      </c>
      <c r="N5" s="46">
        <v>42</v>
      </c>
      <c r="O5" s="89">
        <f t="shared" si="3"/>
        <v>3.3573141486810551E-2</v>
      </c>
      <c r="P5" s="260">
        <f t="shared" ref="P5:P15" si="7">SUM(X5+AA5)</f>
        <v>35359.565217391304</v>
      </c>
      <c r="Q5" s="89">
        <f t="shared" si="4"/>
        <v>7.1840497379234772E-2</v>
      </c>
      <c r="R5" s="260">
        <f t="shared" ref="R5:R15" si="8">SUM(AA5)</f>
        <v>35359.565217391304</v>
      </c>
      <c r="S5" s="89">
        <f t="shared" si="5"/>
        <v>7.1840497379234772E-2</v>
      </c>
      <c r="T5" s="310">
        <v>1155</v>
      </c>
      <c r="U5" s="9"/>
      <c r="W5" s="311">
        <v>0</v>
      </c>
      <c r="X5" s="297">
        <f t="shared" ref="X5:X15" si="9">W5/1.15</f>
        <v>0</v>
      </c>
      <c r="Z5" s="311">
        <v>40663.5</v>
      </c>
      <c r="AA5" s="297">
        <f t="shared" ref="AA5:AA15" si="10">SUM(Z5)/1.15</f>
        <v>35359.565217391304</v>
      </c>
    </row>
    <row r="6" spans="1:27" ht="15.6" customHeight="1" x14ac:dyDescent="0.3">
      <c r="A6" s="445" t="s">
        <v>21</v>
      </c>
      <c r="B6" s="310">
        <v>253188.68</v>
      </c>
      <c r="C6" s="310">
        <v>245800.43</v>
      </c>
      <c r="D6" s="310">
        <v>317233.91999999998</v>
      </c>
      <c r="E6" s="86">
        <f t="shared" si="6"/>
        <v>3.0057921379551697E-2</v>
      </c>
      <c r="F6" s="310">
        <v>1109787.74</v>
      </c>
      <c r="G6" s="310">
        <v>257339.41</v>
      </c>
      <c r="H6" s="452">
        <f t="shared" si="0"/>
        <v>-1.6129398913287359E-2</v>
      </c>
      <c r="I6" s="86">
        <f t="shared" si="1"/>
        <v>-0.20188648174823171</v>
      </c>
      <c r="J6" s="311">
        <v>749</v>
      </c>
      <c r="K6" s="63">
        <f>IFERROR(B6/J6,0)</f>
        <v>338.03562082777034</v>
      </c>
      <c r="L6" s="61">
        <v>10</v>
      </c>
      <c r="M6" s="28">
        <f t="shared" si="2"/>
        <v>1.335113484646195E-2</v>
      </c>
      <c r="N6" s="46">
        <v>42</v>
      </c>
      <c r="O6" s="89">
        <f t="shared" si="3"/>
        <v>5.6074766355140186E-2</v>
      </c>
      <c r="P6" s="260">
        <f t="shared" si="7"/>
        <v>72240.295652173911</v>
      </c>
      <c r="Q6" s="89">
        <f t="shared" si="4"/>
        <v>0.28532198063584008</v>
      </c>
      <c r="R6" s="260">
        <f t="shared" si="8"/>
        <v>28175.486956521741</v>
      </c>
      <c r="S6" s="89">
        <f t="shared" si="5"/>
        <v>0.11128256980731423</v>
      </c>
      <c r="T6" s="310">
        <v>8012.75</v>
      </c>
      <c r="U6" s="26"/>
      <c r="W6" s="310">
        <v>50674.53</v>
      </c>
      <c r="X6" s="73">
        <f t="shared" si="9"/>
        <v>44064.808695652173</v>
      </c>
      <c r="Y6" s="238"/>
      <c r="Z6" s="310">
        <v>32401.81</v>
      </c>
      <c r="AA6" s="73">
        <f t="shared" si="10"/>
        <v>28175.486956521741</v>
      </c>
    </row>
    <row r="7" spans="1:27" ht="16.5" customHeight="1" x14ac:dyDescent="0.3">
      <c r="A7" s="445" t="s">
        <v>15</v>
      </c>
      <c r="B7" s="310">
        <v>252951.79</v>
      </c>
      <c r="C7" s="310">
        <v>284143.42</v>
      </c>
      <c r="D7" s="310">
        <v>254835.6</v>
      </c>
      <c r="E7" s="86">
        <f t="shared" si="6"/>
        <v>-0.10977424710380405</v>
      </c>
      <c r="F7" s="310">
        <v>1150445.1299999999</v>
      </c>
      <c r="G7" s="310">
        <v>270844.26</v>
      </c>
      <c r="H7" s="452">
        <f t="shared" si="0"/>
        <v>-6.6061839375883391E-2</v>
      </c>
      <c r="I7" s="86">
        <f t="shared" si="1"/>
        <v>-7.3922560270229028E-3</v>
      </c>
      <c r="J7" s="311">
        <v>728</v>
      </c>
      <c r="K7" s="63">
        <f>IFERROR(B7/J7,0)</f>
        <v>347.46125000000001</v>
      </c>
      <c r="L7" s="61">
        <v>4</v>
      </c>
      <c r="M7" s="28">
        <f t="shared" si="2"/>
        <v>5.4945054945054949E-3</v>
      </c>
      <c r="N7" s="46">
        <v>24</v>
      </c>
      <c r="O7" s="89">
        <f t="shared" si="3"/>
        <v>3.2967032967032968E-2</v>
      </c>
      <c r="P7" s="260">
        <f t="shared" si="7"/>
        <v>49712.330434782612</v>
      </c>
      <c r="Q7" s="89">
        <f t="shared" si="4"/>
        <v>0.19652887388060236</v>
      </c>
      <c r="R7" s="260">
        <f t="shared" si="8"/>
        <v>5337.3913043478269</v>
      </c>
      <c r="S7" s="89">
        <f t="shared" si="5"/>
        <v>2.1100429075231398E-2</v>
      </c>
      <c r="T7" s="310">
        <v>9236.85</v>
      </c>
      <c r="U7" s="26"/>
      <c r="W7" s="310">
        <v>51031.18</v>
      </c>
      <c r="X7" s="73">
        <f t="shared" si="9"/>
        <v>44374.939130434788</v>
      </c>
      <c r="Y7" s="238"/>
      <c r="Z7" s="310">
        <v>6138</v>
      </c>
      <c r="AA7" s="73">
        <f t="shared" si="10"/>
        <v>5337.3913043478269</v>
      </c>
    </row>
    <row r="8" spans="1:27" ht="15.6" customHeight="1" x14ac:dyDescent="0.3">
      <c r="A8" s="12" t="s">
        <v>27</v>
      </c>
      <c r="B8" s="310">
        <v>129792.93</v>
      </c>
      <c r="C8" s="310">
        <v>147747.95000000001</v>
      </c>
      <c r="D8" s="310">
        <v>125945.97</v>
      </c>
      <c r="E8" s="86">
        <f t="shared" si="6"/>
        <v>-0.12152466413239586</v>
      </c>
      <c r="F8" s="310">
        <v>668242.96</v>
      </c>
      <c r="G8" s="310">
        <v>144449.49</v>
      </c>
      <c r="H8" s="452">
        <f t="shared" si="0"/>
        <v>-0.10146494805900663</v>
      </c>
      <c r="I8" s="86">
        <f t="shared" si="1"/>
        <v>3.0544526355229879E-2</v>
      </c>
      <c r="J8" s="311">
        <v>418</v>
      </c>
      <c r="K8" s="63">
        <f>IFERROR(B8/J8,0)</f>
        <v>310.50940191387559</v>
      </c>
      <c r="L8" s="61">
        <v>11</v>
      </c>
      <c r="M8" s="28">
        <f t="shared" si="2"/>
        <v>2.6315789473684209E-2</v>
      </c>
      <c r="N8" s="46">
        <v>25</v>
      </c>
      <c r="O8" s="89">
        <f t="shared" si="3"/>
        <v>5.9808612440191387E-2</v>
      </c>
      <c r="P8" s="260">
        <f t="shared" si="7"/>
        <v>54360.034782608702</v>
      </c>
      <c r="Q8" s="89">
        <f t="shared" si="4"/>
        <v>0.41882123150011874</v>
      </c>
      <c r="R8" s="260">
        <f t="shared" si="8"/>
        <v>26470.982608695656</v>
      </c>
      <c r="S8" s="89">
        <f t="shared" si="5"/>
        <v>0.20394780061360551</v>
      </c>
      <c r="T8" s="310">
        <v>2716.3</v>
      </c>
      <c r="U8" s="9"/>
      <c r="W8" s="310">
        <v>32072.41</v>
      </c>
      <c r="X8" s="73">
        <f t="shared" si="9"/>
        <v>27889.052173913045</v>
      </c>
      <c r="Y8" s="238"/>
      <c r="Z8" s="310">
        <v>30441.63</v>
      </c>
      <c r="AA8" s="73">
        <f t="shared" si="10"/>
        <v>26470.982608695656</v>
      </c>
    </row>
    <row r="9" spans="1:27" ht="15.6" customHeight="1" x14ac:dyDescent="0.3">
      <c r="A9" s="12" t="s">
        <v>23</v>
      </c>
      <c r="B9" s="310">
        <v>221228.31</v>
      </c>
      <c r="C9" s="310">
        <v>210366.12</v>
      </c>
      <c r="D9" s="310">
        <v>243010.12</v>
      </c>
      <c r="E9" s="86">
        <f t="shared" si="6"/>
        <v>5.1634692886858409E-2</v>
      </c>
      <c r="F9" s="310">
        <v>1037920.42</v>
      </c>
      <c r="G9" s="310">
        <v>243836.14</v>
      </c>
      <c r="H9" s="452">
        <f t="shared" si="0"/>
        <v>-9.2717305974413869E-2</v>
      </c>
      <c r="I9" s="86">
        <f t="shared" si="1"/>
        <v>-8.9633345310886639E-2</v>
      </c>
      <c r="J9" s="311">
        <v>748</v>
      </c>
      <c r="K9" s="63">
        <f>IFERROR(B9/J9,0)</f>
        <v>295.75977272727272</v>
      </c>
      <c r="L9" s="61">
        <v>15</v>
      </c>
      <c r="M9" s="28">
        <f t="shared" si="2"/>
        <v>2.0053475935828877E-2</v>
      </c>
      <c r="N9" s="46">
        <v>48</v>
      </c>
      <c r="O9" s="89">
        <f t="shared" si="3"/>
        <v>6.4171122994652413E-2</v>
      </c>
      <c r="P9" s="260">
        <f t="shared" si="7"/>
        <v>53042.669565217395</v>
      </c>
      <c r="Q9" s="89">
        <f t="shared" si="4"/>
        <v>0.23976438442809328</v>
      </c>
      <c r="R9" s="260">
        <f t="shared" si="8"/>
        <v>18394.782608695652</v>
      </c>
      <c r="S9" s="89">
        <f t="shared" si="5"/>
        <v>8.3148411741226308E-2</v>
      </c>
      <c r="T9" s="310">
        <v>5229</v>
      </c>
      <c r="U9" s="26"/>
      <c r="W9" s="310">
        <v>39845.07</v>
      </c>
      <c r="X9" s="73">
        <f t="shared" si="9"/>
        <v>34647.886956521739</v>
      </c>
      <c r="Y9" s="238"/>
      <c r="Z9" s="310">
        <v>21154</v>
      </c>
      <c r="AA9" s="73">
        <f t="shared" si="10"/>
        <v>18394.782608695652</v>
      </c>
    </row>
    <row r="10" spans="1:27" ht="15.6" customHeight="1" x14ac:dyDescent="0.3">
      <c r="A10" s="445" t="s">
        <v>16</v>
      </c>
      <c r="B10" s="310"/>
      <c r="C10" s="310"/>
      <c r="D10" s="310">
        <v>191397.82</v>
      </c>
      <c r="E10" s="86">
        <f t="shared" si="6"/>
        <v>0</v>
      </c>
      <c r="F10" s="310"/>
      <c r="G10" s="310">
        <v>262784.09000000003</v>
      </c>
      <c r="H10" s="452">
        <f t="shared" si="0"/>
        <v>-1</v>
      </c>
      <c r="I10" s="86">
        <f>IFERROR((SUM(B11-D10)/D10),0)</f>
        <v>-0.15124487833769476</v>
      </c>
      <c r="J10" s="311"/>
      <c r="K10" s="63">
        <f>IFERROR(B11/J11,0)</f>
        <v>302.5137430167598</v>
      </c>
      <c r="L10" s="61">
        <v>1</v>
      </c>
      <c r="M10" s="28">
        <f>IFERROR(L10/J11,0)</f>
        <v>1.8621973929236499E-3</v>
      </c>
      <c r="N10" s="46">
        <v>15</v>
      </c>
      <c r="O10" s="89">
        <f>IFERROR(N10/SUM(J11),0)</f>
        <v>2.7932960893854747E-2</v>
      </c>
      <c r="P10" s="260">
        <f t="shared" si="7"/>
        <v>0</v>
      </c>
      <c r="Q10" s="89">
        <f>SUM(P10/B11)</f>
        <v>0</v>
      </c>
      <c r="R10" s="260">
        <f t="shared" si="8"/>
        <v>0</v>
      </c>
      <c r="S10" s="89">
        <f>SUM(R10/B11)</f>
        <v>0</v>
      </c>
      <c r="T10" s="310"/>
      <c r="U10" s="26"/>
      <c r="W10" s="310"/>
      <c r="X10" s="73">
        <f t="shared" si="9"/>
        <v>0</v>
      </c>
      <c r="Y10" s="238"/>
      <c r="Z10" s="310"/>
      <c r="AA10" s="73">
        <f t="shared" si="10"/>
        <v>0</v>
      </c>
    </row>
    <row r="11" spans="1:27" ht="15.6" customHeight="1" x14ac:dyDescent="0.3">
      <c r="A11" s="445" t="s">
        <v>17</v>
      </c>
      <c r="B11" s="310">
        <v>162449.88</v>
      </c>
      <c r="C11" s="310">
        <v>147740.60999999999</v>
      </c>
      <c r="D11" s="310">
        <v>86713.33</v>
      </c>
      <c r="E11" s="86">
        <f t="shared" si="6"/>
        <v>9.9561454362480428E-2</v>
      </c>
      <c r="F11" s="310">
        <v>720490.61</v>
      </c>
      <c r="G11" s="310">
        <v>141938.19</v>
      </c>
      <c r="H11" s="452">
        <f t="shared" si="0"/>
        <v>0.1445114243037762</v>
      </c>
      <c r="I11" s="86">
        <f>IFERROR((SUM(#REF!-D11)/D11),0)</f>
        <v>0</v>
      </c>
      <c r="J11" s="311">
        <v>537</v>
      </c>
      <c r="K11" s="63">
        <f>IFERROR(B12/J12,0)</f>
        <v>348.04312202852611</v>
      </c>
      <c r="L11" s="61">
        <v>3</v>
      </c>
      <c r="M11" s="28">
        <f>IFERROR(L11/J12,0)</f>
        <v>4.7543581616481777E-3</v>
      </c>
      <c r="N11" s="46">
        <v>22</v>
      </c>
      <c r="O11" s="89">
        <f>IFERROR(N11/SUM(J12),0)</f>
        <v>3.486529318541997E-2</v>
      </c>
      <c r="P11" s="260">
        <f t="shared" si="7"/>
        <v>70735.139130434778</v>
      </c>
      <c r="Q11" s="89">
        <f>SUM(P11/B12)</f>
        <v>0.32208670396934158</v>
      </c>
      <c r="R11" s="260">
        <f t="shared" si="8"/>
        <v>25348.069565217393</v>
      </c>
      <c r="S11" s="89">
        <f>SUM(R11/B12)</f>
        <v>0.11542037350335341</v>
      </c>
      <c r="T11" s="310">
        <v>2906</v>
      </c>
      <c r="U11" s="26"/>
      <c r="W11" s="310">
        <v>52195.13</v>
      </c>
      <c r="X11" s="73">
        <f t="shared" si="9"/>
        <v>45387.069565217389</v>
      </c>
      <c r="Y11" s="238"/>
      <c r="Z11" s="310">
        <v>29150.28</v>
      </c>
      <c r="AA11" s="73">
        <f t="shared" si="10"/>
        <v>25348.069565217393</v>
      </c>
    </row>
    <row r="12" spans="1:27" ht="15.6" customHeight="1" x14ac:dyDescent="0.3">
      <c r="A12" s="12" t="s">
        <v>55</v>
      </c>
      <c r="B12" s="310">
        <v>219615.21</v>
      </c>
      <c r="C12" s="310">
        <v>194252</v>
      </c>
      <c r="D12" s="310">
        <v>206751.49</v>
      </c>
      <c r="E12" s="86">
        <f t="shared" si="6"/>
        <v>0.13056859131437509</v>
      </c>
      <c r="F12" s="310">
        <v>1012087.92</v>
      </c>
      <c r="G12" s="310">
        <v>197350.93</v>
      </c>
      <c r="H12" s="452">
        <f t="shared" si="0"/>
        <v>0.11281568320960028</v>
      </c>
      <c r="I12" s="86">
        <f>IFERROR((SUM(B12-D12)/D12),0)</f>
        <v>6.2218269865914881E-2</v>
      </c>
      <c r="J12" s="311">
        <v>631</v>
      </c>
      <c r="K12" s="63">
        <f>IFERROR(B12/J12,0)</f>
        <v>348.04312202852611</v>
      </c>
      <c r="L12" s="61">
        <v>7</v>
      </c>
      <c r="M12" s="28">
        <f>IFERROR(L12/J12,0)</f>
        <v>1.1093502377179081E-2</v>
      </c>
      <c r="N12" s="46">
        <v>17</v>
      </c>
      <c r="O12" s="89">
        <f>IFERROR(N12/SUM(J12),0)</f>
        <v>2.694136291600634E-2</v>
      </c>
      <c r="P12" s="260">
        <f t="shared" si="7"/>
        <v>57884.913043478264</v>
      </c>
      <c r="Q12" s="89">
        <f>SUM(P12/B12)</f>
        <v>0.263574244440894</v>
      </c>
      <c r="R12" s="260">
        <f t="shared" si="8"/>
        <v>35086.252173913046</v>
      </c>
      <c r="S12" s="89">
        <f>SUM(R12/B12)</f>
        <v>0.15976239611961779</v>
      </c>
      <c r="T12" s="310">
        <v>4246</v>
      </c>
      <c r="U12" s="9"/>
      <c r="W12" s="310">
        <v>26218.46</v>
      </c>
      <c r="X12" s="73">
        <f t="shared" si="9"/>
        <v>22798.660869565218</v>
      </c>
      <c r="Y12" s="238"/>
      <c r="Z12" s="310">
        <v>40349.19</v>
      </c>
      <c r="AA12" s="73">
        <f t="shared" si="10"/>
        <v>35086.252173913046</v>
      </c>
    </row>
    <row r="13" spans="1:27" ht="15.6" customHeight="1" x14ac:dyDescent="0.3">
      <c r="A13" s="12" t="s">
        <v>33</v>
      </c>
      <c r="B13" s="310">
        <v>185089.09</v>
      </c>
      <c r="C13" s="310">
        <v>174871.18</v>
      </c>
      <c r="D13" s="310"/>
      <c r="E13" s="86">
        <f t="shared" si="6"/>
        <v>5.8431069087542066E-2</v>
      </c>
      <c r="F13" s="310">
        <v>844078.2</v>
      </c>
      <c r="G13" s="310">
        <v>171446.3</v>
      </c>
      <c r="H13" s="452">
        <f t="shared" si="0"/>
        <v>7.957471231516812E-2</v>
      </c>
      <c r="I13" s="86">
        <f>IFERROR((SUM(B13-D13)/D13),0)</f>
        <v>0</v>
      </c>
      <c r="J13" s="311">
        <v>661</v>
      </c>
      <c r="K13" s="63">
        <f>IFERROR(B13/J13,0)</f>
        <v>280.01375189107415</v>
      </c>
      <c r="L13" s="61">
        <v>13</v>
      </c>
      <c r="M13" s="28">
        <f>IFERROR(L13/J13,0)</f>
        <v>1.9667170953101363E-2</v>
      </c>
      <c r="N13" s="46">
        <v>37</v>
      </c>
      <c r="O13" s="89">
        <f>IFERROR(N13/SUM(J13),0)</f>
        <v>5.5975794251134643E-2</v>
      </c>
      <c r="P13" s="260">
        <f t="shared" si="7"/>
        <v>50525.173913043473</v>
      </c>
      <c r="Q13" s="89">
        <f>SUM(P13/B13)</f>
        <v>0.27297759102410346</v>
      </c>
      <c r="R13" s="260">
        <f t="shared" si="8"/>
        <v>31438.347826086956</v>
      </c>
      <c r="S13" s="89">
        <f>SUM(R13/B13)</f>
        <v>0.16985521851172836</v>
      </c>
      <c r="T13" s="310">
        <v>3510.5</v>
      </c>
      <c r="U13" s="9"/>
      <c r="W13" s="310">
        <v>21949.85</v>
      </c>
      <c r="X13" s="73">
        <f t="shared" si="9"/>
        <v>19086.82608695652</v>
      </c>
      <c r="Y13" s="238"/>
      <c r="Z13" s="310">
        <v>36154.1</v>
      </c>
      <c r="AA13" s="73">
        <f t="shared" si="10"/>
        <v>31438.347826086956</v>
      </c>
    </row>
    <row r="14" spans="1:27" ht="15.6" customHeight="1" x14ac:dyDescent="0.3">
      <c r="A14" s="445" t="s">
        <v>20</v>
      </c>
      <c r="B14" s="310">
        <v>144912.42000000001</v>
      </c>
      <c r="C14" s="310">
        <v>161782.76</v>
      </c>
      <c r="D14" s="310">
        <v>144600.03</v>
      </c>
      <c r="E14" s="86">
        <f t="shared" si="6"/>
        <v>-0.10427773639168966</v>
      </c>
      <c r="F14" s="310">
        <v>710483.65</v>
      </c>
      <c r="G14" s="310">
        <v>165461.23000000001</v>
      </c>
      <c r="H14" s="452">
        <f t="shared" si="0"/>
        <v>-0.12419108693921831</v>
      </c>
      <c r="I14" s="86">
        <f>IFERROR((SUM(B14-D14)/D14),0)</f>
        <v>2.1603729957733338E-3</v>
      </c>
      <c r="J14" s="311">
        <v>406</v>
      </c>
      <c r="K14" s="63">
        <f>IFERROR(B14/J14,0)</f>
        <v>356.92714285714288</v>
      </c>
      <c r="L14" s="61">
        <v>11</v>
      </c>
      <c r="M14" s="28">
        <f>IFERROR(L14/J14,0)</f>
        <v>2.7093596059113302E-2</v>
      </c>
      <c r="N14" s="46">
        <v>41</v>
      </c>
      <c r="O14" s="89">
        <f>IFERROR(N14/SUM(J14),0)</f>
        <v>0.10098522167487685</v>
      </c>
      <c r="P14" s="260">
        <f t="shared" si="7"/>
        <v>57052.686956521749</v>
      </c>
      <c r="Q14" s="89">
        <f>SUM(P14/B14)</f>
        <v>0.39370460417762498</v>
      </c>
      <c r="R14" s="260">
        <f t="shared" si="8"/>
        <v>21120.808695652177</v>
      </c>
      <c r="S14" s="89">
        <f>SUM(R14/B14)</f>
        <v>0.14574878188944865</v>
      </c>
      <c r="T14" s="310">
        <v>2662.8</v>
      </c>
      <c r="U14" s="26"/>
      <c r="W14" s="310">
        <v>41321.660000000003</v>
      </c>
      <c r="X14" s="73">
        <f t="shared" si="9"/>
        <v>35931.878260869569</v>
      </c>
      <c r="Y14" s="238"/>
      <c r="Z14" s="310">
        <v>24288.93</v>
      </c>
      <c r="AA14" s="73">
        <f t="shared" si="10"/>
        <v>21120.808695652177</v>
      </c>
    </row>
    <row r="15" spans="1:27" ht="15.6" customHeight="1" x14ac:dyDescent="0.3">
      <c r="A15" s="12" t="s">
        <v>22</v>
      </c>
      <c r="B15" s="310">
        <v>133294.56</v>
      </c>
      <c r="C15" s="310">
        <v>119939.62</v>
      </c>
      <c r="D15" s="310">
        <v>152846.04</v>
      </c>
      <c r="E15" s="86">
        <f t="shared" si="6"/>
        <v>0.11134719286254202</v>
      </c>
      <c r="F15" s="310">
        <v>693123.79</v>
      </c>
      <c r="G15" s="310">
        <v>119135.14</v>
      </c>
      <c r="H15" s="452">
        <f t="shared" si="0"/>
        <v>0.11885175104507367</v>
      </c>
      <c r="I15" s="86">
        <f>IFERROR((SUM(B15-D15)/D15),0)</f>
        <v>-0.12791616976141487</v>
      </c>
      <c r="J15" s="311">
        <v>426</v>
      </c>
      <c r="K15" s="63">
        <f>IFERROR(B15/J15,0)</f>
        <v>312.89802816901408</v>
      </c>
      <c r="L15" s="61">
        <v>6</v>
      </c>
      <c r="M15" s="28">
        <f>IFERROR(L15/J15,0)</f>
        <v>1.4084507042253521E-2</v>
      </c>
      <c r="N15" s="46">
        <v>27</v>
      </c>
      <c r="O15" s="89">
        <f>IFERROR(N15/SUM(J15),0)</f>
        <v>6.3380281690140844E-2</v>
      </c>
      <c r="P15" s="260">
        <f t="shared" si="7"/>
        <v>42641.486956521738</v>
      </c>
      <c r="Q15" s="89">
        <f>SUM(P15/B15)</f>
        <v>0.31990418030954704</v>
      </c>
      <c r="R15" s="260">
        <f t="shared" si="8"/>
        <v>28673</v>
      </c>
      <c r="S15" s="89">
        <f>SUM(R15/B15)</f>
        <v>0.21511005400370428</v>
      </c>
      <c r="T15" s="310">
        <v>2238.5</v>
      </c>
      <c r="U15" s="26"/>
      <c r="W15" s="310">
        <v>16063.76</v>
      </c>
      <c r="X15" s="73">
        <f t="shared" si="9"/>
        <v>13968.48695652174</v>
      </c>
      <c r="Y15" s="238"/>
      <c r="Z15" s="310">
        <v>32973.949999999997</v>
      </c>
      <c r="AA15" s="73">
        <f t="shared" si="10"/>
        <v>28673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45" priority="3" operator="equal">
      <formula>0</formula>
    </cfRule>
  </conditionalFormatting>
  <conditionalFormatting sqref="P12:P13">
    <cfRule type="cellIs" dxfId="4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AA49"/>
  <sheetViews>
    <sheetView zoomScale="70" zoomScaleNormal="70" workbookViewId="0">
      <pane xSplit="1" topLeftCell="B1" activePane="topRight" state="frozen"/>
      <selection pane="topRight" activeCell="B5" sqref="B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7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-7.2656211770913345E-3</v>
      </c>
      <c r="F2" s="426"/>
      <c r="G2" s="1"/>
      <c r="H2" s="427"/>
      <c r="I2" s="422">
        <f>((B4-D4)/D4)</f>
        <v>0.15272143112998565</v>
      </c>
      <c r="J2" s="428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5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2178887.34</v>
      </c>
      <c r="C4" s="98">
        <f>SUM(C5:C15)</f>
        <v>2194718.31</v>
      </c>
      <c r="D4" s="98">
        <f>SUM(D5:D15)</f>
        <v>1890211.53</v>
      </c>
      <c r="E4" s="436">
        <f>IFERROR((SUM(B4-C4)/B4),0)</f>
        <v>-7.2656211770913345E-3</v>
      </c>
      <c r="F4" s="455">
        <f>SUM(F5:F15)</f>
        <v>3002028.43</v>
      </c>
      <c r="G4" s="98">
        <f>SUM(G5:G15)</f>
        <v>1901706.26</v>
      </c>
      <c r="H4" s="436">
        <f t="shared" ref="H4:H15" si="0">IFERROR((SUM(B4-G4)/G4),0)</f>
        <v>0.14575388735377032</v>
      </c>
      <c r="I4" s="436">
        <f t="shared" ref="I4:I9" si="1">IFERROR((SUM(B4-D4)/D4),0)</f>
        <v>0.15272143112998565</v>
      </c>
      <c r="J4" s="437">
        <f>SUM(J5:J15)</f>
        <v>6561</v>
      </c>
      <c r="K4" s="438">
        <f>AVERAGE(K5:K15)</f>
        <v>310.01629481064992</v>
      </c>
      <c r="L4" s="439">
        <f>SUM(L5:L15)</f>
        <v>91</v>
      </c>
      <c r="M4" s="440">
        <f t="shared" ref="M4:M9" si="2">IFERROR(L4/J4,0)</f>
        <v>1.3869836915104405E-2</v>
      </c>
      <c r="N4" s="441">
        <f>SUM(N7:N15)</f>
        <v>256</v>
      </c>
      <c r="O4" s="442">
        <f t="shared" ref="O4:O9" si="3">IFERROR(N4/SUM(J4),0)</f>
        <v>3.9018442310623382E-2</v>
      </c>
      <c r="P4" s="443">
        <f>SUM(P5:P15)</f>
        <v>473661.68695652176</v>
      </c>
      <c r="Q4" s="442">
        <f t="shared" ref="Q4:Q9" si="4">SUM(P4/B4)</f>
        <v>0.21738695629693355</v>
      </c>
      <c r="R4" s="443">
        <f>SUM(R5:R15)</f>
        <v>223728.60869565219</v>
      </c>
      <c r="S4" s="442">
        <f t="shared" ref="S4:S9" si="5">SUM(R4/B4)</f>
        <v>0.1026802095677201</v>
      </c>
      <c r="T4" s="444">
        <f>SUM(T5:T15)</f>
        <v>42465.08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456">
        <v>708778.15</v>
      </c>
      <c r="C5" s="456">
        <v>492195.44</v>
      </c>
      <c r="D5" s="310">
        <v>166877.21</v>
      </c>
      <c r="E5" s="86">
        <f t="shared" ref="E5:E15" si="6">IFERROR((SUM(B5-C5)/C5),0)</f>
        <v>0.44003396293147296</v>
      </c>
      <c r="F5" s="310">
        <v>904131.38</v>
      </c>
      <c r="G5" s="456">
        <v>239272.61</v>
      </c>
      <c r="H5" s="452">
        <f t="shared" si="0"/>
        <v>1.9622201638541079</v>
      </c>
      <c r="I5" s="86">
        <f t="shared" si="1"/>
        <v>3.2473034514419319</v>
      </c>
      <c r="J5" s="311">
        <v>1797</v>
      </c>
      <c r="K5" s="63">
        <f>IFERROR(B5/J5,0)</f>
        <v>394.42301057317752</v>
      </c>
      <c r="L5" s="61">
        <v>10</v>
      </c>
      <c r="M5" s="28">
        <f t="shared" si="2"/>
        <v>5.5648302726766831E-3</v>
      </c>
      <c r="N5" s="46">
        <v>42</v>
      </c>
      <c r="O5" s="89">
        <f t="shared" si="3"/>
        <v>2.337228714524207E-2</v>
      </c>
      <c r="P5" s="260">
        <f t="shared" ref="P5:P15" si="7">SUM(X5+AA5)</f>
        <v>52583.913043478264</v>
      </c>
      <c r="Q5" s="89">
        <f t="shared" si="4"/>
        <v>7.4189523256999762E-2</v>
      </c>
      <c r="R5" s="260">
        <f t="shared" ref="R5:R15" si="8">SUM(AA5)</f>
        <v>52583.913043478264</v>
      </c>
      <c r="S5" s="89">
        <f t="shared" si="5"/>
        <v>7.4189523256999762E-2</v>
      </c>
      <c r="T5" s="311">
        <v>2390.4</v>
      </c>
      <c r="U5" s="9"/>
      <c r="W5" s="311">
        <v>0</v>
      </c>
      <c r="X5" s="297">
        <f t="shared" ref="X5:X15" si="9">W5/1.15</f>
        <v>0</v>
      </c>
      <c r="Z5" s="311">
        <v>60471.5</v>
      </c>
      <c r="AA5" s="297">
        <f t="shared" ref="AA5:AA15" si="10">SUM(Z5)/1.15</f>
        <v>52583.913043478264</v>
      </c>
    </row>
    <row r="6" spans="1:27" ht="15.6" customHeight="1" x14ac:dyDescent="0.3">
      <c r="A6" s="445" t="s">
        <v>21</v>
      </c>
      <c r="B6" s="456">
        <v>214153.71</v>
      </c>
      <c r="C6" s="456">
        <v>253188.68</v>
      </c>
      <c r="D6" s="310">
        <v>317233.91999999998</v>
      </c>
      <c r="E6" s="86">
        <f t="shared" si="6"/>
        <v>-0.1541734409295076</v>
      </c>
      <c r="F6" s="310">
        <v>326589.28000000003</v>
      </c>
      <c r="G6" s="456">
        <v>209420.29</v>
      </c>
      <c r="H6" s="452">
        <f t="shared" si="0"/>
        <v>2.2602489949755982E-2</v>
      </c>
      <c r="I6" s="86">
        <f t="shared" si="1"/>
        <v>-0.32493438910946221</v>
      </c>
      <c r="J6" s="311">
        <v>650</v>
      </c>
      <c r="K6" s="63">
        <f>IFERROR(B6/J6,0)</f>
        <v>329.46724615384613</v>
      </c>
      <c r="L6" s="61">
        <v>10</v>
      </c>
      <c r="M6" s="28">
        <f t="shared" si="2"/>
        <v>1.5384615384615385E-2</v>
      </c>
      <c r="N6" s="46">
        <v>42</v>
      </c>
      <c r="O6" s="89">
        <f t="shared" si="3"/>
        <v>6.4615384615384616E-2</v>
      </c>
      <c r="P6" s="260">
        <f t="shared" si="7"/>
        <v>54738.208695652182</v>
      </c>
      <c r="Q6" s="89">
        <f t="shared" si="4"/>
        <v>0.25560243012204731</v>
      </c>
      <c r="R6" s="260">
        <f t="shared" si="8"/>
        <v>21878.878260869566</v>
      </c>
      <c r="S6" s="89">
        <f t="shared" si="5"/>
        <v>0.10216436717752668</v>
      </c>
      <c r="T6" s="311">
        <v>6209.95</v>
      </c>
      <c r="U6" s="26"/>
      <c r="W6" s="311">
        <v>37788.230000000003</v>
      </c>
      <c r="X6" s="73">
        <f t="shared" si="9"/>
        <v>32859.330434782612</v>
      </c>
      <c r="Y6" s="238"/>
      <c r="Z6" s="311">
        <v>25160.71</v>
      </c>
      <c r="AA6" s="73">
        <f t="shared" si="10"/>
        <v>21878.878260869566</v>
      </c>
    </row>
    <row r="7" spans="1:27" ht="16.5" customHeight="1" x14ac:dyDescent="0.3">
      <c r="A7" s="445" t="s">
        <v>15</v>
      </c>
      <c r="B7" s="456">
        <v>251090.99</v>
      </c>
      <c r="C7" s="456">
        <v>252951.79</v>
      </c>
      <c r="D7" s="310">
        <v>254835.6</v>
      </c>
      <c r="E7" s="86">
        <f t="shared" si="6"/>
        <v>-7.3563424872384476E-3</v>
      </c>
      <c r="F7" s="310">
        <v>354663.23</v>
      </c>
      <c r="G7" s="456">
        <v>200784.01</v>
      </c>
      <c r="H7" s="452">
        <f t="shared" si="0"/>
        <v>0.25055272080680119</v>
      </c>
      <c r="I7" s="86">
        <f t="shared" si="1"/>
        <v>-1.4694218547173217E-2</v>
      </c>
      <c r="J7" s="311">
        <v>704</v>
      </c>
      <c r="K7" s="63">
        <f>IFERROR(B7/J7,0)</f>
        <v>356.66333806818182</v>
      </c>
      <c r="L7" s="61">
        <v>4</v>
      </c>
      <c r="M7" s="28">
        <f t="shared" si="2"/>
        <v>5.681818181818182E-3</v>
      </c>
      <c r="N7" s="46">
        <v>24</v>
      </c>
      <c r="O7" s="89">
        <f t="shared" si="3"/>
        <v>3.4090909090909088E-2</v>
      </c>
      <c r="P7" s="260">
        <f t="shared" si="7"/>
        <v>44187.330434782612</v>
      </c>
      <c r="Q7" s="89">
        <f t="shared" si="4"/>
        <v>0.17598134618363889</v>
      </c>
      <c r="R7" s="260">
        <f t="shared" si="8"/>
        <v>5218.2608695652179</v>
      </c>
      <c r="S7" s="89">
        <f t="shared" si="5"/>
        <v>2.0782350133571971E-2</v>
      </c>
      <c r="T7" s="311">
        <v>7061.1</v>
      </c>
      <c r="U7" s="26"/>
      <c r="W7" s="311">
        <v>44814.43</v>
      </c>
      <c r="X7" s="73">
        <f t="shared" si="9"/>
        <v>38969.069565217396</v>
      </c>
      <c r="Y7" s="238"/>
      <c r="Z7" s="311">
        <v>6001</v>
      </c>
      <c r="AA7" s="73">
        <f t="shared" si="10"/>
        <v>5218.2608695652179</v>
      </c>
    </row>
    <row r="8" spans="1:27" ht="15.6" customHeight="1" x14ac:dyDescent="0.3">
      <c r="A8" s="12" t="s">
        <v>27</v>
      </c>
      <c r="B8" s="456">
        <v>158504.13</v>
      </c>
      <c r="C8" s="456">
        <v>129792.93</v>
      </c>
      <c r="D8" s="310">
        <v>125945.97</v>
      </c>
      <c r="E8" s="86">
        <f t="shared" si="6"/>
        <v>0.22120773450449122</v>
      </c>
      <c r="F8" s="310">
        <v>223400.97</v>
      </c>
      <c r="G8" s="456">
        <v>113632.89</v>
      </c>
      <c r="H8" s="452">
        <f t="shared" si="0"/>
        <v>0.39487898266074201</v>
      </c>
      <c r="I8" s="86">
        <f t="shared" si="1"/>
        <v>0.25850894633627425</v>
      </c>
      <c r="J8" s="311">
        <v>509</v>
      </c>
      <c r="K8" s="63">
        <f>IFERROR(B8/J8,0)</f>
        <v>311.40300589390961</v>
      </c>
      <c r="L8" s="61">
        <v>11</v>
      </c>
      <c r="M8" s="28">
        <f t="shared" si="2"/>
        <v>2.1611001964636542E-2</v>
      </c>
      <c r="N8" s="46">
        <v>25</v>
      </c>
      <c r="O8" s="89">
        <f t="shared" si="3"/>
        <v>4.9115913555992138E-2</v>
      </c>
      <c r="P8" s="260">
        <f t="shared" si="7"/>
        <v>56230.026086956525</v>
      </c>
      <c r="Q8" s="89">
        <f t="shared" si="4"/>
        <v>0.35475432777023869</v>
      </c>
      <c r="R8" s="260">
        <f t="shared" si="8"/>
        <v>25158.104347826087</v>
      </c>
      <c r="S8" s="89">
        <f t="shared" si="5"/>
        <v>0.15872207460982932</v>
      </c>
      <c r="T8" s="311">
        <v>6466.8</v>
      </c>
      <c r="U8" s="9"/>
      <c r="W8" s="311">
        <v>35732.71</v>
      </c>
      <c r="X8" s="73">
        <f t="shared" si="9"/>
        <v>31071.921739130437</v>
      </c>
      <c r="Y8" s="238"/>
      <c r="Z8" s="311">
        <v>28931.82</v>
      </c>
      <c r="AA8" s="73">
        <f t="shared" si="10"/>
        <v>25158.104347826087</v>
      </c>
    </row>
    <row r="9" spans="1:27" ht="15.6" customHeight="1" x14ac:dyDescent="0.3">
      <c r="A9" s="12" t="s">
        <v>23</v>
      </c>
      <c r="B9" s="456">
        <v>180229.59</v>
      </c>
      <c r="C9" s="456">
        <v>221228.31</v>
      </c>
      <c r="D9" s="310">
        <v>243010.12</v>
      </c>
      <c r="E9" s="86">
        <f t="shared" si="6"/>
        <v>-0.18532311710015775</v>
      </c>
      <c r="F9" s="310">
        <v>230070.06</v>
      </c>
      <c r="G9" s="456">
        <v>204104.97</v>
      </c>
      <c r="H9" s="452">
        <f t="shared" si="0"/>
        <v>-0.11697598544513642</v>
      </c>
      <c r="I9" s="86">
        <f t="shared" si="1"/>
        <v>-0.25834533146191607</v>
      </c>
      <c r="J9" s="311">
        <v>599</v>
      </c>
      <c r="K9" s="63">
        <f>IFERROR(B9/J9,0)</f>
        <v>300.88412353923206</v>
      </c>
      <c r="L9" s="61">
        <v>15</v>
      </c>
      <c r="M9" s="28">
        <f t="shared" si="2"/>
        <v>2.5041736227045076E-2</v>
      </c>
      <c r="N9" s="46">
        <v>48</v>
      </c>
      <c r="O9" s="89">
        <f t="shared" si="3"/>
        <v>8.0133555926544239E-2</v>
      </c>
      <c r="P9" s="260">
        <f t="shared" si="7"/>
        <v>52853.095652173921</v>
      </c>
      <c r="Q9" s="89">
        <f t="shared" si="4"/>
        <v>0.29325426336582089</v>
      </c>
      <c r="R9" s="260">
        <f t="shared" si="8"/>
        <v>23322.495652173915</v>
      </c>
      <c r="S9" s="89">
        <f t="shared" si="5"/>
        <v>0.12940436502226918</v>
      </c>
      <c r="T9" s="311">
        <v>4093.58</v>
      </c>
      <c r="U9" s="26"/>
      <c r="W9" s="311">
        <v>33960.19</v>
      </c>
      <c r="X9" s="73">
        <f t="shared" si="9"/>
        <v>29530.600000000006</v>
      </c>
      <c r="Y9" s="238"/>
      <c r="Z9" s="311">
        <v>26820.87</v>
      </c>
      <c r="AA9" s="73">
        <f t="shared" si="10"/>
        <v>23322.495652173915</v>
      </c>
    </row>
    <row r="10" spans="1:27" ht="15.6" customHeight="1" x14ac:dyDescent="0.3">
      <c r="A10" s="445" t="s">
        <v>16</v>
      </c>
      <c r="B10" s="456"/>
      <c r="C10" s="456"/>
      <c r="D10" s="310">
        <v>191397.82</v>
      </c>
      <c r="E10" s="86">
        <f t="shared" si="6"/>
        <v>0</v>
      </c>
      <c r="F10" s="310"/>
      <c r="G10" s="456">
        <v>220316.34</v>
      </c>
      <c r="H10" s="452">
        <f t="shared" si="0"/>
        <v>-1</v>
      </c>
      <c r="I10" s="86">
        <f>IFERROR((SUM(B11-D10)/D10),0)</f>
        <v>-0.35857122092613175</v>
      </c>
      <c r="J10" s="311"/>
      <c r="K10" s="63">
        <f>IFERROR(B11/J11,0)</f>
        <v>290.91959715639814</v>
      </c>
      <c r="L10" s="61">
        <v>1</v>
      </c>
      <c r="M10" s="28">
        <f>IFERROR(L10/J11,0)</f>
        <v>2.3696682464454978E-3</v>
      </c>
      <c r="N10" s="46">
        <v>15</v>
      </c>
      <c r="O10" s="89">
        <f>IFERROR(N10/SUM(J11),0)</f>
        <v>3.5545023696682464E-2</v>
      </c>
      <c r="P10" s="260">
        <f t="shared" si="7"/>
        <v>0</v>
      </c>
      <c r="Q10" s="89">
        <f>SUM(P10/B11)</f>
        <v>0</v>
      </c>
      <c r="R10" s="260">
        <f t="shared" si="8"/>
        <v>0</v>
      </c>
      <c r="S10" s="89">
        <f>SUM(R10/B11)</f>
        <v>0</v>
      </c>
      <c r="T10" s="310"/>
      <c r="U10" s="26"/>
      <c r="W10" s="311"/>
      <c r="X10" s="73">
        <f t="shared" si="9"/>
        <v>0</v>
      </c>
      <c r="Y10" s="238"/>
      <c r="Z10" s="311"/>
      <c r="AA10" s="73">
        <f t="shared" si="10"/>
        <v>0</v>
      </c>
    </row>
    <row r="11" spans="1:27" ht="15.6" customHeight="1" x14ac:dyDescent="0.3">
      <c r="A11" s="445" t="s">
        <v>17</v>
      </c>
      <c r="B11" s="456">
        <v>122768.07</v>
      </c>
      <c r="C11" s="456">
        <v>162449.88</v>
      </c>
      <c r="D11" s="310">
        <v>86713.33</v>
      </c>
      <c r="E11" s="86">
        <f t="shared" si="6"/>
        <v>-0.2442710945677522</v>
      </c>
      <c r="F11" s="310">
        <v>181779.84</v>
      </c>
      <c r="G11" s="456">
        <v>110426.79</v>
      </c>
      <c r="H11" s="452">
        <f t="shared" si="0"/>
        <v>0.11175983653966591</v>
      </c>
      <c r="I11" s="86">
        <f>IFERROR((SUM(#REF!-D11)/D11),0)</f>
        <v>0</v>
      </c>
      <c r="J11" s="311">
        <v>422</v>
      </c>
      <c r="K11" s="63">
        <f>IFERROR(B12/J12,0)</f>
        <v>262.43015985790407</v>
      </c>
      <c r="L11" s="61">
        <v>3</v>
      </c>
      <c r="M11" s="28">
        <f>IFERROR(L11/J12,0)</f>
        <v>5.3285968028419185E-3</v>
      </c>
      <c r="N11" s="46">
        <v>22</v>
      </c>
      <c r="O11" s="89">
        <f>IFERROR(N11/SUM(J12),0)</f>
        <v>3.9076376554174071E-2</v>
      </c>
      <c r="P11" s="260">
        <f t="shared" si="7"/>
        <v>54480.382608695654</v>
      </c>
      <c r="Q11" s="89">
        <f>SUM(P11/B12)</f>
        <v>0.36873809618971726</v>
      </c>
      <c r="R11" s="260">
        <f t="shared" si="8"/>
        <v>15804.313043478262</v>
      </c>
      <c r="S11" s="89">
        <f>SUM(R11/B12)</f>
        <v>0.10696790338451724</v>
      </c>
      <c r="T11" s="311">
        <v>3261.65</v>
      </c>
      <c r="U11" s="26"/>
      <c r="W11" s="311">
        <v>44477.48</v>
      </c>
      <c r="X11" s="73">
        <f t="shared" si="9"/>
        <v>38676.069565217396</v>
      </c>
      <c r="Y11" s="238"/>
      <c r="Z11" s="311">
        <v>18174.96</v>
      </c>
      <c r="AA11" s="73">
        <f t="shared" si="10"/>
        <v>15804.313043478262</v>
      </c>
    </row>
    <row r="12" spans="1:27" ht="15.6" customHeight="1" x14ac:dyDescent="0.3">
      <c r="A12" s="12" t="s">
        <v>55</v>
      </c>
      <c r="B12" s="456">
        <v>147748.18</v>
      </c>
      <c r="C12" s="456">
        <v>219615.21</v>
      </c>
      <c r="D12" s="310">
        <v>206751.49</v>
      </c>
      <c r="E12" s="86">
        <f t="shared" si="6"/>
        <v>-0.32724067700046822</v>
      </c>
      <c r="F12" s="310">
        <v>216784.82</v>
      </c>
      <c r="G12" s="456">
        <v>174425.79</v>
      </c>
      <c r="H12" s="452">
        <f t="shared" si="0"/>
        <v>-0.15294532993085491</v>
      </c>
      <c r="I12" s="86">
        <f>IFERROR((SUM(B12-D12)/D12),0)</f>
        <v>-0.28538275588727319</v>
      </c>
      <c r="J12" s="311">
        <v>563</v>
      </c>
      <c r="K12" s="63">
        <f>IFERROR(B12/J12,0)</f>
        <v>262.43015985790407</v>
      </c>
      <c r="L12" s="61">
        <v>7</v>
      </c>
      <c r="M12" s="28">
        <f>IFERROR(L12/J12,0)</f>
        <v>1.2433392539964476E-2</v>
      </c>
      <c r="N12" s="46">
        <v>17</v>
      </c>
      <c r="O12" s="89">
        <f>IFERROR(N12/SUM(J12),0)</f>
        <v>3.0195381882770871E-2</v>
      </c>
      <c r="P12" s="260">
        <f t="shared" si="7"/>
        <v>46653.391304347831</v>
      </c>
      <c r="Q12" s="89">
        <f>SUM(P12/B12)</f>
        <v>0.31576288319996793</v>
      </c>
      <c r="R12" s="260">
        <f t="shared" si="8"/>
        <v>23859.660869565221</v>
      </c>
      <c r="S12" s="89">
        <f>SUM(R12/B12)</f>
        <v>0.16148869562769044</v>
      </c>
      <c r="T12" s="311">
        <v>4629.5</v>
      </c>
      <c r="U12" s="9"/>
      <c r="W12" s="311">
        <v>26212.79</v>
      </c>
      <c r="X12" s="73">
        <f t="shared" si="9"/>
        <v>22793.73043478261</v>
      </c>
      <c r="Y12" s="238"/>
      <c r="Z12" s="311">
        <v>27438.61</v>
      </c>
      <c r="AA12" s="73">
        <f t="shared" si="10"/>
        <v>23859.660869565221</v>
      </c>
    </row>
    <row r="13" spans="1:27" ht="15.6" customHeight="1" x14ac:dyDescent="0.3">
      <c r="A13" s="12" t="s">
        <v>33</v>
      </c>
      <c r="B13" s="456">
        <v>166128.23000000001</v>
      </c>
      <c r="C13" s="456">
        <v>185089.09</v>
      </c>
      <c r="D13" s="310"/>
      <c r="E13" s="86">
        <f t="shared" si="6"/>
        <v>-0.10244180248549488</v>
      </c>
      <c r="F13" s="310">
        <v>217282.12</v>
      </c>
      <c r="G13" s="456">
        <v>144420.69</v>
      </c>
      <c r="H13" s="452">
        <f t="shared" si="0"/>
        <v>0.15030768790815227</v>
      </c>
      <c r="I13" s="86">
        <f>IFERROR((SUM(B13-D13)/D13),0)</f>
        <v>0</v>
      </c>
      <c r="J13" s="311">
        <v>568</v>
      </c>
      <c r="K13" s="63">
        <f>IFERROR(B13/J13,0)</f>
        <v>292.47927816901409</v>
      </c>
      <c r="L13" s="61">
        <v>13</v>
      </c>
      <c r="M13" s="28">
        <f>IFERROR(L13/J13,0)</f>
        <v>2.2887323943661973E-2</v>
      </c>
      <c r="N13" s="46">
        <v>37</v>
      </c>
      <c r="O13" s="89">
        <f>IFERROR(N13/SUM(J13),0)</f>
        <v>6.5140845070422532E-2</v>
      </c>
      <c r="P13" s="260">
        <f t="shared" si="7"/>
        <v>39771.617391304346</v>
      </c>
      <c r="Q13" s="89">
        <f>SUM(P13/B13)</f>
        <v>0.23940312487109713</v>
      </c>
      <c r="R13" s="260">
        <f t="shared" si="8"/>
        <v>21504.64347826087</v>
      </c>
      <c r="S13" s="89">
        <f>SUM(R13/B13)</f>
        <v>0.12944605187366934</v>
      </c>
      <c r="T13" s="311">
        <v>2902.5</v>
      </c>
      <c r="U13" s="9"/>
      <c r="W13" s="311">
        <v>21007.02</v>
      </c>
      <c r="X13" s="73">
        <f t="shared" si="9"/>
        <v>18266.973913043479</v>
      </c>
      <c r="Y13" s="238"/>
      <c r="Z13" s="311">
        <v>24730.34</v>
      </c>
      <c r="AA13" s="73">
        <f t="shared" si="10"/>
        <v>21504.64347826087</v>
      </c>
    </row>
    <row r="14" spans="1:27" ht="15.6" customHeight="1" x14ac:dyDescent="0.3">
      <c r="A14" s="445" t="s">
        <v>20</v>
      </c>
      <c r="B14" s="456">
        <v>132525.17000000001</v>
      </c>
      <c r="C14" s="456">
        <v>144912.42000000001</v>
      </c>
      <c r="D14" s="310">
        <v>144600.03</v>
      </c>
      <c r="E14" s="86">
        <f t="shared" si="6"/>
        <v>-8.5480940833090768E-2</v>
      </c>
      <c r="F14" s="310">
        <v>185692.51</v>
      </c>
      <c r="G14" s="456">
        <v>153079.94</v>
      </c>
      <c r="H14" s="452">
        <f t="shared" si="0"/>
        <v>-0.13427474560023991</v>
      </c>
      <c r="I14" s="86">
        <f>IFERROR((SUM(B14-D14)/D14),0)</f>
        <v>-8.3505238553546537E-2</v>
      </c>
      <c r="J14" s="311">
        <v>404</v>
      </c>
      <c r="K14" s="63">
        <f>IFERROR(B14/J14,0)</f>
        <v>328.03259900990105</v>
      </c>
      <c r="L14" s="61">
        <v>11</v>
      </c>
      <c r="M14" s="28">
        <f>IFERROR(L14/J14,0)</f>
        <v>2.7227722772277228E-2</v>
      </c>
      <c r="N14" s="46">
        <v>41</v>
      </c>
      <c r="O14" s="89">
        <f>IFERROR(N14/SUM(J14),0)</f>
        <v>0.10148514851485149</v>
      </c>
      <c r="P14" s="260">
        <f t="shared" si="7"/>
        <v>46231.034782608695</v>
      </c>
      <c r="Q14" s="89">
        <f>SUM(P14/B14)</f>
        <v>0.34884720225304139</v>
      </c>
      <c r="R14" s="260">
        <f t="shared" si="8"/>
        <v>21546.130434782608</v>
      </c>
      <c r="S14" s="89">
        <f>SUM(R14/B14)</f>
        <v>0.16258142083336022</v>
      </c>
      <c r="T14" s="311">
        <v>1913.6</v>
      </c>
      <c r="U14" s="26"/>
      <c r="W14" s="311">
        <v>28387.64</v>
      </c>
      <c r="X14" s="73">
        <f t="shared" si="9"/>
        <v>24684.90434782609</v>
      </c>
      <c r="Y14" s="238"/>
      <c r="Z14" s="311">
        <v>24778.05</v>
      </c>
      <c r="AA14" s="73">
        <f t="shared" si="10"/>
        <v>21546.130434782608</v>
      </c>
    </row>
    <row r="15" spans="1:27" ht="15.6" customHeight="1" x14ac:dyDescent="0.3">
      <c r="A15" s="12" t="s">
        <v>22</v>
      </c>
      <c r="B15" s="456">
        <v>96961.12</v>
      </c>
      <c r="C15" s="456">
        <v>133294.56</v>
      </c>
      <c r="D15" s="310">
        <v>152846.04</v>
      </c>
      <c r="E15" s="86">
        <f t="shared" si="6"/>
        <v>-0.27258006628327519</v>
      </c>
      <c r="F15" s="310">
        <v>161634.22</v>
      </c>
      <c r="G15" s="456">
        <v>131821.94</v>
      </c>
      <c r="H15" s="452">
        <f t="shared" si="0"/>
        <v>-0.26445385343289596</v>
      </c>
      <c r="I15" s="86">
        <f>IFERROR((SUM(B15-D15)/D15),0)</f>
        <v>-0.36562883801242091</v>
      </c>
      <c r="J15" s="311">
        <v>345</v>
      </c>
      <c r="K15" s="63">
        <f>IFERROR(B15/J15,0)</f>
        <v>281.04672463768117</v>
      </c>
      <c r="L15" s="61">
        <v>6</v>
      </c>
      <c r="M15" s="28">
        <f>IFERROR(L15/J15,0)</f>
        <v>1.7391304347826087E-2</v>
      </c>
      <c r="N15" s="46">
        <v>27</v>
      </c>
      <c r="O15" s="89">
        <f>IFERROR(N15/SUM(J15),0)</f>
        <v>7.8260869565217397E-2</v>
      </c>
      <c r="P15" s="260">
        <f t="shared" si="7"/>
        <v>25932.686956521742</v>
      </c>
      <c r="Q15" s="89">
        <f>SUM(P15/B15)</f>
        <v>0.26745449058882304</v>
      </c>
      <c r="R15" s="260">
        <f t="shared" si="8"/>
        <v>12852.208695652176</v>
      </c>
      <c r="S15" s="89">
        <f>SUM(R15/B15)</f>
        <v>0.13255012623257834</v>
      </c>
      <c r="T15" s="311">
        <v>3536</v>
      </c>
      <c r="U15" s="26"/>
      <c r="W15" s="311">
        <v>15042.55</v>
      </c>
      <c r="X15" s="73">
        <f t="shared" si="9"/>
        <v>13080.478260869566</v>
      </c>
      <c r="Y15" s="238"/>
      <c r="Z15" s="311">
        <v>14780.04</v>
      </c>
      <c r="AA15" s="73">
        <f t="shared" si="10"/>
        <v>12852.208695652176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8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8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8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8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8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8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8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8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8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43" priority="3" operator="equal">
      <formula>0</formula>
    </cfRule>
  </conditionalFormatting>
  <conditionalFormatting sqref="P12:P13">
    <cfRule type="cellIs" dxfId="4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AA49"/>
  <sheetViews>
    <sheetView zoomScale="70" zoomScaleNormal="70" workbookViewId="0">
      <pane xSplit="1" topLeftCell="B1" activePane="topRight" state="frozen"/>
      <selection pane="topRight" activeCell="X10" sqref="X10:X11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-8.6196707612916132E-2</v>
      </c>
      <c r="F2" s="426"/>
      <c r="G2" s="1"/>
      <c r="H2" s="427"/>
      <c r="I2" s="422">
        <f>((B4-D4)/D4)</f>
        <v>6.1245558056668953E-2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2005978.59</v>
      </c>
      <c r="C4" s="98">
        <f>SUM(C5:C15)</f>
        <v>2178887.34</v>
      </c>
      <c r="D4" s="98">
        <f>SUM(D5:D15)</f>
        <v>1890211.53</v>
      </c>
      <c r="E4" s="436">
        <f>IFERROR((SUM(B4-C4)/B4),0)</f>
        <v>-8.6196707612916132E-2</v>
      </c>
      <c r="F4" s="455">
        <f>SUM(F5:F15)</f>
        <v>4912757.4699999988</v>
      </c>
      <c r="G4" s="98">
        <f>SUM(G5:G15)</f>
        <v>1983064.3299999998</v>
      </c>
      <c r="H4" s="436">
        <f t="shared" ref="H4:H11" si="0">IFERROR((SUM(B4-G4)/G4),0)</f>
        <v>1.1554975627038909E-2</v>
      </c>
      <c r="I4" s="436">
        <f t="shared" ref="I4:I9" si="1">IFERROR((SUM(B4-D4)/D4),0)</f>
        <v>6.1245558056668953E-2</v>
      </c>
      <c r="J4" s="460">
        <f>SUM(J5:J15)</f>
        <v>6183</v>
      </c>
      <c r="K4" s="438">
        <f>AVERAGE(K5:K15)</f>
        <v>322.05809133992375</v>
      </c>
      <c r="L4" s="439">
        <f>SUM(L5:L15)</f>
        <v>91</v>
      </c>
      <c r="M4" s="440">
        <f t="shared" ref="M4:M9" si="2">IFERROR(L4/J4,0)</f>
        <v>1.4717774543102054E-2</v>
      </c>
      <c r="N4" s="441">
        <f>SUM(N7:N15)</f>
        <v>256</v>
      </c>
      <c r="O4" s="442">
        <f t="shared" ref="O4:O9" si="3">IFERROR(N4/SUM(J4),0)</f>
        <v>4.1403849264111274E-2</v>
      </c>
      <c r="P4" s="443">
        <f>SUM(P5:P15)</f>
        <v>488075.39130434778</v>
      </c>
      <c r="Q4" s="442">
        <f t="shared" ref="Q4:Q9" si="4">SUM(P4/B4)</f>
        <v>0.24331036918212959</v>
      </c>
      <c r="R4" s="443">
        <f>SUM(R5:R15)</f>
        <v>213219.41739130433</v>
      </c>
      <c r="S4" s="442">
        <f t="shared" ref="S4:S9" si="5">SUM(R4/B4)</f>
        <v>0.10629197063928002</v>
      </c>
      <c r="T4" s="444">
        <f>SUM(T5:T15)</f>
        <v>43494.200000000004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347623.37</v>
      </c>
      <c r="C5" s="457">
        <v>708778.15</v>
      </c>
      <c r="D5" s="310">
        <v>166877.21</v>
      </c>
      <c r="E5" s="86">
        <f t="shared" ref="E5:E15" si="6">IFERROR((SUM(B5-C5)/C5),0)</f>
        <v>-0.50954558912404402</v>
      </c>
      <c r="F5" s="310">
        <v>1251754.75</v>
      </c>
      <c r="G5" s="310">
        <v>335112.24</v>
      </c>
      <c r="H5" s="452">
        <f t="shared" si="0"/>
        <v>3.7334148105124434E-2</v>
      </c>
      <c r="I5" s="86">
        <f t="shared" si="1"/>
        <v>1.0831087120883673</v>
      </c>
      <c r="J5" s="461">
        <v>919</v>
      </c>
      <c r="K5" s="63">
        <f>IFERROR(B5/J5,0)</f>
        <v>378.26264417845482</v>
      </c>
      <c r="L5" s="61">
        <v>10</v>
      </c>
      <c r="M5" s="28">
        <f t="shared" si="2"/>
        <v>1.088139281828074E-2</v>
      </c>
      <c r="N5" s="46">
        <v>42</v>
      </c>
      <c r="O5" s="89">
        <f t="shared" si="3"/>
        <v>4.5701849836779107E-2</v>
      </c>
      <c r="P5" s="260">
        <f t="shared" ref="P5:P15" si="7">SUM(X5+AA5)</f>
        <v>28974.34782608696</v>
      </c>
      <c r="Q5" s="89">
        <f t="shared" si="4"/>
        <v>8.3349827216987624E-2</v>
      </c>
      <c r="R5" s="260">
        <f t="shared" ref="R5:R15" si="8">SUM(AA5)</f>
        <v>28974.34782608696</v>
      </c>
      <c r="S5" s="89">
        <f t="shared" si="5"/>
        <v>8.3349827216987624E-2</v>
      </c>
      <c r="T5" s="310">
        <v>2633</v>
      </c>
      <c r="U5" s="9"/>
      <c r="W5" s="297">
        <f>V5/1.15</f>
        <v>0</v>
      </c>
      <c r="X5" s="297">
        <f>W5/1.15</f>
        <v>0</v>
      </c>
      <c r="Z5" s="310">
        <v>33320.5</v>
      </c>
      <c r="AA5" s="297">
        <f t="shared" ref="AA5:AA15" si="9">SUM(Z5)/1.15</f>
        <v>28974.34782608696</v>
      </c>
    </row>
    <row r="6" spans="1:27" ht="15.6" customHeight="1" x14ac:dyDescent="0.3">
      <c r="A6" s="445" t="s">
        <v>21</v>
      </c>
      <c r="B6" s="310">
        <v>251695.12</v>
      </c>
      <c r="C6" s="457">
        <v>214153.71</v>
      </c>
      <c r="D6" s="310">
        <v>317233.91999999998</v>
      </c>
      <c r="E6" s="86">
        <f t="shared" si="6"/>
        <v>0.17530123573390349</v>
      </c>
      <c r="F6" s="310">
        <v>552816.61</v>
      </c>
      <c r="G6" s="310">
        <v>209516.9</v>
      </c>
      <c r="H6" s="452">
        <f t="shared" si="0"/>
        <v>0.20131177962255076</v>
      </c>
      <c r="I6" s="86">
        <f t="shared" si="1"/>
        <v>-0.20659455331888846</v>
      </c>
      <c r="J6" s="461">
        <v>703</v>
      </c>
      <c r="K6" s="63">
        <f>IFERROR(B6/J6,0)</f>
        <v>358.0300426742532</v>
      </c>
      <c r="L6" s="61">
        <v>10</v>
      </c>
      <c r="M6" s="28">
        <f t="shared" si="2"/>
        <v>1.422475106685633E-2</v>
      </c>
      <c r="N6" s="46">
        <v>42</v>
      </c>
      <c r="O6" s="89">
        <f t="shared" si="3"/>
        <v>5.9743954480796585E-2</v>
      </c>
      <c r="P6" s="260">
        <f t="shared" si="7"/>
        <v>61034.095652173914</v>
      </c>
      <c r="Q6" s="89">
        <f t="shared" si="4"/>
        <v>0.2424921693045694</v>
      </c>
      <c r="R6" s="260">
        <f t="shared" si="8"/>
        <v>23225.956521739132</v>
      </c>
      <c r="S6" s="89">
        <f t="shared" si="5"/>
        <v>9.2278136031159974E-2</v>
      </c>
      <c r="T6" s="310">
        <v>6932.3</v>
      </c>
      <c r="U6" s="26"/>
      <c r="W6" s="310">
        <v>43479.360000000001</v>
      </c>
      <c r="X6" s="73">
        <f>W6/1.15</f>
        <v>37808.139130434785</v>
      </c>
      <c r="Y6" s="238"/>
      <c r="Z6" s="310">
        <v>26709.85</v>
      </c>
      <c r="AA6" s="73">
        <f t="shared" si="9"/>
        <v>23225.956521739132</v>
      </c>
    </row>
    <row r="7" spans="1:27" ht="16.5" customHeight="1" x14ac:dyDescent="0.3">
      <c r="A7" s="445" t="s">
        <v>15</v>
      </c>
      <c r="B7" s="310">
        <v>251120.6</v>
      </c>
      <c r="C7" s="457">
        <v>251090.99</v>
      </c>
      <c r="D7" s="310">
        <v>254835.6</v>
      </c>
      <c r="E7" s="86">
        <f t="shared" si="6"/>
        <v>1.1792537836588694E-4</v>
      </c>
      <c r="F7" s="310">
        <v>605783.82999999996</v>
      </c>
      <c r="G7" s="310">
        <v>224068.72</v>
      </c>
      <c r="H7" s="452">
        <f t="shared" si="0"/>
        <v>0.12073028310243396</v>
      </c>
      <c r="I7" s="86">
        <f t="shared" si="1"/>
        <v>-1.4578025990089297E-2</v>
      </c>
      <c r="J7">
        <v>656</v>
      </c>
      <c r="K7" s="63">
        <f>IFERROR(B7/J7,0)</f>
        <v>382.80579268292684</v>
      </c>
      <c r="L7" s="61">
        <v>4</v>
      </c>
      <c r="M7" s="28">
        <f t="shared" si="2"/>
        <v>6.0975609756097563E-3</v>
      </c>
      <c r="N7" s="46">
        <v>24</v>
      </c>
      <c r="O7" s="89">
        <f t="shared" si="3"/>
        <v>3.6585365853658534E-2</v>
      </c>
      <c r="P7" s="260">
        <f t="shared" si="7"/>
        <v>39802.060869565219</v>
      </c>
      <c r="Q7" s="89">
        <f t="shared" si="4"/>
        <v>0.15849779297104746</v>
      </c>
      <c r="R7" s="260">
        <f t="shared" si="8"/>
        <v>1207.8260869565217</v>
      </c>
      <c r="S7" s="89">
        <f t="shared" si="5"/>
        <v>4.8097451461828374E-3</v>
      </c>
      <c r="T7" s="310">
        <v>4590.1000000000004</v>
      </c>
      <c r="U7" s="26"/>
      <c r="W7" s="310">
        <v>44383.37</v>
      </c>
      <c r="X7" s="73">
        <f>W7/1.15</f>
        <v>38594.234782608699</v>
      </c>
      <c r="Y7" s="238"/>
      <c r="Z7" s="310">
        <v>1389</v>
      </c>
      <c r="AA7" s="73">
        <f t="shared" si="9"/>
        <v>1207.8260869565217</v>
      </c>
    </row>
    <row r="8" spans="1:27" ht="15.6" customHeight="1" x14ac:dyDescent="0.3">
      <c r="A8" s="12" t="s">
        <v>27</v>
      </c>
      <c r="B8" s="310">
        <v>134829.23000000001</v>
      </c>
      <c r="C8" s="457">
        <v>158504.13</v>
      </c>
      <c r="D8" s="310">
        <v>125945.97</v>
      </c>
      <c r="E8" s="86">
        <f t="shared" si="6"/>
        <v>-0.14936456229878675</v>
      </c>
      <c r="F8" s="310">
        <v>343831.67</v>
      </c>
      <c r="G8" s="310">
        <v>141328.62</v>
      </c>
      <c r="H8" s="452">
        <f t="shared" si="0"/>
        <v>-4.5987783649199893E-2</v>
      </c>
      <c r="I8" s="86">
        <f t="shared" si="1"/>
        <v>7.053230841764932E-2</v>
      </c>
      <c r="J8">
        <v>459</v>
      </c>
      <c r="K8" s="63">
        <f>IFERROR(B8/J8,0)</f>
        <v>293.74559912854033</v>
      </c>
      <c r="L8" s="61">
        <v>11</v>
      </c>
      <c r="M8" s="28">
        <f t="shared" si="2"/>
        <v>2.3965141612200435E-2</v>
      </c>
      <c r="N8" s="46">
        <v>25</v>
      </c>
      <c r="O8" s="89">
        <f t="shared" si="3"/>
        <v>5.4466230936819175E-2</v>
      </c>
      <c r="P8" s="260">
        <f t="shared" si="7"/>
        <v>48290.408695652179</v>
      </c>
      <c r="Q8" s="89">
        <f t="shared" si="4"/>
        <v>0.35815978994801184</v>
      </c>
      <c r="R8" s="260">
        <f t="shared" si="8"/>
        <v>28945.486956521738</v>
      </c>
      <c r="S8" s="89">
        <f t="shared" si="5"/>
        <v>0.21468258000525359</v>
      </c>
      <c r="T8" s="310">
        <v>4417.05</v>
      </c>
      <c r="U8" s="9"/>
      <c r="W8" s="310">
        <v>22246.66</v>
      </c>
      <c r="X8" s="73">
        <f>W8/1.15</f>
        <v>19344.921739130437</v>
      </c>
      <c r="Y8" s="238"/>
      <c r="Z8" s="310">
        <v>33287.31</v>
      </c>
      <c r="AA8" s="73">
        <f t="shared" si="9"/>
        <v>28945.486956521738</v>
      </c>
    </row>
    <row r="9" spans="1:27" ht="15.6" customHeight="1" x14ac:dyDescent="0.3">
      <c r="A9" s="12" t="s">
        <v>23</v>
      </c>
      <c r="B9" s="310">
        <v>223820.94</v>
      </c>
      <c r="C9" s="457">
        <v>180229.59</v>
      </c>
      <c r="D9" s="310">
        <v>243010.12</v>
      </c>
      <c r="E9" s="86">
        <f t="shared" si="6"/>
        <v>0.24186566700839748</v>
      </c>
      <c r="F9" s="310">
        <v>453891</v>
      </c>
      <c r="G9" s="310">
        <v>182058.69</v>
      </c>
      <c r="H9" s="452">
        <f t="shared" si="0"/>
        <v>0.22938894045650882</v>
      </c>
      <c r="I9" s="86">
        <f t="shared" si="1"/>
        <v>-7.8964530366060451E-2</v>
      </c>
      <c r="J9">
        <v>688</v>
      </c>
      <c r="K9" s="63">
        <f>IFERROR(B9/J9,0)</f>
        <v>325.32113372093022</v>
      </c>
      <c r="L9" s="61">
        <v>15</v>
      </c>
      <c r="M9" s="28">
        <f t="shared" si="2"/>
        <v>2.1802325581395349E-2</v>
      </c>
      <c r="N9" s="46">
        <v>48</v>
      </c>
      <c r="O9" s="89">
        <f t="shared" si="3"/>
        <v>6.9767441860465115E-2</v>
      </c>
      <c r="P9" s="260">
        <f t="shared" si="7"/>
        <v>48585.947826086966</v>
      </c>
      <c r="Q9" s="89">
        <f t="shared" si="4"/>
        <v>0.21707507718485575</v>
      </c>
      <c r="R9" s="260">
        <f t="shared" si="8"/>
        <v>21653.808695652177</v>
      </c>
      <c r="S9" s="89">
        <f t="shared" si="5"/>
        <v>9.6746125253750509E-2</v>
      </c>
      <c r="T9" s="310">
        <v>3888</v>
      </c>
      <c r="U9" s="26"/>
      <c r="W9" s="310">
        <v>30971.96</v>
      </c>
      <c r="X9" s="73">
        <f>W9/1.15</f>
        <v>26932.139130434785</v>
      </c>
      <c r="Y9" s="238"/>
      <c r="Z9" s="310">
        <v>24901.88</v>
      </c>
      <c r="AA9" s="73">
        <f t="shared" si="9"/>
        <v>21653.808695652177</v>
      </c>
    </row>
    <row r="10" spans="1:27" ht="15.6" customHeight="1" x14ac:dyDescent="0.3">
      <c r="A10" s="445" t="s">
        <v>16</v>
      </c>
      <c r="B10" s="456"/>
      <c r="C10" s="457"/>
      <c r="D10" s="310">
        <v>191397.82</v>
      </c>
      <c r="E10" s="86">
        <f t="shared" si="6"/>
        <v>0</v>
      </c>
      <c r="F10" s="310"/>
      <c r="G10" s="310">
        <v>217553.9</v>
      </c>
      <c r="H10" s="452">
        <f t="shared" si="0"/>
        <v>-1</v>
      </c>
      <c r="I10" s="86">
        <f>IFERROR((SUM(B11-D10)/D10),0)</f>
        <v>-0.19933231214441219</v>
      </c>
      <c r="J10" s="461"/>
      <c r="K10" s="63">
        <f>IFERROR(B11/J11,0)</f>
        <v>222.09572463768114</v>
      </c>
      <c r="L10" s="61">
        <v>1</v>
      </c>
      <c r="M10" s="28">
        <f>IFERROR(L10/J11,0)</f>
        <v>1.4492753623188406E-3</v>
      </c>
      <c r="N10" s="46">
        <v>15</v>
      </c>
      <c r="O10" s="89">
        <f>IFERROR(N10/SUM(J11),0)</f>
        <v>2.1739130434782608E-2</v>
      </c>
      <c r="P10" s="260">
        <f t="shared" si="7"/>
        <v>34811.060869565219</v>
      </c>
      <c r="Q10" s="89">
        <f>SUM(P10/B11)</f>
        <v>0.22715796504748553</v>
      </c>
      <c r="R10" s="260">
        <f t="shared" si="8"/>
        <v>0</v>
      </c>
      <c r="S10" s="89">
        <f>SUM(R10/B11)</f>
        <v>0</v>
      </c>
      <c r="T10" s="310"/>
      <c r="U10" s="26"/>
      <c r="W10" s="310"/>
      <c r="X10" s="73">
        <f>W11/1.15</f>
        <v>34811.060869565219</v>
      </c>
      <c r="Y10" s="238"/>
      <c r="Z10" s="310"/>
      <c r="AA10" s="73">
        <f t="shared" si="9"/>
        <v>0</v>
      </c>
    </row>
    <row r="11" spans="1:27" ht="15.6" customHeight="1" x14ac:dyDescent="0.3">
      <c r="A11" s="445" t="s">
        <v>17</v>
      </c>
      <c r="B11" s="310">
        <v>153246.04999999999</v>
      </c>
      <c r="C11" s="457">
        <v>122768.07</v>
      </c>
      <c r="D11" s="310">
        <v>86713.33</v>
      </c>
      <c r="E11" s="86">
        <f t="shared" si="6"/>
        <v>0.24825657029551723</v>
      </c>
      <c r="F11" s="310">
        <v>316422.84999999998</v>
      </c>
      <c r="G11" s="310">
        <v>114307.8</v>
      </c>
      <c r="H11" s="452">
        <f t="shared" si="0"/>
        <v>0.34064385807442699</v>
      </c>
      <c r="I11" s="86">
        <f>IFERROR((SUM(#REF!-D11)/D11),0)</f>
        <v>0</v>
      </c>
      <c r="J11">
        <v>690</v>
      </c>
      <c r="K11" s="63">
        <f>IFERROR(B12/J12,0)</f>
        <v>342.36828046744574</v>
      </c>
      <c r="L11" s="61">
        <v>3</v>
      </c>
      <c r="M11" s="28">
        <f>IFERROR(L11/J12,0)</f>
        <v>5.008347245409015E-3</v>
      </c>
      <c r="N11" s="46">
        <v>22</v>
      </c>
      <c r="O11" s="89">
        <f>IFERROR(N11/SUM(J12),0)</f>
        <v>3.6727879799666109E-2</v>
      </c>
      <c r="P11" s="260">
        <f t="shared" si="7"/>
        <v>40113.17391304348</v>
      </c>
      <c r="Q11" s="89">
        <f>SUM(P11/B12)</f>
        <v>0.19559902355995934</v>
      </c>
      <c r="R11" s="260">
        <f t="shared" si="8"/>
        <v>15315.756521739131</v>
      </c>
      <c r="S11" s="89">
        <f>SUM(R11/B12)</f>
        <v>7.4682373108355196E-2</v>
      </c>
      <c r="T11" s="310">
        <v>2297.6999999999998</v>
      </c>
      <c r="U11" s="26"/>
      <c r="W11" s="310">
        <v>40032.720000000001</v>
      </c>
      <c r="X11" s="73">
        <f>W12/1.15</f>
        <v>24797.417391304349</v>
      </c>
      <c r="Y11" s="238"/>
      <c r="Z11" s="310">
        <v>17613.12</v>
      </c>
      <c r="AA11" s="73">
        <f t="shared" si="9"/>
        <v>15315.756521739131</v>
      </c>
    </row>
    <row r="12" spans="1:27" ht="15.6" customHeight="1" x14ac:dyDescent="0.3">
      <c r="A12" s="12" t="s">
        <v>55</v>
      </c>
      <c r="B12" s="310">
        <v>205078.6</v>
      </c>
      <c r="C12" s="457">
        <v>147748.18</v>
      </c>
      <c r="D12" s="310">
        <v>206751.49</v>
      </c>
      <c r="E12" s="86">
        <f t="shared" si="6"/>
        <v>0.38802792697683325</v>
      </c>
      <c r="F12" s="310">
        <v>421863.42</v>
      </c>
      <c r="G12" s="310">
        <v>168235.41</v>
      </c>
      <c r="H12" s="452">
        <f>IFERROR((SUM(B12-#REF!)/#REF!),0)</f>
        <v>0</v>
      </c>
      <c r="I12" s="86">
        <f>IFERROR((SUM(B12-D12)/D12),0)</f>
        <v>-8.0913080723141826E-3</v>
      </c>
      <c r="J12" s="461">
        <v>599</v>
      </c>
      <c r="K12" s="63">
        <f>IFERROR(B12/J12,0)</f>
        <v>342.36828046744574</v>
      </c>
      <c r="L12" s="61">
        <v>7</v>
      </c>
      <c r="M12" s="28">
        <f>IFERROR(L12/J12,0)</f>
        <v>1.1686143572621035E-2</v>
      </c>
      <c r="N12" s="46">
        <v>17</v>
      </c>
      <c r="O12" s="89">
        <f>IFERROR(N12/SUM(J12),0)</f>
        <v>2.8380634390651086E-2</v>
      </c>
      <c r="P12" s="260">
        <f t="shared" si="7"/>
        <v>51512.486956521745</v>
      </c>
      <c r="Q12" s="89">
        <f>SUM(P12/B12)</f>
        <v>0.251184116512019</v>
      </c>
      <c r="R12" s="260">
        <f t="shared" si="8"/>
        <v>26715.069565217396</v>
      </c>
      <c r="S12" s="89">
        <f>SUM(R12/B12)</f>
        <v>0.13026746606041487</v>
      </c>
      <c r="T12" s="310">
        <v>7491</v>
      </c>
      <c r="U12" s="9"/>
      <c r="W12" s="310">
        <v>28517.03</v>
      </c>
      <c r="X12" s="73">
        <f>W12/1.15</f>
        <v>24797.417391304349</v>
      </c>
      <c r="Y12" s="238"/>
      <c r="Z12" s="310">
        <v>30722.33</v>
      </c>
      <c r="AA12" s="73">
        <f t="shared" si="9"/>
        <v>26715.069565217396</v>
      </c>
    </row>
    <row r="13" spans="1:27" ht="15.6" customHeight="1" x14ac:dyDescent="0.3">
      <c r="A13" s="12" t="s">
        <v>33</v>
      </c>
      <c r="B13" s="310">
        <v>172027.86</v>
      </c>
      <c r="C13" s="457">
        <v>166128.23000000001</v>
      </c>
      <c r="D13" s="310"/>
      <c r="E13" s="86">
        <f t="shared" si="6"/>
        <v>3.5512507416710422E-2</v>
      </c>
      <c r="F13" s="310">
        <v>389309.98</v>
      </c>
      <c r="G13" s="310">
        <v>146890.01</v>
      </c>
      <c r="H13" s="452">
        <f>IFERROR((SUM(B13-G12)/G12),0)</f>
        <v>2.2542519437495249E-2</v>
      </c>
      <c r="I13" s="86">
        <f>IFERROR((SUM(B13-D13)/D13),0)</f>
        <v>0</v>
      </c>
      <c r="J13">
        <v>580</v>
      </c>
      <c r="K13" s="63">
        <f>IFERROR(B13/J13,0)</f>
        <v>296.59975862068961</v>
      </c>
      <c r="L13" s="61">
        <v>13</v>
      </c>
      <c r="M13" s="28">
        <f>IFERROR(L13/J13,0)</f>
        <v>2.2413793103448276E-2</v>
      </c>
      <c r="N13" s="46">
        <v>37</v>
      </c>
      <c r="O13" s="89">
        <f>IFERROR(N13/SUM(J13),0)</f>
        <v>6.3793103448275865E-2</v>
      </c>
      <c r="P13" s="260">
        <f t="shared" si="7"/>
        <v>45350.034782608702</v>
      </c>
      <c r="Q13" s="89">
        <f>SUM(P13/B13)</f>
        <v>0.2636202925654525</v>
      </c>
      <c r="R13" s="260">
        <f t="shared" si="8"/>
        <v>26743.139130434785</v>
      </c>
      <c r="S13" s="89">
        <f>SUM(R13/B13)</f>
        <v>0.15545818642651713</v>
      </c>
      <c r="T13" s="310">
        <v>3535</v>
      </c>
      <c r="U13" s="9"/>
      <c r="W13" s="310">
        <v>21397.93</v>
      </c>
      <c r="X13" s="73">
        <f>W13/1.15</f>
        <v>18606.895652173916</v>
      </c>
      <c r="Y13" s="238"/>
      <c r="Z13" s="310">
        <v>30754.61</v>
      </c>
      <c r="AA13" s="73">
        <f t="shared" si="9"/>
        <v>26743.139130434785</v>
      </c>
    </row>
    <row r="14" spans="1:27" ht="15.6" customHeight="1" x14ac:dyDescent="0.3">
      <c r="A14" s="445" t="s">
        <v>20</v>
      </c>
      <c r="B14" s="310">
        <v>130065.22</v>
      </c>
      <c r="C14" s="457">
        <v>132525.17000000001</v>
      </c>
      <c r="D14" s="310">
        <v>144600.03</v>
      </c>
      <c r="E14" s="86">
        <f t="shared" si="6"/>
        <v>-1.8562134272304735E-2</v>
      </c>
      <c r="F14" s="310">
        <v>300076.84000000003</v>
      </c>
      <c r="G14" s="310">
        <v>127675.73</v>
      </c>
      <c r="H14" s="452">
        <f>IFERROR((SUM(B14-G14)/G14),0)</f>
        <v>1.8715303213852823E-2</v>
      </c>
      <c r="I14" s="86">
        <f>IFERROR((SUM(B14-D14)/D14),0)</f>
        <v>-0.1005173373753795</v>
      </c>
      <c r="J14">
        <v>417</v>
      </c>
      <c r="K14" s="63">
        <f>IFERROR(B14/J14,0)</f>
        <v>311.90700239808154</v>
      </c>
      <c r="L14" s="61">
        <v>11</v>
      </c>
      <c r="M14" s="28">
        <f>IFERROR(L14/J14,0)</f>
        <v>2.6378896882494004E-2</v>
      </c>
      <c r="N14" s="46">
        <v>41</v>
      </c>
      <c r="O14" s="89">
        <f>IFERROR(N14/SUM(J14),0)</f>
        <v>9.8321342925659472E-2</v>
      </c>
      <c r="P14" s="260">
        <f t="shared" si="7"/>
        <v>52091.834782608697</v>
      </c>
      <c r="Q14" s="89">
        <f>SUM(P14/B14)</f>
        <v>0.40050549088071891</v>
      </c>
      <c r="R14" s="260">
        <f t="shared" si="8"/>
        <v>17930.313043478262</v>
      </c>
      <c r="S14" s="89">
        <f>SUM(R14/B14)</f>
        <v>0.13785632349276972</v>
      </c>
      <c r="T14" s="310">
        <v>2292</v>
      </c>
      <c r="U14" s="26"/>
      <c r="W14" s="310">
        <v>39285.75</v>
      </c>
      <c r="X14" s="73">
        <f>W14/1.15</f>
        <v>34161.52173913044</v>
      </c>
      <c r="Y14" s="238"/>
      <c r="Z14" s="310">
        <v>20619.86</v>
      </c>
      <c r="AA14" s="73">
        <f t="shared" si="9"/>
        <v>17930.313043478262</v>
      </c>
    </row>
    <row r="15" spans="1:27" ht="15.6" customHeight="1" x14ac:dyDescent="0.3">
      <c r="A15" s="12" t="s">
        <v>22</v>
      </c>
      <c r="B15" s="310">
        <v>136471.6</v>
      </c>
      <c r="C15" s="457">
        <v>96961.12</v>
      </c>
      <c r="D15" s="310">
        <v>152846.04</v>
      </c>
      <c r="E15" s="86">
        <f t="shared" si="6"/>
        <v>0.40748786730186298</v>
      </c>
      <c r="F15" s="310">
        <v>277006.52</v>
      </c>
      <c r="G15" s="310">
        <v>116316.31</v>
      </c>
      <c r="H15" s="452">
        <f>IFERROR((SUM(B15-G15)/G15),0)</f>
        <v>0.17327999830806196</v>
      </c>
      <c r="I15" s="86">
        <f>IFERROR((SUM(B15-D15)/D15),0)</f>
        <v>-0.10713028613629769</v>
      </c>
      <c r="J15" s="461">
        <v>472</v>
      </c>
      <c r="K15" s="63">
        <f>IFERROR(B15/J15,0)</f>
        <v>289.13474576271187</v>
      </c>
      <c r="L15" s="61">
        <v>6</v>
      </c>
      <c r="M15" s="28">
        <f>IFERROR(L15/J15,0)</f>
        <v>1.2711864406779662E-2</v>
      </c>
      <c r="N15" s="46">
        <v>27</v>
      </c>
      <c r="O15" s="89">
        <f>IFERROR(N15/SUM(J15),0)</f>
        <v>5.7203389830508475E-2</v>
      </c>
      <c r="P15" s="260">
        <f t="shared" si="7"/>
        <v>37509.939130434788</v>
      </c>
      <c r="Q15" s="89">
        <f>SUM(P15/B15)</f>
        <v>0.27485527487356187</v>
      </c>
      <c r="R15" s="260">
        <f t="shared" si="8"/>
        <v>22507.713043478263</v>
      </c>
      <c r="S15" s="89">
        <f>SUM(R15/B15)</f>
        <v>0.16492598491904734</v>
      </c>
      <c r="T15" s="310">
        <v>5418.05</v>
      </c>
      <c r="U15" s="26"/>
      <c r="W15" s="310">
        <v>17252.560000000001</v>
      </c>
      <c r="X15" s="73">
        <f>W15/1.15</f>
        <v>15002.226086956523</v>
      </c>
      <c r="Y15" s="238"/>
      <c r="Z15" s="310">
        <v>25883.87</v>
      </c>
      <c r="AA15" s="73">
        <f t="shared" si="9"/>
        <v>22507.713043478263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41" priority="3" operator="equal">
      <formula>0</formula>
    </cfRule>
  </conditionalFormatting>
  <conditionalFormatting sqref="P12:P13">
    <cfRule type="cellIs" dxfId="4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AA49"/>
  <sheetViews>
    <sheetView zoomScale="60" zoomScaleNormal="60" workbookViewId="0">
      <pane xSplit="1" topLeftCell="B1" activePane="topRight" state="frozen"/>
      <selection pane="topRight" activeCell="O3" sqref="O3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-9.757765364074851E-2</v>
      </c>
      <c r="F2" s="426"/>
      <c r="G2" s="1"/>
      <c r="H2" s="427"/>
      <c r="I2" s="422">
        <f>((B4-D4)/D4)</f>
        <v>-3.3102072972753437E-2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1827641.61</v>
      </c>
      <c r="C4" s="98">
        <f>SUM(C5:C15)</f>
        <v>2005978.59</v>
      </c>
      <c r="D4" s="98">
        <f>SUM(D5:D15)</f>
        <v>1890211.53</v>
      </c>
      <c r="E4" s="436">
        <f>IFERROR((SUM(B4-C4)/B4),0)</f>
        <v>-9.757765364074851E-2</v>
      </c>
      <c r="F4" s="465">
        <f>SUM(F5:F15)</f>
        <v>6740399.0799999982</v>
      </c>
      <c r="G4" s="468">
        <f>SUM(G5:G15)</f>
        <v>2195845.92</v>
      </c>
      <c r="H4" s="436">
        <f t="shared" ref="H4:H11" si="0">IFERROR((SUM(B4-G4)/G4),0)</f>
        <v>-0.16768221606368439</v>
      </c>
      <c r="I4" s="436">
        <f t="shared" ref="I4:I9" si="1">IFERROR((SUM(B4-D4)/D4),0)</f>
        <v>-3.3102072972753437E-2</v>
      </c>
      <c r="J4" s="460">
        <f>SUM(J5:J15)</f>
        <v>5604</v>
      </c>
      <c r="K4" s="438">
        <f>AVERAGE(K5:K15)</f>
        <v>323.49712428038816</v>
      </c>
      <c r="L4" s="439">
        <f>SUM(L5:L15)</f>
        <v>91</v>
      </c>
      <c r="M4" s="440">
        <f t="shared" ref="M4:M9" si="2">IFERROR(L4/J4,0)</f>
        <v>1.6238401142041399E-2</v>
      </c>
      <c r="N4" s="441">
        <f>SUM(N7:N15)</f>
        <v>256</v>
      </c>
      <c r="O4" s="442">
        <f t="shared" ref="O4:O9" si="3">IFERROR(N4/SUM(J4),0)</f>
        <v>4.5681655960028551E-2</v>
      </c>
      <c r="P4" s="443">
        <f>SUM(P5:P15)</f>
        <v>525641.30434782617</v>
      </c>
      <c r="Q4" s="442">
        <f t="shared" ref="Q4:Q9" si="4">SUM(P4/B4)</f>
        <v>0.28760633456349582</v>
      </c>
      <c r="R4" s="443">
        <f>SUM(R5:R15)</f>
        <v>231670.66086956524</v>
      </c>
      <c r="S4" s="442">
        <f t="shared" ref="S4:S9" si="5">SUM(R4/B4)</f>
        <v>0.12675934909884506</v>
      </c>
      <c r="T4" s="444">
        <f>SUM(T5:T15)</f>
        <v>45196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256064.54</v>
      </c>
      <c r="C5" s="457">
        <v>347623.37</v>
      </c>
      <c r="D5" s="310">
        <v>166877.21</v>
      </c>
      <c r="E5" s="77">
        <f t="shared" ref="E5:E15" si="6">IFERROR((SUM(B5-C5)/C5),0)</f>
        <v>-0.26338514007271718</v>
      </c>
      <c r="F5" s="466">
        <v>1507819.29</v>
      </c>
      <c r="G5" s="310">
        <v>424091.17</v>
      </c>
      <c r="H5" s="467">
        <f t="shared" si="0"/>
        <v>-0.39620402848755371</v>
      </c>
      <c r="I5" s="86">
        <f t="shared" si="1"/>
        <v>0.53444883216827521</v>
      </c>
      <c r="J5" s="461">
        <v>741</v>
      </c>
      <c r="K5" s="63">
        <f>IFERROR(B5/J5,0)</f>
        <v>345.56618083670719</v>
      </c>
      <c r="L5" s="61">
        <v>10</v>
      </c>
      <c r="M5" s="28">
        <f t="shared" si="2"/>
        <v>1.3495276653171391E-2</v>
      </c>
      <c r="N5" s="46">
        <v>42</v>
      </c>
      <c r="O5" s="89">
        <f t="shared" si="3"/>
        <v>5.6680161943319839E-2</v>
      </c>
      <c r="P5" s="260">
        <f t="shared" ref="P5:P15" si="7">SUM(X5+AA5)</f>
        <v>20336.956521739132</v>
      </c>
      <c r="Q5" s="89">
        <f t="shared" si="4"/>
        <v>7.9421213580525951E-2</v>
      </c>
      <c r="R5" s="260">
        <f t="shared" ref="R5:R15" si="8">SUM(AA5)</f>
        <v>20336.956521739132</v>
      </c>
      <c r="S5" s="89">
        <f t="shared" si="5"/>
        <v>7.9421213580525951E-2</v>
      </c>
      <c r="T5" s="310">
        <v>4582.05</v>
      </c>
      <c r="U5" s="9"/>
      <c r="W5" s="297">
        <f>V5/1.15</f>
        <v>0</v>
      </c>
      <c r="X5" s="297">
        <f>W5/1.15</f>
        <v>0</v>
      </c>
      <c r="Z5" s="310">
        <v>23387.5</v>
      </c>
      <c r="AA5" s="297">
        <f t="shared" ref="AA5:AA15" si="9">SUM(Z5)/1.15</f>
        <v>20336.956521739132</v>
      </c>
    </row>
    <row r="6" spans="1:27" ht="15.6" customHeight="1" x14ac:dyDescent="0.3">
      <c r="A6" s="445" t="s">
        <v>21</v>
      </c>
      <c r="B6" s="310">
        <v>152531.62</v>
      </c>
      <c r="C6" s="457">
        <v>251695.12</v>
      </c>
      <c r="D6" s="310">
        <v>317233.91999999998</v>
      </c>
      <c r="E6" s="77">
        <f t="shared" si="6"/>
        <v>-0.3939826088006792</v>
      </c>
      <c r="F6" s="466">
        <v>705348.23</v>
      </c>
      <c r="G6" s="310">
        <v>227149.97</v>
      </c>
      <c r="H6" s="467">
        <f t="shared" si="0"/>
        <v>-0.32849817237484119</v>
      </c>
      <c r="I6" s="86">
        <f t="shared" si="1"/>
        <v>-0.51918250103898089</v>
      </c>
      <c r="J6" s="461">
        <v>477</v>
      </c>
      <c r="K6" s="63">
        <f>IFERROR(B6/J6,0)</f>
        <v>319.77278825995808</v>
      </c>
      <c r="L6" s="61">
        <v>10</v>
      </c>
      <c r="M6" s="28">
        <f t="shared" si="2"/>
        <v>2.0964360587002098E-2</v>
      </c>
      <c r="N6" s="46">
        <v>42</v>
      </c>
      <c r="O6" s="89">
        <f t="shared" si="3"/>
        <v>8.8050314465408799E-2</v>
      </c>
      <c r="P6" s="260">
        <f t="shared" si="7"/>
        <v>44480.104347826084</v>
      </c>
      <c r="Q6" s="89">
        <f t="shared" si="4"/>
        <v>0.29161235124773527</v>
      </c>
      <c r="R6" s="260">
        <f t="shared" si="8"/>
        <v>19811.034782608695</v>
      </c>
      <c r="S6" s="89">
        <f t="shared" si="5"/>
        <v>0.12988149462130341</v>
      </c>
      <c r="T6" s="310">
        <v>5561.9</v>
      </c>
      <c r="U6" s="26"/>
      <c r="W6" s="310">
        <v>28369.43</v>
      </c>
      <c r="X6" s="73">
        <f>W6/1.15</f>
        <v>24669.069565217393</v>
      </c>
      <c r="Y6" s="238"/>
      <c r="Z6" s="310">
        <v>22782.69</v>
      </c>
      <c r="AA6" s="73">
        <f t="shared" si="9"/>
        <v>19811.034782608695</v>
      </c>
    </row>
    <row r="7" spans="1:27" ht="16.5" customHeight="1" x14ac:dyDescent="0.3">
      <c r="A7" s="445" t="s">
        <v>15</v>
      </c>
      <c r="B7" s="310">
        <v>214387.67</v>
      </c>
      <c r="C7" s="457">
        <v>251120.6</v>
      </c>
      <c r="D7" s="310">
        <v>254835.6</v>
      </c>
      <c r="E7" s="77">
        <f t="shared" si="6"/>
        <v>-0.14627605222351328</v>
      </c>
      <c r="F7" s="466">
        <v>820171.5</v>
      </c>
      <c r="G7" s="310">
        <v>232877.04</v>
      </c>
      <c r="H7" s="467">
        <f t="shared" si="0"/>
        <v>-7.9395418285976127E-2</v>
      </c>
      <c r="I7" s="86">
        <f t="shared" si="1"/>
        <v>-0.15872166212256056</v>
      </c>
      <c r="J7" s="311">
        <v>608</v>
      </c>
      <c r="K7" s="63">
        <f>IFERROR(B7/J7,0)</f>
        <v>352.61129934210527</v>
      </c>
      <c r="L7" s="61">
        <v>4</v>
      </c>
      <c r="M7" s="28">
        <f t="shared" si="2"/>
        <v>6.5789473684210523E-3</v>
      </c>
      <c r="N7" s="46">
        <v>24</v>
      </c>
      <c r="O7" s="89">
        <f t="shared" si="3"/>
        <v>3.9473684210526314E-2</v>
      </c>
      <c r="P7" s="260">
        <f t="shared" si="7"/>
        <v>38803.695652173919</v>
      </c>
      <c r="Q7" s="89">
        <f t="shared" si="4"/>
        <v>0.1809977954990318</v>
      </c>
      <c r="R7" s="260">
        <f t="shared" si="8"/>
        <v>3063.4782608695655</v>
      </c>
      <c r="S7" s="89">
        <f t="shared" si="5"/>
        <v>1.4289433067067548E-2</v>
      </c>
      <c r="T7" s="310">
        <v>4061.8</v>
      </c>
      <c r="U7" s="26"/>
      <c r="W7" s="310">
        <v>41101.25</v>
      </c>
      <c r="X7" s="73">
        <f>W7/1.15</f>
        <v>35740.217391304352</v>
      </c>
      <c r="Y7" s="238"/>
      <c r="Z7" s="310">
        <v>3523</v>
      </c>
      <c r="AA7" s="73">
        <f t="shared" si="9"/>
        <v>3063.4782608695655</v>
      </c>
    </row>
    <row r="8" spans="1:27" ht="15.6" customHeight="1" x14ac:dyDescent="0.3">
      <c r="A8" s="12" t="s">
        <v>27</v>
      </c>
      <c r="B8" s="310">
        <v>168522.9</v>
      </c>
      <c r="C8" s="457">
        <v>134829.23000000001</v>
      </c>
      <c r="D8" s="310">
        <v>125945.97</v>
      </c>
      <c r="E8" s="77">
        <f t="shared" si="6"/>
        <v>0.24989885353494923</v>
      </c>
      <c r="F8" s="466">
        <v>512354.57</v>
      </c>
      <c r="G8" s="310">
        <v>133740.87</v>
      </c>
      <c r="H8" s="467">
        <f t="shared" si="0"/>
        <v>0.26007031358477029</v>
      </c>
      <c r="I8" s="86">
        <f t="shared" si="1"/>
        <v>0.33805710496334257</v>
      </c>
      <c r="J8" s="311">
        <v>498</v>
      </c>
      <c r="K8" s="63">
        <f>IFERROR(B8/J8,0)</f>
        <v>338.39939759036145</v>
      </c>
      <c r="L8" s="61">
        <v>11</v>
      </c>
      <c r="M8" s="28">
        <f t="shared" si="2"/>
        <v>2.2088353413654619E-2</v>
      </c>
      <c r="N8" s="46">
        <v>25</v>
      </c>
      <c r="O8" s="89">
        <f t="shared" si="3"/>
        <v>5.0200803212851405E-2</v>
      </c>
      <c r="P8" s="260">
        <f t="shared" si="7"/>
        <v>62019.069565217396</v>
      </c>
      <c r="Q8" s="89">
        <f t="shared" si="4"/>
        <v>0.36801567956175329</v>
      </c>
      <c r="R8" s="260">
        <f t="shared" si="8"/>
        <v>32825.17391304348</v>
      </c>
      <c r="S8" s="89">
        <f t="shared" si="5"/>
        <v>0.19478168197344978</v>
      </c>
      <c r="T8" s="310">
        <v>4263.1499999999996</v>
      </c>
      <c r="U8" s="9"/>
      <c r="W8" s="310">
        <v>33572.980000000003</v>
      </c>
      <c r="X8" s="73">
        <f>W8/1.15</f>
        <v>29193.895652173916</v>
      </c>
      <c r="Y8" s="238"/>
      <c r="Z8" s="310">
        <v>37748.949999999997</v>
      </c>
      <c r="AA8" s="73">
        <f t="shared" si="9"/>
        <v>32825.17391304348</v>
      </c>
    </row>
    <row r="9" spans="1:27" ht="15.6" customHeight="1" x14ac:dyDescent="0.3">
      <c r="A9" s="12" t="s">
        <v>23</v>
      </c>
      <c r="B9" s="310">
        <v>222599.19</v>
      </c>
      <c r="C9" s="457">
        <v>223820.94</v>
      </c>
      <c r="D9" s="310">
        <v>243010.12</v>
      </c>
      <c r="E9" s="77">
        <f t="shared" si="6"/>
        <v>-5.4586045434354804E-3</v>
      </c>
      <c r="F9" s="466">
        <v>676490.19</v>
      </c>
      <c r="G9" s="310">
        <v>220376.4</v>
      </c>
      <c r="H9" s="467">
        <f t="shared" si="0"/>
        <v>1.0086334108370988E-2</v>
      </c>
      <c r="I9" s="86">
        <f t="shared" si="1"/>
        <v>-8.3992098765269502E-2</v>
      </c>
      <c r="J9" s="311">
        <v>692</v>
      </c>
      <c r="K9" s="63">
        <f>IFERROR(B9/J9,0)</f>
        <v>321.67513005780347</v>
      </c>
      <c r="L9" s="61">
        <v>15</v>
      </c>
      <c r="M9" s="28">
        <f t="shared" si="2"/>
        <v>2.1676300578034682E-2</v>
      </c>
      <c r="N9" s="46">
        <v>48</v>
      </c>
      <c r="O9" s="89">
        <f t="shared" si="3"/>
        <v>6.9364161849710976E-2</v>
      </c>
      <c r="P9" s="260">
        <f t="shared" si="7"/>
        <v>58202.765217391308</v>
      </c>
      <c r="Q9" s="89">
        <f t="shared" si="4"/>
        <v>0.26146889940341339</v>
      </c>
      <c r="R9" s="260">
        <f t="shared" si="8"/>
        <v>26990.869565217392</v>
      </c>
      <c r="S9" s="89">
        <f t="shared" si="5"/>
        <v>0.12125322452978105</v>
      </c>
      <c r="T9" s="310">
        <v>4043.5</v>
      </c>
      <c r="U9" s="26"/>
      <c r="W9" s="310">
        <v>35893.68</v>
      </c>
      <c r="X9" s="73">
        <f>W9/1.15</f>
        <v>31211.895652173916</v>
      </c>
      <c r="Y9" s="238"/>
      <c r="Z9" s="310">
        <v>31039.5</v>
      </c>
      <c r="AA9" s="73">
        <f t="shared" si="9"/>
        <v>26990.869565217392</v>
      </c>
    </row>
    <row r="10" spans="1:27" ht="15.6" customHeight="1" x14ac:dyDescent="0.3">
      <c r="A10" s="445" t="s">
        <v>16</v>
      </c>
      <c r="B10" s="456"/>
      <c r="C10" s="457"/>
      <c r="D10" s="310">
        <v>191397.82</v>
      </c>
      <c r="E10" s="77">
        <f t="shared" si="6"/>
        <v>0</v>
      </c>
      <c r="F10" s="466"/>
      <c r="G10" s="310">
        <v>190088.51</v>
      </c>
      <c r="H10" s="467">
        <f t="shared" si="0"/>
        <v>-1</v>
      </c>
      <c r="I10" s="86">
        <f>IFERROR((SUM(B11-D10)/D10),0)</f>
        <v>-0.16930960864653535</v>
      </c>
      <c r="J10" s="461"/>
      <c r="K10" s="63">
        <f>IFERROR(B11/J11,0)</f>
        <v>367.18782909930712</v>
      </c>
      <c r="L10" s="61">
        <v>1</v>
      </c>
      <c r="M10" s="28">
        <f>IFERROR(L10/J11,0)</f>
        <v>2.3094688221709007E-3</v>
      </c>
      <c r="N10" s="46">
        <v>15</v>
      </c>
      <c r="O10" s="89">
        <f>IFERROR(N10/SUM(J11),0)</f>
        <v>3.4642032332563508E-2</v>
      </c>
      <c r="P10" s="260">
        <f t="shared" si="7"/>
        <v>37058.686956521742</v>
      </c>
      <c r="Q10" s="89">
        <f>SUM(P10/B11)</f>
        <v>0.23308474664483339</v>
      </c>
      <c r="R10" s="260">
        <f t="shared" si="8"/>
        <v>0</v>
      </c>
      <c r="S10" s="89">
        <f>SUM(R10/B11)</f>
        <v>0</v>
      </c>
      <c r="T10" s="310"/>
      <c r="U10" s="26"/>
      <c r="W10" s="310"/>
      <c r="X10" s="73">
        <f>W11/1.15</f>
        <v>37058.686956521742</v>
      </c>
      <c r="Y10" s="238"/>
      <c r="Z10" s="310"/>
      <c r="AA10" s="73">
        <f t="shared" si="9"/>
        <v>0</v>
      </c>
    </row>
    <row r="11" spans="1:27" ht="15.6" customHeight="1" x14ac:dyDescent="0.3">
      <c r="A11" s="445" t="s">
        <v>17</v>
      </c>
      <c r="B11" s="310">
        <v>158992.32999999999</v>
      </c>
      <c r="C11" s="457">
        <v>153246.04999999999</v>
      </c>
      <c r="D11" s="310">
        <v>86713.33</v>
      </c>
      <c r="E11" s="77">
        <f t="shared" si="6"/>
        <v>3.7497083937889419E-2</v>
      </c>
      <c r="F11" s="466">
        <v>475415.18</v>
      </c>
      <c r="G11" s="310">
        <v>129274.54</v>
      </c>
      <c r="H11" s="467">
        <f t="shared" si="0"/>
        <v>0.22988122796646576</v>
      </c>
      <c r="I11" s="86">
        <f>IFERROR((SUM(#REF!-D11)/D11),0)</f>
        <v>0</v>
      </c>
      <c r="J11" s="311">
        <v>433</v>
      </c>
      <c r="K11" s="63">
        <f>IFERROR(B12/J12,0)</f>
        <v>285.98387362637362</v>
      </c>
      <c r="L11" s="61">
        <v>3</v>
      </c>
      <c r="M11" s="28">
        <f>IFERROR(L11/J12,0)</f>
        <v>4.120879120879121E-3</v>
      </c>
      <c r="N11" s="46">
        <v>22</v>
      </c>
      <c r="O11" s="89">
        <f>IFERROR(N11/SUM(J12),0)</f>
        <v>3.021978021978022E-2</v>
      </c>
      <c r="P11" s="260">
        <f t="shared" si="7"/>
        <v>56981.34782608696</v>
      </c>
      <c r="Q11" s="89">
        <f>SUM(P11/B12)</f>
        <v>0.27369054480655397</v>
      </c>
      <c r="R11" s="260">
        <f t="shared" si="8"/>
        <v>25924.947826086958</v>
      </c>
      <c r="S11" s="89">
        <f>SUM(R11/B12)</f>
        <v>0.12452167885286199</v>
      </c>
      <c r="T11" s="310">
        <v>4159.5</v>
      </c>
      <c r="U11" s="26"/>
      <c r="W11" s="310">
        <v>42617.49</v>
      </c>
      <c r="X11" s="73">
        <f>W12/1.15</f>
        <v>31056.400000000001</v>
      </c>
      <c r="Y11" s="238"/>
      <c r="Z11" s="310">
        <v>29813.69</v>
      </c>
      <c r="AA11" s="73">
        <f t="shared" si="9"/>
        <v>25924.947826086958</v>
      </c>
    </row>
    <row r="12" spans="1:27" ht="15.6" customHeight="1" x14ac:dyDescent="0.3">
      <c r="A12" s="12" t="s">
        <v>55</v>
      </c>
      <c r="B12" s="310">
        <v>208196.26</v>
      </c>
      <c r="C12" s="457">
        <v>205078.6</v>
      </c>
      <c r="D12" s="310">
        <v>206751.49</v>
      </c>
      <c r="E12" s="77">
        <f t="shared" si="6"/>
        <v>1.5202268788649833E-2</v>
      </c>
      <c r="F12" s="466">
        <v>630059.68000000005</v>
      </c>
      <c r="G12" s="310">
        <v>205771.42</v>
      </c>
      <c r="H12" s="467">
        <f>IFERROR((SUM(B12-#REF!)/#REF!),0)</f>
        <v>0</v>
      </c>
      <c r="I12" s="86">
        <f>IFERROR((SUM(B12-D12)/D12),0)</f>
        <v>6.9879544761685571E-3</v>
      </c>
      <c r="J12" s="461">
        <v>728</v>
      </c>
      <c r="K12" s="63">
        <f>IFERROR(B12/J12,0)</f>
        <v>285.98387362637362</v>
      </c>
      <c r="L12" s="61">
        <v>7</v>
      </c>
      <c r="M12" s="28">
        <f>IFERROR(L12/J12,0)</f>
        <v>9.6153846153846159E-3</v>
      </c>
      <c r="N12" s="46">
        <v>17</v>
      </c>
      <c r="O12" s="89">
        <f>IFERROR(N12/SUM(J12),0)</f>
        <v>2.3351648351648352E-2</v>
      </c>
      <c r="P12" s="260">
        <f t="shared" si="7"/>
        <v>61106.565217391311</v>
      </c>
      <c r="Q12" s="89">
        <f>SUM(P12/B12)</f>
        <v>0.29350462499850527</v>
      </c>
      <c r="R12" s="260">
        <f t="shared" si="8"/>
        <v>30050.16521739131</v>
      </c>
      <c r="S12" s="89">
        <f>SUM(R12/B12)</f>
        <v>0.14433575904481333</v>
      </c>
      <c r="T12" s="310">
        <v>5468.5</v>
      </c>
      <c r="U12" s="9"/>
      <c r="W12" s="310">
        <v>35714.86</v>
      </c>
      <c r="X12" s="73">
        <f>W12/1.15</f>
        <v>31056.400000000001</v>
      </c>
      <c r="Y12" s="238"/>
      <c r="Z12" s="310">
        <v>34557.69</v>
      </c>
      <c r="AA12" s="73">
        <f t="shared" si="9"/>
        <v>30050.16521739131</v>
      </c>
    </row>
    <row r="13" spans="1:27" ht="15.6" customHeight="1" x14ac:dyDescent="0.3">
      <c r="A13" s="12" t="s">
        <v>33</v>
      </c>
      <c r="B13" s="310">
        <v>161350.95000000001</v>
      </c>
      <c r="C13" s="457">
        <v>172027.86</v>
      </c>
      <c r="D13" s="310"/>
      <c r="E13" s="77">
        <f t="shared" si="6"/>
        <v>-6.2065005052088514E-2</v>
      </c>
      <c r="F13" s="466">
        <v>550660.93000000005</v>
      </c>
      <c r="G13" s="310">
        <v>157450.38</v>
      </c>
      <c r="H13" s="467">
        <f>IFERROR((SUM(B13-G12)/G12),0)</f>
        <v>-0.21587288458231954</v>
      </c>
      <c r="I13" s="86">
        <f>IFERROR((SUM(B13-D13)/D13),0)</f>
        <v>0</v>
      </c>
      <c r="J13" s="311">
        <v>524</v>
      </c>
      <c r="K13" s="63">
        <f>IFERROR(B13/J13,0)</f>
        <v>307.92166030534355</v>
      </c>
      <c r="L13" s="61">
        <v>13</v>
      </c>
      <c r="M13" s="28">
        <f>IFERROR(L13/J13,0)</f>
        <v>2.4809160305343511E-2</v>
      </c>
      <c r="N13" s="46">
        <v>37</v>
      </c>
      <c r="O13" s="89">
        <f>IFERROR(N13/SUM(J13),0)</f>
        <v>7.061068702290077E-2</v>
      </c>
      <c r="P13" s="260">
        <f t="shared" si="7"/>
        <v>50128.965217391305</v>
      </c>
      <c r="Q13" s="89">
        <f>SUM(P13/B13)</f>
        <v>0.31068280178946145</v>
      </c>
      <c r="R13" s="260">
        <f t="shared" si="8"/>
        <v>24030.121739130434</v>
      </c>
      <c r="S13" s="89">
        <f>SUM(R13/B13)</f>
        <v>0.1489307731942727</v>
      </c>
      <c r="T13" s="310">
        <v>3055</v>
      </c>
      <c r="U13" s="9"/>
      <c r="W13" s="310">
        <v>30013.67</v>
      </c>
      <c r="X13" s="73">
        <f>W13/1.15</f>
        <v>26098.843478260871</v>
      </c>
      <c r="Y13" s="238"/>
      <c r="Z13" s="310">
        <v>27634.639999999999</v>
      </c>
      <c r="AA13" s="73">
        <f t="shared" si="9"/>
        <v>24030.121739130434</v>
      </c>
    </row>
    <row r="14" spans="1:27" ht="15.6" customHeight="1" x14ac:dyDescent="0.3">
      <c r="A14" s="445" t="s">
        <v>20</v>
      </c>
      <c r="B14" s="310">
        <v>137911.5</v>
      </c>
      <c r="C14" s="457">
        <v>130065.22</v>
      </c>
      <c r="D14" s="310">
        <v>144600.03</v>
      </c>
      <c r="E14" s="77">
        <f t="shared" si="6"/>
        <v>6.0325735042773145E-2</v>
      </c>
      <c r="F14" s="466">
        <v>437988.34</v>
      </c>
      <c r="G14" s="310">
        <v>151703.32</v>
      </c>
      <c r="H14" s="467">
        <f>IFERROR((SUM(B14-G14)/G14),0)</f>
        <v>-9.0913105922797249E-2</v>
      </c>
      <c r="I14" s="86">
        <f>IFERROR((SUM(B14-D14)/D14),0)</f>
        <v>-4.6255384594318542E-2</v>
      </c>
      <c r="J14" s="311">
        <v>417</v>
      </c>
      <c r="K14" s="63">
        <f>IFERROR(B14/J14,0)</f>
        <v>330.72302158273379</v>
      </c>
      <c r="L14" s="61">
        <v>11</v>
      </c>
      <c r="M14" s="28">
        <f>IFERROR(L14/J14,0)</f>
        <v>2.6378896882494004E-2</v>
      </c>
      <c r="N14" s="46">
        <v>41</v>
      </c>
      <c r="O14" s="89">
        <f>IFERROR(N14/SUM(J14),0)</f>
        <v>9.8321342925659472E-2</v>
      </c>
      <c r="P14" s="260">
        <f t="shared" si="7"/>
        <v>46951.973913043483</v>
      </c>
      <c r="Q14" s="89">
        <f>SUM(P14/B14)</f>
        <v>0.34045002710465394</v>
      </c>
      <c r="R14" s="260">
        <f t="shared" si="8"/>
        <v>20100.600000000002</v>
      </c>
      <c r="S14" s="89">
        <f>SUM(R14/B14)</f>
        <v>0.14574999184259471</v>
      </c>
      <c r="T14" s="310">
        <v>5106.7</v>
      </c>
      <c r="U14" s="26"/>
      <c r="W14" s="310">
        <v>30879.08</v>
      </c>
      <c r="X14" s="73">
        <f>W14/1.15</f>
        <v>26851.373913043481</v>
      </c>
      <c r="Y14" s="238"/>
      <c r="Z14" s="310">
        <v>23115.69</v>
      </c>
      <c r="AA14" s="73">
        <f t="shared" si="9"/>
        <v>20100.600000000002</v>
      </c>
    </row>
    <row r="15" spans="1:27" ht="15.6" customHeight="1" x14ac:dyDescent="0.3">
      <c r="A15" s="12" t="s">
        <v>22</v>
      </c>
      <c r="B15" s="310">
        <v>147084.65</v>
      </c>
      <c r="C15" s="457">
        <v>136471.6</v>
      </c>
      <c r="D15" s="310">
        <v>152846.04</v>
      </c>
      <c r="E15" s="77">
        <f t="shared" si="6"/>
        <v>7.7767462241228116E-2</v>
      </c>
      <c r="F15" s="466">
        <v>424091.17</v>
      </c>
      <c r="G15" s="310">
        <v>123322.3</v>
      </c>
      <c r="H15" s="467">
        <f>IFERROR((SUM(B15-G15)/G15),0)</f>
        <v>0.19268494019329829</v>
      </c>
      <c r="I15" s="86">
        <f>IFERROR((SUM(B15-D15)/D15),0)</f>
        <v>-3.769407437706606E-2</v>
      </c>
      <c r="J15" s="461">
        <v>486</v>
      </c>
      <c r="K15" s="63">
        <f>IFERROR(B15/J15,0)</f>
        <v>302.64331275720161</v>
      </c>
      <c r="L15" s="61">
        <v>6</v>
      </c>
      <c r="M15" s="28">
        <f>IFERROR(L15/J15,0)</f>
        <v>1.2345679012345678E-2</v>
      </c>
      <c r="N15" s="46">
        <v>27</v>
      </c>
      <c r="O15" s="89">
        <f>IFERROR(N15/SUM(J15),0)</f>
        <v>5.5555555555555552E-2</v>
      </c>
      <c r="P15" s="260">
        <f t="shared" si="7"/>
        <v>49571.173913043487</v>
      </c>
      <c r="Q15" s="89">
        <f>SUM(P15/B15)</f>
        <v>0.33702479431431825</v>
      </c>
      <c r="R15" s="260">
        <f t="shared" si="8"/>
        <v>28537.313043478265</v>
      </c>
      <c r="S15" s="89">
        <f>SUM(R15/B15)</f>
        <v>0.19401965496384746</v>
      </c>
      <c r="T15" s="310">
        <v>4893.8999999999996</v>
      </c>
      <c r="U15" s="26"/>
      <c r="W15" s="310">
        <v>24188.94</v>
      </c>
      <c r="X15" s="73">
        <f>W15/1.15</f>
        <v>21033.860869565218</v>
      </c>
      <c r="Y15" s="238"/>
      <c r="Z15" s="310">
        <v>32817.910000000003</v>
      </c>
      <c r="AA15" s="73">
        <f t="shared" si="9"/>
        <v>28537.313043478265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39" priority="2" operator="equal">
      <formula>0</formula>
    </cfRule>
  </conditionalFormatting>
  <conditionalFormatting sqref="P12:P13">
    <cfRule type="cellIs" dxfId="3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AA49"/>
  <sheetViews>
    <sheetView zoomScale="60" zoomScaleNormal="60" workbookViewId="0">
      <pane xSplit="1" topLeftCell="B1" activePane="topRight" state="frozen"/>
      <selection pane="topRight" activeCell="B5" sqref="B5:B15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0.16998989300865594</v>
      </c>
      <c r="F2" s="426"/>
      <c r="G2" s="1"/>
      <c r="H2" s="427"/>
      <c r="I2" s="422">
        <f>((B4-D4)/D4)</f>
        <v>0.16492307609614451</v>
      </c>
      <c r="J2" s="459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2201951.0299999998</v>
      </c>
      <c r="C4" s="98">
        <f>SUM(C5:C15)</f>
        <v>1827641.61</v>
      </c>
      <c r="D4" s="98">
        <f>SUM(D5:D15)</f>
        <v>1890211.53</v>
      </c>
      <c r="E4" s="436">
        <f>IFERROR((SUM(B4-C4)/B4),0)</f>
        <v>0.16998989300865594</v>
      </c>
      <c r="F4" s="465">
        <f>SUM(F5:F15)</f>
        <v>9009159.1099999994</v>
      </c>
      <c r="G4" s="468">
        <f>SUM(G5:G15)</f>
        <v>2290026.1100000003</v>
      </c>
      <c r="H4" s="436">
        <f t="shared" ref="H4:H11" si="0">IFERROR((SUM(B4-G4)/G4),0)</f>
        <v>-3.8460295109910572E-2</v>
      </c>
      <c r="I4" s="436">
        <f t="shared" ref="I4:I9" si="1">IFERROR((SUM(B4-D4)/D4),0)</f>
        <v>0.16492307609614451</v>
      </c>
      <c r="J4" s="460">
        <f>SUM(J5:J15)</f>
        <v>6489</v>
      </c>
      <c r="K4" s="438">
        <f>AVERAGE(K5:K15)</f>
        <v>330.74820978665304</v>
      </c>
      <c r="L4" s="439">
        <f>SUM(L5:L15)</f>
        <v>91</v>
      </c>
      <c r="M4" s="440">
        <f t="shared" ref="M4:M9" si="2">IFERROR(L4/J4,0)</f>
        <v>1.4023732470334413E-2</v>
      </c>
      <c r="N4" s="441">
        <f>SUM(N7:N15)</f>
        <v>256</v>
      </c>
      <c r="O4" s="442">
        <f t="shared" ref="O4:O9" si="3">IFERROR(N4/SUM(J4),0)</f>
        <v>3.9451379257204502E-2</v>
      </c>
      <c r="P4" s="443">
        <f>SUM(P5:P15)</f>
        <v>571174.92173913051</v>
      </c>
      <c r="Q4" s="442">
        <f t="shared" ref="Q4:Q9" si="4">SUM(P4/B4)</f>
        <v>0.25939492475413067</v>
      </c>
      <c r="R4" s="443">
        <f>SUM(R5:R15)</f>
        <v>234915.72173913044</v>
      </c>
      <c r="S4" s="442">
        <f t="shared" ref="S4:S9" si="5">SUM(R4/B4)</f>
        <v>0.10668526163323917</v>
      </c>
      <c r="T4" s="444">
        <f>SUM(T5:T15)</f>
        <v>48258.55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>
        <v>430839.24</v>
      </c>
      <c r="C5" s="310">
        <v>256064.54</v>
      </c>
      <c r="D5" s="310">
        <v>166877.21</v>
      </c>
      <c r="E5" s="77">
        <f t="shared" ref="E5:E15" si="6">IFERROR((SUM(B5-C5)/C5),0)</f>
        <v>0.68254159673963433</v>
      </c>
      <c r="F5" s="310">
        <v>1938658.53</v>
      </c>
      <c r="G5" s="310">
        <v>304217.65000000002</v>
      </c>
      <c r="H5" s="467">
        <f t="shared" si="0"/>
        <v>0.41622039352417572</v>
      </c>
      <c r="I5" s="86">
        <f t="shared" si="1"/>
        <v>1.5817739881916772</v>
      </c>
      <c r="J5" s="310">
        <v>1113</v>
      </c>
      <c r="K5" s="63">
        <f>IFERROR(B5/J5,0)</f>
        <v>387.09725067385443</v>
      </c>
      <c r="L5" s="61">
        <v>10</v>
      </c>
      <c r="M5" s="28">
        <f t="shared" si="2"/>
        <v>8.9847259658580418E-3</v>
      </c>
      <c r="N5" s="46">
        <v>42</v>
      </c>
      <c r="O5" s="89">
        <f t="shared" si="3"/>
        <v>3.7735849056603772E-2</v>
      </c>
      <c r="P5" s="260">
        <f t="shared" ref="P5:P15" si="7">SUM(X5+AA5)</f>
        <v>36820.434782608696</v>
      </c>
      <c r="Q5" s="89">
        <f t="shared" si="4"/>
        <v>8.546211989095677E-2</v>
      </c>
      <c r="R5" s="260">
        <f t="shared" ref="R5:R15" si="8">SUM(AA5)</f>
        <v>36820.434782608696</v>
      </c>
      <c r="S5" s="89">
        <f t="shared" si="5"/>
        <v>8.546211989095677E-2</v>
      </c>
      <c r="T5" s="310">
        <v>2348</v>
      </c>
      <c r="U5" s="9"/>
      <c r="W5" s="310">
        <v>0</v>
      </c>
      <c r="X5" s="297">
        <f>W5/1.15</f>
        <v>0</v>
      </c>
      <c r="Z5" s="310">
        <v>42343.5</v>
      </c>
      <c r="AA5" s="297">
        <f t="shared" ref="AA5:AA15" si="9">SUM(Z5)/1.15</f>
        <v>36820.434782608696</v>
      </c>
    </row>
    <row r="6" spans="1:27" ht="15.6" customHeight="1" x14ac:dyDescent="0.3">
      <c r="A6" s="445" t="s">
        <v>21</v>
      </c>
      <c r="B6">
        <v>263890.23</v>
      </c>
      <c r="C6" s="310">
        <v>152531.62</v>
      </c>
      <c r="D6" s="310">
        <v>317233.91999999998</v>
      </c>
      <c r="E6" s="77">
        <f t="shared" si="6"/>
        <v>0.73006901782069833</v>
      </c>
      <c r="F6" s="310">
        <v>1036047.46</v>
      </c>
      <c r="G6" s="310">
        <v>250178.98</v>
      </c>
      <c r="H6" s="467">
        <f t="shared" si="0"/>
        <v>5.4805763457825153E-2</v>
      </c>
      <c r="I6" s="86">
        <f t="shared" si="1"/>
        <v>-0.1681525418215051</v>
      </c>
      <c r="J6" s="310">
        <v>716</v>
      </c>
      <c r="K6" s="63">
        <f>IFERROR(B6/J6,0)</f>
        <v>368.56177374301672</v>
      </c>
      <c r="L6" s="61">
        <v>10</v>
      </c>
      <c r="M6" s="28">
        <f t="shared" si="2"/>
        <v>1.3966480446927373E-2</v>
      </c>
      <c r="N6" s="46">
        <v>42</v>
      </c>
      <c r="O6" s="89">
        <f t="shared" si="3"/>
        <v>5.8659217877094973E-2</v>
      </c>
      <c r="P6" s="260">
        <f t="shared" si="7"/>
        <v>65791.686956521749</v>
      </c>
      <c r="Q6" s="89">
        <f t="shared" si="4"/>
        <v>0.24931459931851874</v>
      </c>
      <c r="R6" s="260">
        <f t="shared" si="8"/>
        <v>27472.573913043481</v>
      </c>
      <c r="S6" s="89">
        <f t="shared" si="5"/>
        <v>0.10410606680301686</v>
      </c>
      <c r="T6" s="310">
        <v>9262.4500000000007</v>
      </c>
      <c r="U6" s="26"/>
      <c r="W6" s="310">
        <v>44066.98</v>
      </c>
      <c r="X6" s="73">
        <f>W6/1.15</f>
        <v>38319.113043478268</v>
      </c>
      <c r="Y6" s="238"/>
      <c r="Z6" s="310">
        <v>31593.46</v>
      </c>
      <c r="AA6" s="73">
        <f t="shared" si="9"/>
        <v>27472.573913043481</v>
      </c>
    </row>
    <row r="7" spans="1:27" ht="16.5" customHeight="1" x14ac:dyDescent="0.3">
      <c r="A7" s="445" t="s">
        <v>15</v>
      </c>
      <c r="B7">
        <v>297212.74</v>
      </c>
      <c r="C7" s="310">
        <v>214387.67</v>
      </c>
      <c r="D7" s="310">
        <v>254835.6</v>
      </c>
      <c r="E7" s="77">
        <f t="shared" si="6"/>
        <v>0.38633317858251814</v>
      </c>
      <c r="F7" s="310">
        <v>1117384.24</v>
      </c>
      <c r="G7" s="310">
        <v>272852.59000000003</v>
      </c>
      <c r="H7" s="467">
        <f t="shared" si="0"/>
        <v>8.9279526355238059E-2</v>
      </c>
      <c r="I7" s="86">
        <f t="shared" si="1"/>
        <v>0.16629207222224832</v>
      </c>
      <c r="J7" s="310">
        <v>808</v>
      </c>
      <c r="K7" s="63">
        <f>IFERROR(B7/J7,0)</f>
        <v>367.83754950495046</v>
      </c>
      <c r="L7" s="61">
        <v>4</v>
      </c>
      <c r="M7" s="28">
        <f t="shared" si="2"/>
        <v>4.9504950495049506E-3</v>
      </c>
      <c r="N7" s="46">
        <v>24</v>
      </c>
      <c r="O7" s="89">
        <f t="shared" si="3"/>
        <v>2.9702970297029702E-2</v>
      </c>
      <c r="P7" s="260">
        <f t="shared" si="7"/>
        <v>42710.434782608696</v>
      </c>
      <c r="Q7" s="89">
        <f t="shared" si="4"/>
        <v>0.14370324361805184</v>
      </c>
      <c r="R7" s="260">
        <f t="shared" si="8"/>
        <v>2960.434782608696</v>
      </c>
      <c r="S7" s="89">
        <f t="shared" si="5"/>
        <v>9.9606590976170674E-3</v>
      </c>
      <c r="T7" s="310">
        <v>5170.8999999999996</v>
      </c>
      <c r="U7" s="26"/>
      <c r="W7" s="310">
        <v>45712.5</v>
      </c>
      <c r="X7" s="73">
        <f>W7/1.15</f>
        <v>39750</v>
      </c>
      <c r="Y7" s="238"/>
      <c r="Z7" s="310">
        <v>3404.5</v>
      </c>
      <c r="AA7" s="73">
        <f t="shared" si="9"/>
        <v>2960.434782608696</v>
      </c>
    </row>
    <row r="8" spans="1:27" ht="15.6" customHeight="1" x14ac:dyDescent="0.3">
      <c r="A8" s="12" t="s">
        <v>27</v>
      </c>
      <c r="B8">
        <v>143917.60999999999</v>
      </c>
      <c r="C8" s="310">
        <v>168522.9</v>
      </c>
      <c r="D8" s="310">
        <v>125945.97</v>
      </c>
      <c r="E8" s="77">
        <f t="shared" si="6"/>
        <v>-0.14600561704077017</v>
      </c>
      <c r="F8" s="310">
        <v>656272.18000000005</v>
      </c>
      <c r="G8" s="310">
        <v>141716.53</v>
      </c>
      <c r="H8" s="467">
        <f t="shared" si="0"/>
        <v>1.553156854743753E-2</v>
      </c>
      <c r="I8" s="86">
        <f t="shared" si="1"/>
        <v>0.14269325171738315</v>
      </c>
      <c r="J8" s="310">
        <v>496</v>
      </c>
      <c r="K8" s="63">
        <f>IFERROR(B8/J8,0)</f>
        <v>290.15647177419351</v>
      </c>
      <c r="L8" s="61">
        <v>11</v>
      </c>
      <c r="M8" s="28">
        <f t="shared" si="2"/>
        <v>2.2177419354838711E-2</v>
      </c>
      <c r="N8" s="46">
        <v>25</v>
      </c>
      <c r="O8" s="89">
        <f t="shared" si="3"/>
        <v>5.040322580645161E-2</v>
      </c>
      <c r="P8" s="260">
        <f t="shared" si="7"/>
        <v>56184.573913043481</v>
      </c>
      <c r="Q8" s="89">
        <f t="shared" si="4"/>
        <v>0.39039401719527922</v>
      </c>
      <c r="R8" s="260">
        <f t="shared" si="8"/>
        <v>24949.382608695654</v>
      </c>
      <c r="S8" s="89">
        <f t="shared" si="5"/>
        <v>0.17335878916204664</v>
      </c>
      <c r="T8" s="310">
        <v>5893.95</v>
      </c>
      <c r="U8" s="9"/>
      <c r="W8" s="310">
        <v>35920.47</v>
      </c>
      <c r="X8" s="73">
        <f>W8/1.15</f>
        <v>31235.191304347831</v>
      </c>
      <c r="Y8" s="238"/>
      <c r="Z8" s="310">
        <v>28691.79</v>
      </c>
      <c r="AA8" s="73">
        <f t="shared" si="9"/>
        <v>24949.382608695654</v>
      </c>
    </row>
    <row r="9" spans="1:27" ht="15.6" customHeight="1" x14ac:dyDescent="0.3">
      <c r="A9" s="12" t="s">
        <v>23</v>
      </c>
      <c r="B9">
        <v>224112.06</v>
      </c>
      <c r="C9" s="310">
        <v>222599.19</v>
      </c>
      <c r="D9" s="310">
        <v>243010.12</v>
      </c>
      <c r="E9" s="77">
        <f t="shared" si="6"/>
        <v>6.79638591676814E-3</v>
      </c>
      <c r="F9" s="310">
        <v>900602.25</v>
      </c>
      <c r="G9" s="310">
        <v>249265.48</v>
      </c>
      <c r="H9" s="467">
        <f t="shared" si="0"/>
        <v>-0.10091016212914845</v>
      </c>
      <c r="I9" s="86">
        <f t="shared" si="1"/>
        <v>-7.7766555565669443E-2</v>
      </c>
      <c r="J9" s="310">
        <v>677</v>
      </c>
      <c r="K9" s="63">
        <f>IFERROR(B9/J9,0)</f>
        <v>331.03701624815363</v>
      </c>
      <c r="L9" s="61">
        <v>15</v>
      </c>
      <c r="M9" s="28">
        <f t="shared" si="2"/>
        <v>2.2156573116691284E-2</v>
      </c>
      <c r="N9" s="46">
        <v>48</v>
      </c>
      <c r="O9" s="89">
        <f t="shared" si="3"/>
        <v>7.0901033973412117E-2</v>
      </c>
      <c r="P9" s="260">
        <f t="shared" si="7"/>
        <v>58498.043478260879</v>
      </c>
      <c r="Q9" s="89">
        <f t="shared" si="4"/>
        <v>0.26102139919761963</v>
      </c>
      <c r="R9" s="260">
        <f t="shared" si="8"/>
        <v>34043.260869565223</v>
      </c>
      <c r="S9" s="89">
        <f t="shared" si="5"/>
        <v>0.15190285105391127</v>
      </c>
      <c r="T9" s="310">
        <v>4045.5</v>
      </c>
      <c r="U9" s="26"/>
      <c r="W9" s="310">
        <v>28123</v>
      </c>
      <c r="X9" s="73">
        <f>W9/1.15</f>
        <v>24454.782608695656</v>
      </c>
      <c r="Y9" s="238"/>
      <c r="Z9" s="310">
        <v>39149.75</v>
      </c>
      <c r="AA9" s="73">
        <f t="shared" si="9"/>
        <v>34043.260869565223</v>
      </c>
    </row>
    <row r="10" spans="1:27" ht="15.6" customHeight="1" x14ac:dyDescent="0.3">
      <c r="A10" s="445" t="s">
        <v>16</v>
      </c>
      <c r="B10" s="310"/>
      <c r="C10" s="456"/>
      <c r="D10" s="310">
        <v>191397.82</v>
      </c>
      <c r="E10" s="77">
        <f t="shared" si="6"/>
        <v>0</v>
      </c>
      <c r="F10" s="310"/>
      <c r="G10" s="310">
        <v>271344.55</v>
      </c>
      <c r="H10" s="467">
        <f t="shared" si="0"/>
        <v>-1</v>
      </c>
      <c r="I10" s="86">
        <f>IFERROR((SUM(B11-D10)/D10),0)</f>
        <v>-0.17095168586559659</v>
      </c>
      <c r="J10" s="310"/>
      <c r="K10" s="63">
        <f>IFERROR(B11/J11,0)</f>
        <v>289.55846715328471</v>
      </c>
      <c r="L10" s="61">
        <v>1</v>
      </c>
      <c r="M10" s="28">
        <f>IFERROR(L10/J11,0)</f>
        <v>1.8248175182481751E-3</v>
      </c>
      <c r="N10" s="46">
        <v>15</v>
      </c>
      <c r="O10" s="89">
        <f>IFERROR(N10/SUM(J11),0)</f>
        <v>2.7372262773722629E-2</v>
      </c>
      <c r="P10" s="260">
        <f t="shared" si="7"/>
        <v>49860.321739130442</v>
      </c>
      <c r="Q10" s="89">
        <f>SUM(P10/B11)</f>
        <v>0.31422320151629324</v>
      </c>
      <c r="R10" s="260">
        <f t="shared" si="8"/>
        <v>0</v>
      </c>
      <c r="S10" s="89">
        <f>SUM(R10/B11)</f>
        <v>0</v>
      </c>
      <c r="T10" s="310"/>
      <c r="U10" s="26"/>
      <c r="W10" s="73"/>
      <c r="X10" s="73">
        <f>W11/1.15</f>
        <v>49860.321739130442</v>
      </c>
      <c r="Y10" s="238"/>
      <c r="Z10" s="310"/>
      <c r="AA10" s="73">
        <f t="shared" si="9"/>
        <v>0</v>
      </c>
    </row>
    <row r="11" spans="1:27" ht="15.6" customHeight="1" x14ac:dyDescent="0.3">
      <c r="A11" s="445" t="s">
        <v>17</v>
      </c>
      <c r="B11">
        <v>158678.04</v>
      </c>
      <c r="C11" s="310">
        <v>158992.32999999999</v>
      </c>
      <c r="D11" s="310">
        <v>86713.33</v>
      </c>
      <c r="E11" s="77">
        <f t="shared" si="6"/>
        <v>-1.9767620236773626E-3</v>
      </c>
      <c r="F11" s="310">
        <v>634093.22</v>
      </c>
      <c r="G11" s="310">
        <v>131075.06</v>
      </c>
      <c r="H11" s="467">
        <f t="shared" si="0"/>
        <v>0.21058910825598715</v>
      </c>
      <c r="I11" s="86">
        <f>IFERROR((SUM(#REF!-D11)/D11),0)</f>
        <v>0</v>
      </c>
      <c r="J11" s="310">
        <v>548</v>
      </c>
      <c r="K11" s="63">
        <f>IFERROR(B12/J12,0)</f>
        <v>309.49978783592644</v>
      </c>
      <c r="L11" s="61">
        <v>3</v>
      </c>
      <c r="M11" s="28">
        <f>IFERROR(L11/J12,0)</f>
        <v>4.2432814710042432E-3</v>
      </c>
      <c r="N11" s="46">
        <v>22</v>
      </c>
      <c r="O11" s="89">
        <f>IFERROR(N11/SUM(J12),0)</f>
        <v>3.1117397454031116E-2</v>
      </c>
      <c r="P11" s="260">
        <f t="shared" si="7"/>
        <v>51194.730434782614</v>
      </c>
      <c r="Q11" s="89">
        <f>SUM(P11/B12)</f>
        <v>0.23396208937212695</v>
      </c>
      <c r="R11" s="260">
        <f t="shared" si="8"/>
        <v>17744.46956521739</v>
      </c>
      <c r="S11" s="89">
        <f>SUM(R11/B12)</f>
        <v>8.1092978496430407E-2</v>
      </c>
      <c r="T11" s="310">
        <v>4213.5</v>
      </c>
      <c r="U11" s="26"/>
      <c r="W11" s="310">
        <v>57339.37</v>
      </c>
      <c r="X11" s="73">
        <f>W12/1.15</f>
        <v>33450.260869565223</v>
      </c>
      <c r="Y11" s="238"/>
      <c r="Z11" s="310">
        <v>20406.14</v>
      </c>
      <c r="AA11" s="73">
        <f t="shared" si="9"/>
        <v>17744.46956521739</v>
      </c>
    </row>
    <row r="12" spans="1:27" ht="15.6" customHeight="1" x14ac:dyDescent="0.3">
      <c r="A12" s="12" t="s">
        <v>55</v>
      </c>
      <c r="B12">
        <v>218816.35</v>
      </c>
      <c r="C12" s="310">
        <v>208196.26</v>
      </c>
      <c r="D12" s="310">
        <v>206751.49</v>
      </c>
      <c r="E12" s="77">
        <f t="shared" si="6"/>
        <v>5.1009994127656264E-2</v>
      </c>
      <c r="F12" s="310">
        <v>848876.03</v>
      </c>
      <c r="G12" s="310">
        <v>194877.73</v>
      </c>
      <c r="H12" s="467">
        <f>IFERROR((SUM(B12-#REF!)/#REF!),0)</f>
        <v>0</v>
      </c>
      <c r="I12" s="86">
        <f>IFERROR((SUM(B12-D12)/D12),0)</f>
        <v>5.8354404120618507E-2</v>
      </c>
      <c r="J12" s="310">
        <v>707</v>
      </c>
      <c r="K12" s="63">
        <f>IFERROR(B12/J12,0)</f>
        <v>309.49978783592644</v>
      </c>
      <c r="L12" s="61">
        <v>7</v>
      </c>
      <c r="M12" s="28">
        <f>IFERROR(L12/J12,0)</f>
        <v>9.9009900990099011E-3</v>
      </c>
      <c r="N12" s="46">
        <v>17</v>
      </c>
      <c r="O12" s="89">
        <f>IFERROR(N12/SUM(J12),0)</f>
        <v>2.4045261669024046E-2</v>
      </c>
      <c r="P12" s="260">
        <f t="shared" si="7"/>
        <v>64965.426086956533</v>
      </c>
      <c r="Q12" s="89">
        <f>SUM(P12/B12)</f>
        <v>0.29689475254914238</v>
      </c>
      <c r="R12" s="260">
        <f t="shared" si="8"/>
        <v>31515.16521739131</v>
      </c>
      <c r="S12" s="89">
        <f>SUM(R12/B12)</f>
        <v>0.14402564167344584</v>
      </c>
      <c r="T12" s="310">
        <v>6789.95</v>
      </c>
      <c r="U12" s="9"/>
      <c r="W12" s="310">
        <v>38467.800000000003</v>
      </c>
      <c r="X12" s="73">
        <f>W12/1.15</f>
        <v>33450.260869565223</v>
      </c>
      <c r="Y12" s="238"/>
      <c r="Z12" s="310">
        <v>36242.44</v>
      </c>
      <c r="AA12" s="73">
        <f t="shared" si="9"/>
        <v>31515.16521739131</v>
      </c>
    </row>
    <row r="13" spans="1:27" ht="15.6" customHeight="1" x14ac:dyDescent="0.3">
      <c r="A13" s="12" t="s">
        <v>33</v>
      </c>
      <c r="B13">
        <v>164585.42000000001</v>
      </c>
      <c r="C13" s="310">
        <v>161350.95000000001</v>
      </c>
      <c r="D13" s="310"/>
      <c r="E13" s="77">
        <f t="shared" si="6"/>
        <v>2.0046178841835148E-2</v>
      </c>
      <c r="F13" s="310">
        <v>715246.35</v>
      </c>
      <c r="G13" s="310">
        <v>172711.42</v>
      </c>
      <c r="H13" s="467">
        <f>IFERROR((SUM(B13-G12)/G12),0)</f>
        <v>-0.15544264601193783</v>
      </c>
      <c r="I13" s="86">
        <f>IFERROR((SUM(B13-D13)/D13),0)</f>
        <v>0</v>
      </c>
      <c r="J13" s="310">
        <v>547</v>
      </c>
      <c r="K13" s="63">
        <f>IFERROR(B13/J13,0)</f>
        <v>300.8874223034735</v>
      </c>
      <c r="L13" s="61">
        <v>13</v>
      </c>
      <c r="M13" s="28">
        <f>IFERROR(L13/J13,0)</f>
        <v>2.376599634369287E-2</v>
      </c>
      <c r="N13" s="46">
        <v>37</v>
      </c>
      <c r="O13" s="89">
        <f>IFERROR(N13/SUM(J13),0)</f>
        <v>6.7641681901279713E-2</v>
      </c>
      <c r="P13" s="260">
        <f t="shared" si="7"/>
        <v>46226.234782608699</v>
      </c>
      <c r="Q13" s="89">
        <f>SUM(P13/B13)</f>
        <v>0.2808647010325015</v>
      </c>
      <c r="R13" s="260">
        <f t="shared" si="8"/>
        <v>22837.608695652176</v>
      </c>
      <c r="S13" s="89">
        <f>SUM(R13/B13)</f>
        <v>0.1387583948544906</v>
      </c>
      <c r="T13" s="310">
        <v>4462</v>
      </c>
      <c r="U13" s="9"/>
      <c r="W13" s="310">
        <v>26896.92</v>
      </c>
      <c r="X13" s="73">
        <f>W13/1.15</f>
        <v>23388.626086956523</v>
      </c>
      <c r="Y13" s="238"/>
      <c r="Z13" s="310">
        <v>26263.25</v>
      </c>
      <c r="AA13" s="73">
        <f t="shared" si="9"/>
        <v>22837.608695652176</v>
      </c>
    </row>
    <row r="14" spans="1:27" ht="15.6" customHeight="1" x14ac:dyDescent="0.3">
      <c r="A14" s="445" t="s">
        <v>20</v>
      </c>
      <c r="B14">
        <v>160577.60999999999</v>
      </c>
      <c r="C14" s="310">
        <v>137911.5</v>
      </c>
      <c r="D14" s="310">
        <v>144600.03</v>
      </c>
      <c r="E14" s="77">
        <f t="shared" si="6"/>
        <v>0.1643525739332832</v>
      </c>
      <c r="F14" s="310">
        <v>598565.94999999995</v>
      </c>
      <c r="G14" s="310">
        <v>170567.98</v>
      </c>
      <c r="H14" s="467">
        <f>IFERROR((SUM(B14-G14)/G14),0)</f>
        <v>-5.8571192553256615E-2</v>
      </c>
      <c r="I14" s="86">
        <f>IFERROR((SUM(B14-D14)/D14),0)</f>
        <v>0.11049499782261447</v>
      </c>
      <c r="J14" s="310">
        <v>437</v>
      </c>
      <c r="K14" s="63">
        <f>IFERROR(B14/J14,0)</f>
        <v>367.45448512585807</v>
      </c>
      <c r="L14" s="61">
        <v>11</v>
      </c>
      <c r="M14" s="28">
        <f>IFERROR(L14/J14,0)</f>
        <v>2.5171624713958809E-2</v>
      </c>
      <c r="N14" s="46">
        <v>41</v>
      </c>
      <c r="O14" s="89">
        <f>IFERROR(N14/SUM(J14),0)</f>
        <v>9.3821510297482841E-2</v>
      </c>
      <c r="P14" s="260">
        <f t="shared" si="7"/>
        <v>63248.843478260867</v>
      </c>
      <c r="Q14" s="89">
        <f>SUM(P14/B14)</f>
        <v>0.3938833283062369</v>
      </c>
      <c r="R14" s="260">
        <f t="shared" si="8"/>
        <v>17326.956521739132</v>
      </c>
      <c r="S14" s="89">
        <f>SUM(R14/B14)</f>
        <v>0.10790393829961184</v>
      </c>
      <c r="T14" s="310">
        <v>1684.8</v>
      </c>
      <c r="U14" s="26"/>
      <c r="W14" s="310">
        <v>52810.17</v>
      </c>
      <c r="X14" s="73">
        <f>W14/1.15</f>
        <v>45921.886956521739</v>
      </c>
      <c r="Y14" s="238"/>
      <c r="Z14" s="310">
        <v>19926</v>
      </c>
      <c r="AA14" s="73">
        <f t="shared" si="9"/>
        <v>17326.956521739132</v>
      </c>
    </row>
    <row r="15" spans="1:27" ht="15.6" customHeight="1" x14ac:dyDescent="0.3">
      <c r="A15" s="12" t="s">
        <v>22</v>
      </c>
      <c r="B15">
        <v>139321.73000000001</v>
      </c>
      <c r="C15" s="310">
        <v>147084.65</v>
      </c>
      <c r="D15" s="310">
        <v>152846.04</v>
      </c>
      <c r="E15" s="77">
        <f t="shared" si="6"/>
        <v>-5.2778587024546637E-2</v>
      </c>
      <c r="F15" s="310">
        <v>563412.9</v>
      </c>
      <c r="G15" s="310">
        <v>131218.14000000001</v>
      </c>
      <c r="H15" s="467">
        <f>IFERROR((SUM(B15-G15)/G15),0)</f>
        <v>6.1756629075827442E-2</v>
      </c>
      <c r="I15" s="86">
        <f>IFERROR((SUM(B15-D15)/D15),0)</f>
        <v>-8.848322141679299E-2</v>
      </c>
      <c r="J15" s="310">
        <v>440</v>
      </c>
      <c r="K15" s="63">
        <f>IFERROR(B15/J15,0)</f>
        <v>316.64029545454548</v>
      </c>
      <c r="L15" s="61">
        <v>6</v>
      </c>
      <c r="M15" s="28">
        <f>IFERROR(L15/J15,0)</f>
        <v>1.3636363636363636E-2</v>
      </c>
      <c r="N15" s="46">
        <v>27</v>
      </c>
      <c r="O15" s="89">
        <f>IFERROR(N15/SUM(J15),0)</f>
        <v>6.1363636363636363E-2</v>
      </c>
      <c r="P15" s="260">
        <f t="shared" si="7"/>
        <v>35674.191304347827</v>
      </c>
      <c r="Q15" s="89">
        <f>SUM(P15/B15)</f>
        <v>0.25605618954306569</v>
      </c>
      <c r="R15" s="260">
        <f t="shared" si="8"/>
        <v>19245.434782608696</v>
      </c>
      <c r="S15" s="89">
        <f>SUM(R15/B15)</f>
        <v>0.13813663369388748</v>
      </c>
      <c r="T15" s="310">
        <v>4387.5</v>
      </c>
      <c r="U15" s="26"/>
      <c r="W15" s="310">
        <v>18893.07</v>
      </c>
      <c r="X15" s="73">
        <f>W15/1.15</f>
        <v>16428.756521739131</v>
      </c>
      <c r="Y15" s="238"/>
      <c r="Z15" s="310">
        <v>22132.25</v>
      </c>
      <c r="AA15" s="73">
        <f t="shared" si="9"/>
        <v>19245.434782608696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49" spans="11:11" x14ac:dyDescent="0.3">
      <c r="K49" s="446"/>
    </row>
  </sheetData>
  <conditionalFormatting sqref="E5:E15 I5:I15 K5:S15">
    <cfRule type="cellIs" dxfId="37" priority="2" operator="equal">
      <formula>0</formula>
    </cfRule>
  </conditionalFormatting>
  <conditionalFormatting sqref="P12:P13">
    <cfRule type="cellIs" dxfId="3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AA49"/>
  <sheetViews>
    <sheetView zoomScale="60" zoomScaleNormal="60" workbookViewId="0">
      <pane xSplit="1" topLeftCell="B1" activePane="topRight" state="frozen"/>
      <selection pane="topRight" activeCell="J43" sqref="J43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0.33203125" customWidth="1"/>
    <col min="14" max="14" width="9.4414062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-0.30511657735961889</v>
      </c>
      <c r="F2" s="426"/>
      <c r="G2" s="1"/>
      <c r="H2" s="427"/>
      <c r="I2" s="422">
        <f>((B4-D4)/D4)</f>
        <v>-0.10741837449272143</v>
      </c>
      <c r="J2" s="459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31.2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101" t="s">
        <v>32</v>
      </c>
      <c r="M3" s="101" t="s">
        <v>29</v>
      </c>
      <c r="N3" s="101" t="s">
        <v>9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1687168.08</v>
      </c>
      <c r="C4" s="98">
        <f>SUM(C5:C15)</f>
        <v>2201951.0299999998</v>
      </c>
      <c r="D4" s="98">
        <f>SUM(D5:D15)</f>
        <v>1890211.53</v>
      </c>
      <c r="E4" s="436">
        <f>IFERROR((SUM(B4-C4)/B4),0)</f>
        <v>-0.30511657735961889</v>
      </c>
      <c r="F4" s="465">
        <f>SUM(F5:F15)</f>
        <v>1687168.08</v>
      </c>
      <c r="G4" s="468">
        <f>SUM(G5:G15)</f>
        <v>2268424.15</v>
      </c>
      <c r="H4" s="436">
        <f t="shared" ref="H4:H11" si="0">IFERROR((SUM(B4-G4)/G4),0)</f>
        <v>-0.25623782483535978</v>
      </c>
      <c r="I4" s="436">
        <f t="shared" ref="I4:I9" si="1">IFERROR((SUM(B4-D4)/D4),0)</f>
        <v>-0.10741837449272143</v>
      </c>
      <c r="J4" s="460">
        <f>SUM(J5:J15)</f>
        <v>5271</v>
      </c>
      <c r="K4" s="438">
        <f>AVERAGE(K5:K15)</f>
        <v>318.30711623115218</v>
      </c>
      <c r="L4" s="439">
        <f>SUM(L5:L15)</f>
        <v>91</v>
      </c>
      <c r="M4" s="440">
        <f t="shared" ref="M4:M9" si="2">IFERROR(L4/J4,0)</f>
        <v>1.7264276228419653E-2</v>
      </c>
      <c r="N4" s="441">
        <f>SUM(N7:N15)</f>
        <v>256</v>
      </c>
      <c r="O4" s="442">
        <f t="shared" ref="O4:O9" si="3">IFERROR(N4/SUM(J4),0)</f>
        <v>4.8567634225004742E-2</v>
      </c>
      <c r="P4" s="443">
        <f>SUM(P5:P15)</f>
        <v>470001.45217391313</v>
      </c>
      <c r="Q4" s="442">
        <f t="shared" ref="Q4:Q9" si="4">SUM(P4/B4)</f>
        <v>0.2785741727486411</v>
      </c>
      <c r="R4" s="443">
        <f>SUM(R5:R15)</f>
        <v>223534.81739130439</v>
      </c>
      <c r="S4" s="442">
        <f t="shared" ref="S4:S9" si="5">SUM(R4/B4)</f>
        <v>0.13249113709601734</v>
      </c>
      <c r="T4" s="444">
        <f>SUM(T5:T15)</f>
        <v>41472.9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282242.64</v>
      </c>
      <c r="C5" s="310">
        <v>430839.24</v>
      </c>
      <c r="D5" s="310">
        <v>166877.21</v>
      </c>
      <c r="E5" s="77">
        <f t="shared" ref="E5:E15" si="6">IFERROR((SUM(B5-C5)/C5),0)</f>
        <v>-0.34490033916130752</v>
      </c>
      <c r="F5" s="310">
        <v>282242.64</v>
      </c>
      <c r="G5" s="310">
        <v>229606.86</v>
      </c>
      <c r="H5" s="467">
        <f t="shared" si="0"/>
        <v>0.22924306355655066</v>
      </c>
      <c r="I5" s="86">
        <f t="shared" si="1"/>
        <v>0.69131926402652599</v>
      </c>
      <c r="J5" s="310">
        <v>820</v>
      </c>
      <c r="K5" s="63">
        <f>IFERROR(B5/J5,0)</f>
        <v>344.19834146341464</v>
      </c>
      <c r="L5" s="61">
        <v>10</v>
      </c>
      <c r="M5" s="28">
        <f t="shared" si="2"/>
        <v>1.2195121951219513E-2</v>
      </c>
      <c r="N5" s="46">
        <v>42</v>
      </c>
      <c r="O5" s="89">
        <f t="shared" si="3"/>
        <v>5.1219512195121948E-2</v>
      </c>
      <c r="P5" s="260">
        <f t="shared" ref="P5:P15" si="7">SUM(X5+AA5)</f>
        <v>23893.043478260872</v>
      </c>
      <c r="Q5" s="89">
        <f t="shared" si="4"/>
        <v>8.4654265841124746E-2</v>
      </c>
      <c r="R5" s="260">
        <f t="shared" ref="R5:R15" si="8">SUM(AA5)</f>
        <v>23893.043478260872</v>
      </c>
      <c r="S5" s="89">
        <f t="shared" si="5"/>
        <v>8.4654265841124746E-2</v>
      </c>
      <c r="T5" s="310">
        <v>2043.8</v>
      </c>
      <c r="U5" s="9"/>
      <c r="W5" s="311">
        <v>0</v>
      </c>
      <c r="X5" s="297">
        <f>W5/1.15</f>
        <v>0</v>
      </c>
      <c r="Z5" s="310">
        <v>27477</v>
      </c>
      <c r="AA5" s="297">
        <f t="shared" ref="AA5:AA15" si="9">SUM(Z5)/1.15</f>
        <v>23893.043478260872</v>
      </c>
    </row>
    <row r="6" spans="1:27" ht="15.6" customHeight="1" x14ac:dyDescent="0.3">
      <c r="A6" s="445" t="s">
        <v>21</v>
      </c>
      <c r="B6" s="310">
        <v>144807.54999999999</v>
      </c>
      <c r="C6" s="310">
        <v>263890.23</v>
      </c>
      <c r="D6" s="310">
        <v>317233.91999999998</v>
      </c>
      <c r="E6" s="77">
        <f t="shared" si="6"/>
        <v>-0.45125838876263058</v>
      </c>
      <c r="F6" s="310">
        <v>144807.54999999999</v>
      </c>
      <c r="G6" s="310">
        <v>251631.67</v>
      </c>
      <c r="H6" s="467">
        <f t="shared" si="0"/>
        <v>-0.4245257363669685</v>
      </c>
      <c r="I6" s="86">
        <f t="shared" si="1"/>
        <v>-0.54353068549542249</v>
      </c>
      <c r="J6" s="310">
        <v>440</v>
      </c>
      <c r="K6" s="63">
        <f>IFERROR(B6/J6,0)</f>
        <v>329.10806818181817</v>
      </c>
      <c r="L6" s="61">
        <v>10</v>
      </c>
      <c r="M6" s="28">
        <f t="shared" si="2"/>
        <v>2.2727272727272728E-2</v>
      </c>
      <c r="N6" s="46">
        <v>42</v>
      </c>
      <c r="O6" s="89">
        <f t="shared" si="3"/>
        <v>9.5454545454545459E-2</v>
      </c>
      <c r="P6" s="260">
        <f t="shared" si="7"/>
        <v>45216.556521739134</v>
      </c>
      <c r="Q6" s="89">
        <f t="shared" si="4"/>
        <v>0.31225275561763965</v>
      </c>
      <c r="R6" s="260">
        <f t="shared" si="8"/>
        <v>17508.26086956522</v>
      </c>
      <c r="S6" s="89">
        <f t="shared" si="5"/>
        <v>0.12090709959228797</v>
      </c>
      <c r="T6" s="310">
        <v>4821.95</v>
      </c>
      <c r="U6" s="26"/>
      <c r="W6" s="310">
        <v>31864.54</v>
      </c>
      <c r="X6" s="73">
        <f>W6/1.15</f>
        <v>27708.295652173914</v>
      </c>
      <c r="Y6" s="238"/>
      <c r="Z6" s="310">
        <v>20134.5</v>
      </c>
      <c r="AA6" s="73">
        <f t="shared" si="9"/>
        <v>17508.26086956522</v>
      </c>
    </row>
    <row r="7" spans="1:27" ht="16.5" customHeight="1" x14ac:dyDescent="0.3">
      <c r="A7" s="445" t="s">
        <v>15</v>
      </c>
      <c r="B7" s="310">
        <v>205941.29</v>
      </c>
      <c r="C7" s="310">
        <v>297212.74</v>
      </c>
      <c r="D7" s="310">
        <v>254835.6</v>
      </c>
      <c r="E7" s="77">
        <f t="shared" si="6"/>
        <v>-0.30709131109251908</v>
      </c>
      <c r="F7" s="310">
        <v>205941.29</v>
      </c>
      <c r="G7" s="310">
        <v>273957.15999999997</v>
      </c>
      <c r="H7" s="467">
        <f t="shared" si="0"/>
        <v>-0.24827191959501979</v>
      </c>
      <c r="I7" s="86">
        <f t="shared" si="1"/>
        <v>-0.19186608935329286</v>
      </c>
      <c r="J7" s="310">
        <v>568</v>
      </c>
      <c r="K7" s="63">
        <f>IFERROR(B7/J7,0)</f>
        <v>362.57269366197187</v>
      </c>
      <c r="L7" s="61">
        <v>4</v>
      </c>
      <c r="M7" s="28">
        <f t="shared" si="2"/>
        <v>7.0422535211267607E-3</v>
      </c>
      <c r="N7" s="46">
        <v>24</v>
      </c>
      <c r="O7" s="89">
        <f t="shared" si="3"/>
        <v>4.2253521126760563E-2</v>
      </c>
      <c r="P7" s="260">
        <f t="shared" si="7"/>
        <v>37523.043478260872</v>
      </c>
      <c r="Q7" s="89">
        <f t="shared" si="4"/>
        <v>0.18220262424432163</v>
      </c>
      <c r="R7" s="260">
        <f t="shared" si="8"/>
        <v>2450</v>
      </c>
      <c r="S7" s="89">
        <f t="shared" si="5"/>
        <v>1.1896594412902823E-2</v>
      </c>
      <c r="T7" s="310">
        <v>5506.65</v>
      </c>
      <c r="U7" s="26"/>
      <c r="W7" s="310">
        <v>40334</v>
      </c>
      <c r="X7" s="73">
        <f>W7/1.15</f>
        <v>35073.043478260872</v>
      </c>
      <c r="Y7" s="238"/>
      <c r="Z7" s="310">
        <v>2817.5</v>
      </c>
      <c r="AA7" s="73">
        <f t="shared" si="9"/>
        <v>2450</v>
      </c>
    </row>
    <row r="8" spans="1:27" ht="15.6" customHeight="1" x14ac:dyDescent="0.3">
      <c r="A8" s="12" t="s">
        <v>27</v>
      </c>
      <c r="B8" s="310">
        <v>128699.4</v>
      </c>
      <c r="C8" s="310">
        <v>143917.60999999999</v>
      </c>
      <c r="D8" s="310">
        <v>125945.97</v>
      </c>
      <c r="E8" s="77">
        <f t="shared" si="6"/>
        <v>-0.10574251476243939</v>
      </c>
      <c r="F8" s="310">
        <v>128699.4</v>
      </c>
      <c r="G8" s="310">
        <v>163958.01999999999</v>
      </c>
      <c r="H8" s="467">
        <f t="shared" si="0"/>
        <v>-0.21504663205862085</v>
      </c>
      <c r="I8" s="86">
        <f t="shared" si="1"/>
        <v>2.1861993678717891E-2</v>
      </c>
      <c r="J8" s="310">
        <v>413</v>
      </c>
      <c r="K8" s="63">
        <f>IFERROR(B8/J8,0)</f>
        <v>311.62082324455207</v>
      </c>
      <c r="L8" s="61">
        <v>11</v>
      </c>
      <c r="M8" s="28">
        <f t="shared" si="2"/>
        <v>2.6634382566585957E-2</v>
      </c>
      <c r="N8" s="46">
        <v>25</v>
      </c>
      <c r="O8" s="89">
        <f t="shared" si="3"/>
        <v>6.0532687651331719E-2</v>
      </c>
      <c r="P8" s="260">
        <f t="shared" si="7"/>
        <v>44533.2</v>
      </c>
      <c r="Q8" s="89">
        <f t="shared" si="4"/>
        <v>0.34602492319311512</v>
      </c>
      <c r="R8" s="260">
        <f t="shared" si="8"/>
        <v>21607.860869565218</v>
      </c>
      <c r="S8" s="89">
        <f t="shared" si="5"/>
        <v>0.1678940295725172</v>
      </c>
      <c r="T8" s="310">
        <v>3378</v>
      </c>
      <c r="U8" s="9"/>
      <c r="W8" s="310">
        <v>26364.14</v>
      </c>
      <c r="X8" s="73">
        <f>W8/1.15</f>
        <v>22925.339130434782</v>
      </c>
      <c r="Y8" s="238"/>
      <c r="Z8" s="310">
        <v>24849.040000000001</v>
      </c>
      <c r="AA8" s="73">
        <f t="shared" si="9"/>
        <v>21607.860869565218</v>
      </c>
    </row>
    <row r="9" spans="1:27" ht="15.6" customHeight="1" x14ac:dyDescent="0.3">
      <c r="A9" s="12" t="s">
        <v>23</v>
      </c>
      <c r="B9" s="310">
        <v>175734.13</v>
      </c>
      <c r="C9" s="310">
        <v>224112.06</v>
      </c>
      <c r="D9" s="310">
        <v>243010.12</v>
      </c>
      <c r="E9" s="77">
        <f t="shared" si="6"/>
        <v>-0.21586491150900131</v>
      </c>
      <c r="F9" s="310">
        <v>175734.13</v>
      </c>
      <c r="G9" s="310">
        <v>220292.82</v>
      </c>
      <c r="H9" s="467">
        <f t="shared" si="0"/>
        <v>-0.20227027825963642</v>
      </c>
      <c r="I9" s="86">
        <f t="shared" si="1"/>
        <v>-0.27684439643912767</v>
      </c>
      <c r="J9" s="310">
        <v>581</v>
      </c>
      <c r="K9" s="63">
        <f>IFERROR(B9/J9,0)</f>
        <v>302.46838209982786</v>
      </c>
      <c r="L9" s="61">
        <v>15</v>
      </c>
      <c r="M9" s="28">
        <f t="shared" si="2"/>
        <v>2.5817555938037865E-2</v>
      </c>
      <c r="N9" s="46">
        <v>48</v>
      </c>
      <c r="O9" s="89">
        <f t="shared" si="3"/>
        <v>8.2616179001721177E-2</v>
      </c>
      <c r="P9" s="260">
        <f t="shared" si="7"/>
        <v>53251.608695652176</v>
      </c>
      <c r="Q9" s="89">
        <f t="shared" si="4"/>
        <v>0.303023713695525</v>
      </c>
      <c r="R9" s="260">
        <f t="shared" si="8"/>
        <v>30838.026086956528</v>
      </c>
      <c r="S9" s="89">
        <f t="shared" si="5"/>
        <v>0.17548114351467486</v>
      </c>
      <c r="T9" s="310">
        <v>4615</v>
      </c>
      <c r="U9" s="26"/>
      <c r="W9" s="310">
        <v>25775.62</v>
      </c>
      <c r="X9" s="73">
        <f>W9/1.15</f>
        <v>22413.582608695651</v>
      </c>
      <c r="Y9" s="238"/>
      <c r="Z9" s="310">
        <v>35463.730000000003</v>
      </c>
      <c r="AA9" s="73">
        <f t="shared" si="9"/>
        <v>30838.026086956528</v>
      </c>
    </row>
    <row r="10" spans="1:27" ht="15.6" customHeight="1" x14ac:dyDescent="0.3">
      <c r="A10" s="445" t="s">
        <v>16</v>
      </c>
      <c r="B10" s="310"/>
      <c r="C10" s="310"/>
      <c r="D10" s="310">
        <v>191397.82</v>
      </c>
      <c r="E10" s="77">
        <f t="shared" si="6"/>
        <v>0</v>
      </c>
      <c r="F10" s="310"/>
      <c r="G10" s="310">
        <v>263550.87</v>
      </c>
      <c r="H10" s="467">
        <f t="shared" si="0"/>
        <v>-1</v>
      </c>
      <c r="I10" s="86">
        <f>IFERROR((SUM(B11-D10)/D10),0)</f>
        <v>-0.3199479492504147</v>
      </c>
      <c r="J10" s="310"/>
      <c r="K10" s="63">
        <f>IFERROR(B11/J11,0)</f>
        <v>309.90590476190476</v>
      </c>
      <c r="L10" s="61">
        <v>1</v>
      </c>
      <c r="M10" s="28">
        <f>IFERROR(L10/J11,0)</f>
        <v>2.3809523809523812E-3</v>
      </c>
      <c r="N10" s="46">
        <v>15</v>
      </c>
      <c r="O10" s="89">
        <f>IFERROR(N10/SUM(J11),0)</f>
        <v>3.5714285714285712E-2</v>
      </c>
      <c r="P10" s="260">
        <f t="shared" si="7"/>
        <v>36229.669565217395</v>
      </c>
      <c r="Q10" s="89">
        <f>SUM(P10/B11)</f>
        <v>0.27834615825953773</v>
      </c>
      <c r="R10" s="260">
        <f t="shared" si="8"/>
        <v>0</v>
      </c>
      <c r="S10" s="89">
        <f>SUM(R10/B11)</f>
        <v>0</v>
      </c>
      <c r="T10" s="310"/>
      <c r="U10" s="26"/>
      <c r="W10" s="310"/>
      <c r="X10" s="73">
        <f>W11/1.15</f>
        <v>36229.669565217395</v>
      </c>
      <c r="Y10" s="238"/>
      <c r="Z10" s="310"/>
      <c r="AA10" s="73">
        <f t="shared" si="9"/>
        <v>0</v>
      </c>
    </row>
    <row r="11" spans="1:27" ht="15.6" customHeight="1" x14ac:dyDescent="0.3">
      <c r="A11" s="445" t="s">
        <v>17</v>
      </c>
      <c r="B11" s="310">
        <v>130160.48</v>
      </c>
      <c r="C11" s="310">
        <v>158678.04</v>
      </c>
      <c r="D11" s="310">
        <v>86713.33</v>
      </c>
      <c r="E11" s="77">
        <f t="shared" si="6"/>
        <v>-0.17971963858388981</v>
      </c>
      <c r="F11" s="310">
        <v>130160.48</v>
      </c>
      <c r="G11" s="310">
        <v>137319.82</v>
      </c>
      <c r="H11" s="467">
        <f t="shared" si="0"/>
        <v>-5.2136246610285465E-2</v>
      </c>
      <c r="I11" s="86">
        <f>IFERROR((SUM(#REF!-D11)/D11),0)</f>
        <v>0</v>
      </c>
      <c r="J11" s="310">
        <v>420</v>
      </c>
      <c r="K11" s="63">
        <f>IFERROR(B12/J12,0)</f>
        <v>294.97988941548181</v>
      </c>
      <c r="L11" s="61">
        <v>3</v>
      </c>
      <c r="M11" s="28">
        <f>IFERROR(L11/J12,0)</f>
        <v>4.7393364928909956E-3</v>
      </c>
      <c r="N11" s="46">
        <v>22</v>
      </c>
      <c r="O11" s="89">
        <f>IFERROR(N11/SUM(J12),0)</f>
        <v>3.4755134281200632E-2</v>
      </c>
      <c r="P11" s="260">
        <f t="shared" si="7"/>
        <v>42400.64347826087</v>
      </c>
      <c r="Q11" s="89">
        <f>SUM(P11/B12)</f>
        <v>0.22707866329099829</v>
      </c>
      <c r="R11" s="260">
        <f t="shared" si="8"/>
        <v>23268.73043478261</v>
      </c>
      <c r="S11" s="89">
        <f>SUM(R11/B12)</f>
        <v>0.12461679281631811</v>
      </c>
      <c r="T11" s="310">
        <v>3571.5</v>
      </c>
      <c r="U11" s="26"/>
      <c r="W11" s="310">
        <v>41664.120000000003</v>
      </c>
      <c r="X11" s="73">
        <f>W12/1.15</f>
        <v>19131.913043478264</v>
      </c>
      <c r="Y11" s="238"/>
      <c r="Z11" s="310">
        <v>26759.040000000001</v>
      </c>
      <c r="AA11" s="73">
        <f t="shared" si="9"/>
        <v>23268.73043478261</v>
      </c>
    </row>
    <row r="12" spans="1:27" ht="15.6" customHeight="1" x14ac:dyDescent="0.3">
      <c r="A12" s="12" t="s">
        <v>55</v>
      </c>
      <c r="B12" s="310">
        <v>186722.27</v>
      </c>
      <c r="C12" s="310">
        <v>218816.35</v>
      </c>
      <c r="D12" s="310">
        <v>206751.49</v>
      </c>
      <c r="E12" s="77">
        <f t="shared" si="6"/>
        <v>-0.14667130678306267</v>
      </c>
      <c r="F12" s="310">
        <v>186722.27</v>
      </c>
      <c r="G12" s="310">
        <v>202700.94</v>
      </c>
      <c r="H12" s="467">
        <f>IFERROR((SUM(B12-#REF!)/#REF!),0)</f>
        <v>0</v>
      </c>
      <c r="I12" s="86">
        <f>IFERROR((SUM(B12-D12)/D12),0)</f>
        <v>-9.6875819371362221E-2</v>
      </c>
      <c r="J12" s="310">
        <v>633</v>
      </c>
      <c r="K12" s="63">
        <f>IFERROR(B12/J12,0)</f>
        <v>294.97988941548181</v>
      </c>
      <c r="L12" s="61">
        <v>7</v>
      </c>
      <c r="M12" s="28">
        <f>IFERROR(L12/J12,0)</f>
        <v>1.1058451816745656E-2</v>
      </c>
      <c r="N12" s="46">
        <v>17</v>
      </c>
      <c r="O12" s="89">
        <f>IFERROR(N12/SUM(J12),0)</f>
        <v>2.6856240126382307E-2</v>
      </c>
      <c r="P12" s="260">
        <f t="shared" si="7"/>
        <v>59796.504347826092</v>
      </c>
      <c r="Q12" s="89">
        <f>SUM(P12/B12)</f>
        <v>0.32024302375836633</v>
      </c>
      <c r="R12" s="260">
        <f t="shared" si="8"/>
        <v>40664.591304347829</v>
      </c>
      <c r="S12" s="89">
        <f>SUM(R12/B12)</f>
        <v>0.21778115328368614</v>
      </c>
      <c r="T12" s="310">
        <v>3849.9</v>
      </c>
      <c r="U12" s="9"/>
      <c r="W12" s="310">
        <v>22001.7</v>
      </c>
      <c r="X12" s="73">
        <f>W12/1.15</f>
        <v>19131.913043478264</v>
      </c>
      <c r="Y12" s="238"/>
      <c r="Z12" s="310">
        <v>46764.28</v>
      </c>
      <c r="AA12" s="73">
        <f t="shared" si="9"/>
        <v>40664.591304347829</v>
      </c>
    </row>
    <row r="13" spans="1:27" ht="15.6" customHeight="1" x14ac:dyDescent="0.3">
      <c r="A13" s="12" t="s">
        <v>33</v>
      </c>
      <c r="B13" s="310">
        <v>151512.03</v>
      </c>
      <c r="C13" s="310">
        <v>164585.42000000001</v>
      </c>
      <c r="D13" s="310"/>
      <c r="E13" s="77">
        <f t="shared" si="6"/>
        <v>-7.9432248615946735E-2</v>
      </c>
      <c r="F13" s="310">
        <v>151512.03</v>
      </c>
      <c r="G13" s="310">
        <v>196802.72</v>
      </c>
      <c r="H13" s="467">
        <f>IFERROR((SUM(B13-G12)/G12),0)</f>
        <v>-0.25253415203698615</v>
      </c>
      <c r="I13" s="86">
        <f>IFERROR((SUM(B13-D13)/D13),0)</f>
        <v>0</v>
      </c>
      <c r="J13" s="310">
        <v>539</v>
      </c>
      <c r="K13" s="63">
        <f>IFERROR(B13/J13,0)</f>
        <v>281.09838589981445</v>
      </c>
      <c r="L13" s="61">
        <v>13</v>
      </c>
      <c r="M13" s="28">
        <f>IFERROR(L13/J13,0)</f>
        <v>2.4118738404452691E-2</v>
      </c>
      <c r="N13" s="46">
        <v>37</v>
      </c>
      <c r="O13" s="89">
        <f>IFERROR(N13/SUM(J13),0)</f>
        <v>6.8645640074211506E-2</v>
      </c>
      <c r="P13" s="260">
        <f t="shared" si="7"/>
        <v>37449.773913043486</v>
      </c>
      <c r="Q13" s="89">
        <f>SUM(P13/B13)</f>
        <v>0.2471736000965962</v>
      </c>
      <c r="R13" s="260">
        <f t="shared" si="8"/>
        <v>18663.913043478264</v>
      </c>
      <c r="S13" s="89">
        <f>SUM(R13/B13)</f>
        <v>0.12318436393122226</v>
      </c>
      <c r="T13" s="310">
        <v>5041</v>
      </c>
      <c r="U13" s="9"/>
      <c r="W13" s="310">
        <v>21603.74</v>
      </c>
      <c r="X13" s="73">
        <f>W13/1.15</f>
        <v>18785.860869565222</v>
      </c>
      <c r="Y13" s="238"/>
      <c r="Z13" s="310">
        <v>21463.5</v>
      </c>
      <c r="AA13" s="73">
        <f t="shared" si="9"/>
        <v>18663.913043478264</v>
      </c>
    </row>
    <row r="14" spans="1:27" ht="15.6" customHeight="1" x14ac:dyDescent="0.3">
      <c r="A14" s="445" t="s">
        <v>20</v>
      </c>
      <c r="B14" s="310">
        <v>133343.67999999999</v>
      </c>
      <c r="C14" s="310">
        <v>160577.60999999999</v>
      </c>
      <c r="D14" s="310">
        <v>144600.03</v>
      </c>
      <c r="E14" s="77">
        <f t="shared" si="6"/>
        <v>-0.16959979663416336</v>
      </c>
      <c r="F14" s="310">
        <v>133343.67999999999</v>
      </c>
      <c r="G14" s="310">
        <v>186729.06</v>
      </c>
      <c r="H14" s="467">
        <f>IFERROR((SUM(B14-G14)/G14),0)</f>
        <v>-0.28589754588814403</v>
      </c>
      <c r="I14" s="86">
        <f>IFERROR((SUM(B14-D14)/D14),0)</f>
        <v>-7.7844727971356623E-2</v>
      </c>
      <c r="J14" s="310">
        <v>355</v>
      </c>
      <c r="K14" s="63">
        <f>IFERROR(B14/J14,0)</f>
        <v>375.61599999999999</v>
      </c>
      <c r="L14" s="61">
        <v>11</v>
      </c>
      <c r="M14" s="28">
        <f>IFERROR(L14/J14,0)</f>
        <v>3.0985915492957747E-2</v>
      </c>
      <c r="N14" s="46">
        <v>41</v>
      </c>
      <c r="O14" s="89">
        <f>IFERROR(N14/SUM(J14),0)</f>
        <v>0.11549295774647887</v>
      </c>
      <c r="P14" s="260">
        <f t="shared" si="7"/>
        <v>49997.878260869569</v>
      </c>
      <c r="Q14" s="89">
        <f>SUM(P14/B14)</f>
        <v>0.37495499044926295</v>
      </c>
      <c r="R14" s="260">
        <f t="shared" si="8"/>
        <v>19088.26086956522</v>
      </c>
      <c r="S14" s="89">
        <f>SUM(R14/B14)</f>
        <v>0.14315084801593311</v>
      </c>
      <c r="T14" s="310">
        <v>3912.6</v>
      </c>
      <c r="U14" s="26"/>
      <c r="W14" s="310">
        <v>35546.06</v>
      </c>
      <c r="X14" s="73">
        <f>W14/1.15</f>
        <v>30909.617391304349</v>
      </c>
      <c r="Y14" s="238"/>
      <c r="Z14" s="310">
        <v>21951.5</v>
      </c>
      <c r="AA14" s="73">
        <f t="shared" si="9"/>
        <v>19088.26086956522</v>
      </c>
    </row>
    <row r="15" spans="1:27" ht="15.6" customHeight="1" x14ac:dyDescent="0.3">
      <c r="A15" s="12" t="s">
        <v>22</v>
      </c>
      <c r="B15" s="310">
        <v>148004.60999999999</v>
      </c>
      <c r="C15" s="310">
        <v>139321.73000000001</v>
      </c>
      <c r="D15" s="310">
        <v>152846.04</v>
      </c>
      <c r="E15" s="77">
        <f t="shared" si="6"/>
        <v>6.2322510637787619E-2</v>
      </c>
      <c r="F15" s="310">
        <v>148004.60999999999</v>
      </c>
      <c r="G15" s="310">
        <v>141874.21</v>
      </c>
      <c r="H15" s="467">
        <f>IFERROR((SUM(B15-G15)/G15),0)</f>
        <v>4.3210108447476074E-2</v>
      </c>
      <c r="I15" s="86">
        <f>IFERROR((SUM(B15-D15)/D15),0)</f>
        <v>-3.1675207287019162E-2</v>
      </c>
      <c r="J15" s="310">
        <v>502</v>
      </c>
      <c r="K15" s="63">
        <f>IFERROR(B15/J15,0)</f>
        <v>294.82990039840632</v>
      </c>
      <c r="L15" s="61">
        <v>6</v>
      </c>
      <c r="M15" s="28">
        <f>IFERROR(L15/J15,0)</f>
        <v>1.1952191235059761E-2</v>
      </c>
      <c r="N15" s="46">
        <v>27</v>
      </c>
      <c r="O15" s="89">
        <f>IFERROR(N15/SUM(J15),0)</f>
        <v>5.3784860557768925E-2</v>
      </c>
      <c r="P15" s="260">
        <f t="shared" si="7"/>
        <v>39709.530434782617</v>
      </c>
      <c r="Q15" s="89">
        <f>SUM(P15/B15)</f>
        <v>0.26829928091282168</v>
      </c>
      <c r="R15" s="260">
        <f t="shared" si="8"/>
        <v>25552.130434782612</v>
      </c>
      <c r="S15" s="89">
        <f>SUM(R15/B15)</f>
        <v>0.17264415233270514</v>
      </c>
      <c r="T15" s="310">
        <v>4732.5</v>
      </c>
      <c r="U15" s="26"/>
      <c r="W15" s="310">
        <v>16281.01</v>
      </c>
      <c r="X15" s="73">
        <f>W15/1.15</f>
        <v>14157.400000000001</v>
      </c>
      <c r="Y15" s="238"/>
      <c r="Z15" s="310">
        <v>29384.95</v>
      </c>
      <c r="AA15" s="73">
        <f t="shared" si="9"/>
        <v>25552.130434782612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9" spans="1:21" ht="15.6" customHeight="1" x14ac:dyDescent="0.3">
      <c r="H39" s="391"/>
    </row>
    <row r="49" spans="11:11" x14ac:dyDescent="0.3">
      <c r="K49" s="446"/>
    </row>
  </sheetData>
  <conditionalFormatting sqref="E5:E15 I5:I15 K5:S15">
    <cfRule type="cellIs" dxfId="35" priority="2" operator="equal">
      <formula>0</formula>
    </cfRule>
  </conditionalFormatting>
  <conditionalFormatting sqref="P12:P13">
    <cfRule type="cellIs" dxfId="3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AA49"/>
  <sheetViews>
    <sheetView topLeftCell="A3" zoomScale="60" zoomScaleNormal="60" workbookViewId="0">
      <pane xSplit="1" topLeftCell="B1" activePane="topRight" state="frozen"/>
      <selection pane="topRight" activeCell="B40" sqref="B40"/>
    </sheetView>
  </sheetViews>
  <sheetFormatPr defaultRowHeight="14.4" x14ac:dyDescent="0.3"/>
  <cols>
    <col min="1" max="1" width="23" customWidth="1"/>
    <col min="2" max="2" width="22.441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6.6640625" customWidth="1"/>
    <col min="13" max="14" width="13.109375" customWidth="1"/>
    <col min="15" max="15" width="10.5546875" bestFit="1" customWidth="1"/>
    <col min="16" max="16" width="18.5546875" customWidth="1"/>
    <col min="17" max="17" width="11.6640625" bestFit="1" customWidth="1"/>
    <col min="18" max="18" width="13.6640625" customWidth="1"/>
    <col min="19" max="19" width="13.44140625" customWidth="1"/>
    <col min="20" max="20" width="17.33203125" customWidth="1"/>
    <col min="23" max="23" width="16" customWidth="1"/>
    <col min="24" max="24" width="16" style="296" customWidth="1"/>
    <col min="26" max="26" width="17.33203125" customWidth="1"/>
    <col min="27" max="27" width="17.33203125" style="296" customWidth="1"/>
  </cols>
  <sheetData>
    <row r="1" spans="1:27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 t="s">
        <v>31</v>
      </c>
      <c r="O1" s="7"/>
      <c r="P1" s="7" t="s">
        <v>31</v>
      </c>
      <c r="Q1" s="7"/>
      <c r="R1" s="7"/>
      <c r="S1" s="7"/>
      <c r="T1" s="81"/>
      <c r="U1" s="9"/>
    </row>
    <row r="2" spans="1:27" ht="16.5" customHeight="1" x14ac:dyDescent="0.3">
      <c r="A2" s="1"/>
      <c r="B2" s="1"/>
      <c r="C2" s="1"/>
      <c r="D2" s="1"/>
      <c r="E2" s="400">
        <f>((B4-C4)/B4)</f>
        <v>0.16126317110680269</v>
      </c>
      <c r="F2" s="426"/>
      <c r="G2" s="1"/>
      <c r="H2" s="427"/>
      <c r="I2" s="422">
        <f>((B4-D4)/D4)</f>
        <v>6.4197486934173639E-2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81"/>
      <c r="U2" s="17"/>
    </row>
    <row r="3" spans="1:27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1" t="s">
        <v>65</v>
      </c>
      <c r="M3" s="101" t="s">
        <v>29</v>
      </c>
      <c r="N3" s="471" t="s">
        <v>66</v>
      </c>
      <c r="O3" s="101" t="s">
        <v>11</v>
      </c>
      <c r="P3" s="101" t="s">
        <v>39</v>
      </c>
      <c r="Q3" s="101" t="s">
        <v>11</v>
      </c>
      <c r="R3" s="101" t="s">
        <v>42</v>
      </c>
      <c r="S3" s="101" t="s">
        <v>43</v>
      </c>
      <c r="T3" s="453" t="s">
        <v>53</v>
      </c>
      <c r="U3" s="407"/>
      <c r="W3" s="453" t="s">
        <v>57</v>
      </c>
      <c r="X3" s="312"/>
      <c r="Z3" s="453" t="s">
        <v>61</v>
      </c>
      <c r="AA3" s="312"/>
    </row>
    <row r="4" spans="1:27" ht="15.6" customHeight="1" x14ac:dyDescent="0.3">
      <c r="A4" s="3" t="s">
        <v>13</v>
      </c>
      <c r="B4" s="98">
        <f>SUM(B5:B15)</f>
        <v>2011558.3599999994</v>
      </c>
      <c r="C4" s="98">
        <f>SUM(C5:C15)</f>
        <v>1687168.08</v>
      </c>
      <c r="D4" s="98">
        <f>SUM(D5:D15)</f>
        <v>1890211.53</v>
      </c>
      <c r="E4" s="436">
        <f>IFERROR((SUM(B4-C4)/B4),0)</f>
        <v>0.16126317110680269</v>
      </c>
      <c r="F4" s="465">
        <f>SUM(F5:F15)</f>
        <v>3945389.9799999995</v>
      </c>
      <c r="G4" s="468">
        <f>SUM(G5:G15)</f>
        <v>1921545.1500000004</v>
      </c>
      <c r="H4" s="436">
        <f t="shared" ref="H4:H11" si="0">IFERROR((SUM(B4-G4)/G4),0)</f>
        <v>4.6844181621232793E-2</v>
      </c>
      <c r="I4" s="436">
        <f t="shared" ref="I4:I9" si="1">IFERROR((SUM(B4-D4)/D4),0)</f>
        <v>6.4197486934173639E-2</v>
      </c>
      <c r="J4" s="460">
        <f>SUM(J5:J15)</f>
        <v>5861</v>
      </c>
      <c r="K4" s="438">
        <f>AVERAGE(K5:K15)</f>
        <v>337.19675974971511</v>
      </c>
      <c r="L4" s="439">
        <f>SUM(L5:L15)</f>
        <v>194762.55</v>
      </c>
      <c r="M4" s="440">
        <f t="shared" ref="M4:M9" si="2">IFERROR(L4/J4,0)</f>
        <v>33.230259341409315</v>
      </c>
      <c r="N4" s="441">
        <f>SUM(N7:N15)</f>
        <v>0</v>
      </c>
      <c r="O4" s="442">
        <f t="shared" ref="O4:O9" si="3">IFERROR(N4/SUM(J4),0)</f>
        <v>0</v>
      </c>
      <c r="P4" s="443">
        <f>SUM(P5:P15)</f>
        <v>524532.09565217397</v>
      </c>
      <c r="Q4" s="442">
        <f t="shared" ref="Q4:Q9" si="4">SUM(P4/B4)</f>
        <v>0.26075907419965388</v>
      </c>
      <c r="R4" s="443">
        <f>SUM(R5:R15)</f>
        <v>240845.40869565221</v>
      </c>
      <c r="S4" s="442">
        <f t="shared" ref="S4:S9" si="5">SUM(R4/B4)</f>
        <v>0.11973075874152231</v>
      </c>
      <c r="T4" s="444">
        <f>SUM(T5:T15)</f>
        <v>49699.35</v>
      </c>
      <c r="U4" s="24"/>
      <c r="W4" s="311"/>
      <c r="X4" s="312"/>
      <c r="Z4" s="311"/>
      <c r="AA4" s="312"/>
    </row>
    <row r="5" spans="1:27" ht="15.6" customHeight="1" x14ac:dyDescent="0.3">
      <c r="A5" s="12" t="s">
        <v>26</v>
      </c>
      <c r="B5" s="310">
        <v>235264.63</v>
      </c>
      <c r="C5" s="310">
        <v>282242.64</v>
      </c>
      <c r="D5" s="310">
        <v>166877.21</v>
      </c>
      <c r="E5" s="77">
        <f t="shared" ref="E5:E15" si="6">IFERROR((SUM(B5-C5)/C5),0)</f>
        <v>-0.16644547400775447</v>
      </c>
      <c r="F5" s="310">
        <v>517507.27</v>
      </c>
      <c r="G5" s="310">
        <v>189611.28</v>
      </c>
      <c r="H5" s="467">
        <f t="shared" si="0"/>
        <v>0.24077338647785093</v>
      </c>
      <c r="I5" s="86">
        <f t="shared" si="1"/>
        <v>0.40980682742718444</v>
      </c>
      <c r="J5" s="310">
        <v>632</v>
      </c>
      <c r="K5" s="63">
        <f>IFERROR(B5/J5,0)</f>
        <v>372.25416139240508</v>
      </c>
      <c r="L5">
        <v>194762.55</v>
      </c>
      <c r="M5" s="28">
        <f t="shared" si="2"/>
        <v>308.1685917721519</v>
      </c>
      <c r="N5" s="46"/>
      <c r="O5" s="89">
        <f t="shared" si="3"/>
        <v>0</v>
      </c>
      <c r="P5" s="260">
        <f t="shared" ref="P5:P15" si="7">SUM(X5+AA5)</f>
        <v>19624.34782608696</v>
      </c>
      <c r="Q5" s="89">
        <f t="shared" si="4"/>
        <v>8.341393190335053E-2</v>
      </c>
      <c r="R5" s="260">
        <f t="shared" ref="R5:R15" si="8">SUM(AA5)</f>
        <v>19624.34782608696</v>
      </c>
      <c r="S5" s="89">
        <f t="shared" si="5"/>
        <v>8.341393190335053E-2</v>
      </c>
      <c r="T5" s="310">
        <v>2400.8000000000002</v>
      </c>
      <c r="U5" s="9"/>
      <c r="W5" s="297">
        <f>V5/1.15</f>
        <v>0</v>
      </c>
      <c r="X5" s="297">
        <f>W5/1.15</f>
        <v>0</v>
      </c>
      <c r="Z5" s="310">
        <v>22568</v>
      </c>
      <c r="AA5" s="297">
        <f t="shared" ref="AA5:AA15" si="9">SUM(Z5)/1.15</f>
        <v>19624.34782608696</v>
      </c>
    </row>
    <row r="6" spans="1:27" ht="15.6" customHeight="1" x14ac:dyDescent="0.3">
      <c r="A6" s="469" t="s">
        <v>21</v>
      </c>
      <c r="B6" s="310">
        <v>260508.36</v>
      </c>
      <c r="C6" s="310">
        <v>144807.54999999999</v>
      </c>
      <c r="D6" s="310">
        <v>317233.91999999998</v>
      </c>
      <c r="E6" s="77">
        <f t="shared" si="6"/>
        <v>0.79899708267973601</v>
      </c>
      <c r="F6" s="310">
        <v>473624.88</v>
      </c>
      <c r="G6" s="310">
        <v>226756.37</v>
      </c>
      <c r="H6" s="467">
        <f t="shared" si="0"/>
        <v>0.14884693206193056</v>
      </c>
      <c r="I6" s="86">
        <f t="shared" si="1"/>
        <v>-0.17881303487344608</v>
      </c>
      <c r="J6" s="310">
        <v>695</v>
      </c>
      <c r="K6" s="63">
        <f>IFERROR(B6/J6,0)</f>
        <v>374.83217266187046</v>
      </c>
      <c r="L6" s="61"/>
      <c r="M6" s="28">
        <f t="shared" si="2"/>
        <v>0</v>
      </c>
      <c r="N6" s="46"/>
      <c r="O6" s="89">
        <f t="shared" si="3"/>
        <v>0</v>
      </c>
      <c r="P6" s="260">
        <f t="shared" si="7"/>
        <v>57732.260869565223</v>
      </c>
      <c r="Q6" s="89">
        <f t="shared" si="4"/>
        <v>0.22161385097033057</v>
      </c>
      <c r="R6" s="260">
        <f t="shared" si="8"/>
        <v>24954.782608695656</v>
      </c>
      <c r="S6" s="89">
        <f t="shared" si="5"/>
        <v>9.5792636400212475E-2</v>
      </c>
      <c r="T6" s="310">
        <v>10071.15</v>
      </c>
      <c r="U6" s="26"/>
      <c r="W6" s="310">
        <v>37694.1</v>
      </c>
      <c r="X6" s="73">
        <f>W6/1.15</f>
        <v>32777.478260869568</v>
      </c>
      <c r="Y6" s="238"/>
      <c r="Z6" s="310">
        <v>28698</v>
      </c>
      <c r="AA6" s="73">
        <f t="shared" si="9"/>
        <v>24954.782608695656</v>
      </c>
    </row>
    <row r="7" spans="1:27" ht="16.5" customHeight="1" x14ac:dyDescent="0.3">
      <c r="A7" s="469" t="s">
        <v>15</v>
      </c>
      <c r="B7" s="310">
        <v>260704.58</v>
      </c>
      <c r="C7" s="310">
        <v>205941.29</v>
      </c>
      <c r="D7" s="310">
        <v>254835.6</v>
      </c>
      <c r="E7" s="77">
        <f t="shared" si="6"/>
        <v>0.26591699993721502</v>
      </c>
      <c r="F7" s="310">
        <v>501386.92</v>
      </c>
      <c r="G7" s="310">
        <v>234970.62</v>
      </c>
      <c r="H7" s="467">
        <f t="shared" si="0"/>
        <v>0.1095199050843037</v>
      </c>
      <c r="I7" s="86">
        <f t="shared" si="1"/>
        <v>2.3030455713408886E-2</v>
      </c>
      <c r="J7" s="310">
        <v>658</v>
      </c>
      <c r="K7" s="63">
        <f>IFERROR(B7/J7,0)</f>
        <v>396.20756838905771</v>
      </c>
      <c r="L7" s="61"/>
      <c r="M7" s="28">
        <f t="shared" si="2"/>
        <v>0</v>
      </c>
      <c r="N7" s="46"/>
      <c r="O7" s="89">
        <f t="shared" si="3"/>
        <v>0</v>
      </c>
      <c r="P7" s="260">
        <f t="shared" si="7"/>
        <v>41310.434782608696</v>
      </c>
      <c r="Q7" s="89">
        <f t="shared" si="4"/>
        <v>0.15845688166509656</v>
      </c>
      <c r="R7" s="260">
        <f t="shared" si="8"/>
        <v>3099.130434782609</v>
      </c>
      <c r="S7" s="89">
        <f t="shared" si="5"/>
        <v>1.1887518181623848E-2</v>
      </c>
      <c r="T7" s="310">
        <v>4846.25</v>
      </c>
      <c r="U7" s="26"/>
      <c r="W7" s="310">
        <v>43943</v>
      </c>
      <c r="X7" s="73">
        <f>W7/1.15</f>
        <v>38211.304347826088</v>
      </c>
      <c r="Y7" s="238"/>
      <c r="Z7" s="310">
        <v>3564</v>
      </c>
      <c r="AA7" s="73">
        <f t="shared" si="9"/>
        <v>3099.130434782609</v>
      </c>
    </row>
    <row r="8" spans="1:27" ht="15.6" customHeight="1" x14ac:dyDescent="0.3">
      <c r="A8" s="470" t="s">
        <v>27</v>
      </c>
      <c r="B8" s="238">
        <v>146820.56</v>
      </c>
      <c r="C8" s="310">
        <v>128699.4</v>
      </c>
      <c r="D8" s="310">
        <v>125945.97</v>
      </c>
      <c r="E8" s="77">
        <f t="shared" si="6"/>
        <v>0.14080221042211544</v>
      </c>
      <c r="F8" s="310">
        <v>292916.03000000003</v>
      </c>
      <c r="G8" s="310">
        <v>133107.01999999999</v>
      </c>
      <c r="H8" s="467">
        <f t="shared" si="0"/>
        <v>0.10302642189720729</v>
      </c>
      <c r="I8" s="86">
        <f t="shared" si="1"/>
        <v>0.16574242113503113</v>
      </c>
      <c r="J8">
        <v>493</v>
      </c>
      <c r="K8" s="63">
        <f>IFERROR(B8/J8,0)</f>
        <v>297.81046653144017</v>
      </c>
      <c r="L8" s="61"/>
      <c r="M8" s="28">
        <f t="shared" si="2"/>
        <v>0</v>
      </c>
      <c r="N8" s="46"/>
      <c r="O8" s="89">
        <f t="shared" si="3"/>
        <v>0</v>
      </c>
      <c r="P8" s="260">
        <f t="shared" si="7"/>
        <v>61240.904347826094</v>
      </c>
      <c r="Q8" s="89">
        <f t="shared" si="4"/>
        <v>0.41711395425699299</v>
      </c>
      <c r="R8" s="260">
        <f t="shared" si="8"/>
        <v>30017.52173913044</v>
      </c>
      <c r="S8" s="89">
        <f t="shared" si="5"/>
        <v>0.20445039672325482</v>
      </c>
      <c r="T8">
        <v>5159</v>
      </c>
      <c r="U8" s="9"/>
      <c r="W8">
        <v>35906.89</v>
      </c>
      <c r="X8" s="73">
        <f>W8/1.15</f>
        <v>31223.382608695654</v>
      </c>
      <c r="Y8" s="238"/>
      <c r="Z8">
        <v>34520.15</v>
      </c>
      <c r="AA8" s="73">
        <f t="shared" si="9"/>
        <v>30017.52173913044</v>
      </c>
    </row>
    <row r="9" spans="1:27" ht="15.6" customHeight="1" x14ac:dyDescent="0.3">
      <c r="A9" s="470" t="s">
        <v>23</v>
      </c>
      <c r="B9" s="310">
        <v>254960.91</v>
      </c>
      <c r="C9" s="310">
        <v>175734.13</v>
      </c>
      <c r="D9" s="310">
        <v>243010.12</v>
      </c>
      <c r="E9" s="77">
        <f t="shared" si="6"/>
        <v>0.45083319899213659</v>
      </c>
      <c r="F9" s="310">
        <v>455266.4</v>
      </c>
      <c r="G9" s="310">
        <v>208872.71</v>
      </c>
      <c r="H9" s="467">
        <f t="shared" si="0"/>
        <v>0.22065208997384106</v>
      </c>
      <c r="I9" s="86">
        <f t="shared" si="1"/>
        <v>4.9178157683309687E-2</v>
      </c>
      <c r="J9" s="310">
        <v>723</v>
      </c>
      <c r="K9" s="63">
        <f>IFERROR(B9/J9,0)</f>
        <v>352.64302904564317</v>
      </c>
      <c r="L9" s="61"/>
      <c r="M9" s="28">
        <f t="shared" si="2"/>
        <v>0</v>
      </c>
      <c r="N9" s="46"/>
      <c r="O9" s="89">
        <f t="shared" si="3"/>
        <v>0</v>
      </c>
      <c r="P9" s="260">
        <f t="shared" si="7"/>
        <v>67133.373913043484</v>
      </c>
      <c r="Q9" s="89">
        <f t="shared" si="4"/>
        <v>0.26330849663598815</v>
      </c>
      <c r="R9" s="260">
        <f t="shared" si="8"/>
        <v>38737.286956521741</v>
      </c>
      <c r="S9" s="89">
        <f t="shared" si="5"/>
        <v>0.15193421986343608</v>
      </c>
      <c r="T9" s="310">
        <v>4636</v>
      </c>
      <c r="U9" s="26"/>
      <c r="W9" s="310">
        <v>32655.5</v>
      </c>
      <c r="X9" s="73">
        <f>W9/1.15</f>
        <v>28396.08695652174</v>
      </c>
      <c r="Y9" s="238"/>
      <c r="Z9" s="310">
        <v>44547.88</v>
      </c>
      <c r="AA9" s="73">
        <f t="shared" si="9"/>
        <v>38737.286956521741</v>
      </c>
    </row>
    <row r="10" spans="1:27" ht="15.6" customHeight="1" x14ac:dyDescent="0.3">
      <c r="A10" s="445" t="s">
        <v>16</v>
      </c>
      <c r="B10" s="310"/>
      <c r="C10" s="310"/>
      <c r="D10" s="310">
        <v>191397.82</v>
      </c>
      <c r="E10" s="77">
        <f t="shared" si="6"/>
        <v>0</v>
      </c>
      <c r="F10" s="310"/>
      <c r="G10" s="310">
        <v>214788.28</v>
      </c>
      <c r="H10" s="467">
        <f t="shared" si="0"/>
        <v>-1</v>
      </c>
      <c r="I10" s="86">
        <f>IFERROR((SUM(B11-D10)/D10),0)</f>
        <v>-0.20911131589691048</v>
      </c>
      <c r="J10" s="310"/>
      <c r="K10" s="63">
        <f>IFERROR(B11/J11,0)</f>
        <v>314.05470954356844</v>
      </c>
      <c r="L10" s="61"/>
      <c r="M10" s="28">
        <f>IFERROR(L10/J11,0)</f>
        <v>0</v>
      </c>
      <c r="N10" s="46"/>
      <c r="O10" s="89">
        <f>IFERROR(N10/SUM(J11),0)</f>
        <v>0</v>
      </c>
      <c r="P10" s="260">
        <f t="shared" si="7"/>
        <v>42746.34782608696</v>
      </c>
      <c r="Q10" s="89">
        <f>SUM(P10/B11)</f>
        <v>0.28238827898069507</v>
      </c>
      <c r="R10" s="260">
        <f t="shared" si="8"/>
        <v>0</v>
      </c>
      <c r="S10" s="89">
        <f>SUM(R10/B11)</f>
        <v>0</v>
      </c>
      <c r="T10" s="310"/>
      <c r="U10" s="26"/>
      <c r="W10" s="310"/>
      <c r="X10" s="73">
        <f>W11/1.15</f>
        <v>42746.34782608696</v>
      </c>
      <c r="Y10" s="238"/>
      <c r="Z10" s="310"/>
      <c r="AA10" s="73">
        <f t="shared" si="9"/>
        <v>0</v>
      </c>
    </row>
    <row r="11" spans="1:27" ht="15.6" customHeight="1" x14ac:dyDescent="0.3">
      <c r="A11" s="469" t="s">
        <v>17</v>
      </c>
      <c r="B11" s="310">
        <v>151374.37</v>
      </c>
      <c r="C11" s="310">
        <v>130160.48</v>
      </c>
      <c r="D11" s="310">
        <v>86713.33</v>
      </c>
      <c r="E11" s="77">
        <f t="shared" si="6"/>
        <v>0.16298257351232878</v>
      </c>
      <c r="F11" s="310">
        <v>303732.39</v>
      </c>
      <c r="G11" s="310">
        <v>117099.82</v>
      </c>
      <c r="H11" s="467">
        <f t="shared" si="0"/>
        <v>0.29269515529571255</v>
      </c>
      <c r="I11" s="86">
        <f>IFERROR((SUM(#REF!-D11)/D11),0)</f>
        <v>0</v>
      </c>
      <c r="J11" s="310">
        <v>482</v>
      </c>
      <c r="K11" s="63">
        <f>IFERROR(B12/J12,0)</f>
        <v>296.13963976945246</v>
      </c>
      <c r="L11" s="61"/>
      <c r="M11" s="28">
        <f>IFERROR(L11/J12,0)</f>
        <v>0</v>
      </c>
      <c r="N11" s="46"/>
      <c r="O11" s="89">
        <f>IFERROR(N11/SUM(J12),0)</f>
        <v>0</v>
      </c>
      <c r="P11" s="260">
        <f t="shared" si="7"/>
        <v>41073.452173913043</v>
      </c>
      <c r="Q11" s="89">
        <f>SUM(P11/B12)</f>
        <v>0.19985047834749778</v>
      </c>
      <c r="R11" s="260">
        <f t="shared" si="8"/>
        <v>20477.391304347828</v>
      </c>
      <c r="S11" s="89">
        <f>SUM(R11/B12)</f>
        <v>9.963653481462216E-2</v>
      </c>
      <c r="T11" s="310">
        <v>3667.5</v>
      </c>
      <c r="U11" s="26"/>
      <c r="W11" s="310">
        <v>49158.3</v>
      </c>
      <c r="X11" s="73">
        <f>W12/1.15</f>
        <v>20596.060869565219</v>
      </c>
      <c r="Y11" s="238"/>
      <c r="Z11" s="310">
        <v>23549</v>
      </c>
      <c r="AA11" s="73">
        <f t="shared" si="9"/>
        <v>20477.391304347828</v>
      </c>
    </row>
    <row r="12" spans="1:27" ht="15.6" customHeight="1" x14ac:dyDescent="0.3">
      <c r="A12" s="470" t="s">
        <v>55</v>
      </c>
      <c r="B12" s="310">
        <v>205520.91</v>
      </c>
      <c r="C12" s="310">
        <v>186722.27</v>
      </c>
      <c r="D12" s="310">
        <v>206751.49</v>
      </c>
      <c r="E12" s="77">
        <f t="shared" si="6"/>
        <v>0.10067701083539748</v>
      </c>
      <c r="F12" s="310">
        <v>418262.38</v>
      </c>
      <c r="G12" s="310">
        <v>173899.05</v>
      </c>
      <c r="H12" s="467">
        <f>IFERROR((SUM(B12-#REF!)/#REF!),0)</f>
        <v>0</v>
      </c>
      <c r="I12" s="86">
        <f>IFERROR((SUM(B12-D12)/D12),0)</f>
        <v>-5.9519764525033762E-3</v>
      </c>
      <c r="J12" s="310">
        <v>694</v>
      </c>
      <c r="K12" s="63">
        <f>IFERROR(B12/J12,0)</f>
        <v>296.13963976945246</v>
      </c>
      <c r="L12" s="61"/>
      <c r="M12" s="28">
        <f>IFERROR(L12/J12,0)</f>
        <v>0</v>
      </c>
      <c r="N12" s="46"/>
      <c r="O12" s="89">
        <f>IFERROR(N12/SUM(J12),0)</f>
        <v>0</v>
      </c>
      <c r="P12" s="260">
        <f t="shared" si="7"/>
        <v>61467.304347826095</v>
      </c>
      <c r="Q12" s="89">
        <f>SUM(P12/B12)</f>
        <v>0.29908053807189788</v>
      </c>
      <c r="R12" s="260">
        <f t="shared" si="8"/>
        <v>40871.243478260876</v>
      </c>
      <c r="S12" s="89">
        <f>SUM(R12/B12)</f>
        <v>0.19886659453902222</v>
      </c>
      <c r="T12" s="310">
        <v>4607.8999999999996</v>
      </c>
      <c r="U12" s="9"/>
      <c r="W12" s="310">
        <v>23685.47</v>
      </c>
      <c r="X12" s="73">
        <f>W12/1.15</f>
        <v>20596.060869565219</v>
      </c>
      <c r="Y12" s="238"/>
      <c r="Z12" s="310">
        <v>47001.93</v>
      </c>
      <c r="AA12" s="73">
        <f t="shared" si="9"/>
        <v>40871.243478260876</v>
      </c>
    </row>
    <row r="13" spans="1:27" ht="15.6" customHeight="1" x14ac:dyDescent="0.3">
      <c r="A13" s="470" t="s">
        <v>33</v>
      </c>
      <c r="B13" s="310">
        <v>176783.39</v>
      </c>
      <c r="C13" s="310">
        <v>151512.03</v>
      </c>
      <c r="D13" s="310"/>
      <c r="E13" s="77">
        <f t="shared" si="6"/>
        <v>0.16679441229848227</v>
      </c>
      <c r="F13" s="310">
        <v>359349.09</v>
      </c>
      <c r="G13" s="310">
        <v>138368.63</v>
      </c>
      <c r="H13" s="467">
        <f>IFERROR((SUM(B13-G12)/G12),0)</f>
        <v>1.6586289574325022E-2</v>
      </c>
      <c r="I13" s="86">
        <f>IFERROR((SUM(B13-D13)/D13),0)</f>
        <v>0</v>
      </c>
      <c r="J13" s="310">
        <v>563</v>
      </c>
      <c r="K13" s="63">
        <f>IFERROR(B13/J13,0)</f>
        <v>314.00246891651869</v>
      </c>
      <c r="L13" s="61"/>
      <c r="M13" s="28">
        <f>IFERROR(L13/J13,0)</f>
        <v>0</v>
      </c>
      <c r="N13" s="46"/>
      <c r="O13" s="89">
        <f>IFERROR(N13/SUM(J13),0)</f>
        <v>0</v>
      </c>
      <c r="P13" s="260">
        <f t="shared" si="7"/>
        <v>42490.043478260872</v>
      </c>
      <c r="Q13" s="89">
        <f>SUM(P13/B13)</f>
        <v>0.24035088069224642</v>
      </c>
      <c r="R13" s="260">
        <f t="shared" si="8"/>
        <v>21804.35652173913</v>
      </c>
      <c r="S13" s="89">
        <f>SUM(R13/B13)</f>
        <v>0.12333939586597546</v>
      </c>
      <c r="T13" s="310">
        <v>4328.5</v>
      </c>
      <c r="U13" s="9"/>
      <c r="W13" s="310">
        <v>23788.54</v>
      </c>
      <c r="X13" s="73">
        <f>W13/1.15</f>
        <v>20685.686956521742</v>
      </c>
      <c r="Y13" s="238"/>
      <c r="Z13" s="310">
        <v>25075.01</v>
      </c>
      <c r="AA13" s="73">
        <f t="shared" si="9"/>
        <v>21804.35652173913</v>
      </c>
    </row>
    <row r="14" spans="1:27" ht="15.6" customHeight="1" x14ac:dyDescent="0.3">
      <c r="A14" s="469" t="s">
        <v>20</v>
      </c>
      <c r="B14" s="310">
        <v>161314.92000000001</v>
      </c>
      <c r="C14" s="310">
        <v>133343.67999999999</v>
      </c>
      <c r="D14" s="310">
        <v>144600.03</v>
      </c>
      <c r="E14" s="77">
        <f t="shared" si="6"/>
        <v>0.20976802200149283</v>
      </c>
      <c r="F14" s="310">
        <v>317034.28000000003</v>
      </c>
      <c r="G14" s="310">
        <v>165338.07</v>
      </c>
      <c r="H14" s="467">
        <f>IFERROR((SUM(B14-G14)/G14),0)</f>
        <v>-2.4332871431243838E-2</v>
      </c>
      <c r="I14" s="86">
        <f>IFERROR((SUM(B14-D14)/D14),0)</f>
        <v>0.11559395942034047</v>
      </c>
      <c r="J14" s="310">
        <v>445</v>
      </c>
      <c r="K14" s="63">
        <f>IFERROR(B14/J14,0)</f>
        <v>362.50543820224721</v>
      </c>
      <c r="L14" s="61"/>
      <c r="M14" s="28">
        <f>IFERROR(L14/J14,0)</f>
        <v>0</v>
      </c>
      <c r="N14" s="46"/>
      <c r="O14" s="89">
        <f>IFERROR(N14/SUM(J14),0)</f>
        <v>0</v>
      </c>
      <c r="P14" s="260">
        <f t="shared" si="7"/>
        <v>48984.086956521744</v>
      </c>
      <c r="Q14" s="89">
        <f>SUM(P14/B14)</f>
        <v>0.30365503052365983</v>
      </c>
      <c r="R14" s="260">
        <f t="shared" si="8"/>
        <v>21252.17391304348</v>
      </c>
      <c r="S14" s="89">
        <f>SUM(R14/B14)</f>
        <v>0.13174338686739873</v>
      </c>
      <c r="T14" s="310">
        <v>6425.75</v>
      </c>
      <c r="U14" s="26"/>
      <c r="W14" s="310">
        <v>31891.7</v>
      </c>
      <c r="X14" s="73">
        <f>W14/1.15</f>
        <v>27731.913043478264</v>
      </c>
      <c r="Y14" s="238"/>
      <c r="Z14" s="310">
        <v>24440</v>
      </c>
      <c r="AA14" s="73">
        <f t="shared" si="9"/>
        <v>21252.17391304348</v>
      </c>
    </row>
    <row r="15" spans="1:27" ht="15.6" customHeight="1" x14ac:dyDescent="0.3">
      <c r="A15" s="12" t="s">
        <v>22</v>
      </c>
      <c r="B15" s="310">
        <v>158305.73000000001</v>
      </c>
      <c r="C15" s="310">
        <v>148004.60999999999</v>
      </c>
      <c r="D15" s="310">
        <v>152846.04</v>
      </c>
      <c r="E15" s="77">
        <f t="shared" si="6"/>
        <v>6.9599994216396538E-2</v>
      </c>
      <c r="F15" s="310">
        <v>306310.34000000003</v>
      </c>
      <c r="G15" s="310">
        <v>118733.3</v>
      </c>
      <c r="H15" s="467">
        <f>IFERROR((SUM(B15-G15)/G15),0)</f>
        <v>0.33328838666153476</v>
      </c>
      <c r="I15" s="86">
        <f>IFERROR((SUM(B15-D15)/D15),0)</f>
        <v>3.5720192685397688E-2</v>
      </c>
      <c r="J15" s="310">
        <v>476</v>
      </c>
      <c r="K15" s="63">
        <f>IFERROR(B15/J15,0)</f>
        <v>332.57506302521011</v>
      </c>
      <c r="L15" s="61"/>
      <c r="M15" s="28">
        <f>IFERROR(L15/J15,0)</f>
        <v>0</v>
      </c>
      <c r="N15" s="46"/>
      <c r="O15" s="89">
        <f>IFERROR(N15/SUM(J15),0)</f>
        <v>0</v>
      </c>
      <c r="P15" s="260">
        <f t="shared" si="7"/>
        <v>40729.539130434787</v>
      </c>
      <c r="Q15" s="89">
        <f>SUM(P15/B15)</f>
        <v>0.25728404859656556</v>
      </c>
      <c r="R15" s="260">
        <f t="shared" si="8"/>
        <v>20007.17391304348</v>
      </c>
      <c r="S15" s="89">
        <f>SUM(R15/B15)</f>
        <v>0.12638313163423381</v>
      </c>
      <c r="T15" s="310">
        <v>3556.5</v>
      </c>
      <c r="U15" s="26"/>
      <c r="W15" s="310">
        <v>23830.720000000001</v>
      </c>
      <c r="X15" s="73">
        <f>W15/1.15</f>
        <v>20722.365217391307</v>
      </c>
      <c r="Y15" s="238"/>
      <c r="Z15" s="310">
        <v>23008.25</v>
      </c>
      <c r="AA15" s="73">
        <f t="shared" si="9"/>
        <v>20007.17391304348</v>
      </c>
    </row>
    <row r="16" spans="1:27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M16" s="81"/>
      <c r="N16" s="81"/>
      <c r="O16" s="81"/>
      <c r="P16" s="81"/>
      <c r="Q16" s="81"/>
      <c r="R16" s="81"/>
      <c r="S16" s="81"/>
      <c r="T16" s="81"/>
      <c r="U16" s="9"/>
    </row>
    <row r="17" spans="1:21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9"/>
    </row>
    <row r="18" spans="1:21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9"/>
    </row>
    <row r="19" spans="1:21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27"/>
      <c r="U19" s="9"/>
    </row>
    <row r="20" spans="1:21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9"/>
    </row>
    <row r="21" spans="1:21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9"/>
    </row>
    <row r="22" spans="1:21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9"/>
    </row>
    <row r="23" spans="1:21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9"/>
    </row>
    <row r="24" spans="1:21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9"/>
    </row>
    <row r="25" spans="1:21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9"/>
    </row>
    <row r="26" spans="1:21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9"/>
    </row>
    <row r="27" spans="1:21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9"/>
    </row>
    <row r="28" spans="1:21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9"/>
    </row>
    <row r="29" spans="1:21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9"/>
    </row>
    <row r="30" spans="1:21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9"/>
    </row>
    <row r="31" spans="1:21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9"/>
    </row>
    <row r="32" spans="1:21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9"/>
    </row>
    <row r="33" spans="1:21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9"/>
    </row>
    <row r="34" spans="1:21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9"/>
    </row>
    <row r="35" spans="1:21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9"/>
    </row>
    <row r="36" spans="1:21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9"/>
    </row>
    <row r="37" spans="1:21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9"/>
    </row>
    <row r="39" spans="1:21" ht="15.6" customHeight="1" x14ac:dyDescent="0.3">
      <c r="H39" s="391"/>
    </row>
    <row r="40" spans="1:21" x14ac:dyDescent="0.3">
      <c r="B40" t="s">
        <v>67</v>
      </c>
    </row>
    <row r="49" spans="11:11" x14ac:dyDescent="0.3">
      <c r="K49" s="446"/>
    </row>
  </sheetData>
  <conditionalFormatting sqref="E5:E15 I5:I15 K5:S15">
    <cfRule type="cellIs" dxfId="33" priority="2" operator="equal">
      <formula>0</formula>
    </cfRule>
  </conditionalFormatting>
  <conditionalFormatting sqref="P12:P13">
    <cfRule type="cellIs" dxfId="3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AC49"/>
  <sheetViews>
    <sheetView zoomScale="60" zoomScaleNormal="60" workbookViewId="0">
      <pane xSplit="1" topLeftCell="B1" activePane="topRight" state="frozen"/>
      <selection pane="topRight" activeCell="F6" sqref="F6"/>
    </sheetView>
  </sheetViews>
  <sheetFormatPr defaultRowHeight="14.4" x14ac:dyDescent="0.3"/>
  <cols>
    <col min="1" max="1" width="23" customWidth="1"/>
    <col min="2" max="2" width="26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3.6640625" customWidth="1"/>
    <col min="21" max="21" width="13.44140625" customWidth="1"/>
    <col min="22" max="22" width="17.332031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-0.15851345179967913</v>
      </c>
      <c r="F2" s="426"/>
      <c r="G2" s="1"/>
      <c r="H2" s="427"/>
      <c r="I2" s="422">
        <f>((B4-D4)/D4)</f>
        <v>-8.1411195285640794E-2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3" t="s">
        <v>13</v>
      </c>
      <c r="B4" s="98">
        <f>SUM(B5:B15)</f>
        <v>1736327.1500000001</v>
      </c>
      <c r="C4" s="468">
        <f>SUM(C5:C15)</f>
        <v>2011558.3599999994</v>
      </c>
      <c r="D4" s="468">
        <f>SUM(D5:D15)</f>
        <v>1890211.53</v>
      </c>
      <c r="E4" s="472">
        <f>IFERROR((SUM(B4-C4)/B4),0)</f>
        <v>-0.15851345179967913</v>
      </c>
      <c r="F4" s="465">
        <f>SUM(F5:F15)</f>
        <v>5681717.1299999999</v>
      </c>
      <c r="G4" s="468">
        <f>SUM(G5:G15)</f>
        <v>1884162.6</v>
      </c>
      <c r="H4" s="436">
        <f t="shared" ref="H4:H11" si="0">IFERROR((SUM(B4-G4)/G4),0)</f>
        <v>-7.8462150771913181E-2</v>
      </c>
      <c r="I4" s="436">
        <f t="shared" ref="I4:I9" si="1">IFERROR((SUM(B4-D4)/D4),0)</f>
        <v>-8.1411195285640794E-2</v>
      </c>
      <c r="J4" s="460">
        <f>SUM(J5:J15)</f>
        <v>5418</v>
      </c>
      <c r="K4" s="474">
        <f>AVERAGE(K5:K15)</f>
        <v>317.27109989624097</v>
      </c>
      <c r="L4" s="474">
        <f>SUM(L6:L15)</f>
        <v>765</v>
      </c>
      <c r="M4" s="439">
        <f>SUM(M5:M15)</f>
        <v>66867.520000000004</v>
      </c>
      <c r="N4" s="442">
        <f>IFERROR(M4/J4,0)</f>
        <v>12.341734957548912</v>
      </c>
      <c r="O4" s="473">
        <f>SUM(O6:O15)</f>
        <v>2463</v>
      </c>
      <c r="P4" s="475">
        <f>SUM(P7:P15)</f>
        <v>205735.19999999998</v>
      </c>
      <c r="Q4" s="442">
        <f t="shared" ref="Q4:Q9" si="2">IFERROR(P4/SUM(J4),0)</f>
        <v>37.972535991140639</v>
      </c>
      <c r="R4" s="443">
        <f>SUM(R5:R15)</f>
        <v>516534.32173913054</v>
      </c>
      <c r="S4" s="442">
        <f t="shared" ref="S4:S9" si="3">SUM(R4/B4)</f>
        <v>0.29748675054647994</v>
      </c>
      <c r="T4" s="443">
        <f>SUM(T5:T15)</f>
        <v>216633.99130434784</v>
      </c>
      <c r="U4" s="442">
        <f t="shared" ref="U4:U9" si="4">SUM(T4/B4)</f>
        <v>0.12476565335302614</v>
      </c>
      <c r="V4" s="444">
        <f>SUM(V5:V15)</f>
        <v>48931.75</v>
      </c>
      <c r="W4" s="24"/>
      <c r="Y4" s="311"/>
      <c r="Z4" s="312"/>
      <c r="AB4" s="311"/>
      <c r="AC4" s="312"/>
    </row>
    <row r="5" spans="1:29" ht="15.6" customHeight="1" x14ac:dyDescent="0.3">
      <c r="A5" s="12" t="s">
        <v>26</v>
      </c>
      <c r="B5" s="310">
        <v>210107.49</v>
      </c>
      <c r="C5" s="310">
        <v>235264.63</v>
      </c>
      <c r="D5" s="310">
        <v>166877.21</v>
      </c>
      <c r="E5" s="86">
        <f t="shared" ref="E5:E15" si="5">IFERROR((SUM(B5-C5)/C5),0)</f>
        <v>-0.10693124589106325</v>
      </c>
      <c r="F5" s="310">
        <v>727614.76</v>
      </c>
      <c r="G5" s="310">
        <v>177237.64</v>
      </c>
      <c r="H5" s="467">
        <f t="shared" si="0"/>
        <v>0.1854563737138453</v>
      </c>
      <c r="I5" s="86">
        <f t="shared" si="1"/>
        <v>0.2590544269046684</v>
      </c>
      <c r="J5" s="311">
        <v>605</v>
      </c>
      <c r="K5" s="84">
        <f>IFERROR(B5/J5,0)</f>
        <v>347.2851074380165</v>
      </c>
      <c r="L5" s="476"/>
      <c r="M5" s="476"/>
      <c r="N5" s="89">
        <f>IFERROR(M5/J5,0)</f>
        <v>0</v>
      </c>
      <c r="O5" s="89"/>
      <c r="P5" s="477"/>
      <c r="Q5" s="89">
        <f t="shared" si="2"/>
        <v>0</v>
      </c>
      <c r="R5" s="260">
        <f t="shared" ref="R5:R15" si="6">SUM(Z5+AC5)</f>
        <v>21300.869565217392</v>
      </c>
      <c r="S5" s="89">
        <f t="shared" si="3"/>
        <v>0.10138081971859925</v>
      </c>
      <c r="T5" s="260">
        <f t="shared" ref="T5:T15" si="7">SUM(AC5)</f>
        <v>21300.869565217392</v>
      </c>
      <c r="U5" s="89">
        <f t="shared" si="4"/>
        <v>0.10138081971859925</v>
      </c>
      <c r="V5" s="311">
        <v>1662.3</v>
      </c>
      <c r="W5" s="9"/>
      <c r="Y5" s="73">
        <v>0</v>
      </c>
      <c r="Z5" s="73">
        <f>Y5/1.15</f>
        <v>0</v>
      </c>
      <c r="AA5" s="238"/>
      <c r="AB5" s="310">
        <v>24496</v>
      </c>
      <c r="AC5" s="73">
        <f t="shared" ref="AC5:AC15" si="8">SUM(AB5)/1.15</f>
        <v>21300.869565217392</v>
      </c>
    </row>
    <row r="6" spans="1:29" ht="15.6" customHeight="1" x14ac:dyDescent="0.3">
      <c r="A6" s="469" t="s">
        <v>21</v>
      </c>
      <c r="B6" s="310">
        <v>206591.3</v>
      </c>
      <c r="C6" s="310">
        <v>260508.36</v>
      </c>
      <c r="D6" s="310">
        <v>317233.91999999998</v>
      </c>
      <c r="E6" s="86">
        <f t="shared" si="5"/>
        <v>-0.2069686362464529</v>
      </c>
      <c r="F6" s="310">
        <v>680216.18</v>
      </c>
      <c r="G6" s="310">
        <v>226149.13</v>
      </c>
      <c r="H6" s="467">
        <f t="shared" si="0"/>
        <v>-8.6482004153630901E-2</v>
      </c>
      <c r="I6" s="86">
        <f t="shared" si="1"/>
        <v>-0.34877298114905242</v>
      </c>
      <c r="J6" s="311">
        <v>575</v>
      </c>
      <c r="K6" s="84">
        <f>IFERROR(B6/J6,0)</f>
        <v>359.28921739130431</v>
      </c>
      <c r="L6" s="476">
        <v>52</v>
      </c>
      <c r="M6" s="476">
        <v>4859.12</v>
      </c>
      <c r="N6" s="89">
        <f>IFERROR(M7/J6,0)</f>
        <v>2.8994086956521739</v>
      </c>
      <c r="O6" s="476">
        <v>197</v>
      </c>
      <c r="P6" s="476">
        <v>18766.830000000002</v>
      </c>
      <c r="Q6" s="89">
        <f t="shared" si="2"/>
        <v>32.637965217391304</v>
      </c>
      <c r="R6" s="260">
        <f t="shared" si="6"/>
        <v>51699.64347826087</v>
      </c>
      <c r="S6" s="89">
        <f t="shared" si="3"/>
        <v>0.25025082604282406</v>
      </c>
      <c r="T6" s="260">
        <f t="shared" si="7"/>
        <v>22539.678260869568</v>
      </c>
      <c r="U6" s="89">
        <f t="shared" si="4"/>
        <v>0.10910274663487557</v>
      </c>
      <c r="V6" s="311">
        <v>6232.9</v>
      </c>
      <c r="W6" s="26"/>
      <c r="Y6" s="310">
        <v>33533.96</v>
      </c>
      <c r="Z6" s="73">
        <f>Y6/1.15</f>
        <v>29159.965217391305</v>
      </c>
      <c r="AA6" s="238"/>
      <c r="AB6" s="310">
        <v>25920.63</v>
      </c>
      <c r="AC6" s="73">
        <f t="shared" si="8"/>
        <v>22539.678260869568</v>
      </c>
    </row>
    <row r="7" spans="1:29" ht="16.5" customHeight="1" x14ac:dyDescent="0.3">
      <c r="A7" s="469" t="s">
        <v>15</v>
      </c>
      <c r="B7" s="310">
        <v>208209.65</v>
      </c>
      <c r="C7" s="310">
        <v>260704.58</v>
      </c>
      <c r="D7" s="310">
        <v>254835.6</v>
      </c>
      <c r="E7" s="86">
        <f t="shared" si="5"/>
        <v>-0.20135791246935514</v>
      </c>
      <c r="F7" s="310">
        <v>709596.57</v>
      </c>
      <c r="G7" s="310">
        <v>215349.4</v>
      </c>
      <c r="H7" s="467">
        <f t="shared" si="0"/>
        <v>-3.3154260007225468E-2</v>
      </c>
      <c r="I7" s="86">
        <f t="shared" si="1"/>
        <v>-0.1829648212416162</v>
      </c>
      <c r="J7" s="311">
        <v>579</v>
      </c>
      <c r="K7" s="84">
        <f>IFERROR(B7/J7,0)</f>
        <v>359.60215889464592</v>
      </c>
      <c r="L7" s="476">
        <v>21</v>
      </c>
      <c r="M7" s="476">
        <v>1667.16</v>
      </c>
      <c r="N7" s="89">
        <f>IFERROR(#REF!/J7,0)</f>
        <v>0</v>
      </c>
      <c r="O7" s="476">
        <v>43</v>
      </c>
      <c r="P7" s="476">
        <v>3597.83</v>
      </c>
      <c r="Q7" s="89">
        <f t="shared" si="2"/>
        <v>6.2138687392055267</v>
      </c>
      <c r="R7" s="260">
        <f t="shared" si="6"/>
        <v>41503.260869565223</v>
      </c>
      <c r="S7" s="89">
        <f t="shared" si="3"/>
        <v>0.19933399277874597</v>
      </c>
      <c r="T7" s="260">
        <f t="shared" si="7"/>
        <v>2740.8695652173915</v>
      </c>
      <c r="U7" s="89">
        <f t="shared" si="4"/>
        <v>1.3163989110098362E-2</v>
      </c>
      <c r="V7" s="311">
        <v>7251</v>
      </c>
      <c r="W7" s="26"/>
      <c r="Y7" s="310">
        <v>44576.75</v>
      </c>
      <c r="Z7" s="73">
        <f>Y7/1.15</f>
        <v>38762.391304347831</v>
      </c>
      <c r="AA7" s="238"/>
      <c r="AB7" s="310">
        <v>3152</v>
      </c>
      <c r="AC7" s="73">
        <f t="shared" si="8"/>
        <v>2740.8695652173915</v>
      </c>
    </row>
    <row r="8" spans="1:29" ht="15.6" customHeight="1" x14ac:dyDescent="0.3">
      <c r="A8" s="470" t="s">
        <v>27</v>
      </c>
      <c r="B8" s="310">
        <v>123227.5</v>
      </c>
      <c r="C8" s="310">
        <v>146820.56</v>
      </c>
      <c r="D8" s="310">
        <v>125945.97</v>
      </c>
      <c r="E8" s="86">
        <f t="shared" si="5"/>
        <v>-0.16069316177516282</v>
      </c>
      <c r="F8" s="310">
        <v>416143.53</v>
      </c>
      <c r="G8" s="310">
        <v>136813.79</v>
      </c>
      <c r="H8" s="467">
        <f t="shared" si="0"/>
        <v>-9.9304975032122184E-2</v>
      </c>
      <c r="I8" s="86">
        <f t="shared" si="1"/>
        <v>-2.1584414332590406E-2</v>
      </c>
      <c r="J8" s="311">
        <v>413</v>
      </c>
      <c r="K8" s="84">
        <f>IFERROR(B8/J8,0)</f>
        <v>298.37167070217919</v>
      </c>
      <c r="L8" s="476">
        <v>84</v>
      </c>
      <c r="M8" s="476">
        <v>6213.85</v>
      </c>
      <c r="N8" s="89">
        <f>IFERROR(M8/J8,0)</f>
        <v>15.045641646489106</v>
      </c>
      <c r="O8" s="476">
        <v>298</v>
      </c>
      <c r="P8" s="476">
        <v>25987.33</v>
      </c>
      <c r="Q8" s="89">
        <f t="shared" si="2"/>
        <v>62.923317191283296</v>
      </c>
      <c r="R8" s="260">
        <f t="shared" si="6"/>
        <v>47597.791304347833</v>
      </c>
      <c r="S8" s="89">
        <f t="shared" si="3"/>
        <v>0.38625949000302556</v>
      </c>
      <c r="T8" s="260">
        <f t="shared" si="7"/>
        <v>25720.782608695656</v>
      </c>
      <c r="U8" s="89">
        <f t="shared" si="4"/>
        <v>0.20872599548555035</v>
      </c>
      <c r="V8" s="311">
        <v>4638.25</v>
      </c>
      <c r="W8" s="9"/>
      <c r="Y8" s="310">
        <v>25158.560000000001</v>
      </c>
      <c r="Z8" s="73">
        <f>Y8/1.15</f>
        <v>21877.008695652177</v>
      </c>
      <c r="AA8" s="238"/>
      <c r="AB8" s="310">
        <v>29578.9</v>
      </c>
      <c r="AC8" s="73">
        <f t="shared" si="8"/>
        <v>25720.782608695656</v>
      </c>
    </row>
    <row r="9" spans="1:29" ht="15.6" customHeight="1" x14ac:dyDescent="0.3">
      <c r="A9" s="470" t="s">
        <v>23</v>
      </c>
      <c r="B9">
        <v>208620.72</v>
      </c>
      <c r="C9" s="310">
        <v>254960.91</v>
      </c>
      <c r="D9" s="310">
        <v>243010.12</v>
      </c>
      <c r="E9" s="86">
        <f t="shared" si="5"/>
        <v>-0.18175409712806564</v>
      </c>
      <c r="F9">
        <v>663887.12</v>
      </c>
      <c r="G9" s="310">
        <v>207602.03</v>
      </c>
      <c r="H9" s="467">
        <f t="shared" si="0"/>
        <v>4.9069366036546096E-3</v>
      </c>
      <c r="I9" s="86">
        <f t="shared" si="1"/>
        <v>-0.14151427109290754</v>
      </c>
      <c r="J9">
        <v>646</v>
      </c>
      <c r="K9" s="84">
        <f>IFERROR(B9/J9,0)</f>
        <v>322.94229102167185</v>
      </c>
      <c r="L9" s="476">
        <v>52</v>
      </c>
      <c r="M9" s="476">
        <v>4699.7</v>
      </c>
      <c r="N9" s="89">
        <f>IFERROR(M9/J9,0)</f>
        <v>7.2750773993808044</v>
      </c>
      <c r="O9" s="476">
        <v>147</v>
      </c>
      <c r="P9" s="476">
        <v>14006.66</v>
      </c>
      <c r="Q9" s="89">
        <f t="shared" si="2"/>
        <v>21.682136222910216</v>
      </c>
      <c r="R9" s="260">
        <f t="shared" si="6"/>
        <v>57859.391304347824</v>
      </c>
      <c r="S9" s="89">
        <f t="shared" si="3"/>
        <v>0.2773424964900314</v>
      </c>
      <c r="T9" s="260">
        <f t="shared" si="7"/>
        <v>35062.226086956522</v>
      </c>
      <c r="U9" s="89">
        <f t="shared" si="4"/>
        <v>0.168066844400482</v>
      </c>
      <c r="V9">
        <v>3518.5</v>
      </c>
      <c r="W9" s="26"/>
      <c r="Y9">
        <v>26216.74</v>
      </c>
      <c r="Z9" s="73">
        <f>Y9/1.15</f>
        <v>22797.165217391306</v>
      </c>
      <c r="AA9" s="238"/>
      <c r="AB9">
        <v>40321.56</v>
      </c>
      <c r="AC9" s="73">
        <f t="shared" si="8"/>
        <v>35062.226086956522</v>
      </c>
    </row>
    <row r="10" spans="1:29" ht="15.6" customHeight="1" x14ac:dyDescent="0.3">
      <c r="A10" s="445" t="s">
        <v>16</v>
      </c>
      <c r="B10" s="310"/>
      <c r="C10" s="310"/>
      <c r="D10" s="310">
        <v>191397.82</v>
      </c>
      <c r="E10" s="86">
        <f t="shared" si="5"/>
        <v>0</v>
      </c>
      <c r="F10" s="310"/>
      <c r="G10" s="310">
        <v>196341.91</v>
      </c>
      <c r="H10" s="467">
        <f t="shared" si="0"/>
        <v>-1</v>
      </c>
      <c r="I10" s="86">
        <f>IFERROR((SUM(B11-D10)/D10),0)</f>
        <v>-0.32946033554614157</v>
      </c>
      <c r="J10" s="310"/>
      <c r="K10" s="84">
        <f>IFERROR(B11/J11,0)</f>
        <v>280.83113785557987</v>
      </c>
      <c r="L10" s="476"/>
      <c r="M10" s="476"/>
      <c r="N10" s="89">
        <f>IFERROR(M10/J11,0)</f>
        <v>0</v>
      </c>
      <c r="O10" s="476"/>
      <c r="P10" s="476"/>
      <c r="Q10" s="89">
        <f>IFERROR(P10/SUM(J11),0)</f>
        <v>0</v>
      </c>
      <c r="R10" s="260">
        <f t="shared" si="6"/>
        <v>46027.608695652176</v>
      </c>
      <c r="S10" s="89">
        <f>SUM(R10/B11)</f>
        <v>0.35863853564129061</v>
      </c>
      <c r="T10" s="260">
        <f t="shared" si="7"/>
        <v>0</v>
      </c>
      <c r="U10" s="89">
        <f>SUM(T10/B11)</f>
        <v>0</v>
      </c>
      <c r="V10" s="310"/>
      <c r="W10" s="26"/>
      <c r="Y10" s="73"/>
      <c r="Z10" s="73">
        <f>Y11/1.15</f>
        <v>46027.608695652176</v>
      </c>
      <c r="AA10" s="238"/>
      <c r="AB10" s="310"/>
      <c r="AC10" s="73">
        <f t="shared" si="8"/>
        <v>0</v>
      </c>
    </row>
    <row r="11" spans="1:29" ht="15.6" customHeight="1" x14ac:dyDescent="0.3">
      <c r="A11" s="469" t="s">
        <v>17</v>
      </c>
      <c r="B11" s="310">
        <v>128339.83</v>
      </c>
      <c r="C11" s="310">
        <v>151374.37</v>
      </c>
      <c r="D11" s="310">
        <v>86713.33</v>
      </c>
      <c r="E11" s="86">
        <f t="shared" si="5"/>
        <v>-0.15216935337204043</v>
      </c>
      <c r="F11" s="310">
        <v>432072.22</v>
      </c>
      <c r="G11" s="310">
        <v>108311.73</v>
      </c>
      <c r="H11" s="467">
        <f t="shared" si="0"/>
        <v>0.18491164345726918</v>
      </c>
      <c r="I11" s="86">
        <f>IFERROR((SUM(#REF!-D11)/D11),0)</f>
        <v>0</v>
      </c>
      <c r="J11" s="311">
        <v>457</v>
      </c>
      <c r="K11" s="84">
        <f>IFERROR(B12/J12,0)</f>
        <v>307.41619402985077</v>
      </c>
      <c r="L11" s="476">
        <v>165</v>
      </c>
      <c r="M11" s="476">
        <v>14301.14</v>
      </c>
      <c r="N11" s="89">
        <f>IFERROR(M11/J12,0)</f>
        <v>21.344985074626866</v>
      </c>
      <c r="O11" s="476">
        <v>635</v>
      </c>
      <c r="P11" s="476">
        <v>57662.05</v>
      </c>
      <c r="Q11" s="89">
        <f>IFERROR(P11/SUM(J12),0)</f>
        <v>86.062761194029861</v>
      </c>
      <c r="R11" s="260">
        <f t="shared" si="6"/>
        <v>51905.756521739138</v>
      </c>
      <c r="S11" s="89">
        <f>SUM(R11/B12)</f>
        <v>0.25200779885763858</v>
      </c>
      <c r="T11" s="260">
        <f t="shared" si="7"/>
        <v>19144.678260869568</v>
      </c>
      <c r="U11" s="89">
        <f>SUM(T11/B12)</f>
        <v>9.294938657408422E-2</v>
      </c>
      <c r="V11" s="311">
        <v>4476</v>
      </c>
      <c r="W11" s="26"/>
      <c r="Y11" s="310">
        <v>52931.75</v>
      </c>
      <c r="Z11" s="73">
        <f>Y12/1.15</f>
        <v>32761.078260869566</v>
      </c>
      <c r="AA11" s="238"/>
      <c r="AB11" s="310">
        <v>22016.38</v>
      </c>
      <c r="AC11" s="73">
        <f t="shared" si="8"/>
        <v>19144.678260869568</v>
      </c>
    </row>
    <row r="12" spans="1:29" ht="15.6" customHeight="1" x14ac:dyDescent="0.3">
      <c r="A12" s="470" t="s">
        <v>55</v>
      </c>
      <c r="B12" s="310">
        <v>205968.85</v>
      </c>
      <c r="C12" s="310">
        <v>205520.91</v>
      </c>
      <c r="D12" s="310">
        <v>206751.49</v>
      </c>
      <c r="E12" s="86">
        <f t="shared" si="5"/>
        <v>2.1795349193422815E-3</v>
      </c>
      <c r="F12" s="310">
        <v>624231.23</v>
      </c>
      <c r="G12" s="310">
        <v>163417.19</v>
      </c>
      <c r="H12" s="467">
        <f>IFERROR((SUM(B12-#REF!)/#REF!),0)</f>
        <v>0</v>
      </c>
      <c r="I12" s="86">
        <f>IFERROR((SUM(B12-D12)/D12),0)</f>
        <v>-3.7854140736784288E-3</v>
      </c>
      <c r="J12" s="311">
        <v>670</v>
      </c>
      <c r="K12" s="84">
        <f>IFERROR(B12/J12,0)</f>
        <v>307.41619402985077</v>
      </c>
      <c r="L12" s="476">
        <v>173</v>
      </c>
      <c r="M12" s="476">
        <v>16320.94</v>
      </c>
      <c r="N12" s="89">
        <f>IFERROR(M12/J12,0)</f>
        <v>24.359611940298507</v>
      </c>
      <c r="O12" s="476">
        <v>529</v>
      </c>
      <c r="P12" s="476">
        <v>49273.69</v>
      </c>
      <c r="Q12" s="89">
        <f>IFERROR(P12/SUM(J12),0)</f>
        <v>73.542820895522397</v>
      </c>
      <c r="R12" s="260">
        <f t="shared" si="6"/>
        <v>59304.886956521746</v>
      </c>
      <c r="S12" s="89">
        <f>SUM(R12/B12)</f>
        <v>0.28793133989203584</v>
      </c>
      <c r="T12" s="260">
        <f t="shared" si="7"/>
        <v>26543.808695652177</v>
      </c>
      <c r="U12" s="89">
        <f>SUM(T12/B12)</f>
        <v>0.12887292760848146</v>
      </c>
      <c r="V12" s="311">
        <v>5584</v>
      </c>
      <c r="W12" s="9"/>
      <c r="Y12" s="310">
        <v>37675.24</v>
      </c>
      <c r="Z12" s="73">
        <f>Y12/1.15</f>
        <v>32761.078260869566</v>
      </c>
      <c r="AA12" s="238"/>
      <c r="AB12" s="310">
        <v>30525.38</v>
      </c>
      <c r="AC12" s="73">
        <f t="shared" si="8"/>
        <v>26543.808695652177</v>
      </c>
    </row>
    <row r="13" spans="1:29" ht="15.6" customHeight="1" x14ac:dyDescent="0.3">
      <c r="A13" s="470" t="s">
        <v>33</v>
      </c>
      <c r="B13" s="310">
        <v>139225.64000000001</v>
      </c>
      <c r="C13" s="310">
        <v>176783.39</v>
      </c>
      <c r="D13" s="310"/>
      <c r="E13" s="86">
        <f t="shared" si="5"/>
        <v>-0.21245067197772369</v>
      </c>
      <c r="F13" s="310">
        <v>498574.73</v>
      </c>
      <c r="G13" s="310">
        <v>142536.71</v>
      </c>
      <c r="H13" s="467">
        <f>IFERROR((SUM(B13-G12)/G12),0)</f>
        <v>-0.14803552796373495</v>
      </c>
      <c r="I13" s="86">
        <f>IFERROR((SUM(B13-D13)/D13),0)</f>
        <v>0</v>
      </c>
      <c r="J13" s="311">
        <v>494</v>
      </c>
      <c r="K13" s="84">
        <f>IFERROR(B13/J13,0)</f>
        <v>281.83327935222673</v>
      </c>
      <c r="L13" s="476">
        <v>84</v>
      </c>
      <c r="M13" s="476">
        <v>6939.47</v>
      </c>
      <c r="N13" s="89">
        <f>IFERROR(M13/J13,0)</f>
        <v>14.04751012145749</v>
      </c>
      <c r="O13" s="476">
        <v>269</v>
      </c>
      <c r="P13" s="476">
        <v>22557.62</v>
      </c>
      <c r="Q13" s="89">
        <f>IFERROR(P13/SUM(J13),0)</f>
        <v>45.663198380566797</v>
      </c>
      <c r="R13" s="260">
        <f t="shared" si="6"/>
        <v>37036.930434782611</v>
      </c>
      <c r="S13" s="89">
        <f>SUM(R13/B13)</f>
        <v>0.26602090272152895</v>
      </c>
      <c r="T13" s="260">
        <f t="shared" si="7"/>
        <v>21397.81739130435</v>
      </c>
      <c r="U13" s="89">
        <f>SUM(T13/B13)</f>
        <v>0.15369164322968346</v>
      </c>
      <c r="V13" s="311">
        <v>3861.8</v>
      </c>
      <c r="W13" s="9"/>
      <c r="Y13" s="310">
        <v>17984.98</v>
      </c>
      <c r="Z13" s="73">
        <f>Y13/1.15</f>
        <v>15639.113043478261</v>
      </c>
      <c r="AA13" s="238"/>
      <c r="AB13" s="310">
        <v>24607.49</v>
      </c>
      <c r="AC13" s="73">
        <f t="shared" si="8"/>
        <v>21397.81739130435</v>
      </c>
    </row>
    <row r="14" spans="1:29" ht="15.6" customHeight="1" x14ac:dyDescent="0.3">
      <c r="A14" s="469" t="s">
        <v>20</v>
      </c>
      <c r="B14" s="310">
        <v>158859.57999999999</v>
      </c>
      <c r="C14" s="310">
        <v>161314.92000000001</v>
      </c>
      <c r="D14" s="310">
        <v>144600.03</v>
      </c>
      <c r="E14" s="86">
        <f t="shared" si="5"/>
        <v>-1.5220786769134718E-2</v>
      </c>
      <c r="F14" s="310">
        <v>475893.86</v>
      </c>
      <c r="G14" s="310">
        <v>173410.07</v>
      </c>
      <c r="H14" s="467">
        <f>IFERROR((SUM(B14-G14)/G14),0)</f>
        <v>-8.390798758111348E-2</v>
      </c>
      <c r="I14" s="86">
        <f>IFERROR((SUM(B14-D14)/D14),0)</f>
        <v>9.8613741643068742E-2</v>
      </c>
      <c r="J14" s="311">
        <v>496</v>
      </c>
      <c r="K14" s="84">
        <f>IFERROR(B14/J14,0)</f>
        <v>320.28141129032258</v>
      </c>
      <c r="L14" s="476">
        <v>95</v>
      </c>
      <c r="M14" s="476">
        <v>8616.2800000000007</v>
      </c>
      <c r="N14" s="89">
        <f>IFERROR(M14/J14,0)</f>
        <v>17.371532258064516</v>
      </c>
      <c r="O14" s="476">
        <v>263</v>
      </c>
      <c r="P14" s="476">
        <v>25661.94</v>
      </c>
      <c r="Q14" s="89">
        <f>IFERROR(P14/SUM(J14),0)</f>
        <v>51.737782258064513</v>
      </c>
      <c r="R14" s="260">
        <f t="shared" si="6"/>
        <v>57454.400000000001</v>
      </c>
      <c r="S14" s="89">
        <f>SUM(R14/B14)</f>
        <v>0.36166783268594821</v>
      </c>
      <c r="T14" s="260">
        <f t="shared" si="7"/>
        <v>21900.434782608696</v>
      </c>
      <c r="U14" s="89">
        <f>SUM(T14/B14)</f>
        <v>0.13786033415553975</v>
      </c>
      <c r="V14" s="311">
        <v>7832</v>
      </c>
      <c r="W14" s="26"/>
      <c r="Y14" s="310">
        <v>40887.06</v>
      </c>
      <c r="Z14" s="73">
        <f>Y14/1.15</f>
        <v>35553.965217391305</v>
      </c>
      <c r="AA14" s="238"/>
      <c r="AB14" s="310">
        <v>25185.5</v>
      </c>
      <c r="AC14" s="73">
        <f t="shared" si="8"/>
        <v>21900.434782608696</v>
      </c>
    </row>
    <row r="15" spans="1:29" ht="15.6" customHeight="1" x14ac:dyDescent="0.3">
      <c r="A15" s="12" t="s">
        <v>22</v>
      </c>
      <c r="B15" s="310">
        <v>147176.59</v>
      </c>
      <c r="C15" s="310">
        <v>158305.73000000001</v>
      </c>
      <c r="D15" s="310">
        <v>152846.04</v>
      </c>
      <c r="E15" s="86">
        <f t="shared" si="5"/>
        <v>-7.0301561415370209E-2</v>
      </c>
      <c r="F15" s="310">
        <v>453486.93</v>
      </c>
      <c r="G15" s="310">
        <v>136993</v>
      </c>
      <c r="H15" s="467">
        <f>IFERROR((SUM(B15-G15)/G15),0)</f>
        <v>7.4336571941632026E-2</v>
      </c>
      <c r="I15" s="86">
        <f>IFERROR((SUM(B15-D15)/D15),0)</f>
        <v>-3.7092554049813861E-2</v>
      </c>
      <c r="J15" s="311">
        <v>483</v>
      </c>
      <c r="K15" s="84">
        <f>IFERROR(B15/J15,0)</f>
        <v>304.71343685300207</v>
      </c>
      <c r="L15" s="476">
        <v>39</v>
      </c>
      <c r="M15" s="476">
        <v>3249.86</v>
      </c>
      <c r="N15" s="89">
        <f>IFERROR(M15/J15,0)</f>
        <v>6.728488612836439</v>
      </c>
      <c r="O15" s="476">
        <v>82</v>
      </c>
      <c r="P15" s="476">
        <v>6988.08</v>
      </c>
      <c r="Q15" s="89">
        <f>IFERROR(P15/SUM(J15),0)</f>
        <v>14.46807453416149</v>
      </c>
      <c r="R15" s="260">
        <f t="shared" si="6"/>
        <v>44843.782608695656</v>
      </c>
      <c r="S15" s="89">
        <f>SUM(R15/B15)</f>
        <v>0.30469371935234846</v>
      </c>
      <c r="T15" s="260">
        <f t="shared" si="7"/>
        <v>20282.826086956524</v>
      </c>
      <c r="U15" s="89">
        <f>SUM(T15/B15)</f>
        <v>0.13781285520310346</v>
      </c>
      <c r="V15" s="311">
        <v>3875</v>
      </c>
      <c r="W15" s="26"/>
      <c r="Y15" s="310">
        <v>28245.1</v>
      </c>
      <c r="Z15" s="73">
        <f>Y15/1.15</f>
        <v>24560.956521739132</v>
      </c>
      <c r="AA15" s="238"/>
      <c r="AB15" s="310">
        <v>23325.25</v>
      </c>
      <c r="AC15" s="73">
        <f t="shared" si="8"/>
        <v>20282.826086956524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0" spans="1:23" x14ac:dyDescent="0.3">
      <c r="B40" t="s">
        <v>67</v>
      </c>
    </row>
    <row r="49" spans="11:11" x14ac:dyDescent="0.3">
      <c r="K49" s="446"/>
    </row>
  </sheetData>
  <conditionalFormatting sqref="E5:E15 I5:I15 K5:U15">
    <cfRule type="cellIs" dxfId="31" priority="2" operator="equal">
      <formula>0</formula>
    </cfRule>
  </conditionalFormatting>
  <conditionalFormatting sqref="R12:R13">
    <cfRule type="cellIs" dxfId="3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AC49"/>
  <sheetViews>
    <sheetView zoomScale="60" zoomScaleNormal="60" workbookViewId="0">
      <pane xSplit="1" topLeftCell="B1" activePane="topRight" state="frozen"/>
      <selection pane="topRight" activeCell="B14" sqref="B14"/>
    </sheetView>
  </sheetViews>
  <sheetFormatPr defaultRowHeight="14.4" x14ac:dyDescent="0.3"/>
  <cols>
    <col min="1" max="1" width="23" customWidth="1"/>
    <col min="2" max="2" width="21.66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5.8867187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7.1003937339743223E-2</v>
      </c>
      <c r="F2" s="426"/>
      <c r="G2" s="1"/>
      <c r="H2" s="427"/>
      <c r="I2" s="422">
        <f>((B4-D4)/D4)</f>
        <v>-1.1202693277402642E-2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98">
        <f>SUM(B5:B15)</f>
        <v>1869036.07</v>
      </c>
      <c r="C4" s="468">
        <f>SUM(C5:C15)</f>
        <v>1736327.1500000001</v>
      </c>
      <c r="D4" s="468">
        <f>SUM(D5:D15)</f>
        <v>1890211.53</v>
      </c>
      <c r="E4" s="472">
        <f>IFERROR((SUM(B4-C4)/B4),0)</f>
        <v>7.1003937339743223E-2</v>
      </c>
      <c r="F4" s="465">
        <f>SUM(F5:F15)</f>
        <v>7500032.29</v>
      </c>
      <c r="G4" s="468">
        <f>SUM(G5:G15)</f>
        <v>2146724.23</v>
      </c>
      <c r="H4" s="436">
        <f>IFERROR((SUM(B4-G4)/G4),0)</f>
        <v>-0.12935436984376886</v>
      </c>
      <c r="I4" s="436">
        <f t="shared" ref="I4:I9" si="0">IFERROR((SUM(B4-D4)/D4),0)</f>
        <v>-1.1202693277402642E-2</v>
      </c>
      <c r="J4" s="480">
        <f>SUM(J5:J15)</f>
        <v>5824</v>
      </c>
      <c r="K4" s="474">
        <f>AVERAGE(K5:K15)</f>
        <v>320.36394739173193</v>
      </c>
      <c r="L4" s="474">
        <f>SUM(L6:L15)</f>
        <v>765</v>
      </c>
      <c r="M4" s="439">
        <f>SUM(M5:M15)</f>
        <v>99768.750000000015</v>
      </c>
      <c r="N4" s="442">
        <f>IFERROR(M4/J4,0)</f>
        <v>17.130623282967036</v>
      </c>
      <c r="O4" s="473">
        <f>SUM(O6:O15)</f>
        <v>2463</v>
      </c>
      <c r="P4" s="475">
        <f>SUM(P7:P15)</f>
        <v>295709.21000000002</v>
      </c>
      <c r="Q4" s="442">
        <f t="shared" ref="Q4:Q9" si="1">IFERROR(P4/SUM(J4),0)</f>
        <v>50.774246222527474</v>
      </c>
      <c r="R4" s="455">
        <f>SUM(R5:R15)</f>
        <v>583694.93913043488</v>
      </c>
      <c r="S4" s="442">
        <f t="shared" ref="S4:S9" si="2">SUM(R4/B4)</f>
        <v>0.31229731116448428</v>
      </c>
      <c r="T4" s="455">
        <f>SUM(T5:T15)</f>
        <v>227638.33043478263</v>
      </c>
      <c r="U4" s="442">
        <f t="shared" ref="U4:U9" si="3">SUM(T4/B4)</f>
        <v>0.1217945089924255</v>
      </c>
      <c r="V4" s="481">
        <f>SUM(V5:V15)</f>
        <v>46983.55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489">
        <v>200471.92</v>
      </c>
      <c r="C5" s="489">
        <v>210107.49</v>
      </c>
      <c r="D5" s="489">
        <v>166877.21</v>
      </c>
      <c r="E5" s="86">
        <f t="shared" ref="E5:E15" si="4">IFERROR((SUM(B5-C5)/C5),0)</f>
        <v>-4.586019279940938E-2</v>
      </c>
      <c r="F5" s="489">
        <v>928086.68</v>
      </c>
      <c r="G5" s="489">
        <v>189110.91</v>
      </c>
      <c r="H5" s="467">
        <f>IFERROR((SUM(B5-G5)/G5),0)</f>
        <v>6.0075909951467152E-2</v>
      </c>
      <c r="I5" s="86">
        <f t="shared" si="0"/>
        <v>0.20131394814187042</v>
      </c>
      <c r="J5" s="489">
        <v>600</v>
      </c>
      <c r="K5" s="84">
        <f>IFERROR(B5/J5,0)</f>
        <v>334.11986666666667</v>
      </c>
      <c r="L5" s="490"/>
      <c r="M5" s="490"/>
      <c r="N5" s="89">
        <f>IFERROR(M5/J5,0)</f>
        <v>0</v>
      </c>
      <c r="O5" s="89"/>
      <c r="P5" s="477"/>
      <c r="Q5" s="89">
        <f t="shared" si="1"/>
        <v>0</v>
      </c>
      <c r="R5" s="485">
        <f t="shared" ref="R5:R15" si="5">SUM(Z5+AC5)</f>
        <v>18584.34782608696</v>
      </c>
      <c r="S5" s="89">
        <f t="shared" si="2"/>
        <v>9.2702997138387061E-2</v>
      </c>
      <c r="T5" s="485">
        <f t="shared" ref="T5:T15" si="6">SUM(AC5)</f>
        <v>18584.34782608696</v>
      </c>
      <c r="U5" s="89">
        <f t="shared" si="3"/>
        <v>9.2702997138387061E-2</v>
      </c>
      <c r="V5" s="489">
        <v>2142</v>
      </c>
      <c r="W5" s="486"/>
      <c r="X5" s="483"/>
      <c r="Y5" s="75">
        <v>0</v>
      </c>
      <c r="Z5" s="75">
        <f>Y5/1.15</f>
        <v>0</v>
      </c>
      <c r="AA5" s="487"/>
      <c r="AB5" s="313">
        <v>21372</v>
      </c>
      <c r="AC5" s="75">
        <f t="shared" ref="AC5:AC15" si="7">SUM(AB5)/1.15</f>
        <v>18584.34782608696</v>
      </c>
    </row>
    <row r="6" spans="1:29" ht="15.6" customHeight="1" x14ac:dyDescent="0.3">
      <c r="A6" s="492" t="s">
        <v>21</v>
      </c>
      <c r="B6" s="489">
        <v>227736.26</v>
      </c>
      <c r="C6" s="489">
        <v>206591.3</v>
      </c>
      <c r="D6" s="489">
        <v>317233.91999999998</v>
      </c>
      <c r="E6" s="86">
        <f t="shared" si="4"/>
        <v>0.1023516479154738</v>
      </c>
      <c r="F6" s="489">
        <v>907952.44</v>
      </c>
      <c r="G6" s="489">
        <v>227402.91</v>
      </c>
      <c r="H6" s="467">
        <f>IFERROR((SUM(B6-G6)/G6),0)</f>
        <v>1.4659003264294456E-3</v>
      </c>
      <c r="I6" s="86">
        <f t="shared" si="0"/>
        <v>-0.28211882260257659</v>
      </c>
      <c r="J6" s="489">
        <v>677</v>
      </c>
      <c r="K6" s="84">
        <f>IFERROR(B6/J6,0)</f>
        <v>336.39033973412114</v>
      </c>
      <c r="L6" s="490">
        <v>52</v>
      </c>
      <c r="M6" s="489">
        <v>9794.74</v>
      </c>
      <c r="N6" s="89">
        <f>IFERROR(M7/J6,0)</f>
        <v>1.7801920236336781</v>
      </c>
      <c r="O6" s="490">
        <v>197</v>
      </c>
      <c r="P6" s="489">
        <v>28561.57</v>
      </c>
      <c r="Q6" s="89">
        <f t="shared" si="1"/>
        <v>42.188434268833085</v>
      </c>
      <c r="R6" s="485">
        <f t="shared" si="5"/>
        <v>63978.452173913043</v>
      </c>
      <c r="S6" s="89">
        <f t="shared" si="2"/>
        <v>0.2809322159497703</v>
      </c>
      <c r="T6" s="485">
        <f t="shared" si="6"/>
        <v>24491.695652173916</v>
      </c>
      <c r="U6" s="89">
        <f t="shared" si="3"/>
        <v>0.10754411990507755</v>
      </c>
      <c r="V6" s="489">
        <v>9308.9</v>
      </c>
      <c r="W6" s="488"/>
      <c r="X6" s="483"/>
      <c r="Y6" s="313">
        <v>45409.77</v>
      </c>
      <c r="Z6" s="75">
        <f>Y6/1.15</f>
        <v>39486.756521739131</v>
      </c>
      <c r="AA6" s="487"/>
      <c r="AB6" s="313">
        <v>28165.45</v>
      </c>
      <c r="AC6" s="75">
        <f t="shared" si="7"/>
        <v>24491.695652173916</v>
      </c>
    </row>
    <row r="7" spans="1:29" ht="16.5" customHeight="1" x14ac:dyDescent="0.3">
      <c r="A7" s="492" t="s">
        <v>15</v>
      </c>
      <c r="B7" s="489">
        <v>234482.01</v>
      </c>
      <c r="C7" s="489">
        <v>208209.65</v>
      </c>
      <c r="D7" s="489">
        <v>254835.6</v>
      </c>
      <c r="E7" s="86">
        <f t="shared" si="4"/>
        <v>0.1261822398721674</v>
      </c>
      <c r="F7" s="489">
        <v>893357.67</v>
      </c>
      <c r="G7" s="489">
        <v>255083.58</v>
      </c>
      <c r="H7" s="467">
        <f>IFERROR((SUM(B7-G7)/G7),0)</f>
        <v>-8.0763998999857145E-2</v>
      </c>
      <c r="I7" s="86">
        <f t="shared" si="0"/>
        <v>-7.9869492331526667E-2</v>
      </c>
      <c r="J7" s="489">
        <v>640</v>
      </c>
      <c r="K7" s="84">
        <f>IFERROR(B7/J7,0)</f>
        <v>366.37814062500001</v>
      </c>
      <c r="L7" s="490">
        <v>21</v>
      </c>
      <c r="M7" s="489">
        <v>1205.19</v>
      </c>
      <c r="N7" s="89">
        <f>IFERROR(#REF!/J7,0)</f>
        <v>0</v>
      </c>
      <c r="O7" s="490">
        <v>43</v>
      </c>
      <c r="P7" s="489">
        <v>4803.0200000000004</v>
      </c>
      <c r="Q7" s="89">
        <f t="shared" si="1"/>
        <v>7.5047187500000003</v>
      </c>
      <c r="R7" s="485">
        <f t="shared" si="5"/>
        <v>47941.739130434791</v>
      </c>
      <c r="S7" s="89">
        <f t="shared" si="2"/>
        <v>0.20445806964225013</v>
      </c>
      <c r="T7" s="485">
        <f t="shared" si="6"/>
        <v>483.47826086956525</v>
      </c>
      <c r="U7" s="89">
        <f t="shared" si="3"/>
        <v>2.0618991660365125E-3</v>
      </c>
      <c r="V7" s="489">
        <v>1860</v>
      </c>
      <c r="W7" s="488"/>
      <c r="X7" s="483"/>
      <c r="Y7" s="313">
        <v>54577</v>
      </c>
      <c r="Z7" s="75">
        <f>Y7/1.15</f>
        <v>47458.260869565223</v>
      </c>
      <c r="AA7" s="487"/>
      <c r="AB7" s="313">
        <v>556</v>
      </c>
      <c r="AC7" s="75">
        <f t="shared" si="7"/>
        <v>483.47826086956525</v>
      </c>
    </row>
    <row r="8" spans="1:29" ht="15.6" customHeight="1" x14ac:dyDescent="0.3">
      <c r="A8" s="492" t="s">
        <v>27</v>
      </c>
      <c r="B8" s="489">
        <v>157775.57999999999</v>
      </c>
      <c r="C8" s="489">
        <v>123227.5</v>
      </c>
      <c r="D8" s="489">
        <v>125945.97</v>
      </c>
      <c r="E8" s="86">
        <f t="shared" si="4"/>
        <v>0.28036014688279798</v>
      </c>
      <c r="F8" s="489">
        <v>573919.11</v>
      </c>
      <c r="G8" s="489">
        <v>146090.97</v>
      </c>
      <c r="H8" s="467">
        <f>IFERROR((SUM(B8-G8)/G8),0)</f>
        <v>7.9981740144513966E-2</v>
      </c>
      <c r="I8" s="86">
        <f t="shared" si="0"/>
        <v>0.25272432297754333</v>
      </c>
      <c r="J8" s="489">
        <v>526</v>
      </c>
      <c r="K8" s="84">
        <f>IFERROR(B8/J8,0)</f>
        <v>299.95357414448665</v>
      </c>
      <c r="L8" s="490">
        <v>84</v>
      </c>
      <c r="M8" s="489">
        <v>15065.98</v>
      </c>
      <c r="N8" s="89">
        <f>IFERROR(M8/J8,0)</f>
        <v>28.64254752851711</v>
      </c>
      <c r="O8" s="490">
        <v>298</v>
      </c>
      <c r="P8" s="489">
        <v>41053.31</v>
      </c>
      <c r="Q8" s="89">
        <f t="shared" si="1"/>
        <v>78.048117870722436</v>
      </c>
      <c r="R8" s="485">
        <f t="shared" si="5"/>
        <v>58912.817391304357</v>
      </c>
      <c r="S8" s="89">
        <f t="shared" si="2"/>
        <v>0.37339629739471952</v>
      </c>
      <c r="T8" s="485">
        <f t="shared" si="6"/>
        <v>22058.695652173916</v>
      </c>
      <c r="U8" s="89">
        <f t="shared" si="3"/>
        <v>0.13981058191751802</v>
      </c>
      <c r="V8" s="489">
        <v>5396.5</v>
      </c>
      <c r="W8" s="486"/>
      <c r="X8" s="483"/>
      <c r="Y8" s="313">
        <v>42382.239999999998</v>
      </c>
      <c r="Z8" s="75">
        <f>Y8/1.15</f>
        <v>36854.121739130438</v>
      </c>
      <c r="AA8" s="487"/>
      <c r="AB8" s="313">
        <v>25367.5</v>
      </c>
      <c r="AC8" s="75">
        <f t="shared" si="7"/>
        <v>22058.695652173916</v>
      </c>
    </row>
    <row r="9" spans="1:29" ht="15.6" customHeight="1" x14ac:dyDescent="0.3">
      <c r="A9" s="492" t="s">
        <v>23</v>
      </c>
      <c r="B9" s="489">
        <v>201028.07</v>
      </c>
      <c r="C9" s="489">
        <v>208620.72</v>
      </c>
      <c r="D9" s="489">
        <v>243010.12</v>
      </c>
      <c r="E9" s="86">
        <f t="shared" si="4"/>
        <v>-3.6394515367409307E-2</v>
      </c>
      <c r="F9" s="489">
        <v>864915.19</v>
      </c>
      <c r="G9" s="489">
        <v>240394.06</v>
      </c>
      <c r="H9" s="467">
        <f>IFERROR((SUM(B9-#REF!)/#REF!),0)</f>
        <v>0</v>
      </c>
      <c r="I9" s="86">
        <f t="shared" si="0"/>
        <v>-0.1727584431463183</v>
      </c>
      <c r="J9" s="489">
        <v>649</v>
      </c>
      <c r="K9" s="84">
        <f>IFERROR(B9/J9,0)</f>
        <v>309.75049306625579</v>
      </c>
      <c r="L9" s="490">
        <v>52</v>
      </c>
      <c r="M9" s="489">
        <v>4328.0200000000004</v>
      </c>
      <c r="N9" s="89">
        <f>IFERROR(M9/J9,0)</f>
        <v>6.6687519260400627</v>
      </c>
      <c r="O9" s="490">
        <v>147</v>
      </c>
      <c r="P9" s="489">
        <v>18334.68</v>
      </c>
      <c r="Q9" s="89">
        <f t="shared" si="1"/>
        <v>28.250662557781201</v>
      </c>
      <c r="R9" s="485">
        <f t="shared" si="5"/>
        <v>57976.304347826095</v>
      </c>
      <c r="S9" s="89">
        <f t="shared" si="2"/>
        <v>0.28839904968408686</v>
      </c>
      <c r="T9" s="485">
        <f t="shared" si="6"/>
        <v>34390.878260869569</v>
      </c>
      <c r="U9" s="89">
        <f t="shared" si="3"/>
        <v>0.17107500589778118</v>
      </c>
      <c r="V9" s="489">
        <v>7282.5</v>
      </c>
      <c r="W9" s="488"/>
      <c r="X9" s="483"/>
      <c r="Y9" s="313">
        <v>27123.24</v>
      </c>
      <c r="Z9" s="75">
        <f>Y9/1.15</f>
        <v>23585.426086956526</v>
      </c>
      <c r="AA9" s="487"/>
      <c r="AB9" s="313">
        <v>39549.51</v>
      </c>
      <c r="AC9" s="75">
        <f t="shared" si="7"/>
        <v>34390.878260869569</v>
      </c>
    </row>
    <row r="10" spans="1:29" ht="15.6" customHeight="1" x14ac:dyDescent="0.3">
      <c r="A10" s="432" t="s">
        <v>16</v>
      </c>
      <c r="B10" s="489"/>
      <c r="C10" s="489"/>
      <c r="D10" s="489">
        <v>191397.82</v>
      </c>
      <c r="E10" s="86">
        <f t="shared" si="4"/>
        <v>0</v>
      </c>
      <c r="F10" s="489"/>
      <c r="G10" s="489">
        <v>280559.71000000002</v>
      </c>
      <c r="H10" s="467">
        <f>IFERROR((SUM(B10-G10)/G10),0)</f>
        <v>-1</v>
      </c>
      <c r="I10" s="86">
        <f>IFERROR((SUM(B11-D10)/D10),0)</f>
        <v>-0.22776158056554671</v>
      </c>
      <c r="J10" s="489"/>
      <c r="K10" s="84">
        <f>IFERROR(B11/J11,0)</f>
        <v>295.01946107784431</v>
      </c>
      <c r="L10" s="490"/>
      <c r="M10" s="489"/>
      <c r="N10" s="89">
        <f>IFERROR(M10/J11,0)</f>
        <v>0</v>
      </c>
      <c r="O10" s="490"/>
      <c r="P10" s="479"/>
      <c r="Q10" s="89">
        <f>IFERROR(P10/SUM(J11),0)</f>
        <v>0</v>
      </c>
      <c r="R10" s="485">
        <f t="shared" si="5"/>
        <v>37506.591304347829</v>
      </c>
      <c r="S10" s="89">
        <f>SUM(R10/B11)</f>
        <v>0.25375768576008434</v>
      </c>
      <c r="T10" s="485">
        <f t="shared" si="6"/>
        <v>0</v>
      </c>
      <c r="U10" s="89">
        <f>SUM(T10/B11)</f>
        <v>0</v>
      </c>
      <c r="V10" s="489"/>
      <c r="W10" s="488"/>
      <c r="X10" s="483"/>
      <c r="Y10" s="75"/>
      <c r="Z10" s="75">
        <f>Y11/1.15</f>
        <v>37506.591304347829</v>
      </c>
      <c r="AA10" s="487"/>
      <c r="AB10" s="313"/>
      <c r="AC10" s="75">
        <f t="shared" si="7"/>
        <v>0</v>
      </c>
    </row>
    <row r="11" spans="1:29" ht="15.6" customHeight="1" x14ac:dyDescent="0.3">
      <c r="A11" s="492" t="s">
        <v>17</v>
      </c>
      <c r="B11" s="489">
        <v>147804.75</v>
      </c>
      <c r="C11" s="489">
        <v>128339.83</v>
      </c>
      <c r="D11" s="489">
        <v>86713.33</v>
      </c>
      <c r="E11" s="86">
        <f t="shared" si="4"/>
        <v>0.15166702340185426</v>
      </c>
      <c r="F11" s="489">
        <v>579876.97</v>
      </c>
      <c r="G11" s="489">
        <v>142495.73000000001</v>
      </c>
      <c r="H11" s="467">
        <f>IFERROR((SUM(B11-G11)/G11),0)</f>
        <v>3.7257397116390707E-2</v>
      </c>
      <c r="I11" s="86">
        <f>IFERROR((SUM(#REF!-D11)/D11),0)</f>
        <v>0</v>
      </c>
      <c r="J11" s="489">
        <v>501</v>
      </c>
      <c r="K11" s="84">
        <f>IFERROR(B12/J12,0)</f>
        <v>309.35320279720281</v>
      </c>
      <c r="L11" s="490">
        <v>165</v>
      </c>
      <c r="M11" s="489">
        <v>22938.51</v>
      </c>
      <c r="N11" s="89">
        <f>IFERROR(M11/J12,0)</f>
        <v>32.081832167832168</v>
      </c>
      <c r="O11" s="490">
        <v>635</v>
      </c>
      <c r="P11" s="489">
        <v>80600.56</v>
      </c>
      <c r="Q11" s="89">
        <f>IFERROR(P11/SUM(J12),0)</f>
        <v>112.72805594405594</v>
      </c>
      <c r="R11" s="485">
        <f t="shared" si="5"/>
        <v>66596.069565217389</v>
      </c>
      <c r="S11" s="89">
        <f>SUM(R11/B12)</f>
        <v>0.301084182071094</v>
      </c>
      <c r="T11" s="485">
        <f t="shared" si="6"/>
        <v>24496.965217391305</v>
      </c>
      <c r="U11" s="89">
        <f>SUM(T11/B12)</f>
        <v>0.11075201260157469</v>
      </c>
      <c r="V11" s="489">
        <v>2591.75</v>
      </c>
      <c r="W11" s="488"/>
      <c r="X11" s="483"/>
      <c r="Y11" s="313">
        <v>43132.58</v>
      </c>
      <c r="Z11" s="75">
        <f>Y12/1.15</f>
        <v>42099.104347826091</v>
      </c>
      <c r="AA11" s="487"/>
      <c r="AB11" s="313">
        <v>28171.51</v>
      </c>
      <c r="AC11" s="75">
        <f t="shared" si="7"/>
        <v>24496.965217391305</v>
      </c>
    </row>
    <row r="12" spans="1:29" ht="15.6" customHeight="1" x14ac:dyDescent="0.3">
      <c r="A12" s="492" t="s">
        <v>55</v>
      </c>
      <c r="B12" s="489">
        <v>221187.54</v>
      </c>
      <c r="C12" s="489">
        <v>205968.85</v>
      </c>
      <c r="D12" s="489">
        <v>206751.49</v>
      </c>
      <c r="E12" s="86">
        <f t="shared" si="4"/>
        <v>7.3888308838933658E-2</v>
      </c>
      <c r="F12" s="489">
        <v>845418.77</v>
      </c>
      <c r="G12" s="489">
        <v>204056.94</v>
      </c>
      <c r="H12" s="467">
        <f>IFERROR((SUM(B12-#REF!)/#REF!),0)</f>
        <v>0</v>
      </c>
      <c r="I12" s="86">
        <f>IFERROR((SUM(B12-D12)/D12),0)</f>
        <v>6.9823196921096037E-2</v>
      </c>
      <c r="J12" s="489">
        <v>715</v>
      </c>
      <c r="K12" s="84">
        <f>IFERROR(B12/J12,0)</f>
        <v>309.35320279720281</v>
      </c>
      <c r="L12" s="490">
        <v>173</v>
      </c>
      <c r="M12" s="489">
        <v>19686.09</v>
      </c>
      <c r="N12" s="89">
        <f>IFERROR(M12/J12,0)</f>
        <v>27.532993006993006</v>
      </c>
      <c r="O12" s="490">
        <v>529</v>
      </c>
      <c r="P12" s="489">
        <v>68959.78</v>
      </c>
      <c r="Q12" s="89">
        <f>IFERROR(P12/SUM(J12),0)</f>
        <v>96.447244755244753</v>
      </c>
      <c r="R12" s="485">
        <f t="shared" si="5"/>
        <v>73436.904347826086</v>
      </c>
      <c r="S12" s="89">
        <f>SUM(R12/B12)</f>
        <v>0.3320119404005582</v>
      </c>
      <c r="T12" s="485">
        <f t="shared" si="6"/>
        <v>31337.800000000003</v>
      </c>
      <c r="U12" s="89">
        <f>SUM(T12/B12)</f>
        <v>0.1416797709310389</v>
      </c>
      <c r="V12" s="489">
        <v>4992</v>
      </c>
      <c r="W12" s="486"/>
      <c r="X12" s="483"/>
      <c r="Y12" s="313">
        <v>48413.97</v>
      </c>
      <c r="Z12" s="75">
        <f>Y12/1.15</f>
        <v>42099.104347826091</v>
      </c>
      <c r="AA12" s="487"/>
      <c r="AB12" s="313">
        <v>36038.47</v>
      </c>
      <c r="AC12" s="75">
        <f t="shared" si="7"/>
        <v>31337.800000000003</v>
      </c>
    </row>
    <row r="13" spans="1:29" ht="15.6" customHeight="1" x14ac:dyDescent="0.3">
      <c r="A13" s="492" t="s">
        <v>33</v>
      </c>
      <c r="B13" s="489">
        <v>189414.41</v>
      </c>
      <c r="C13" s="489">
        <v>139225.64000000001</v>
      </c>
      <c r="D13" s="489"/>
      <c r="E13" s="86">
        <f t="shared" si="4"/>
        <v>0.36048510892102908</v>
      </c>
      <c r="F13" s="489">
        <v>687989.14</v>
      </c>
      <c r="G13" s="489">
        <v>172188.47</v>
      </c>
      <c r="H13" s="467">
        <f>IFERROR((SUM(B13-G12)/G12),0)</f>
        <v>-7.1757079176037825E-2</v>
      </c>
      <c r="I13" s="86">
        <f>IFERROR((SUM(B13-D13)/D13),0)</f>
        <v>0</v>
      </c>
      <c r="J13" s="489">
        <v>660</v>
      </c>
      <c r="K13" s="84">
        <f>IFERROR(B13/J13,0)</f>
        <v>286.99153030303029</v>
      </c>
      <c r="L13" s="490">
        <v>84</v>
      </c>
      <c r="M13" s="489">
        <v>15677.29</v>
      </c>
      <c r="N13" s="89">
        <f>IFERROR(M13/J13,0)</f>
        <v>23.753469696969699</v>
      </c>
      <c r="O13" s="490">
        <v>269</v>
      </c>
      <c r="P13" s="489">
        <v>38234.910000000003</v>
      </c>
      <c r="Q13" s="89">
        <f>IFERROR(P13/SUM(J13),0)</f>
        <v>57.931681818181822</v>
      </c>
      <c r="R13" s="485">
        <f t="shared" si="5"/>
        <v>57509.939130434781</v>
      </c>
      <c r="S13" s="89">
        <f>SUM(R13/B13)</f>
        <v>0.30361966193825896</v>
      </c>
      <c r="T13" s="485">
        <f t="shared" si="6"/>
        <v>28836.426086956522</v>
      </c>
      <c r="U13" s="89">
        <f>SUM(T13/B13)</f>
        <v>0.15223987492269739</v>
      </c>
      <c r="V13" s="489">
        <v>5501.9</v>
      </c>
      <c r="W13" s="486"/>
      <c r="X13" s="483"/>
      <c r="Y13" s="313">
        <v>32974.54</v>
      </c>
      <c r="Z13" s="75">
        <f>Y13/1.15</f>
        <v>28673.513043478262</v>
      </c>
      <c r="AA13" s="487"/>
      <c r="AB13" s="313">
        <v>33161.89</v>
      </c>
      <c r="AC13" s="75">
        <f t="shared" si="7"/>
        <v>28836.426086956522</v>
      </c>
    </row>
    <row r="14" spans="1:29" ht="15.6" customHeight="1" x14ac:dyDescent="0.3">
      <c r="A14" s="492" t="s">
        <v>20</v>
      </c>
      <c r="B14" s="489">
        <v>142449.04</v>
      </c>
      <c r="C14" s="489">
        <v>158859.57999999999</v>
      </c>
      <c r="D14" s="489">
        <v>144600.03</v>
      </c>
      <c r="E14" s="86">
        <f t="shared" si="4"/>
        <v>-0.10330217415909057</v>
      </c>
      <c r="F14" s="489">
        <v>618342.9</v>
      </c>
      <c r="G14" s="489">
        <v>168921.07</v>
      </c>
      <c r="H14" s="467">
        <f>IFERROR((SUM(B14-G14)/G14),0)</f>
        <v>-0.15671242196133375</v>
      </c>
      <c r="I14" s="86">
        <f>IFERROR((SUM(B14-D14)/D14),0)</f>
        <v>-1.4875446429713678E-2</v>
      </c>
      <c r="J14" s="489">
        <v>407</v>
      </c>
      <c r="K14" s="84">
        <f>IFERROR(B14/J14,0)</f>
        <v>349.99764127764132</v>
      </c>
      <c r="L14" s="490">
        <v>95</v>
      </c>
      <c r="M14" s="489">
        <v>8449.49</v>
      </c>
      <c r="N14" s="89">
        <f>IFERROR(M14/J14,0)</f>
        <v>20.76041769041769</v>
      </c>
      <c r="O14" s="490">
        <v>263</v>
      </c>
      <c r="P14" s="489">
        <v>34111.43</v>
      </c>
      <c r="Q14" s="89">
        <f>IFERROR(P14/SUM(J14),0)</f>
        <v>83.811867321867325</v>
      </c>
      <c r="R14" s="485">
        <f t="shared" si="5"/>
        <v>57741.408695652179</v>
      </c>
      <c r="S14" s="89">
        <f>SUM(R14/B14)</f>
        <v>0.4053478261113741</v>
      </c>
      <c r="T14" s="485">
        <f t="shared" si="6"/>
        <v>19630</v>
      </c>
      <c r="U14" s="89">
        <f>SUM(T14/B14)</f>
        <v>0.1378036664901357</v>
      </c>
      <c r="V14" s="489">
        <v>4299.5</v>
      </c>
      <c r="W14" s="488"/>
      <c r="X14" s="483"/>
      <c r="Y14" s="313">
        <v>43828.12</v>
      </c>
      <c r="Z14" s="75">
        <f>Y14/1.15</f>
        <v>38111.408695652179</v>
      </c>
      <c r="AA14" s="487"/>
      <c r="AB14" s="313">
        <v>22574.5</v>
      </c>
      <c r="AC14" s="75">
        <f t="shared" si="7"/>
        <v>19630</v>
      </c>
    </row>
    <row r="15" spans="1:29" ht="15.6" customHeight="1" x14ac:dyDescent="0.3">
      <c r="A15" s="432" t="s">
        <v>22</v>
      </c>
      <c r="B15" s="489">
        <v>146686.49</v>
      </c>
      <c r="C15" s="489">
        <v>147176.59</v>
      </c>
      <c r="D15" s="489">
        <v>152846.04</v>
      </c>
      <c r="E15" s="86">
        <f t="shared" si="4"/>
        <v>-3.3300132854009313E-3</v>
      </c>
      <c r="F15" s="489">
        <v>600173.42000000004</v>
      </c>
      <c r="G15" s="489">
        <v>120419.88</v>
      </c>
      <c r="H15" s="467">
        <f>IFERROR((SUM(B15-G15)/G15),0)</f>
        <v>0.21812519660375002</v>
      </c>
      <c r="I15" s="86">
        <f>IFERROR((SUM(B15-D15)/D15),0)</f>
        <v>-4.0299048637439459E-2</v>
      </c>
      <c r="J15" s="489">
        <v>449</v>
      </c>
      <c r="K15" s="84">
        <f>IFERROR(B15/J15,0)</f>
        <v>326.6959688195991</v>
      </c>
      <c r="L15" s="490">
        <v>39</v>
      </c>
      <c r="M15" s="489">
        <v>2623.44</v>
      </c>
      <c r="N15" s="89">
        <f>IFERROR(M15/J15,0)</f>
        <v>5.8428507795100222</v>
      </c>
      <c r="O15" s="490">
        <v>82</v>
      </c>
      <c r="P15" s="489">
        <v>9611.52</v>
      </c>
      <c r="Q15" s="89">
        <f>IFERROR(P15/SUM(J15),0)</f>
        <v>21.40650334075724</v>
      </c>
      <c r="R15" s="485">
        <f t="shared" si="5"/>
        <v>43510.365217391307</v>
      </c>
      <c r="S15" s="89">
        <f>SUM(R15/B15)</f>
        <v>0.29662148993674409</v>
      </c>
      <c r="T15" s="485">
        <f t="shared" si="6"/>
        <v>23328.043478260872</v>
      </c>
      <c r="U15" s="89">
        <f>SUM(T15/B15)</f>
        <v>0.1590333470946157</v>
      </c>
      <c r="V15" s="489">
        <v>3608.5</v>
      </c>
      <c r="W15" s="488"/>
      <c r="X15" s="483"/>
      <c r="Y15" s="313">
        <v>23209.67</v>
      </c>
      <c r="Z15" s="75">
        <f>Y15/1.15</f>
        <v>20182.321739130435</v>
      </c>
      <c r="AA15" s="487"/>
      <c r="AB15" s="313">
        <v>26827.25</v>
      </c>
      <c r="AC15" s="75">
        <f t="shared" si="7"/>
        <v>23328.043478260872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29" priority="2" operator="equal">
      <formula>0</formula>
    </cfRule>
  </conditionalFormatting>
  <conditionalFormatting sqref="R12:R13">
    <cfRule type="cellIs" dxfId="2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AC49"/>
  <sheetViews>
    <sheetView zoomScale="60" zoomScaleNormal="60" workbookViewId="0">
      <pane xSplit="1" topLeftCell="B1" activePane="topRight" state="frozen"/>
      <selection pane="topRight" activeCell="L40" sqref="L40"/>
    </sheetView>
  </sheetViews>
  <sheetFormatPr defaultRowHeight="14.4" x14ac:dyDescent="0.3"/>
  <cols>
    <col min="1" max="1" width="23" customWidth="1"/>
    <col min="2" max="2" width="21.66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5.8867187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-1.6646417988365397E-2</v>
      </c>
      <c r="F2" s="426"/>
      <c r="G2" s="1"/>
      <c r="H2" s="427"/>
      <c r="I2" s="422">
        <f>((B4-D4)/D4)</f>
        <v>-2.7393114039464157E-2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98">
        <f>SUM(B5:B15)</f>
        <v>1838432.75</v>
      </c>
      <c r="C4" s="468">
        <f>SUM(C5:C15)</f>
        <v>1869036.07</v>
      </c>
      <c r="D4" s="468">
        <f>SUM(D5:D15)</f>
        <v>1890211.53</v>
      </c>
      <c r="E4" s="472">
        <f>IFERROR((SUM(B4-C4)/B4),0)</f>
        <v>-1.6646417988365397E-2</v>
      </c>
      <c r="F4" s="465">
        <f>SUM(F5:F15)</f>
        <v>1331044.5</v>
      </c>
      <c r="G4" s="468">
        <f>SUM(G5:G15)</f>
        <v>2014687.79</v>
      </c>
      <c r="H4" s="436">
        <f>IFERROR((SUM(B4-G4)/G4),0)</f>
        <v>-8.7485039059079242E-2</v>
      </c>
      <c r="I4" s="436">
        <f t="shared" ref="I4:I9" si="0">IFERROR((SUM(B4-D4)/D4),0)</f>
        <v>-2.7393114039464157E-2</v>
      </c>
      <c r="J4" s="480">
        <f>SUM(J5:J15)</f>
        <v>5720</v>
      </c>
      <c r="K4" s="474">
        <f>AVERAGE(K5:K15)</f>
        <v>319.84867774468495</v>
      </c>
      <c r="L4" s="474">
        <f>SUM(L6:L15)</f>
        <v>765</v>
      </c>
      <c r="M4" s="439">
        <f>SUM(M5:M15)</f>
        <v>97464.41</v>
      </c>
      <c r="N4" s="442">
        <f>IFERROR(M4/J4,0)</f>
        <v>17.039232517482517</v>
      </c>
      <c r="O4" s="473">
        <f>SUM(O6:O15)</f>
        <v>2463</v>
      </c>
      <c r="P4" s="475">
        <f>SUM(P7:P15)</f>
        <v>56071.74</v>
      </c>
      <c r="Q4" s="442">
        <f t="shared" ref="Q4:Q9" si="1">IFERROR(P4/SUM(J4),0)</f>
        <v>9.8027517482517474</v>
      </c>
      <c r="R4" s="455">
        <f>SUM(R5:R15)</f>
        <v>565076.58260869561</v>
      </c>
      <c r="S4" s="442">
        <f t="shared" ref="S4:S9" si="2">SUM(R4/B4)</f>
        <v>0.30736864462879898</v>
      </c>
      <c r="T4" s="455">
        <f>SUM(T5:T15)</f>
        <v>216486.88695652175</v>
      </c>
      <c r="U4" s="442">
        <f t="shared" ref="U4:U9" si="3">SUM(T4/B4)</f>
        <v>0.11775621760247784</v>
      </c>
      <c r="V4" s="481">
        <f>SUM(V5:V15)</f>
        <v>46421.499999999993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210413.06</v>
      </c>
      <c r="C5" s="489">
        <v>200471.92</v>
      </c>
      <c r="D5" s="489">
        <v>166877.21</v>
      </c>
      <c r="E5" s="86">
        <f t="shared" ref="E5:E15" si="4">IFERROR((SUM(B5-C5)/C5),0)</f>
        <v>4.9588690525835158E-2</v>
      </c>
      <c r="F5" s="310">
        <v>150987.20000000001</v>
      </c>
      <c r="G5" s="310">
        <v>179551.44</v>
      </c>
      <c r="H5" s="467">
        <f>IFERROR((SUM(B5-G5)/G5),0)</f>
        <v>0.17188177382481587</v>
      </c>
      <c r="I5" s="86">
        <f t="shared" si="0"/>
        <v>0.26088553374064682</v>
      </c>
      <c r="J5" s="310">
        <v>613</v>
      </c>
      <c r="K5" s="84">
        <f>IFERROR(B5/J5,0)</f>
        <v>343.25132137030994</v>
      </c>
      <c r="L5" s="490"/>
      <c r="M5" s="490"/>
      <c r="N5" s="89">
        <f>IFERROR(M5/J5,0)</f>
        <v>0</v>
      </c>
      <c r="O5" s="89"/>
      <c r="P5" s="477"/>
      <c r="Q5" s="89">
        <f t="shared" si="1"/>
        <v>0</v>
      </c>
      <c r="R5" s="485">
        <f t="shared" ref="R5:R15" si="5">SUM(Z5+AC5)</f>
        <v>20324.34782608696</v>
      </c>
      <c r="S5" s="89">
        <f t="shared" si="2"/>
        <v>9.6592615620375272E-2</v>
      </c>
      <c r="T5" s="485">
        <f t="shared" ref="T5:T15" si="6">SUM(AC5)</f>
        <v>20324.34782608696</v>
      </c>
      <c r="U5" s="89">
        <f t="shared" si="3"/>
        <v>9.6592615620375272E-2</v>
      </c>
      <c r="V5" s="310">
        <v>2080.15</v>
      </c>
      <c r="W5" s="486"/>
      <c r="X5" s="483"/>
      <c r="Y5" s="75">
        <f>X5/1.15</f>
        <v>0</v>
      </c>
      <c r="Z5" s="75">
        <f>Y5/1.15</f>
        <v>0</v>
      </c>
      <c r="AA5" s="487"/>
      <c r="AB5" s="310">
        <v>23373</v>
      </c>
      <c r="AC5" s="75">
        <f t="shared" ref="AC5:AC15" si="7">SUM(AB5)/1.15</f>
        <v>20324.34782608696</v>
      </c>
    </row>
    <row r="6" spans="1:29" ht="15.6" customHeight="1" x14ac:dyDescent="0.3">
      <c r="A6" s="492" t="s">
        <v>21</v>
      </c>
      <c r="B6" s="310">
        <v>226130.92</v>
      </c>
      <c r="C6" s="489">
        <v>227736.26</v>
      </c>
      <c r="D6" s="489">
        <v>317233.91999999998</v>
      </c>
      <c r="E6" s="86">
        <f t="shared" si="4"/>
        <v>-7.0491190116145595E-3</v>
      </c>
      <c r="F6" s="310">
        <v>162935.47</v>
      </c>
      <c r="G6" s="310">
        <v>231306.95</v>
      </c>
      <c r="H6" s="467">
        <f>IFERROR((SUM(B6-G6)/G6),0)</f>
        <v>-2.2377321563403083E-2</v>
      </c>
      <c r="I6" s="86">
        <f t="shared" si="0"/>
        <v>-0.28717925245824905</v>
      </c>
      <c r="J6" s="310">
        <v>637</v>
      </c>
      <c r="K6" s="84">
        <f>IFERROR(B6/J6,0)</f>
        <v>354.99359497645213</v>
      </c>
      <c r="L6" s="490">
        <v>52</v>
      </c>
      <c r="M6" s="310">
        <v>9073.06</v>
      </c>
      <c r="N6" s="89">
        <f>IFERROR(M7/J6,0)</f>
        <v>3.7798587127158556</v>
      </c>
      <c r="O6" s="490">
        <v>197</v>
      </c>
      <c r="P6" s="310">
        <v>6127.83</v>
      </c>
      <c r="Q6" s="89">
        <f t="shared" si="1"/>
        <v>9.6198273155416008</v>
      </c>
      <c r="R6" s="485">
        <f t="shared" si="5"/>
        <v>61866.182608695657</v>
      </c>
      <c r="S6" s="89">
        <f t="shared" si="2"/>
        <v>0.27358568482671741</v>
      </c>
      <c r="T6" s="485">
        <f t="shared" si="6"/>
        <v>24374.34782608696</v>
      </c>
      <c r="U6" s="89">
        <f t="shared" si="3"/>
        <v>0.10778865546598827</v>
      </c>
      <c r="V6" s="310">
        <v>7875.15</v>
      </c>
      <c r="W6" s="488"/>
      <c r="X6" s="483"/>
      <c r="Y6" s="310">
        <v>43115.61</v>
      </c>
      <c r="Z6" s="75">
        <f>Y6/1.15</f>
        <v>37491.834782608697</v>
      </c>
      <c r="AA6" s="487"/>
      <c r="AB6" s="310">
        <v>28030.5</v>
      </c>
      <c r="AC6" s="75">
        <f t="shared" si="7"/>
        <v>24374.34782608696</v>
      </c>
    </row>
    <row r="7" spans="1:29" ht="16.5" customHeight="1" x14ac:dyDescent="0.3">
      <c r="A7" s="492" t="s">
        <v>15</v>
      </c>
      <c r="B7" s="310">
        <v>229601.65</v>
      </c>
      <c r="C7" s="489">
        <v>234482.01</v>
      </c>
      <c r="D7" s="489">
        <v>254835.6</v>
      </c>
      <c r="E7" s="86">
        <f t="shared" si="4"/>
        <v>-2.0813366449733244E-2</v>
      </c>
      <c r="F7" s="310">
        <v>181310.32</v>
      </c>
      <c r="G7" s="310">
        <v>251460.54</v>
      </c>
      <c r="H7" s="467">
        <f>IFERROR((SUM(B7-G7)/G7),0)</f>
        <v>-8.6927714384133645E-2</v>
      </c>
      <c r="I7" s="86">
        <f t="shared" si="0"/>
        <v>-9.9020505769209677E-2</v>
      </c>
      <c r="J7" s="310">
        <v>654</v>
      </c>
      <c r="K7" s="84">
        <f>IFERROR(B7/J7,0)</f>
        <v>351.07285932721709</v>
      </c>
      <c r="L7" s="490">
        <v>21</v>
      </c>
      <c r="M7" s="310">
        <v>2407.77</v>
      </c>
      <c r="N7" s="89">
        <f>IFERROR(#REF!/J7,0)</f>
        <v>0</v>
      </c>
      <c r="O7" s="490">
        <v>43</v>
      </c>
      <c r="P7" s="310">
        <v>1413</v>
      </c>
      <c r="Q7" s="89">
        <f t="shared" si="1"/>
        <v>2.1605504587155964</v>
      </c>
      <c r="R7" s="485">
        <f t="shared" si="5"/>
        <v>40072.17391304348</v>
      </c>
      <c r="S7" s="89">
        <f t="shared" si="2"/>
        <v>0.17452911994771589</v>
      </c>
      <c r="T7" s="485">
        <f t="shared" si="6"/>
        <v>1781.7391304347827</v>
      </c>
      <c r="U7" s="89">
        <f t="shared" si="3"/>
        <v>7.7601320828259851E-3</v>
      </c>
      <c r="V7" s="310">
        <v>4895</v>
      </c>
      <c r="W7" s="488"/>
      <c r="X7" s="483"/>
      <c r="Y7" s="310">
        <v>44034</v>
      </c>
      <c r="Z7" s="75">
        <f>Y7/1.15</f>
        <v>38290.434782608696</v>
      </c>
      <c r="AA7" s="487"/>
      <c r="AB7" s="310">
        <v>2049</v>
      </c>
      <c r="AC7" s="75">
        <f t="shared" si="7"/>
        <v>1781.7391304347827</v>
      </c>
    </row>
    <row r="8" spans="1:29" ht="15.6" customHeight="1" x14ac:dyDescent="0.3">
      <c r="A8" s="492" t="s">
        <v>27</v>
      </c>
      <c r="B8" s="310">
        <v>128627.21</v>
      </c>
      <c r="C8" s="489">
        <v>157775.57999999999</v>
      </c>
      <c r="D8" s="489">
        <v>125945.97</v>
      </c>
      <c r="E8" s="86">
        <f t="shared" si="4"/>
        <v>-0.18474576357126993</v>
      </c>
      <c r="F8" s="310">
        <v>85296.21</v>
      </c>
      <c r="G8" s="310">
        <v>135199.23000000001</v>
      </c>
      <c r="H8" s="467">
        <f>IFERROR((SUM(B8-G8)/G8),0)</f>
        <v>-4.8609892230895131E-2</v>
      </c>
      <c r="I8" s="86">
        <f t="shared" si="0"/>
        <v>2.1288811384754948E-2</v>
      </c>
      <c r="J8" s="310">
        <v>445</v>
      </c>
      <c r="K8" s="84">
        <f>IFERROR(B8/J8,0)</f>
        <v>289.04991011235956</v>
      </c>
      <c r="L8" s="490">
        <v>84</v>
      </c>
      <c r="M8" s="310">
        <v>11441.65</v>
      </c>
      <c r="N8" s="89">
        <f>IFERROR(M8/J8,0)</f>
        <v>25.711573033707865</v>
      </c>
      <c r="O8" s="490">
        <v>298</v>
      </c>
      <c r="P8" s="310">
        <v>6064.27</v>
      </c>
      <c r="Q8" s="89">
        <f t="shared" si="1"/>
        <v>13.627573033707867</v>
      </c>
      <c r="R8" s="485">
        <f t="shared" si="5"/>
        <v>42823.243478260869</v>
      </c>
      <c r="S8" s="89">
        <f t="shared" si="2"/>
        <v>0.33292523003694841</v>
      </c>
      <c r="T8" s="485">
        <f t="shared" si="6"/>
        <v>15458.260869565218</v>
      </c>
      <c r="U8" s="89">
        <f t="shared" si="3"/>
        <v>0.12017877764405538</v>
      </c>
      <c r="V8" s="310">
        <v>4467.5</v>
      </c>
      <c r="W8" s="486"/>
      <c r="X8" s="483"/>
      <c r="Y8" s="310">
        <v>31469.73</v>
      </c>
      <c r="Z8" s="75">
        <f>Y8/1.15</f>
        <v>27364.982608695653</v>
      </c>
      <c r="AA8" s="487"/>
      <c r="AB8" s="310">
        <v>17777</v>
      </c>
      <c r="AC8" s="75">
        <f t="shared" si="7"/>
        <v>15458.260869565218</v>
      </c>
    </row>
    <row r="9" spans="1:29" ht="15.6" customHeight="1" x14ac:dyDescent="0.3">
      <c r="A9" s="492" t="s">
        <v>23</v>
      </c>
      <c r="B9" s="310">
        <v>206815.27</v>
      </c>
      <c r="C9" s="489">
        <v>201028.07</v>
      </c>
      <c r="D9" s="489">
        <v>243010.12</v>
      </c>
      <c r="E9" s="86">
        <f t="shared" si="4"/>
        <v>2.878801950394282E-2</v>
      </c>
      <c r="F9" s="310">
        <v>159730.39000000001</v>
      </c>
      <c r="G9" s="310">
        <v>219193.09</v>
      </c>
      <c r="H9" s="467">
        <f>IFERROR((SUM(B9-#REF!)/#REF!),0)</f>
        <v>0</v>
      </c>
      <c r="I9" s="86">
        <f t="shared" si="0"/>
        <v>-0.14894379707314251</v>
      </c>
      <c r="J9" s="310">
        <v>691</v>
      </c>
      <c r="K9" s="84">
        <f>IFERROR(B9/J9,0)</f>
        <v>299.29850940665699</v>
      </c>
      <c r="L9" s="490">
        <v>52</v>
      </c>
      <c r="M9" s="310">
        <v>5578.24</v>
      </c>
      <c r="N9" s="89">
        <f>IFERROR(M9/J9,0)</f>
        <v>8.0727062228654116</v>
      </c>
      <c r="O9" s="490">
        <v>147</v>
      </c>
      <c r="P9" s="310">
        <v>3150.93</v>
      </c>
      <c r="Q9" s="89">
        <f t="shared" si="1"/>
        <v>4.559956584659913</v>
      </c>
      <c r="R9" s="485">
        <f t="shared" si="5"/>
        <v>66926.530434782617</v>
      </c>
      <c r="S9" s="89">
        <f t="shared" si="2"/>
        <v>0.3236053625768669</v>
      </c>
      <c r="T9" s="485">
        <f t="shared" si="6"/>
        <v>26131.139130434785</v>
      </c>
      <c r="U9" s="89">
        <f t="shared" si="3"/>
        <v>0.1263501439252275</v>
      </c>
      <c r="V9" s="310">
        <v>4074.1</v>
      </c>
      <c r="W9" s="488"/>
      <c r="X9" s="483"/>
      <c r="Y9" s="310">
        <v>46914.7</v>
      </c>
      <c r="Z9" s="75">
        <f>Y9/1.15</f>
        <v>40795.391304347824</v>
      </c>
      <c r="AA9" s="487"/>
      <c r="AB9" s="310">
        <v>30050.81</v>
      </c>
      <c r="AC9" s="75">
        <f t="shared" si="7"/>
        <v>26131.139130434785</v>
      </c>
    </row>
    <row r="10" spans="1:29" ht="15.6" customHeight="1" x14ac:dyDescent="0.3">
      <c r="A10" s="432" t="s">
        <v>16</v>
      </c>
      <c r="B10" s="313"/>
      <c r="C10" s="489"/>
      <c r="D10" s="489">
        <v>191397.82</v>
      </c>
      <c r="E10" s="86">
        <f t="shared" si="4"/>
        <v>0</v>
      </c>
      <c r="F10" s="489"/>
      <c r="G10" s="310">
        <v>239082.84</v>
      </c>
      <c r="H10" s="467">
        <f>IFERROR((SUM(B10-G10)/G10),0)</f>
        <v>-1</v>
      </c>
      <c r="I10" s="86">
        <f>IFERROR((SUM(B11-D10)/D10),0)</f>
        <v>-0.20045322355291192</v>
      </c>
      <c r="J10" s="489"/>
      <c r="K10" s="84">
        <f>IFERROR(B11/J11,0)</f>
        <v>289.83240530303033</v>
      </c>
      <c r="L10" s="490"/>
      <c r="M10" s="489"/>
      <c r="N10" s="89">
        <f>IFERROR(M10/J11,0)</f>
        <v>0</v>
      </c>
      <c r="O10" s="490"/>
      <c r="P10" s="479"/>
      <c r="Q10" s="89">
        <f>IFERROR(P10/SUM(J11),0)</f>
        <v>0</v>
      </c>
      <c r="R10" s="485">
        <f t="shared" si="5"/>
        <v>43630.773913043478</v>
      </c>
      <c r="S10" s="89">
        <f>SUM(R10/B11)</f>
        <v>0.28510973924940997</v>
      </c>
      <c r="T10" s="485">
        <f t="shared" si="6"/>
        <v>0</v>
      </c>
      <c r="U10" s="89">
        <f>SUM(T10/B11)</f>
        <v>0</v>
      </c>
      <c r="V10" s="489"/>
      <c r="W10" s="488"/>
      <c r="X10" s="483"/>
      <c r="Y10" s="75"/>
      <c r="Z10" s="75">
        <f>Y11/1.15</f>
        <v>43630.773913043478</v>
      </c>
      <c r="AA10" s="487"/>
      <c r="AB10" s="313"/>
      <c r="AC10" s="75">
        <f t="shared" si="7"/>
        <v>0</v>
      </c>
    </row>
    <row r="11" spans="1:29" ht="15.6" customHeight="1" x14ac:dyDescent="0.3">
      <c r="A11" s="492" t="s">
        <v>17</v>
      </c>
      <c r="B11" s="310">
        <v>153031.51</v>
      </c>
      <c r="C11" s="489">
        <v>147804.75</v>
      </c>
      <c r="D11" s="489">
        <v>86713.33</v>
      </c>
      <c r="E11" s="86">
        <f t="shared" si="4"/>
        <v>3.5362598292680104E-2</v>
      </c>
      <c r="F11" s="310">
        <v>103340.41</v>
      </c>
      <c r="G11" s="310">
        <v>149569.37</v>
      </c>
      <c r="H11" s="467">
        <f>IFERROR((SUM(B11-G11)/G11),0)</f>
        <v>2.3147386393350552E-2</v>
      </c>
      <c r="I11" s="86">
        <f>IFERROR((SUM(#REF!-D11)/D11),0)</f>
        <v>0</v>
      </c>
      <c r="J11" s="310">
        <v>528</v>
      </c>
      <c r="K11" s="84">
        <f>IFERROR(B12/J12,0)</f>
        <v>299.29850940665699</v>
      </c>
      <c r="L11" s="490">
        <v>165</v>
      </c>
      <c r="M11" s="310">
        <v>27049.43</v>
      </c>
      <c r="N11" s="89">
        <f>IFERROR(M11/J12,0)</f>
        <v>39.145340086830679</v>
      </c>
      <c r="O11" s="490">
        <v>635</v>
      </c>
      <c r="P11" s="310">
        <v>17200.84</v>
      </c>
      <c r="Q11" s="89">
        <f>IFERROR(P11/SUM(J12),0)</f>
        <v>24.892677279305353</v>
      </c>
      <c r="R11" s="485">
        <f t="shared" si="5"/>
        <v>67570.34782608696</v>
      </c>
      <c r="S11" s="89">
        <f>SUM(R11/B12)</f>
        <v>0.32671836961597162</v>
      </c>
      <c r="T11" s="485">
        <f t="shared" si="6"/>
        <v>26774.956521739132</v>
      </c>
      <c r="U11" s="89">
        <f>SUM(T11/B12)</f>
        <v>0.12946315096433225</v>
      </c>
      <c r="V11" s="310">
        <v>3660.35</v>
      </c>
      <c r="W11" s="488"/>
      <c r="X11" s="483"/>
      <c r="Y11" s="310">
        <v>50175.39</v>
      </c>
      <c r="Z11" s="75">
        <f>Y12/1.15</f>
        <v>40795.391304347824</v>
      </c>
      <c r="AA11" s="487"/>
      <c r="AB11" s="310">
        <v>30791.200000000001</v>
      </c>
      <c r="AC11" s="75">
        <f t="shared" si="7"/>
        <v>26774.956521739132</v>
      </c>
    </row>
    <row r="12" spans="1:29" ht="15.6" customHeight="1" x14ac:dyDescent="0.3">
      <c r="A12" s="492" t="s">
        <v>55</v>
      </c>
      <c r="B12" s="310">
        <v>206815.27</v>
      </c>
      <c r="C12" s="489">
        <v>221187.54</v>
      </c>
      <c r="D12" s="489">
        <v>206751.49</v>
      </c>
      <c r="E12" s="86">
        <f t="shared" si="4"/>
        <v>-6.4977755980287211E-2</v>
      </c>
      <c r="F12" s="310">
        <v>141744.9</v>
      </c>
      <c r="G12" s="310">
        <v>185670.54</v>
      </c>
      <c r="H12" s="467">
        <f>IFERROR((SUM(B12-#REF!)/#REF!),0)</f>
        <v>0</v>
      </c>
      <c r="I12" s="86">
        <f>IFERROR((SUM(B12-D12)/D12),0)</f>
        <v>3.0848628950629975E-4</v>
      </c>
      <c r="J12" s="310">
        <v>691</v>
      </c>
      <c r="K12" s="84">
        <f>IFERROR(B12/J12,0)</f>
        <v>299.29850940665699</v>
      </c>
      <c r="L12" s="490">
        <v>173</v>
      </c>
      <c r="M12" s="310">
        <v>21282.71</v>
      </c>
      <c r="N12" s="89">
        <f>IFERROR(M12/J12,0)</f>
        <v>30.799869753979738</v>
      </c>
      <c r="O12" s="490">
        <v>529</v>
      </c>
      <c r="P12" s="310">
        <v>13314.05</v>
      </c>
      <c r="Q12" s="89">
        <f>IFERROR(P12/SUM(J12),0)</f>
        <v>19.267800289435598</v>
      </c>
      <c r="R12" s="485">
        <f t="shared" si="5"/>
        <v>66926.530434782617</v>
      </c>
      <c r="S12" s="89">
        <f>SUM(R12/B12)</f>
        <v>0.3236053625768669</v>
      </c>
      <c r="T12" s="485">
        <f t="shared" si="6"/>
        <v>26131.139130434785</v>
      </c>
      <c r="U12" s="89">
        <f>SUM(T12/B12)</f>
        <v>0.1263501439252275</v>
      </c>
      <c r="V12" s="310">
        <v>4074.1</v>
      </c>
      <c r="W12" s="486"/>
      <c r="X12" s="483"/>
      <c r="Y12" s="310">
        <v>46914.7</v>
      </c>
      <c r="Z12" s="75">
        <f>Y12/1.15</f>
        <v>40795.391304347824</v>
      </c>
      <c r="AA12" s="487"/>
      <c r="AB12" s="310">
        <v>30050.81</v>
      </c>
      <c r="AC12" s="75">
        <f t="shared" si="7"/>
        <v>26131.139130434785</v>
      </c>
    </row>
    <row r="13" spans="1:29" ht="15.6" customHeight="1" x14ac:dyDescent="0.3">
      <c r="A13" s="492" t="s">
        <v>33</v>
      </c>
      <c r="B13" s="310">
        <v>178077.76</v>
      </c>
      <c r="C13" s="489">
        <v>189414.41</v>
      </c>
      <c r="D13" s="489"/>
      <c r="E13" s="86">
        <f t="shared" si="4"/>
        <v>-5.9851043011986224E-2</v>
      </c>
      <c r="F13" s="310">
        <v>125878.46</v>
      </c>
      <c r="G13" s="310">
        <v>150423.43</v>
      </c>
      <c r="H13" s="467">
        <f>IFERROR((SUM(B13-G12)/G12),0)</f>
        <v>-4.0893832699576346E-2</v>
      </c>
      <c r="I13" s="86">
        <f>IFERROR((SUM(B13-D13)/D13),0)</f>
        <v>0</v>
      </c>
      <c r="J13" s="310">
        <v>606</v>
      </c>
      <c r="K13" s="84">
        <f>IFERROR(B13/J13,0)</f>
        <v>293.85768976897691</v>
      </c>
      <c r="L13" s="490">
        <v>84</v>
      </c>
      <c r="M13" s="310">
        <v>11483.36</v>
      </c>
      <c r="N13" s="89">
        <f>IFERROR(M13/J13,0)</f>
        <v>18.949438943894389</v>
      </c>
      <c r="O13" s="490">
        <v>269</v>
      </c>
      <c r="P13" s="310">
        <v>7893.82</v>
      </c>
      <c r="Q13" s="89">
        <f>IFERROR(P13/SUM(J13),0)</f>
        <v>13.026105610561055</v>
      </c>
      <c r="R13" s="485">
        <f t="shared" si="5"/>
        <v>58259.739130434784</v>
      </c>
      <c r="S13" s="89">
        <f>SUM(R13/B13)</f>
        <v>0.32715898453818593</v>
      </c>
      <c r="T13" s="485">
        <f t="shared" si="6"/>
        <v>32308.782608695652</v>
      </c>
      <c r="U13" s="89">
        <f>SUM(T13/B13)</f>
        <v>0.18143075591637972</v>
      </c>
      <c r="V13" s="310">
        <v>6174.75</v>
      </c>
      <c r="W13" s="486"/>
      <c r="X13" s="483"/>
      <c r="Y13" s="310">
        <v>29843.599999999999</v>
      </c>
      <c r="Z13" s="75">
        <f>Y13/1.15</f>
        <v>25950.956521739132</v>
      </c>
      <c r="AA13" s="487"/>
      <c r="AB13" s="310">
        <v>37155.1</v>
      </c>
      <c r="AC13" s="75">
        <f t="shared" si="7"/>
        <v>32308.782608695652</v>
      </c>
    </row>
    <row r="14" spans="1:29" ht="15.6" customHeight="1" x14ac:dyDescent="0.3">
      <c r="A14" s="492" t="s">
        <v>20</v>
      </c>
      <c r="B14" s="310">
        <v>159860.92000000001</v>
      </c>
      <c r="C14" s="489">
        <v>142449.04</v>
      </c>
      <c r="D14" s="489">
        <v>144600.03</v>
      </c>
      <c r="E14" s="86">
        <f t="shared" si="4"/>
        <v>0.12223234358055346</v>
      </c>
      <c r="F14" s="310">
        <v>118760.41</v>
      </c>
      <c r="G14" s="310">
        <v>158760.85999999999</v>
      </c>
      <c r="H14" s="467">
        <f>IFERROR((SUM(B14-G14)/G14),0)</f>
        <v>6.9290377993670915E-3</v>
      </c>
      <c r="I14" s="86">
        <f>IFERROR((SUM(B14-D14)/D14),0)</f>
        <v>0.1055386364719289</v>
      </c>
      <c r="J14" s="310">
        <v>443</v>
      </c>
      <c r="K14" s="84">
        <f>IFERROR(B14/J14,0)</f>
        <v>360.85986455981941</v>
      </c>
      <c r="L14" s="490">
        <v>95</v>
      </c>
      <c r="M14" s="310">
        <v>5353.44</v>
      </c>
      <c r="N14" s="89">
        <f>IFERROR(M14/J14,0)</f>
        <v>12.084514672686229</v>
      </c>
      <c r="O14" s="490">
        <v>263</v>
      </c>
      <c r="P14" s="310">
        <v>3883.9</v>
      </c>
      <c r="Q14" s="89">
        <f>IFERROR(P14/SUM(J14),0)</f>
        <v>8.7672686230248313</v>
      </c>
      <c r="R14" s="485">
        <f t="shared" si="5"/>
        <v>53335.608695652176</v>
      </c>
      <c r="S14" s="89">
        <f>SUM(R14/B14)</f>
        <v>0.3336375688045094</v>
      </c>
      <c r="T14" s="485">
        <f t="shared" si="6"/>
        <v>20943.043478260872</v>
      </c>
      <c r="U14" s="89">
        <f>SUM(T14/B14)</f>
        <v>0.13100790035651533</v>
      </c>
      <c r="V14" s="310">
        <v>4997.5</v>
      </c>
      <c r="W14" s="488"/>
      <c r="X14" s="483"/>
      <c r="Y14" s="310">
        <v>37251.449999999997</v>
      </c>
      <c r="Z14" s="75">
        <f>Y14/1.15</f>
        <v>32392.565217391304</v>
      </c>
      <c r="AA14" s="487"/>
      <c r="AB14" s="310">
        <v>24084.5</v>
      </c>
      <c r="AC14" s="75">
        <f t="shared" si="7"/>
        <v>20943.043478260872</v>
      </c>
    </row>
    <row r="15" spans="1:29" ht="15.6" customHeight="1" x14ac:dyDescent="0.3">
      <c r="A15" s="432" t="s">
        <v>22</v>
      </c>
      <c r="B15" s="310">
        <v>139059.18</v>
      </c>
      <c r="C15" s="489">
        <v>146686.49</v>
      </c>
      <c r="D15" s="489">
        <v>152846.04</v>
      </c>
      <c r="E15" s="86">
        <f t="shared" si="4"/>
        <v>-5.1997358447938853E-2</v>
      </c>
      <c r="F15" s="310">
        <v>101060.73</v>
      </c>
      <c r="G15" s="310">
        <v>114469.5</v>
      </c>
      <c r="H15" s="467">
        <f>IFERROR((SUM(B15-G15)/G15),0)</f>
        <v>0.21481425183127378</v>
      </c>
      <c r="I15" s="86">
        <f>IFERROR((SUM(B15-D15)/D15),0)</f>
        <v>-9.0200963008266452E-2</v>
      </c>
      <c r="J15" s="310">
        <v>412</v>
      </c>
      <c r="K15" s="84">
        <f>IFERROR(B15/J15,0)</f>
        <v>337.52228155339805</v>
      </c>
      <c r="L15" s="490">
        <v>39</v>
      </c>
      <c r="M15" s="310">
        <v>3794.75</v>
      </c>
      <c r="N15" s="89">
        <f>IFERROR(M15/J15,0)</f>
        <v>9.2105582524271838</v>
      </c>
      <c r="O15" s="490">
        <v>82</v>
      </c>
      <c r="P15" s="310">
        <v>3150.93</v>
      </c>
      <c r="Q15" s="89">
        <f>IFERROR(P15/SUM(J15),0)</f>
        <v>7.6478883495145631</v>
      </c>
      <c r="R15" s="485">
        <f t="shared" si="5"/>
        <v>43341.104347826091</v>
      </c>
      <c r="S15" s="89">
        <f>SUM(R15/B15)</f>
        <v>0.31167380929346838</v>
      </c>
      <c r="T15" s="485">
        <f t="shared" si="6"/>
        <v>22259.130434782612</v>
      </c>
      <c r="U15" s="89">
        <f>SUM(T15/B15)</f>
        <v>0.16006947858302209</v>
      </c>
      <c r="V15" s="310">
        <v>4122.8999999999996</v>
      </c>
      <c r="W15" s="488"/>
      <c r="X15" s="483"/>
      <c r="Y15" s="310">
        <v>24244.27</v>
      </c>
      <c r="Z15" s="75">
        <f>Y15/1.15</f>
        <v>21081.973913043479</v>
      </c>
      <c r="AA15" s="487"/>
      <c r="AB15" s="310">
        <v>25598</v>
      </c>
      <c r="AC15" s="75">
        <f t="shared" si="7"/>
        <v>22259.130434782612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27" priority="2" operator="equal">
      <formula>0</formula>
    </cfRule>
  </conditionalFormatting>
  <conditionalFormatting sqref="R12:R13">
    <cfRule type="cellIs" dxfId="2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AC49"/>
  <sheetViews>
    <sheetView topLeftCell="A4" zoomScale="60" zoomScaleNormal="60" workbookViewId="0">
      <pane xSplit="1" topLeftCell="B1" activePane="topRight" state="frozen"/>
      <selection pane="topRight" activeCell="K49" sqref="K49"/>
    </sheetView>
  </sheetViews>
  <sheetFormatPr defaultRowHeight="14.4" x14ac:dyDescent="0.3"/>
  <cols>
    <col min="1" max="1" width="23" customWidth="1"/>
    <col min="2" max="2" width="21.66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5.8867187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-0.16178458206741728</v>
      </c>
      <c r="F2" s="426"/>
      <c r="G2" s="1"/>
      <c r="H2" s="427"/>
      <c r="I2" s="422">
        <f>((B4-D4)/D4)</f>
        <v>-0.16283371205549674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98">
        <f>SUM(B5:B15)</f>
        <v>1582421.37</v>
      </c>
      <c r="C4" s="468">
        <f>SUM(C5:C15)</f>
        <v>1838432.75</v>
      </c>
      <c r="D4" s="468">
        <f>SUM(D5:D15)</f>
        <v>1890211.53</v>
      </c>
      <c r="E4" s="472">
        <f>IFERROR((SUM(B4-C4)/B4),0)</f>
        <v>-0.16178458206741728</v>
      </c>
      <c r="F4" s="465">
        <f>SUM(F5:F15)</f>
        <v>2932418.17</v>
      </c>
      <c r="G4" s="468">
        <f>SUM(G5:G15)</f>
        <v>1879903.19</v>
      </c>
      <c r="H4" s="436">
        <f>IFERROR((SUM(B4-G4)/G4),0)</f>
        <v>-0.15824315931928379</v>
      </c>
      <c r="I4" s="436">
        <f t="shared" ref="I4:I9" si="0">IFERROR((SUM(B4-D4)/D4),0)</f>
        <v>-0.16283371205549674</v>
      </c>
      <c r="J4" s="480">
        <f>SUM(J5:J15)</f>
        <v>5018</v>
      </c>
      <c r="K4" s="474">
        <f>AVERAGE(K5:K15)</f>
        <v>313.54344989620955</v>
      </c>
      <c r="L4" s="474">
        <f>SUM(L6:L15)</f>
        <v>765</v>
      </c>
      <c r="M4" s="439">
        <f>SUM(M5:M15)</f>
        <v>71752.349999999991</v>
      </c>
      <c r="N4" s="442">
        <f>IFERROR(M4/J4,0)</f>
        <v>14.298993622957353</v>
      </c>
      <c r="O4" s="473">
        <f>SUM(O6:O15)</f>
        <v>2463</v>
      </c>
      <c r="P4" s="475">
        <f>SUM(P7:P15)</f>
        <v>126667.98999999999</v>
      </c>
      <c r="Q4" s="442">
        <f t="shared" ref="Q4:Q9" si="1">IFERROR(P4/SUM(J4),0)</f>
        <v>25.242724192905538</v>
      </c>
      <c r="R4" s="455">
        <f>SUM(R5:R15)</f>
        <v>492428.6434782609</v>
      </c>
      <c r="S4" s="442">
        <f t="shared" ref="S4:S9" si="2">SUM(R4/B4)</f>
        <v>0.31118680069282739</v>
      </c>
      <c r="T4" s="455">
        <f>SUM(T5:T15)</f>
        <v>199659.00000000003</v>
      </c>
      <c r="U4" s="442">
        <f t="shared" ref="U4:U9" si="3">SUM(T4/B4)</f>
        <v>0.12617309383277603</v>
      </c>
      <c r="V4" s="481">
        <f>SUM(V5:V15)</f>
        <v>60321.759999999995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181478.97</v>
      </c>
      <c r="C5" s="310">
        <v>210413.06</v>
      </c>
      <c r="D5" s="489">
        <v>166877.21</v>
      </c>
      <c r="E5" s="86">
        <f t="shared" ref="E5:E15" si="4">IFERROR((SUM(B5-C5)/C5),0)</f>
        <v>-0.13751090355323001</v>
      </c>
      <c r="F5" s="310">
        <v>332466.17</v>
      </c>
      <c r="G5" s="310">
        <v>184907.55</v>
      </c>
      <c r="H5" s="467">
        <f>IFERROR((SUM(B5-G5)/G5),0)</f>
        <v>-1.8542130918937531E-2</v>
      </c>
      <c r="I5" s="86">
        <f t="shared" si="0"/>
        <v>8.7500024718773828E-2</v>
      </c>
      <c r="J5" s="238">
        <v>555</v>
      </c>
      <c r="K5" s="84">
        <f>IFERROR(B5/J5,0)</f>
        <v>326.98913513513514</v>
      </c>
      <c r="L5" s="490"/>
      <c r="M5" s="489"/>
      <c r="N5" s="89">
        <f>IFERROR(M5/J5,0)</f>
        <v>0</v>
      </c>
      <c r="O5" s="89"/>
      <c r="P5" s="477"/>
      <c r="Q5" s="89">
        <f t="shared" si="1"/>
        <v>0</v>
      </c>
      <c r="R5" s="485">
        <f t="shared" ref="R5:R15" si="5">SUM(Z5+AC5)</f>
        <v>18805.652173913044</v>
      </c>
      <c r="S5" s="89">
        <f t="shared" si="2"/>
        <v>0.10362441540148175</v>
      </c>
      <c r="T5" s="485">
        <f t="shared" ref="T5:T15" si="6">SUM(AC5)</f>
        <v>18805.652173913044</v>
      </c>
      <c r="U5" s="89">
        <f t="shared" si="3"/>
        <v>0.10362441540148175</v>
      </c>
      <c r="V5" s="310">
        <v>3739.25</v>
      </c>
      <c r="W5" s="486"/>
      <c r="X5" s="483"/>
      <c r="Y5" s="75">
        <v>0</v>
      </c>
      <c r="Z5" s="75">
        <f>Y5/1.15</f>
        <v>0</v>
      </c>
      <c r="AA5" s="487"/>
      <c r="AB5" s="310">
        <v>21626.5</v>
      </c>
      <c r="AC5" s="75">
        <f t="shared" ref="AC5:AC15" si="7">SUM(AB5)/1.15</f>
        <v>18805.652173913044</v>
      </c>
    </row>
    <row r="6" spans="1:29" ht="15.6" customHeight="1" x14ac:dyDescent="0.3">
      <c r="A6" s="492" t="s">
        <v>21</v>
      </c>
      <c r="B6" s="310">
        <v>199057.23</v>
      </c>
      <c r="C6" s="310">
        <v>226130.92</v>
      </c>
      <c r="D6" s="489">
        <v>317233.91999999998</v>
      </c>
      <c r="E6" s="86">
        <f t="shared" si="4"/>
        <v>-0.11972573233240284</v>
      </c>
      <c r="F6" s="310">
        <v>361992.7</v>
      </c>
      <c r="G6" s="310">
        <v>203953.2</v>
      </c>
      <c r="H6" s="467">
        <f>IFERROR((SUM(B6-G6)/G6),0)</f>
        <v>-2.4005360053188676E-2</v>
      </c>
      <c r="I6" s="86">
        <f t="shared" si="0"/>
        <v>-0.37252223847941601</v>
      </c>
      <c r="J6" s="238">
        <v>595</v>
      </c>
      <c r="K6" s="84">
        <f>IFERROR(B6/J6,0)</f>
        <v>334.54996638655462</v>
      </c>
      <c r="L6" s="490">
        <v>52</v>
      </c>
      <c r="M6" s="310">
        <v>6406.9</v>
      </c>
      <c r="N6" s="89">
        <f>IFERROR(M7/J6,0)</f>
        <v>3.4541344537815126</v>
      </c>
      <c r="O6" s="490">
        <v>197</v>
      </c>
      <c r="P6" s="310">
        <v>12534.73</v>
      </c>
      <c r="Q6" s="89">
        <f t="shared" si="1"/>
        <v>21.066773109243698</v>
      </c>
      <c r="R6" s="485">
        <f t="shared" si="5"/>
        <v>53883.130434782608</v>
      </c>
      <c r="S6" s="89">
        <f t="shared" si="2"/>
        <v>0.27069165201777701</v>
      </c>
      <c r="T6" s="485">
        <f t="shared" si="6"/>
        <v>21428.26086956522</v>
      </c>
      <c r="U6" s="89">
        <f t="shared" si="3"/>
        <v>0.10764874438152897</v>
      </c>
      <c r="V6" s="310">
        <v>10846.71</v>
      </c>
      <c r="W6" s="488"/>
      <c r="X6" s="483"/>
      <c r="Y6" s="310">
        <v>37323.1</v>
      </c>
      <c r="Z6" s="75">
        <f>Y6/1.15</f>
        <v>32454.869565217392</v>
      </c>
      <c r="AA6" s="487"/>
      <c r="AB6" s="310">
        <v>24642.5</v>
      </c>
      <c r="AC6" s="75">
        <f t="shared" si="7"/>
        <v>21428.26086956522</v>
      </c>
    </row>
    <row r="7" spans="1:29" ht="16.5" customHeight="1" x14ac:dyDescent="0.3">
      <c r="A7" s="492" t="s">
        <v>15</v>
      </c>
      <c r="B7" s="310">
        <v>192032.06</v>
      </c>
      <c r="C7" s="310">
        <v>229601.65</v>
      </c>
      <c r="D7" s="489">
        <v>254835.6</v>
      </c>
      <c r="E7" s="86">
        <f t="shared" si="4"/>
        <v>-0.1636294425584485</v>
      </c>
      <c r="F7" s="310">
        <v>373342.38</v>
      </c>
      <c r="G7" s="310">
        <v>235189.99</v>
      </c>
      <c r="H7" s="467">
        <f>IFERROR((SUM(B7-G7)/G7),0)</f>
        <v>-0.18350241011532845</v>
      </c>
      <c r="I7" s="86">
        <f t="shared" si="0"/>
        <v>-0.24644727816678677</v>
      </c>
      <c r="J7" s="238">
        <v>574</v>
      </c>
      <c r="K7" s="84">
        <f>IFERROR(B7/J7,0)</f>
        <v>334.55062717770033</v>
      </c>
      <c r="L7" s="490">
        <v>21</v>
      </c>
      <c r="M7" s="310">
        <v>2055.21</v>
      </c>
      <c r="N7" s="89">
        <f>IFERROR(#REF!/J7,0)</f>
        <v>0</v>
      </c>
      <c r="O7" s="490">
        <v>43</v>
      </c>
      <c r="P7" s="310">
        <v>3468.21</v>
      </c>
      <c r="Q7" s="89">
        <f t="shared" si="1"/>
        <v>6.0421777003484323</v>
      </c>
      <c r="R7" s="485">
        <f t="shared" si="5"/>
        <v>53375.65217391304</v>
      </c>
      <c r="S7" s="89">
        <f t="shared" si="2"/>
        <v>0.27795177624982537</v>
      </c>
      <c r="T7" s="485">
        <f t="shared" si="6"/>
        <v>11710.652173913044</v>
      </c>
      <c r="U7" s="89">
        <f t="shared" si="3"/>
        <v>6.0982797215803672E-2</v>
      </c>
      <c r="V7" s="310">
        <v>16859.5</v>
      </c>
      <c r="W7" s="488"/>
      <c r="X7" s="483"/>
      <c r="Y7" s="310">
        <v>47914.75</v>
      </c>
      <c r="Z7" s="75">
        <f>Y7/1.15</f>
        <v>41665</v>
      </c>
      <c r="AA7" s="487"/>
      <c r="AB7" s="310">
        <v>13467.25</v>
      </c>
      <c r="AC7" s="75">
        <f t="shared" si="7"/>
        <v>11710.652173913044</v>
      </c>
    </row>
    <row r="8" spans="1:29" ht="15.6" customHeight="1" x14ac:dyDescent="0.3">
      <c r="A8" s="492" t="s">
        <v>27</v>
      </c>
      <c r="B8" s="310">
        <v>116136.99</v>
      </c>
      <c r="C8" s="310">
        <v>128627.21</v>
      </c>
      <c r="D8" s="489">
        <v>125945.97</v>
      </c>
      <c r="E8" s="86">
        <f t="shared" si="4"/>
        <v>-9.7104026434220253E-2</v>
      </c>
      <c r="F8" s="310">
        <v>201433.2</v>
      </c>
      <c r="G8" s="310">
        <v>126809.67</v>
      </c>
      <c r="H8" s="467">
        <f>IFERROR((SUM(B8-G8)/G8),0)</f>
        <v>-8.416298220790254E-2</v>
      </c>
      <c r="I8" s="86">
        <f t="shared" si="0"/>
        <v>-7.7882444352923685E-2</v>
      </c>
      <c r="J8" s="238">
        <v>406</v>
      </c>
      <c r="K8" s="84">
        <f>IFERROR(B8/J8,0)</f>
        <v>286.05169950738917</v>
      </c>
      <c r="L8" s="490">
        <v>84</v>
      </c>
      <c r="M8" s="310">
        <v>11722.34</v>
      </c>
      <c r="N8" s="89">
        <f>IFERROR(M8/J8,0)</f>
        <v>28.872758620689655</v>
      </c>
      <c r="O8" s="490">
        <v>298</v>
      </c>
      <c r="P8" s="310">
        <v>17786.61</v>
      </c>
      <c r="Q8" s="89">
        <f t="shared" si="1"/>
        <v>43.809384236453205</v>
      </c>
      <c r="R8" s="485">
        <f t="shared" si="5"/>
        <v>46707.573913043481</v>
      </c>
      <c r="S8" s="89">
        <f t="shared" si="2"/>
        <v>0.40217654954759441</v>
      </c>
      <c r="T8" s="485">
        <f t="shared" si="6"/>
        <v>19250.008695652174</v>
      </c>
      <c r="U8" s="89">
        <f t="shared" si="3"/>
        <v>0.16575260557081919</v>
      </c>
      <c r="V8" s="310">
        <v>5811.2</v>
      </c>
      <c r="W8" s="486"/>
      <c r="X8" s="483"/>
      <c r="Y8" s="310">
        <v>31576.2</v>
      </c>
      <c r="Z8" s="75">
        <f>Y8/1.15</f>
        <v>27457.565217391308</v>
      </c>
      <c r="AA8" s="487"/>
      <c r="AB8" s="310">
        <v>22137.51</v>
      </c>
      <c r="AC8" s="75">
        <f t="shared" si="7"/>
        <v>19250.008695652174</v>
      </c>
    </row>
    <row r="9" spans="1:29" ht="15.6" customHeight="1" x14ac:dyDescent="0.3">
      <c r="A9" s="492" t="s">
        <v>23</v>
      </c>
      <c r="B9" s="310">
        <v>165245.82</v>
      </c>
      <c r="C9" s="310">
        <v>206815.27</v>
      </c>
      <c r="D9" s="489">
        <v>243010.12</v>
      </c>
      <c r="E9" s="86">
        <f t="shared" si="4"/>
        <v>-0.20099797273189735</v>
      </c>
      <c r="F9" s="310">
        <v>343928.51</v>
      </c>
      <c r="G9" s="310">
        <v>187198.42</v>
      </c>
      <c r="H9" s="467">
        <f>IFERROR((SUM(B9-#REF!)/#REF!),0)</f>
        <v>0</v>
      </c>
      <c r="I9" s="86">
        <f t="shared" si="0"/>
        <v>-0.3200043685423471</v>
      </c>
      <c r="J9" s="310">
        <v>541</v>
      </c>
      <c r="K9" s="84">
        <f>IFERROR(B9/J9,0)</f>
        <v>305.4451386321627</v>
      </c>
      <c r="L9" s="490">
        <v>52</v>
      </c>
      <c r="M9" s="310">
        <v>3482.46</v>
      </c>
      <c r="N9" s="89">
        <f>IFERROR(M9/J9,0)</f>
        <v>6.437079482439926</v>
      </c>
      <c r="O9" s="490">
        <v>147</v>
      </c>
      <c r="P9" s="310">
        <v>6633.39</v>
      </c>
      <c r="Q9" s="89">
        <f t="shared" si="1"/>
        <v>12.261349353049908</v>
      </c>
      <c r="R9" s="485">
        <f t="shared" si="5"/>
        <v>36014.713043478259</v>
      </c>
      <c r="S9" s="89">
        <f t="shared" si="2"/>
        <v>0.21794628780006814</v>
      </c>
      <c r="T9" s="485">
        <f t="shared" si="6"/>
        <v>16811.008695652174</v>
      </c>
      <c r="U9" s="89">
        <f t="shared" si="3"/>
        <v>0.10173333701059532</v>
      </c>
      <c r="V9" s="310">
        <v>3290</v>
      </c>
      <c r="W9" s="488"/>
      <c r="X9" s="483"/>
      <c r="Y9" s="310">
        <v>22084.26</v>
      </c>
      <c r="Z9" s="75">
        <f>Y9/1.15</f>
        <v>19203.704347826086</v>
      </c>
      <c r="AA9" s="487"/>
      <c r="AB9" s="310">
        <v>19332.66</v>
      </c>
      <c r="AC9" s="75">
        <f t="shared" si="7"/>
        <v>16811.008695652174</v>
      </c>
    </row>
    <row r="10" spans="1:29" ht="15.6" customHeight="1" x14ac:dyDescent="0.3">
      <c r="A10" s="432" t="s">
        <v>16</v>
      </c>
      <c r="B10" s="310"/>
      <c r="C10" s="313"/>
      <c r="D10" s="489">
        <v>191397.82</v>
      </c>
      <c r="E10" s="86">
        <f t="shared" si="4"/>
        <v>0</v>
      </c>
      <c r="F10" s="310"/>
      <c r="G10" s="310">
        <v>216698.51</v>
      </c>
      <c r="H10" s="467">
        <f>IFERROR((SUM(B10-G10)/G10),0)</f>
        <v>-1</v>
      </c>
      <c r="I10" s="86">
        <f>IFERROR((SUM(B11-D10)/D10),0)</f>
        <v>-0.28126731015013656</v>
      </c>
      <c r="J10" s="310"/>
      <c r="K10" s="84">
        <f>IFERROR(B11/J11,0)</f>
        <v>334.7052798053528</v>
      </c>
      <c r="L10" s="490"/>
      <c r="M10" s="489"/>
      <c r="N10" s="89">
        <f>IFERROR(M10/J11,0)</f>
        <v>0</v>
      </c>
      <c r="O10" s="490"/>
      <c r="P10" s="479"/>
      <c r="Q10" s="89">
        <f>IFERROR(P10/SUM(J11),0)</f>
        <v>0</v>
      </c>
      <c r="R10" s="485">
        <f t="shared" si="5"/>
        <v>32478.634782608697</v>
      </c>
      <c r="S10" s="89">
        <f>SUM(R10/B11)</f>
        <v>0.23609858302626044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75"/>
      <c r="Z10" s="75">
        <f>Y11/1.15</f>
        <v>32478.634782608697</v>
      </c>
      <c r="AA10" s="487"/>
      <c r="AB10" s="310"/>
      <c r="AC10" s="75">
        <f t="shared" si="7"/>
        <v>0</v>
      </c>
    </row>
    <row r="11" spans="1:29" ht="15.6" customHeight="1" x14ac:dyDescent="0.3">
      <c r="A11" s="492" t="s">
        <v>17</v>
      </c>
      <c r="B11" s="310">
        <v>137563.87</v>
      </c>
      <c r="C11" s="310">
        <v>153031.51</v>
      </c>
      <c r="D11" s="489">
        <v>86713.33</v>
      </c>
      <c r="E11" s="86">
        <f t="shared" si="4"/>
        <v>-0.10107487013622236</v>
      </c>
      <c r="F11" s="310">
        <v>240904.28</v>
      </c>
      <c r="G11" s="310">
        <v>124465.16</v>
      </c>
      <c r="H11" s="467">
        <f>IFERROR((SUM(B11-G11)/G11),0)</f>
        <v>0.10523997237459858</v>
      </c>
      <c r="I11" s="86">
        <f>IFERROR((SUM(#REF!-D11)/D11),0)</f>
        <v>0</v>
      </c>
      <c r="J11" s="238">
        <v>411</v>
      </c>
      <c r="K11" s="84">
        <f>IFERROR(B12/J12,0)</f>
        <v>296.62481832543443</v>
      </c>
      <c r="L11" s="490">
        <v>165</v>
      </c>
      <c r="M11" s="310">
        <v>18292.12</v>
      </c>
      <c r="N11" s="89">
        <f>IFERROR(M11/J12,0)</f>
        <v>28.897503949447074</v>
      </c>
      <c r="O11" s="490">
        <v>635</v>
      </c>
      <c r="P11" s="310">
        <v>35492.959999999999</v>
      </c>
      <c r="Q11" s="89">
        <f>IFERROR(P11/SUM(J12),0)</f>
        <v>56.071026856240124</v>
      </c>
      <c r="R11" s="485">
        <f t="shared" si="5"/>
        <v>58192.80869565218</v>
      </c>
      <c r="S11" s="89">
        <f>SUM(R11/B12)</f>
        <v>0.30992608039577113</v>
      </c>
      <c r="T11" s="485">
        <f t="shared" si="6"/>
        <v>23536.095652173914</v>
      </c>
      <c r="U11" s="89">
        <f>SUM(T11/B12)</f>
        <v>0.12534967871112929</v>
      </c>
      <c r="V11" s="310">
        <v>3839.5</v>
      </c>
      <c r="W11" s="488"/>
      <c r="X11" s="483"/>
      <c r="Y11" s="310">
        <v>37350.43</v>
      </c>
      <c r="Z11" s="75">
        <f>Y12/1.15</f>
        <v>34656.713043478267</v>
      </c>
      <c r="AA11" s="487"/>
      <c r="AB11" s="310">
        <v>27066.51</v>
      </c>
      <c r="AC11" s="75">
        <f t="shared" si="7"/>
        <v>23536.095652173914</v>
      </c>
    </row>
    <row r="12" spans="1:29" ht="15.6" customHeight="1" x14ac:dyDescent="0.3">
      <c r="A12" s="492" t="s">
        <v>55</v>
      </c>
      <c r="B12" s="310">
        <v>187763.51</v>
      </c>
      <c r="C12" s="310">
        <v>206815.27</v>
      </c>
      <c r="D12" s="489">
        <v>206751.49</v>
      </c>
      <c r="E12" s="86">
        <f t="shared" si="4"/>
        <v>-9.2119696964348824E-2</v>
      </c>
      <c r="F12" s="310">
        <v>329508.40999999997</v>
      </c>
      <c r="G12" s="310">
        <v>172893.17</v>
      </c>
      <c r="H12" s="467">
        <f>IFERROR((SUM(B12-#REF!)/#REF!),0)</f>
        <v>0</v>
      </c>
      <c r="I12" s="86">
        <f>IFERROR((SUM(B12-D12)/D12),0)</f>
        <v>-9.1839628338349494E-2</v>
      </c>
      <c r="J12" s="238">
        <v>633</v>
      </c>
      <c r="K12" s="84">
        <f>IFERROR(B12/J12,0)</f>
        <v>296.62481832543443</v>
      </c>
      <c r="L12" s="490">
        <v>173</v>
      </c>
      <c r="M12" s="310">
        <v>18605.55</v>
      </c>
      <c r="N12" s="89">
        <f>IFERROR(M12/J12,0)</f>
        <v>29.392654028436016</v>
      </c>
      <c r="O12" s="490">
        <v>529</v>
      </c>
      <c r="P12" s="310">
        <v>31919.599999999999</v>
      </c>
      <c r="Q12" s="89">
        <f>IFERROR(P12/SUM(J12),0)</f>
        <v>50.425908372827799</v>
      </c>
      <c r="R12" s="485">
        <f t="shared" si="5"/>
        <v>56207.234782608706</v>
      </c>
      <c r="S12" s="89">
        <f>SUM(R12/B12)</f>
        <v>0.2993512146348814</v>
      </c>
      <c r="T12" s="485">
        <f t="shared" si="6"/>
        <v>21550.521739130436</v>
      </c>
      <c r="U12" s="89">
        <f>SUM(T12/B12)</f>
        <v>0.11477481295023956</v>
      </c>
      <c r="V12" s="310">
        <v>5079</v>
      </c>
      <c r="W12" s="486"/>
      <c r="X12" s="483"/>
      <c r="Y12" s="310">
        <v>39855.22</v>
      </c>
      <c r="Z12" s="75">
        <f>Y12/1.15</f>
        <v>34656.713043478267</v>
      </c>
      <c r="AA12" s="487"/>
      <c r="AB12" s="310">
        <v>24783.1</v>
      </c>
      <c r="AC12" s="75">
        <f t="shared" si="7"/>
        <v>21550.521739130436</v>
      </c>
    </row>
    <row r="13" spans="1:29" ht="15.6" customHeight="1" x14ac:dyDescent="0.3">
      <c r="A13" s="492" t="s">
        <v>33</v>
      </c>
      <c r="B13" s="310">
        <v>156087.17000000001</v>
      </c>
      <c r="C13" s="310">
        <v>178077.76</v>
      </c>
      <c r="D13" s="489"/>
      <c r="E13" s="86">
        <f t="shared" si="4"/>
        <v>-0.12348869392786609</v>
      </c>
      <c r="F13" s="310">
        <v>281965.63</v>
      </c>
      <c r="G13" s="310">
        <v>153986.01</v>
      </c>
      <c r="H13" s="467">
        <f>IFERROR((SUM(B13-G12)/G12),0)</f>
        <v>-9.7204533874877763E-2</v>
      </c>
      <c r="I13" s="86">
        <f>IFERROR((SUM(B13-D13)/D13),0)</f>
        <v>0</v>
      </c>
      <c r="J13" s="238">
        <v>528</v>
      </c>
      <c r="K13" s="84">
        <f>IFERROR(B13/J13,0)</f>
        <v>295.61964015151517</v>
      </c>
      <c r="L13" s="490">
        <v>84</v>
      </c>
      <c r="M13" s="310">
        <v>7463.17</v>
      </c>
      <c r="N13" s="89">
        <f>IFERROR(M13/J13,0)</f>
        <v>14.134791666666667</v>
      </c>
      <c r="O13" s="490">
        <v>269</v>
      </c>
      <c r="P13" s="310">
        <v>15356.99</v>
      </c>
      <c r="Q13" s="89">
        <f>IFERROR(P13/SUM(J13),0)</f>
        <v>29.085208333333334</v>
      </c>
      <c r="R13" s="485">
        <f t="shared" si="5"/>
        <v>46596.860869565222</v>
      </c>
      <c r="S13" s="89">
        <f>SUM(R13/B13)</f>
        <v>0.29853101231552354</v>
      </c>
      <c r="T13" s="485">
        <f t="shared" si="6"/>
        <v>23586.365217391307</v>
      </c>
      <c r="U13" s="89">
        <f>SUM(T13/B13)</f>
        <v>0.15111021115567222</v>
      </c>
      <c r="V13" s="310">
        <v>4824.6000000000004</v>
      </c>
      <c r="W13" s="486"/>
      <c r="X13" s="483"/>
      <c r="Y13" s="310">
        <v>26462.07</v>
      </c>
      <c r="Z13" s="75">
        <f>Y13/1.15</f>
        <v>23010.495652173915</v>
      </c>
      <c r="AA13" s="487"/>
      <c r="AB13" s="310">
        <v>27124.32</v>
      </c>
      <c r="AC13" s="75">
        <f t="shared" si="7"/>
        <v>23586.365217391307</v>
      </c>
    </row>
    <row r="14" spans="1:29" ht="15.6" customHeight="1" x14ac:dyDescent="0.3">
      <c r="A14" s="492" t="s">
        <v>20</v>
      </c>
      <c r="B14" s="310">
        <v>126323.85</v>
      </c>
      <c r="C14" s="310">
        <v>159860.92000000001</v>
      </c>
      <c r="D14" s="489">
        <v>144600.03</v>
      </c>
      <c r="E14" s="86">
        <f t="shared" si="4"/>
        <v>-0.20978904662878209</v>
      </c>
      <c r="F14" s="310">
        <v>245084.26</v>
      </c>
      <c r="G14" s="310">
        <v>153790.65</v>
      </c>
      <c r="H14" s="467">
        <f>IFERROR((SUM(B14-G14)/G14),0)</f>
        <v>-0.17859863392215319</v>
      </c>
      <c r="I14" s="86">
        <f>IFERROR((SUM(B14-D14)/D14),0)</f>
        <v>-0.12639126008480076</v>
      </c>
      <c r="J14" s="238">
        <v>383</v>
      </c>
      <c r="K14" s="84">
        <f>IFERROR(B14/J14,0)</f>
        <v>329.82728459530028</v>
      </c>
      <c r="L14" s="490">
        <v>95</v>
      </c>
      <c r="M14" s="310">
        <v>1034.1500000000001</v>
      </c>
      <c r="N14" s="89">
        <f>IFERROR(M14/J14,0)</f>
        <v>2.7001305483028721</v>
      </c>
      <c r="O14" s="490">
        <v>263</v>
      </c>
      <c r="P14" s="310">
        <v>10833.7</v>
      </c>
      <c r="Q14" s="89">
        <f>IFERROR(P14/SUM(J14),0)</f>
        <v>28.286422976501306</v>
      </c>
      <c r="R14" s="485">
        <f t="shared" si="5"/>
        <v>46604.278260869571</v>
      </c>
      <c r="S14" s="89">
        <f>SUM(R14/B14)</f>
        <v>0.3689269940780745</v>
      </c>
      <c r="T14" s="485">
        <f t="shared" si="6"/>
        <v>21347.391304347828</v>
      </c>
      <c r="U14" s="89">
        <f>SUM(T14/B14)</f>
        <v>0.16898939752349082</v>
      </c>
      <c r="V14" s="310">
        <v>2930</v>
      </c>
      <c r="W14" s="488"/>
      <c r="X14" s="483"/>
      <c r="Y14" s="310">
        <v>29045.42</v>
      </c>
      <c r="Z14" s="75">
        <f>Y14/1.15</f>
        <v>25256.886956521739</v>
      </c>
      <c r="AA14" s="487"/>
      <c r="AB14" s="310">
        <v>24549.5</v>
      </c>
      <c r="AC14" s="75">
        <f t="shared" si="7"/>
        <v>21347.391304347828</v>
      </c>
    </row>
    <row r="15" spans="1:29" ht="15.6" customHeight="1" x14ac:dyDescent="0.3">
      <c r="A15" s="432" t="s">
        <v>22</v>
      </c>
      <c r="B15" s="310">
        <v>120731.9</v>
      </c>
      <c r="C15" s="310">
        <v>139059.18</v>
      </c>
      <c r="D15" s="489">
        <v>152846.04</v>
      </c>
      <c r="E15" s="86">
        <f t="shared" si="4"/>
        <v>-0.13179482289482794</v>
      </c>
      <c r="F15" s="310">
        <v>221792.63</v>
      </c>
      <c r="G15" s="310">
        <v>120010.86</v>
      </c>
      <c r="H15" s="467">
        <f>IFERROR((SUM(B15-G15)/G15),0)</f>
        <v>6.0081229315413088E-3</v>
      </c>
      <c r="I15" s="86">
        <f>IFERROR((SUM(B15-D15)/D15),0)</f>
        <v>-0.21010776595847699</v>
      </c>
      <c r="J15" s="238">
        <v>392</v>
      </c>
      <c r="K15" s="84">
        <f>IFERROR(B15/J15,0)</f>
        <v>307.9895408163265</v>
      </c>
      <c r="L15" s="490">
        <v>39</v>
      </c>
      <c r="M15" s="310">
        <v>2690.45</v>
      </c>
      <c r="N15" s="89">
        <f>IFERROR(M15/J15,0)</f>
        <v>6.8633928571428564</v>
      </c>
      <c r="O15" s="490">
        <v>82</v>
      </c>
      <c r="P15" s="310">
        <v>5176.53</v>
      </c>
      <c r="Q15" s="89">
        <f>IFERROR(P15/SUM(J15),0)</f>
        <v>13.205433673469386</v>
      </c>
      <c r="R15" s="485">
        <f t="shared" si="5"/>
        <v>43562.104347826091</v>
      </c>
      <c r="S15" s="89">
        <f>SUM(R15/B15)</f>
        <v>0.36081685410257019</v>
      </c>
      <c r="T15" s="485">
        <f t="shared" si="6"/>
        <v>21633.043478260872</v>
      </c>
      <c r="U15" s="89">
        <f>SUM(T15/B15)</f>
        <v>0.17918249839736533</v>
      </c>
      <c r="V15" s="310">
        <v>3102</v>
      </c>
      <c r="W15" s="488"/>
      <c r="X15" s="483"/>
      <c r="Y15" s="310">
        <v>25218.42</v>
      </c>
      <c r="Z15" s="75">
        <f>Y15/1.15</f>
        <v>21929.060869565219</v>
      </c>
      <c r="AA15" s="487"/>
      <c r="AB15" s="310">
        <v>24878</v>
      </c>
      <c r="AC15" s="75">
        <f t="shared" si="7"/>
        <v>21633.043478260872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25" priority="2" operator="equal">
      <formula>0</formula>
    </cfRule>
  </conditionalFormatting>
  <conditionalFormatting sqref="R12:R13">
    <cfRule type="cellIs" dxfId="2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defaultRowHeight="14.4" x14ac:dyDescent="0.3"/>
  <cols>
    <col min="1" max="1" width="23" customWidth="1"/>
    <col min="2" max="2" width="21.66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5.8867187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0.13340212901557866</v>
      </c>
      <c r="F2" s="426"/>
      <c r="G2" s="1"/>
      <c r="H2" s="427"/>
      <c r="I2" s="422">
        <f>((B4-D4)/D4)</f>
        <v>-3.3962214800372113E-2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98">
        <f>SUM(B5:B15)</f>
        <v>1826015.76</v>
      </c>
      <c r="C4" s="468">
        <f>SUM(C5:C15)</f>
        <v>1582421.37</v>
      </c>
      <c r="D4" s="468">
        <f>SUM(D5:D15)</f>
        <v>1890211.53</v>
      </c>
      <c r="E4" s="472">
        <f>IFERROR((SUM(B4-C4)/B4),0)</f>
        <v>0.13340212901557866</v>
      </c>
      <c r="F4" s="465">
        <f>SUM(F5:F15)</f>
        <v>4758433.93</v>
      </c>
      <c r="G4" s="468">
        <f>SUM(G5:G15)</f>
        <v>1956919.53</v>
      </c>
      <c r="H4" s="436">
        <f>IFERROR((SUM(B4-G4)/G4),0)</f>
        <v>-6.6892771007298402E-2</v>
      </c>
      <c r="I4" s="436">
        <f t="shared" ref="I4:I9" si="0">IFERROR((SUM(B4-D4)/D4),0)</f>
        <v>-3.3962214800372113E-2</v>
      </c>
      <c r="J4" s="480">
        <f>SUM(J5:J15)</f>
        <v>5280</v>
      </c>
      <c r="K4" s="474">
        <f>AVERAGE(K5:K15)</f>
        <v>338.43248109058766</v>
      </c>
      <c r="L4" s="474">
        <f>SUM(L6:L15)</f>
        <v>765</v>
      </c>
      <c r="M4" s="439">
        <f>SUM(M5:M15)</f>
        <v>66836.83</v>
      </c>
      <c r="N4" s="442">
        <f>IFERROR(M4/J4,0)</f>
        <v>12.65849053030303</v>
      </c>
      <c r="O4" s="473">
        <f>SUM(O6:O15)</f>
        <v>2463</v>
      </c>
      <c r="P4" s="475">
        <f>SUM(P7:P15)</f>
        <v>187734.31999999998</v>
      </c>
      <c r="Q4" s="442">
        <f t="shared" ref="Q4:Q9" si="1">IFERROR(P4/SUM(J4),0)</f>
        <v>35.555742424242418</v>
      </c>
      <c r="R4" s="455">
        <f>SUM(R5:R15)</f>
        <v>511376.03478260868</v>
      </c>
      <c r="S4" s="442">
        <f t="shared" ref="S4:S9" si="2">SUM(R4/B4)</f>
        <v>0.28005017589914377</v>
      </c>
      <c r="T4" s="455">
        <f>SUM(T5:T15)</f>
        <v>214567.347826087</v>
      </c>
      <c r="U4" s="442">
        <f t="shared" ref="U4:U9" si="3">SUM(T4/B4)</f>
        <v>0.11750574804791773</v>
      </c>
      <c r="V4" s="481">
        <f>SUM(V5:V15)</f>
        <v>51449.299999999996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243499.44</v>
      </c>
      <c r="C5" s="310">
        <v>181478.97</v>
      </c>
      <c r="D5" s="489">
        <v>166877.21</v>
      </c>
      <c r="E5" s="86">
        <f t="shared" ref="E5:E15" si="4">IFERROR((SUM(B5-C5)/C5),0)</f>
        <v>0.34175017634274651</v>
      </c>
      <c r="F5" s="310">
        <v>575965.61</v>
      </c>
      <c r="G5" s="310">
        <v>216553.12</v>
      </c>
      <c r="H5" s="467">
        <f>IFERROR((SUM(B5-G5)/G5),0)</f>
        <v>0.12443284123544379</v>
      </c>
      <c r="I5" s="86">
        <f t="shared" si="0"/>
        <v>0.45915334993915596</v>
      </c>
      <c r="J5" s="310">
        <v>674</v>
      </c>
      <c r="K5" s="84">
        <f>IFERROR(B5/J5,0)</f>
        <v>361.27513353115728</v>
      </c>
      <c r="L5" s="490"/>
      <c r="M5" s="489"/>
      <c r="N5" s="89">
        <f>IFERROR(M5/J5,0)</f>
        <v>0</v>
      </c>
      <c r="O5" s="89"/>
      <c r="P5" s="477"/>
      <c r="Q5" s="89">
        <f t="shared" si="1"/>
        <v>0</v>
      </c>
      <c r="R5" s="485">
        <f t="shared" ref="R5:R15" si="5">SUM(Z5+AC5)</f>
        <v>21937.391304347828</v>
      </c>
      <c r="S5" s="89">
        <f t="shared" si="2"/>
        <v>9.0092163268826519E-2</v>
      </c>
      <c r="T5" s="485">
        <f t="shared" ref="T5:T15" si="6">SUM(AC5)</f>
        <v>21937.391304347828</v>
      </c>
      <c r="U5" s="89">
        <f t="shared" si="3"/>
        <v>9.0092163268826519E-2</v>
      </c>
      <c r="V5" s="310">
        <v>3015</v>
      </c>
      <c r="W5" s="486"/>
      <c r="X5" s="483"/>
      <c r="Y5" s="75">
        <v>0</v>
      </c>
      <c r="Z5" s="75">
        <f>Y5/1.15</f>
        <v>0</v>
      </c>
      <c r="AA5" s="487"/>
      <c r="AB5" s="310">
        <v>25228</v>
      </c>
      <c r="AC5" s="75">
        <f t="shared" ref="AC5:AC15" si="7">SUM(AB5)/1.15</f>
        <v>21937.391304347828</v>
      </c>
    </row>
    <row r="6" spans="1:29" ht="15.6" customHeight="1" x14ac:dyDescent="0.3">
      <c r="A6" s="492" t="s">
        <v>21</v>
      </c>
      <c r="B6" s="310">
        <v>229137.44</v>
      </c>
      <c r="C6" s="310">
        <v>199057.23</v>
      </c>
      <c r="D6" s="489">
        <v>317233.91999999998</v>
      </c>
      <c r="E6" s="86">
        <f t="shared" si="4"/>
        <v>0.15111337578645093</v>
      </c>
      <c r="F6" s="310">
        <v>591130.14</v>
      </c>
      <c r="G6" s="310">
        <v>228284.19</v>
      </c>
      <c r="H6" s="467">
        <f>IFERROR((SUM(B6-G6)/G6),0)</f>
        <v>3.7376657577557165E-3</v>
      </c>
      <c r="I6" s="86">
        <f t="shared" si="0"/>
        <v>-0.27770195570511497</v>
      </c>
      <c r="J6" s="310">
        <v>583</v>
      </c>
      <c r="K6" s="84">
        <f>IFERROR(B6/J6,0)</f>
        <v>393.03162950257291</v>
      </c>
      <c r="L6" s="490">
        <v>52</v>
      </c>
      <c r="M6" s="310">
        <v>5979.19</v>
      </c>
      <c r="N6" s="89">
        <f>IFERROR(M7/J6,0)</f>
        <v>2.5363636363636366</v>
      </c>
      <c r="O6" s="490">
        <v>197</v>
      </c>
      <c r="P6" s="310">
        <v>18513.919999999998</v>
      </c>
      <c r="Q6" s="89">
        <f t="shared" si="1"/>
        <v>31.756295025728985</v>
      </c>
      <c r="R6" s="485">
        <f t="shared" si="5"/>
        <v>54143.313043478265</v>
      </c>
      <c r="S6" s="89">
        <f t="shared" si="2"/>
        <v>0.23629186501986871</v>
      </c>
      <c r="T6" s="485">
        <f t="shared" si="6"/>
        <v>23194.886956521739</v>
      </c>
      <c r="U6" s="89">
        <f t="shared" si="3"/>
        <v>0.1012269621085133</v>
      </c>
      <c r="V6" s="310">
        <v>5819.4</v>
      </c>
      <c r="W6" s="488"/>
      <c r="X6" s="483"/>
      <c r="Y6" s="310">
        <v>35590.69</v>
      </c>
      <c r="Z6" s="75">
        <f>Y6/1.15</f>
        <v>30948.426086956526</v>
      </c>
      <c r="AA6" s="487"/>
      <c r="AB6" s="310">
        <v>26674.12</v>
      </c>
      <c r="AC6" s="75">
        <f t="shared" si="7"/>
        <v>23194.886956521739</v>
      </c>
    </row>
    <row r="7" spans="1:29" ht="16.5" customHeight="1" x14ac:dyDescent="0.3">
      <c r="A7" s="492" t="s">
        <v>15</v>
      </c>
      <c r="B7" s="310">
        <v>302389.44</v>
      </c>
      <c r="C7" s="310">
        <v>192032.06</v>
      </c>
      <c r="D7" s="489">
        <v>254835.6</v>
      </c>
      <c r="E7" s="86">
        <f t="shared" si="4"/>
        <v>0.5746820609017057</v>
      </c>
      <c r="F7" s="310">
        <v>675731.82</v>
      </c>
      <c r="G7" s="310">
        <v>279205.43</v>
      </c>
      <c r="H7" s="467">
        <f>IFERROR((SUM(B7-G7)/G7),0)</f>
        <v>8.3035670187359925E-2</v>
      </c>
      <c r="I7" s="86">
        <f t="shared" si="0"/>
        <v>0.18660595301441399</v>
      </c>
      <c r="J7" s="310">
        <v>729</v>
      </c>
      <c r="K7" s="84">
        <f>IFERROR(B7/J7,0)</f>
        <v>414.80032921810698</v>
      </c>
      <c r="L7" s="490">
        <v>21</v>
      </c>
      <c r="M7" s="310">
        <v>1478.7</v>
      </c>
      <c r="N7" s="89">
        <f>IFERROR(#REF!/J7,0)</f>
        <v>0</v>
      </c>
      <c r="O7" s="490">
        <v>43</v>
      </c>
      <c r="P7" s="310">
        <v>4946.91</v>
      </c>
      <c r="Q7" s="89">
        <f t="shared" si="1"/>
        <v>6.7858847736625512</v>
      </c>
      <c r="R7" s="485">
        <f t="shared" si="5"/>
        <v>50994.200000000004</v>
      </c>
      <c r="S7" s="89">
        <f t="shared" si="2"/>
        <v>0.16863750268527897</v>
      </c>
      <c r="T7" s="485">
        <f t="shared" si="6"/>
        <v>663.26086956521749</v>
      </c>
      <c r="U7" s="89">
        <f t="shared" si="3"/>
        <v>2.1933995762722981E-3</v>
      </c>
      <c r="V7" s="310">
        <v>8764.9500000000007</v>
      </c>
      <c r="W7" s="488"/>
      <c r="X7" s="483"/>
      <c r="Y7" s="310">
        <v>57880.58</v>
      </c>
      <c r="Z7" s="75">
        <f>Y7/1.15</f>
        <v>50330.939130434788</v>
      </c>
      <c r="AA7" s="487"/>
      <c r="AB7" s="310">
        <v>762.75</v>
      </c>
      <c r="AC7" s="75">
        <f t="shared" si="7"/>
        <v>663.26086956521749</v>
      </c>
    </row>
    <row r="8" spans="1:29" ht="15.6" customHeight="1" x14ac:dyDescent="0.3">
      <c r="A8" s="492" t="s">
        <v>27</v>
      </c>
      <c r="B8" s="310">
        <v>136813.03</v>
      </c>
      <c r="C8" s="310">
        <v>116136.99</v>
      </c>
      <c r="D8" s="489">
        <v>125945.97</v>
      </c>
      <c r="E8" s="86">
        <f t="shared" si="4"/>
        <v>0.17803147817073606</v>
      </c>
      <c r="F8" s="310">
        <v>338246.23</v>
      </c>
      <c r="G8" s="310">
        <v>128209.03</v>
      </c>
      <c r="H8" s="467">
        <f>IFERROR((SUM(B8-G8)/G8),0)</f>
        <v>6.7109157599897606E-2</v>
      </c>
      <c r="I8" s="86">
        <f t="shared" si="0"/>
        <v>8.6283507126111283E-2</v>
      </c>
      <c r="J8" s="310">
        <v>432</v>
      </c>
      <c r="K8" s="84">
        <f>IFERROR(B8/J8,0)</f>
        <v>316.69682870370372</v>
      </c>
      <c r="L8" s="490">
        <v>84</v>
      </c>
      <c r="M8" s="310">
        <v>10295.86</v>
      </c>
      <c r="N8" s="89">
        <f>IFERROR(M8/J8,0)</f>
        <v>23.83300925925926</v>
      </c>
      <c r="O8" s="490">
        <v>298</v>
      </c>
      <c r="P8" s="310">
        <v>28082.47</v>
      </c>
      <c r="Q8" s="89">
        <f t="shared" si="1"/>
        <v>65.005717592592589</v>
      </c>
      <c r="R8" s="485">
        <f t="shared" si="5"/>
        <v>49444.086956521744</v>
      </c>
      <c r="S8" s="89">
        <f t="shared" si="2"/>
        <v>0.36139896146238221</v>
      </c>
      <c r="T8" s="485">
        <f t="shared" si="6"/>
        <v>21270.139130434785</v>
      </c>
      <c r="U8" s="89">
        <f t="shared" si="3"/>
        <v>0.15546866501264378</v>
      </c>
      <c r="V8" s="310">
        <v>5056</v>
      </c>
      <c r="W8" s="486"/>
      <c r="X8" s="483"/>
      <c r="Y8" s="310">
        <v>32400.04</v>
      </c>
      <c r="Z8" s="75">
        <f>Y8/1.15</f>
        <v>28173.947826086958</v>
      </c>
      <c r="AA8" s="487"/>
      <c r="AB8" s="310">
        <v>24460.66</v>
      </c>
      <c r="AC8" s="75">
        <f t="shared" si="7"/>
        <v>21270.139130434785</v>
      </c>
    </row>
    <row r="9" spans="1:29" ht="15.6" customHeight="1" x14ac:dyDescent="0.3">
      <c r="A9" s="492" t="s">
        <v>23</v>
      </c>
      <c r="B9" s="310">
        <v>192771.42</v>
      </c>
      <c r="C9" s="310">
        <v>165245.82</v>
      </c>
      <c r="D9" s="489">
        <v>243010.12</v>
      </c>
      <c r="E9" s="86">
        <f t="shared" si="4"/>
        <v>0.16657365372388847</v>
      </c>
      <c r="F9" s="310">
        <v>536699.93000000005</v>
      </c>
      <c r="G9" s="310">
        <v>204276.87</v>
      </c>
      <c r="H9" s="467">
        <f>IFERROR((SUM(B9-#REF!)/#REF!),0)</f>
        <v>0</v>
      </c>
      <c r="I9" s="86">
        <f t="shared" si="0"/>
        <v>-0.20673501169416311</v>
      </c>
      <c r="J9" s="310">
        <v>584</v>
      </c>
      <c r="K9" s="84">
        <f>IFERROR(B9/J9,0)</f>
        <v>330.08804794520552</v>
      </c>
      <c r="L9" s="490">
        <v>52</v>
      </c>
      <c r="M9" s="310">
        <v>3099.75</v>
      </c>
      <c r="N9" s="89">
        <f>IFERROR(M9/J9,0)</f>
        <v>5.3077910958904111</v>
      </c>
      <c r="O9" s="490">
        <v>147</v>
      </c>
      <c r="P9" s="310">
        <v>9941.83</v>
      </c>
      <c r="Q9" s="89">
        <f t="shared" si="1"/>
        <v>17.023681506849314</v>
      </c>
      <c r="R9" s="485">
        <f t="shared" si="5"/>
        <v>53586.565217391311</v>
      </c>
      <c r="S9" s="89">
        <f t="shared" si="2"/>
        <v>0.27797982303285057</v>
      </c>
      <c r="T9" s="485">
        <f t="shared" si="6"/>
        <v>27417.339130434782</v>
      </c>
      <c r="U9" s="89">
        <f t="shared" si="3"/>
        <v>0.14222719908602002</v>
      </c>
      <c r="V9" s="310">
        <v>4006.15</v>
      </c>
      <c r="W9" s="488"/>
      <c r="X9" s="483"/>
      <c r="Y9" s="310">
        <v>30094.61</v>
      </c>
      <c r="Z9" s="75">
        <f>Y9/1.15</f>
        <v>26169.226086956525</v>
      </c>
      <c r="AA9" s="487"/>
      <c r="AB9" s="310">
        <v>31529.94</v>
      </c>
      <c r="AC9" s="75">
        <f t="shared" si="7"/>
        <v>27417.339130434782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4"/>
        <v>0</v>
      </c>
      <c r="F10" s="310"/>
      <c r="G10" s="310">
        <v>221679.83</v>
      </c>
      <c r="H10" s="467">
        <f>IFERROR((SUM(B10-G10)/G10),0)</f>
        <v>-1</v>
      </c>
      <c r="I10" s="86">
        <f>IFERROR((SUM(B11-D10)/D10),0)</f>
        <v>-0.39761936682455423</v>
      </c>
      <c r="J10" s="310"/>
      <c r="K10" s="84">
        <f>IFERROR(B11/J11,0)</f>
        <v>285.38202970297027</v>
      </c>
      <c r="L10" s="490"/>
      <c r="M10" s="489"/>
      <c r="N10" s="89">
        <f>IFERROR(M10/J11,0)</f>
        <v>0</v>
      </c>
      <c r="O10" s="490"/>
      <c r="P10" s="479"/>
      <c r="Q10" s="89">
        <f>IFERROR(P10/SUM(J11),0)</f>
        <v>0</v>
      </c>
      <c r="R10" s="485">
        <f t="shared" si="5"/>
        <v>33715.860869565215</v>
      </c>
      <c r="S10" s="89">
        <f>SUM(R10/B11)</f>
        <v>0.29243292315620362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310"/>
      <c r="Z10" s="75">
        <f>Y11/1.15</f>
        <v>33715.860869565215</v>
      </c>
      <c r="AA10" s="487"/>
      <c r="AB10" s="310"/>
      <c r="AC10" s="75">
        <f t="shared" si="7"/>
        <v>0</v>
      </c>
    </row>
    <row r="11" spans="1:29" ht="15.6" customHeight="1" x14ac:dyDescent="0.3">
      <c r="A11" s="492" t="s">
        <v>17</v>
      </c>
      <c r="B11" s="310">
        <v>115294.34</v>
      </c>
      <c r="C11" s="310">
        <v>137563.87</v>
      </c>
      <c r="D11" s="489">
        <v>86713.33</v>
      </c>
      <c r="E11" s="86">
        <f t="shared" si="4"/>
        <v>-0.16188502111782693</v>
      </c>
      <c r="F11" s="310">
        <v>356198.62</v>
      </c>
      <c r="G11" s="310">
        <v>113165.51</v>
      </c>
      <c r="H11" s="467">
        <f>IFERROR((SUM(B11-G11)/G11),0)</f>
        <v>1.8811650298752702E-2</v>
      </c>
      <c r="I11" s="86">
        <f>IFERROR((SUM(#REF!-D11)/D11),0)</f>
        <v>0</v>
      </c>
      <c r="J11" s="310">
        <v>404</v>
      </c>
      <c r="K11" s="84">
        <f>IFERROR(B12/J12,0)</f>
        <v>323.94441535776616</v>
      </c>
      <c r="L11" s="490">
        <v>165</v>
      </c>
      <c r="M11" s="310">
        <v>11892.94</v>
      </c>
      <c r="N11" s="89">
        <f>IFERROR(M11/J12,0)</f>
        <v>20.755567190226877</v>
      </c>
      <c r="O11" s="490">
        <v>635</v>
      </c>
      <c r="P11" s="310">
        <v>47385.9</v>
      </c>
      <c r="Q11" s="89">
        <f>IFERROR(P11/SUM(J12),0)</f>
        <v>82.69790575916231</v>
      </c>
      <c r="R11" s="485">
        <f t="shared" si="5"/>
        <v>52334.826086956527</v>
      </c>
      <c r="S11" s="89">
        <f>SUM(R11/B12)</f>
        <v>0.28194582369940185</v>
      </c>
      <c r="T11" s="485">
        <f t="shared" si="6"/>
        <v>19598.765217391308</v>
      </c>
      <c r="U11" s="89">
        <f>SUM(T11/B12)</f>
        <v>0.10558533228957799</v>
      </c>
      <c r="V11" s="310">
        <v>2969</v>
      </c>
      <c r="W11" s="488"/>
      <c r="X11" s="483"/>
      <c r="Y11" s="310">
        <v>38773.24</v>
      </c>
      <c r="Z11" s="75">
        <f>Y12/1.15</f>
        <v>32736.060869565223</v>
      </c>
      <c r="AA11" s="487"/>
      <c r="AB11" s="310">
        <v>22538.58</v>
      </c>
      <c r="AC11" s="75">
        <f t="shared" si="7"/>
        <v>19598.765217391308</v>
      </c>
    </row>
    <row r="12" spans="1:29" ht="15.6" customHeight="1" x14ac:dyDescent="0.3">
      <c r="A12" s="492" t="s">
        <v>55</v>
      </c>
      <c r="B12" s="310">
        <v>185620.15</v>
      </c>
      <c r="C12" s="310">
        <v>187763.51</v>
      </c>
      <c r="D12" s="489">
        <v>206751.49</v>
      </c>
      <c r="E12" s="86">
        <f t="shared" si="4"/>
        <v>-1.1415210548631174E-2</v>
      </c>
      <c r="F12" s="310">
        <v>515128.56</v>
      </c>
      <c r="G12" s="310">
        <v>168308.93</v>
      </c>
      <c r="H12" s="467">
        <f>IFERROR((SUM(B12-#REF!)/#REF!),0)</f>
        <v>0</v>
      </c>
      <c r="I12" s="86">
        <f>IFERROR((SUM(B12-D12)/D12),0)</f>
        <v>-0.10220647019279037</v>
      </c>
      <c r="J12" s="310">
        <v>573</v>
      </c>
      <c r="K12" s="84">
        <f>IFERROR(B12/J12,0)</f>
        <v>323.94441535776616</v>
      </c>
      <c r="L12" s="490">
        <v>173</v>
      </c>
      <c r="M12" s="310">
        <v>16569.68</v>
      </c>
      <c r="N12" s="89">
        <f>IFERROR(M12/J12,0)</f>
        <v>28.917417102966841</v>
      </c>
      <c r="O12" s="490">
        <v>529</v>
      </c>
      <c r="P12" s="310">
        <v>48489.279999999999</v>
      </c>
      <c r="Q12" s="89">
        <f>IFERROR(P12/SUM(J12),0)</f>
        <v>84.623525305410126</v>
      </c>
      <c r="R12" s="485">
        <f t="shared" si="5"/>
        <v>58687.104347826098</v>
      </c>
      <c r="S12" s="89">
        <f>SUM(R12/B12)</f>
        <v>0.3161677455159157</v>
      </c>
      <c r="T12" s="485">
        <f t="shared" si="6"/>
        <v>25951.043478260872</v>
      </c>
      <c r="U12" s="89">
        <f>SUM(T12/B12)</f>
        <v>0.13980725410609179</v>
      </c>
      <c r="V12" s="310">
        <v>6259.85</v>
      </c>
      <c r="W12" s="486"/>
      <c r="X12" s="483"/>
      <c r="Y12" s="310">
        <v>37646.47</v>
      </c>
      <c r="Z12" s="75">
        <f>Y12/1.15</f>
        <v>32736.060869565223</v>
      </c>
      <c r="AA12" s="487"/>
      <c r="AB12" s="310">
        <v>29843.7</v>
      </c>
      <c r="AC12" s="75">
        <f t="shared" si="7"/>
        <v>25951.043478260872</v>
      </c>
    </row>
    <row r="13" spans="1:29" ht="15.6" customHeight="1" x14ac:dyDescent="0.3">
      <c r="A13" s="492" t="s">
        <v>33</v>
      </c>
      <c r="B13" s="310">
        <v>146978.96</v>
      </c>
      <c r="C13" s="310">
        <v>156087.17000000001</v>
      </c>
      <c r="D13" s="489"/>
      <c r="E13" s="86">
        <f t="shared" si="4"/>
        <v>-5.8353354731205773E-2</v>
      </c>
      <c r="F13" s="310">
        <v>428944.59</v>
      </c>
      <c r="G13" s="310">
        <v>146831.6</v>
      </c>
      <c r="H13" s="467">
        <f>IFERROR((SUM(B13-G12)/G12),0)</f>
        <v>-0.12673106530948774</v>
      </c>
      <c r="I13" s="86">
        <f>IFERROR((SUM(B13-D13)/D13),0)</f>
        <v>0</v>
      </c>
      <c r="J13" s="310">
        <v>490</v>
      </c>
      <c r="K13" s="84">
        <f>IFERROR(B13/J13,0)</f>
        <v>299.95706122448979</v>
      </c>
      <c r="L13" s="490">
        <v>84</v>
      </c>
      <c r="M13" s="310">
        <v>8732.68</v>
      </c>
      <c r="N13" s="89">
        <f>IFERROR(M13/J13,0)</f>
        <v>17.821795918367346</v>
      </c>
      <c r="O13" s="490">
        <v>269</v>
      </c>
      <c r="P13" s="310">
        <v>24089.67</v>
      </c>
      <c r="Q13" s="89">
        <f>IFERROR(P13/SUM(J13),0)</f>
        <v>49.162591836734691</v>
      </c>
      <c r="R13" s="485">
        <f t="shared" si="5"/>
        <v>41918.99130434783</v>
      </c>
      <c r="S13" s="89">
        <f>SUM(R13/B13)</f>
        <v>0.28520402719101995</v>
      </c>
      <c r="T13" s="485">
        <f t="shared" si="6"/>
        <v>23210.478260869568</v>
      </c>
      <c r="U13" s="89">
        <f>SUM(T13/B13)</f>
        <v>0.15791701248171555</v>
      </c>
      <c r="V13" s="310">
        <v>6122.35</v>
      </c>
      <c r="W13" s="486"/>
      <c r="X13" s="483"/>
      <c r="Y13" s="310">
        <v>21514.79</v>
      </c>
      <c r="Z13" s="75">
        <f>Y13/1.15</f>
        <v>18708.513043478262</v>
      </c>
      <c r="AA13" s="487"/>
      <c r="AB13" s="310">
        <v>26692.05</v>
      </c>
      <c r="AC13" s="75">
        <f t="shared" si="7"/>
        <v>23210.478260869568</v>
      </c>
    </row>
    <row r="14" spans="1:29" ht="15.6" customHeight="1" x14ac:dyDescent="0.3">
      <c r="A14" s="492" t="s">
        <v>20</v>
      </c>
      <c r="B14" s="310">
        <v>147917.28</v>
      </c>
      <c r="C14" s="310">
        <v>126323.85</v>
      </c>
      <c r="D14" s="489">
        <v>144600.03</v>
      </c>
      <c r="E14" s="86">
        <f t="shared" si="4"/>
        <v>0.1709370795776094</v>
      </c>
      <c r="F14" s="310">
        <v>393001.54</v>
      </c>
      <c r="G14" s="310">
        <v>146503.88</v>
      </c>
      <c r="H14" s="467">
        <f>IFERROR((SUM(B14-G14)/G14),0)</f>
        <v>9.6475260586954704E-3</v>
      </c>
      <c r="I14" s="86">
        <f>IFERROR((SUM(B14-D14)/D14),0)</f>
        <v>2.2940866609778711E-2</v>
      </c>
      <c r="J14" s="310">
        <v>430</v>
      </c>
      <c r="K14" s="84">
        <f>IFERROR(B14/J14,0)</f>
        <v>343.99367441860466</v>
      </c>
      <c r="L14" s="490">
        <v>95</v>
      </c>
      <c r="M14" s="310">
        <v>6761.29</v>
      </c>
      <c r="N14" s="89">
        <f>IFERROR(M14/J14,0)</f>
        <v>15.723930232558139</v>
      </c>
      <c r="O14" s="490">
        <v>263</v>
      </c>
      <c r="P14" s="310">
        <v>17594.990000000002</v>
      </c>
      <c r="Q14" s="89">
        <f>IFERROR(P14/SUM(J14),0)</f>
        <v>40.918581395348838</v>
      </c>
      <c r="R14" s="485">
        <f t="shared" si="5"/>
        <v>59890.8</v>
      </c>
      <c r="S14" s="89">
        <f>SUM(R14/B14)</f>
        <v>0.40489387041189512</v>
      </c>
      <c r="T14" s="485">
        <f t="shared" si="6"/>
        <v>32594.913043478264</v>
      </c>
      <c r="U14" s="89">
        <f>SUM(T14/B14)</f>
        <v>0.22035906179101092</v>
      </c>
      <c r="V14" s="310">
        <v>5556.6</v>
      </c>
      <c r="W14" s="488"/>
      <c r="X14" s="483"/>
      <c r="Y14" s="310">
        <v>31390.27</v>
      </c>
      <c r="Z14" s="75">
        <f>Y14/1.15</f>
        <v>27295.886956521743</v>
      </c>
      <c r="AA14" s="487"/>
      <c r="AB14" s="310">
        <v>37484.15</v>
      </c>
      <c r="AC14" s="75">
        <f t="shared" si="7"/>
        <v>32594.913043478264</v>
      </c>
    </row>
    <row r="15" spans="1:29" ht="15.6" customHeight="1" x14ac:dyDescent="0.3">
      <c r="A15" s="432" t="s">
        <v>22</v>
      </c>
      <c r="B15" s="310">
        <v>125594.26</v>
      </c>
      <c r="C15" s="310">
        <v>120731.9</v>
      </c>
      <c r="D15" s="489">
        <v>152846.04</v>
      </c>
      <c r="E15" s="86">
        <f t="shared" si="4"/>
        <v>4.0274028653570437E-2</v>
      </c>
      <c r="F15" s="310">
        <v>347386.89</v>
      </c>
      <c r="G15" s="310">
        <v>103901.14</v>
      </c>
      <c r="H15" s="467">
        <f>IFERROR((SUM(B15-G15)/G15),0)</f>
        <v>0.20878615961287811</v>
      </c>
      <c r="I15" s="86">
        <f>IFERROR((SUM(B15-D15)/D15),0)</f>
        <v>-0.17829562349145592</v>
      </c>
      <c r="J15" s="310">
        <v>381</v>
      </c>
      <c r="K15" s="84">
        <f>IFERROR(B15/J15,0)</f>
        <v>329.64372703412073</v>
      </c>
      <c r="L15" s="490">
        <v>39</v>
      </c>
      <c r="M15" s="310">
        <v>2026.74</v>
      </c>
      <c r="N15" s="89">
        <f>IFERROR(M15/J15,0)</f>
        <v>5.3195275590551185</v>
      </c>
      <c r="O15" s="490">
        <v>82</v>
      </c>
      <c r="P15" s="310">
        <v>7203.27</v>
      </c>
      <c r="Q15" s="89">
        <f>IFERROR(P15/SUM(J15),0)</f>
        <v>18.906220472440946</v>
      </c>
      <c r="R15" s="485">
        <f t="shared" si="5"/>
        <v>34722.895652173916</v>
      </c>
      <c r="S15" s="89">
        <f>SUM(R15/B15)</f>
        <v>0.27646881037536203</v>
      </c>
      <c r="T15" s="485">
        <f t="shared" si="6"/>
        <v>18729.130434782612</v>
      </c>
      <c r="U15" s="89">
        <f>SUM(T15/B15)</f>
        <v>0.14912409559786102</v>
      </c>
      <c r="V15" s="310">
        <v>3880</v>
      </c>
      <c r="W15" s="488"/>
      <c r="X15" s="483"/>
      <c r="Y15" s="310">
        <v>18392.830000000002</v>
      </c>
      <c r="Z15" s="75">
        <f>Y15/1.15</f>
        <v>15993.765217391307</v>
      </c>
      <c r="AA15" s="487"/>
      <c r="AB15" s="310">
        <v>21538.5</v>
      </c>
      <c r="AC15" s="75">
        <f t="shared" si="7"/>
        <v>18729.130434782612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23" priority="2" operator="equal">
      <formula>0</formula>
    </cfRule>
  </conditionalFormatting>
  <conditionalFormatting sqref="R12:R13">
    <cfRule type="cellIs" dxfId="2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AC49"/>
  <sheetViews>
    <sheetView zoomScale="60" zoomScaleNormal="60" workbookViewId="0">
      <pane xSplit="1" topLeftCell="B1" activePane="topRight" state="frozen"/>
      <selection pane="topRight" activeCell="R12" sqref="R12"/>
    </sheetView>
  </sheetViews>
  <sheetFormatPr defaultRowHeight="14.4" x14ac:dyDescent="0.3"/>
  <cols>
    <col min="1" max="1" width="23" customWidth="1"/>
    <col min="2" max="2" width="21.664062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1.5546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5.8867187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1.5083738303384402E-2</v>
      </c>
      <c r="F2" s="426"/>
      <c r="G2" s="1"/>
      <c r="H2" s="427"/>
      <c r="I2" s="422">
        <f>((B4-D4)/D4)</f>
        <v>-1.916759549128336E-2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98">
        <f>SUM(B5:B15)</f>
        <v>1853980.7200000002</v>
      </c>
      <c r="C4" s="468">
        <f>SUM(C5:C15)</f>
        <v>1826015.76</v>
      </c>
      <c r="D4" s="468">
        <f>SUM(D5:D15)</f>
        <v>1890211.53</v>
      </c>
      <c r="E4" s="472">
        <f>IFERROR((SUM(B4-C4)/B4),0)</f>
        <v>1.5083738303384402E-2</v>
      </c>
      <c r="F4" s="465">
        <f>SUM(F5:F15)</f>
        <v>6612414.6500000004</v>
      </c>
      <c r="G4" s="468">
        <f>SUM(G5:G15)</f>
        <v>2142941.9800000004</v>
      </c>
      <c r="H4" s="436">
        <f>IFERROR((SUM(B4-G4)/G4),0)</f>
        <v>-0.13484324946585824</v>
      </c>
      <c r="I4" s="436">
        <f t="shared" ref="I4:I9" si="0">IFERROR((SUM(B4-D4)/D4),0)</f>
        <v>-1.916759549128336E-2</v>
      </c>
      <c r="J4" s="480">
        <f>SUM(J5:J15)</f>
        <v>5484</v>
      </c>
      <c r="K4" s="474">
        <f>AVERAGE(K5:K15)</f>
        <v>335.23603932250541</v>
      </c>
      <c r="L4" s="474">
        <f>SUM(L6:L15)</f>
        <v>913</v>
      </c>
      <c r="M4" s="439">
        <f>SUM(M5:M15)</f>
        <v>88221.26</v>
      </c>
      <c r="N4" s="442">
        <f>IFERROR(M4/J4,0)</f>
        <v>16.087027716994893</v>
      </c>
      <c r="O4" s="473">
        <f>SUM(O6:O15)</f>
        <v>3143</v>
      </c>
      <c r="P4" s="475">
        <f>SUM(P7:P15)</f>
        <v>265318.88</v>
      </c>
      <c r="Q4" s="442">
        <f t="shared" ref="Q4:Q9" si="1">IFERROR(P4/SUM(J4),0)</f>
        <v>48.380539752005838</v>
      </c>
      <c r="R4" s="455">
        <f>SUM(R5:R15)</f>
        <v>538139.00000000012</v>
      </c>
      <c r="S4" s="442">
        <f t="shared" ref="S4:S9" si="2">SUM(R4/B4)</f>
        <v>0.29026137876989361</v>
      </c>
      <c r="T4" s="455">
        <f>SUM(T5:T15)</f>
        <v>214110.64347826087</v>
      </c>
      <c r="U4" s="442">
        <f t="shared" ref="U4:U9" si="3">SUM(T4/B4)</f>
        <v>0.11548698493383515</v>
      </c>
      <c r="V4" s="481">
        <f>SUM(V5:V15)</f>
        <v>40777.65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221631.03</v>
      </c>
      <c r="C5" s="310">
        <v>243499.44</v>
      </c>
      <c r="D5" s="489">
        <v>166877.21</v>
      </c>
      <c r="E5" s="86">
        <f t="shared" ref="E5:E15" si="4">IFERROR((SUM(B5-C5)/C5),0)</f>
        <v>-8.9808871839705276E-2</v>
      </c>
      <c r="F5" s="310">
        <v>797596.64</v>
      </c>
      <c r="G5" s="310">
        <v>201252.54</v>
      </c>
      <c r="H5" s="467">
        <f>IFERROR((SUM(B5-G5)/G5),0)</f>
        <v>0.10125829964680193</v>
      </c>
      <c r="I5" s="86">
        <f t="shared" si="0"/>
        <v>0.32810843373999365</v>
      </c>
      <c r="J5" s="310">
        <v>623</v>
      </c>
      <c r="K5" s="84">
        <f>IFERROR(B5/J5,0)</f>
        <v>355.74804173354732</v>
      </c>
      <c r="L5" s="490"/>
      <c r="M5" s="489"/>
      <c r="N5" s="89">
        <f>IFERROR(M5/J5,0)</f>
        <v>0</v>
      </c>
      <c r="O5" s="89"/>
      <c r="P5" s="477"/>
      <c r="Q5" s="89">
        <f t="shared" si="1"/>
        <v>0</v>
      </c>
      <c r="R5" s="485">
        <f t="shared" ref="R5:R15" si="5">SUM(Z5+AC5)</f>
        <v>20795.217391304348</v>
      </c>
      <c r="S5" s="89">
        <f t="shared" si="2"/>
        <v>9.3828095241466625E-2</v>
      </c>
      <c r="T5" s="485">
        <f t="shared" ref="T5:T15" si="6">SUM(AC5)</f>
        <v>20795.217391304348</v>
      </c>
      <c r="U5" s="89">
        <f t="shared" si="3"/>
        <v>9.3828095241466625E-2</v>
      </c>
      <c r="V5" s="310">
        <v>2723.7</v>
      </c>
      <c r="W5" s="486"/>
      <c r="X5" s="483"/>
      <c r="Y5" s="75">
        <v>0</v>
      </c>
      <c r="Z5" s="75">
        <f>Y5/1.15</f>
        <v>0</v>
      </c>
      <c r="AA5" s="487"/>
      <c r="AB5" s="310">
        <v>23914.5</v>
      </c>
      <c r="AC5" s="75">
        <f t="shared" ref="AC5:AC15" si="7">SUM(AB5)/1.15</f>
        <v>20795.217391304348</v>
      </c>
    </row>
    <row r="6" spans="1:29" ht="15.6" customHeight="1" x14ac:dyDescent="0.3">
      <c r="A6" s="492" t="s">
        <v>21</v>
      </c>
      <c r="B6" s="310">
        <v>219847.95</v>
      </c>
      <c r="C6" s="310">
        <v>229137.44</v>
      </c>
      <c r="D6" s="489">
        <v>317233.91999999998</v>
      </c>
      <c r="E6" s="86">
        <f t="shared" si="4"/>
        <v>-4.0541126757809597E-2</v>
      </c>
      <c r="F6" s="310">
        <v>810978.09</v>
      </c>
      <c r="G6" s="310">
        <v>255011.06</v>
      </c>
      <c r="H6" s="467">
        <f>IFERROR((SUM(B6-G6)/G6),0)</f>
        <v>-0.13788856844091385</v>
      </c>
      <c r="I6" s="86">
        <f t="shared" si="0"/>
        <v>-0.30698473227579187</v>
      </c>
      <c r="J6" s="310">
        <v>614</v>
      </c>
      <c r="K6" s="84">
        <f>IFERROR(B6/J6,0)</f>
        <v>358.05855048859939</v>
      </c>
      <c r="L6" s="310">
        <v>106</v>
      </c>
      <c r="M6" s="310">
        <v>10636.7</v>
      </c>
      <c r="N6" s="479">
        <f>IFERROR(M7/J6,0)</f>
        <v>4.7018078175895761</v>
      </c>
      <c r="O6" s="310">
        <v>300</v>
      </c>
      <c r="P6" s="310">
        <v>29150.62</v>
      </c>
      <c r="Q6" s="89">
        <f t="shared" si="1"/>
        <v>47.476579804560259</v>
      </c>
      <c r="R6" s="485">
        <f t="shared" si="5"/>
        <v>60760.33043478262</v>
      </c>
      <c r="S6" s="89">
        <f t="shared" si="2"/>
        <v>0.27637433250927568</v>
      </c>
      <c r="T6" s="485">
        <f t="shared" si="6"/>
        <v>19517.086956521744</v>
      </c>
      <c r="U6" s="89">
        <f t="shared" si="3"/>
        <v>8.8775387519063706E-2</v>
      </c>
      <c r="V6" s="310">
        <v>5925.85</v>
      </c>
      <c r="W6" s="488"/>
      <c r="X6" s="483"/>
      <c r="Y6" s="310">
        <v>47429.73</v>
      </c>
      <c r="Z6" s="75">
        <f>Y6/1.15</f>
        <v>41243.243478260876</v>
      </c>
      <c r="AA6" s="487"/>
      <c r="AB6" s="310">
        <v>22444.65</v>
      </c>
      <c r="AC6" s="75">
        <f t="shared" si="7"/>
        <v>19517.086956521744</v>
      </c>
    </row>
    <row r="7" spans="1:29" ht="16.5" customHeight="1" x14ac:dyDescent="0.3">
      <c r="A7" s="492" t="s">
        <v>15</v>
      </c>
      <c r="B7" s="310">
        <v>263562.12</v>
      </c>
      <c r="C7" s="310">
        <v>302389.44</v>
      </c>
      <c r="D7" s="489">
        <v>254835.6</v>
      </c>
      <c r="E7" s="86">
        <f t="shared" si="4"/>
        <v>-0.12840170609132384</v>
      </c>
      <c r="F7" s="310">
        <v>939293.94</v>
      </c>
      <c r="G7" s="310">
        <v>244636.68</v>
      </c>
      <c r="H7" s="467">
        <f>IFERROR((SUM(B7-G7)/G7),0)</f>
        <v>7.7361416121245613E-2</v>
      </c>
      <c r="I7" s="86">
        <f t="shared" si="0"/>
        <v>3.4243724189241966E-2</v>
      </c>
      <c r="J7" s="310">
        <v>694</v>
      </c>
      <c r="K7" s="84">
        <f>IFERROR(B7/J7,0)</f>
        <v>379.77250720461092</v>
      </c>
      <c r="L7" s="310">
        <v>31</v>
      </c>
      <c r="M7" s="310">
        <v>2886.91</v>
      </c>
      <c r="N7" s="479">
        <f>IFERROR(#REF!/J7,0)</f>
        <v>0</v>
      </c>
      <c r="O7" s="310">
        <v>97</v>
      </c>
      <c r="P7" s="310">
        <v>7833.82</v>
      </c>
      <c r="Q7" s="89">
        <f t="shared" si="1"/>
        <v>11.287925072046109</v>
      </c>
      <c r="R7" s="485">
        <f t="shared" si="5"/>
        <v>53315.46086956522</v>
      </c>
      <c r="S7" s="89">
        <f t="shared" si="2"/>
        <v>0.20228802556894451</v>
      </c>
      <c r="T7" s="485">
        <f t="shared" si="6"/>
        <v>3684.7826086956525</v>
      </c>
      <c r="U7" s="89">
        <f t="shared" si="3"/>
        <v>1.3980698776803179E-2</v>
      </c>
      <c r="V7" s="310">
        <v>3941.25</v>
      </c>
      <c r="W7" s="488"/>
      <c r="X7" s="483"/>
      <c r="Y7" s="310">
        <v>57075.28</v>
      </c>
      <c r="Z7" s="75">
        <f>Y7/1.15</f>
        <v>49630.678260869565</v>
      </c>
      <c r="AA7" s="487"/>
      <c r="AB7" s="310">
        <v>4237.5</v>
      </c>
      <c r="AC7" s="75">
        <f t="shared" si="7"/>
        <v>3684.7826086956525</v>
      </c>
    </row>
    <row r="8" spans="1:29" ht="15.6" customHeight="1" x14ac:dyDescent="0.3">
      <c r="A8" s="492" t="s">
        <v>27</v>
      </c>
      <c r="B8" s="310">
        <v>159785.89000000001</v>
      </c>
      <c r="C8" s="310">
        <v>136813.03</v>
      </c>
      <c r="D8" s="489">
        <v>125945.97</v>
      </c>
      <c r="E8" s="86">
        <f t="shared" si="4"/>
        <v>0.16791426956920708</v>
      </c>
      <c r="F8" s="310">
        <v>498032.12</v>
      </c>
      <c r="G8" s="310">
        <v>157349.42000000001</v>
      </c>
      <c r="H8" s="467">
        <f>IFERROR((SUM(B8-G8)/G8),0)</f>
        <v>1.5484454915690194E-2</v>
      </c>
      <c r="I8" s="86">
        <f t="shared" si="0"/>
        <v>0.26868600877026882</v>
      </c>
      <c r="J8" s="310">
        <v>459</v>
      </c>
      <c r="K8" s="84">
        <f>IFERROR(B8/J8,0)</f>
        <v>348.11740740740743</v>
      </c>
      <c r="L8" s="310">
        <v>138</v>
      </c>
      <c r="M8" s="310">
        <v>13995.81</v>
      </c>
      <c r="N8" s="479">
        <f>IFERROR(M8/J8,0)</f>
        <v>30.491960784313726</v>
      </c>
      <c r="O8" s="310">
        <v>414</v>
      </c>
      <c r="P8" s="310">
        <v>42078.28</v>
      </c>
      <c r="Q8" s="89">
        <f t="shared" si="1"/>
        <v>91.673812636165579</v>
      </c>
      <c r="R8" s="485">
        <f t="shared" si="5"/>
        <v>51000.217391304352</v>
      </c>
      <c r="S8" s="89">
        <f t="shared" si="2"/>
        <v>0.31917847934698329</v>
      </c>
      <c r="T8" s="485">
        <f t="shared" si="6"/>
        <v>20674.782608695652</v>
      </c>
      <c r="U8" s="89">
        <f t="shared" si="3"/>
        <v>0.12939054010773823</v>
      </c>
      <c r="V8" s="310">
        <v>3238</v>
      </c>
      <c r="W8" s="486"/>
      <c r="X8" s="483"/>
      <c r="Y8" s="310">
        <v>34874.25</v>
      </c>
      <c r="Z8" s="75">
        <f>Y8/1.15</f>
        <v>30325.4347826087</v>
      </c>
      <c r="AA8" s="487"/>
      <c r="AB8" s="310">
        <v>23776</v>
      </c>
      <c r="AC8" s="75">
        <f t="shared" si="7"/>
        <v>20674.782608695652</v>
      </c>
    </row>
    <row r="9" spans="1:29" ht="15.6" customHeight="1" x14ac:dyDescent="0.3">
      <c r="A9" s="492" t="s">
        <v>23</v>
      </c>
      <c r="B9" s="310">
        <v>199326.5</v>
      </c>
      <c r="C9" s="310">
        <v>192771.42</v>
      </c>
      <c r="D9" s="489">
        <v>243010.12</v>
      </c>
      <c r="E9" s="86">
        <f t="shared" si="4"/>
        <v>3.4004418289806583E-2</v>
      </c>
      <c r="F9" s="310">
        <v>736026.43</v>
      </c>
      <c r="G9" s="310">
        <v>213216.87</v>
      </c>
      <c r="H9" s="467">
        <f>IFERROR((SUM(B9-#REF!)/#REF!),0)</f>
        <v>0</v>
      </c>
      <c r="I9" s="86">
        <f t="shared" si="0"/>
        <v>-0.17976049721715293</v>
      </c>
      <c r="J9" s="310">
        <v>641</v>
      </c>
      <c r="K9" s="84">
        <f>IFERROR(B9/J9,0)</f>
        <v>310.96177847113887</v>
      </c>
      <c r="L9" s="310">
        <v>41</v>
      </c>
      <c r="M9" s="310">
        <v>4392.34</v>
      </c>
      <c r="N9" s="479">
        <f>IFERROR(M9/J9,0)</f>
        <v>6.8523244929797196</v>
      </c>
      <c r="O9" s="310">
        <v>155</v>
      </c>
      <c r="P9" s="310">
        <v>14334.17</v>
      </c>
      <c r="Q9" s="89">
        <f t="shared" si="1"/>
        <v>22.36219968798752</v>
      </c>
      <c r="R9" s="485">
        <f t="shared" si="5"/>
        <v>54915.469565217398</v>
      </c>
      <c r="S9" s="89">
        <f t="shared" si="2"/>
        <v>0.27550511128835053</v>
      </c>
      <c r="T9" s="485">
        <f t="shared" si="6"/>
        <v>30928.26086956522</v>
      </c>
      <c r="U9" s="89">
        <f t="shared" si="3"/>
        <v>0.15516381850664723</v>
      </c>
      <c r="V9" s="310">
        <v>5030.5</v>
      </c>
      <c r="W9" s="488"/>
      <c r="X9" s="483"/>
      <c r="Y9" s="310">
        <v>27585.29</v>
      </c>
      <c r="Z9" s="75">
        <f>Y9/1.15</f>
        <v>23987.208695652178</v>
      </c>
      <c r="AA9" s="487"/>
      <c r="AB9" s="310">
        <v>35567.5</v>
      </c>
      <c r="AC9" s="75">
        <f t="shared" si="7"/>
        <v>30928.26086956522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4"/>
        <v>0</v>
      </c>
      <c r="F10" s="310"/>
      <c r="G10" s="310">
        <v>257292.91</v>
      </c>
      <c r="H10" s="467">
        <f>IFERROR((SUM(B10-G10)/G10),0)</f>
        <v>-1</v>
      </c>
      <c r="I10" s="86">
        <f>IFERROR((SUM(B11-D10)/D10),0)</f>
        <v>-0.23535372555444989</v>
      </c>
      <c r="J10" s="310"/>
      <c r="K10" s="84">
        <f>IFERROR(B11/J11,0)</f>
        <v>347.62857482185274</v>
      </c>
      <c r="L10" s="489"/>
      <c r="M10" s="489"/>
      <c r="N10" s="479">
        <f>IFERROR(M10/J11,0)</f>
        <v>0</v>
      </c>
      <c r="O10" s="489"/>
      <c r="P10" s="489"/>
      <c r="Q10" s="89">
        <f>IFERROR(P11/SUM(J11),0)</f>
        <v>159.72211401425176</v>
      </c>
      <c r="R10" s="485">
        <f t="shared" si="5"/>
        <v>40974.895652173916</v>
      </c>
      <c r="S10" s="89">
        <f>SUM(R10/B11)</f>
        <v>0.27997566991344008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75"/>
      <c r="Z10" s="75">
        <f>Y11/1.15</f>
        <v>40974.895652173916</v>
      </c>
      <c r="AA10" s="487"/>
      <c r="AB10" s="313"/>
      <c r="AC10" s="75">
        <f t="shared" si="7"/>
        <v>0</v>
      </c>
    </row>
    <row r="11" spans="1:29" ht="15.6" customHeight="1" x14ac:dyDescent="0.3">
      <c r="A11" s="492" t="s">
        <v>17</v>
      </c>
      <c r="B11" s="310">
        <v>146351.63</v>
      </c>
      <c r="C11" s="310">
        <v>115294.34</v>
      </c>
      <c r="D11" s="489">
        <v>86713.33</v>
      </c>
      <c r="E11" s="86">
        <f t="shared" si="4"/>
        <v>0.26937393457475889</v>
      </c>
      <c r="F11" s="310">
        <v>502550.25</v>
      </c>
      <c r="G11" s="310">
        <v>133572.35</v>
      </c>
      <c r="H11" s="467">
        <f>IFERROR((SUM(B11-G11)/G11),0)</f>
        <v>9.5673094019832691E-2</v>
      </c>
      <c r="I11" s="86">
        <f>IFERROR((SUM(#REF!-D11)/D11),0)</f>
        <v>0</v>
      </c>
      <c r="J11" s="310">
        <v>421</v>
      </c>
      <c r="K11" s="84">
        <f>IFERROR(B12/J12,0)</f>
        <v>307.94729230769229</v>
      </c>
      <c r="L11" s="310">
        <v>201</v>
      </c>
      <c r="M11" s="310">
        <v>19857.11</v>
      </c>
      <c r="N11" s="479">
        <f>IFERROR(M11/J12,0)</f>
        <v>30.549400000000002</v>
      </c>
      <c r="O11" s="310">
        <v>698</v>
      </c>
      <c r="P11" s="310">
        <v>67243.009999999995</v>
      </c>
      <c r="Q11" s="89">
        <f>IFERROR(#REF!/SUM(J12),0)</f>
        <v>0</v>
      </c>
      <c r="R11" s="485">
        <f t="shared" si="5"/>
        <v>49377.173913043487</v>
      </c>
      <c r="S11" s="89">
        <f>SUM(R11/B12)</f>
        <v>0.24668144465203432</v>
      </c>
      <c r="T11" s="485">
        <f t="shared" si="6"/>
        <v>19144</v>
      </c>
      <c r="U11" s="89">
        <f>SUM(T11/B12)</f>
        <v>9.5640742516676439E-2</v>
      </c>
      <c r="V11" s="310">
        <v>3927.1</v>
      </c>
      <c r="W11" s="488"/>
      <c r="X11" s="483"/>
      <c r="Y11" s="310">
        <v>47121.13</v>
      </c>
      <c r="Z11" s="75">
        <f>Y12/1.15</f>
        <v>30233.173913043483</v>
      </c>
      <c r="AA11" s="487"/>
      <c r="AB11" s="310">
        <v>22015.599999999999</v>
      </c>
      <c r="AC11" s="75">
        <f t="shared" si="7"/>
        <v>19144</v>
      </c>
    </row>
    <row r="12" spans="1:29" ht="15.6" customHeight="1" x14ac:dyDescent="0.3">
      <c r="A12" s="492" t="s">
        <v>55</v>
      </c>
      <c r="B12" s="310">
        <v>200165.74</v>
      </c>
      <c r="C12" s="310">
        <v>185620.15</v>
      </c>
      <c r="D12" s="489">
        <v>206751.49</v>
      </c>
      <c r="E12" s="86">
        <f t="shared" si="4"/>
        <v>7.8362128249546165E-2</v>
      </c>
      <c r="F12" s="310">
        <v>715294.3</v>
      </c>
      <c r="G12" s="310">
        <v>203233.12</v>
      </c>
      <c r="H12" s="467">
        <f>IFERROR((SUM(B12-#REF!)/#REF!),0)</f>
        <v>0</v>
      </c>
      <c r="I12" s="86">
        <f>IFERROR((SUM(B12-D12)/D12),0)</f>
        <v>-3.1853458468425064E-2</v>
      </c>
      <c r="J12" s="310">
        <v>650</v>
      </c>
      <c r="K12" s="84">
        <f>IFERROR(B12/J12,0)</f>
        <v>307.94729230769229</v>
      </c>
      <c r="L12" s="310">
        <v>149</v>
      </c>
      <c r="M12" s="310">
        <v>14727.76</v>
      </c>
      <c r="N12" s="479">
        <f>IFERROR(M12/J12,0)</f>
        <v>22.658092307692307</v>
      </c>
      <c r="O12" s="310">
        <v>668</v>
      </c>
      <c r="P12" s="310">
        <v>63217.04</v>
      </c>
      <c r="Q12" s="89">
        <f>IFERROR(P12/SUM(J12),0)</f>
        <v>97.25698461538461</v>
      </c>
      <c r="R12" s="485">
        <f t="shared" si="5"/>
        <v>53448.121739130438</v>
      </c>
      <c r="S12" s="89">
        <f>SUM(R12/B12)</f>
        <v>0.26701932977706594</v>
      </c>
      <c r="T12" s="485">
        <f t="shared" si="6"/>
        <v>23214.947826086958</v>
      </c>
      <c r="U12" s="89">
        <f>SUM(T12/B12)</f>
        <v>0.11597862764170812</v>
      </c>
      <c r="V12" s="310">
        <v>4355.8500000000004</v>
      </c>
      <c r="W12" s="486"/>
      <c r="X12" s="483"/>
      <c r="Y12" s="310">
        <v>34768.15</v>
      </c>
      <c r="Z12" s="75">
        <f>Y12/1.15</f>
        <v>30233.173913043483</v>
      </c>
      <c r="AA12" s="487"/>
      <c r="AB12" s="310">
        <v>26697.19</v>
      </c>
      <c r="AC12" s="75">
        <f t="shared" si="7"/>
        <v>23214.947826086958</v>
      </c>
    </row>
    <row r="13" spans="1:29" ht="15.6" customHeight="1" x14ac:dyDescent="0.3">
      <c r="A13" s="492" t="s">
        <v>33</v>
      </c>
      <c r="B13" s="310">
        <v>165920.04999999999</v>
      </c>
      <c r="C13" s="310">
        <v>146978.96</v>
      </c>
      <c r="D13" s="489"/>
      <c r="E13" s="86">
        <f t="shared" si="4"/>
        <v>0.12886939736136382</v>
      </c>
      <c r="F13" s="310">
        <v>594864.64000000001</v>
      </c>
      <c r="G13" s="310">
        <v>157322.1</v>
      </c>
      <c r="H13" s="467">
        <f>IFERROR((SUM(B13-G12)/G12),0)</f>
        <v>-0.18359738806352038</v>
      </c>
      <c r="I13" s="86">
        <f>IFERROR((SUM(B13-D13)/D13),0)</f>
        <v>0</v>
      </c>
      <c r="J13" s="310">
        <v>561</v>
      </c>
      <c r="K13" s="84">
        <f>IFERROR(B13/J13,0)</f>
        <v>295.75766488413547</v>
      </c>
      <c r="L13" s="310">
        <v>128</v>
      </c>
      <c r="M13" s="310">
        <v>11248.5</v>
      </c>
      <c r="N13" s="479">
        <f>IFERROR(M13/J13,0)</f>
        <v>20.050802139037433</v>
      </c>
      <c r="O13" s="310">
        <v>411</v>
      </c>
      <c r="P13" s="310">
        <v>35338.17</v>
      </c>
      <c r="Q13" s="89">
        <f>IFERROR(P13/SUM(J13),0)</f>
        <v>62.991390374331544</v>
      </c>
      <c r="R13" s="485">
        <f t="shared" si="5"/>
        <v>58329.730434782614</v>
      </c>
      <c r="S13" s="89">
        <f>SUM(R13/B13)</f>
        <v>0.35155323563838498</v>
      </c>
      <c r="T13" s="485">
        <f t="shared" si="6"/>
        <v>30600.043478260875</v>
      </c>
      <c r="U13" s="89">
        <f>SUM(T13/B13)</f>
        <v>0.18442643597480157</v>
      </c>
      <c r="V13" s="310">
        <v>4796</v>
      </c>
      <c r="W13" s="486"/>
      <c r="X13" s="483"/>
      <c r="Y13" s="310">
        <v>31889.14</v>
      </c>
      <c r="Z13" s="75">
        <f>Y13/1.15</f>
        <v>27729.686956521742</v>
      </c>
      <c r="AA13" s="487"/>
      <c r="AB13" s="310">
        <v>35190.050000000003</v>
      </c>
      <c r="AC13" s="75">
        <f t="shared" si="7"/>
        <v>30600.043478260875</v>
      </c>
    </row>
    <row r="14" spans="1:29" ht="15.6" customHeight="1" x14ac:dyDescent="0.3">
      <c r="A14" s="492" t="s">
        <v>20</v>
      </c>
      <c r="B14" s="310">
        <v>146592.32999999999</v>
      </c>
      <c r="C14" s="310">
        <v>147917.28</v>
      </c>
      <c r="D14" s="489">
        <v>144600.03</v>
      </c>
      <c r="E14" s="86">
        <f t="shared" si="4"/>
        <v>-8.9573713091534116E-3</v>
      </c>
      <c r="F14" s="310">
        <v>539593.87</v>
      </c>
      <c r="G14" s="310">
        <v>179262.21</v>
      </c>
      <c r="H14" s="467">
        <f>IFERROR((SUM(B14-G14)/G14),0)</f>
        <v>-0.18224633066835449</v>
      </c>
      <c r="I14" s="86">
        <f>IFERROR((SUM(B14-D14)/D14),0)</f>
        <v>1.3778005440247754E-2</v>
      </c>
      <c r="J14" s="310">
        <v>433</v>
      </c>
      <c r="K14" s="84">
        <f>IFERROR(B14/J14,0)</f>
        <v>338.55041570438794</v>
      </c>
      <c r="L14" s="310">
        <v>86</v>
      </c>
      <c r="M14" s="310">
        <v>7338.08</v>
      </c>
      <c r="N14" s="479">
        <f>IFERROR(M14/J14,0)</f>
        <v>16.947066974595842</v>
      </c>
      <c r="O14" s="310">
        <v>285</v>
      </c>
      <c r="P14" s="310">
        <v>24933.07</v>
      </c>
      <c r="Q14" s="89">
        <f>IFERROR(P14/SUM(J14),0)</f>
        <v>57.58214780600462</v>
      </c>
      <c r="R14" s="485">
        <f t="shared" si="5"/>
        <v>58953.017391304355</v>
      </c>
      <c r="S14" s="89">
        <f>SUM(R14/B14)</f>
        <v>0.40215622052875727</v>
      </c>
      <c r="T14" s="485">
        <f t="shared" si="6"/>
        <v>24805.434782608696</v>
      </c>
      <c r="U14" s="89">
        <f>SUM(T14/B14)</f>
        <v>0.16921372886704714</v>
      </c>
      <c r="V14" s="310">
        <v>4109.8999999999996</v>
      </c>
      <c r="W14" s="488"/>
      <c r="X14" s="483"/>
      <c r="Y14" s="310">
        <v>39269.72</v>
      </c>
      <c r="Z14" s="75">
        <f>Y14/1.15</f>
        <v>34147.582608695659</v>
      </c>
      <c r="AA14" s="487"/>
      <c r="AB14" s="310">
        <v>28526.25</v>
      </c>
      <c r="AC14" s="75">
        <f t="shared" si="7"/>
        <v>24805.434782608696</v>
      </c>
    </row>
    <row r="15" spans="1:29" ht="15.6" customHeight="1" x14ac:dyDescent="0.3">
      <c r="A15" s="432" t="s">
        <v>22</v>
      </c>
      <c r="B15" s="310">
        <v>130797.48</v>
      </c>
      <c r="C15" s="310">
        <v>125594.26</v>
      </c>
      <c r="D15" s="489">
        <v>152846.04</v>
      </c>
      <c r="E15" s="86">
        <f t="shared" si="4"/>
        <v>4.142880415076295E-2</v>
      </c>
      <c r="F15" s="310">
        <v>478184.37</v>
      </c>
      <c r="G15" s="310">
        <v>140792.72</v>
      </c>
      <c r="H15" s="467">
        <f>IFERROR((SUM(B15-G15)/G15),0)</f>
        <v>-7.0992591094198657E-2</v>
      </c>
      <c r="I15" s="86">
        <f>IFERROR((SUM(B15-D15)/D15),0)</f>
        <v>-0.14425339380725868</v>
      </c>
      <c r="J15" s="310">
        <v>388</v>
      </c>
      <c r="K15" s="84">
        <f>IFERROR(B15/J15,0)</f>
        <v>337.10690721649485</v>
      </c>
      <c r="L15" s="310">
        <v>33</v>
      </c>
      <c r="M15" s="310">
        <v>3138.05</v>
      </c>
      <c r="N15" s="479">
        <f>IFERROR(M15/J15,0)</f>
        <v>8.0877577319587637</v>
      </c>
      <c r="O15" s="310">
        <v>115</v>
      </c>
      <c r="P15" s="310">
        <v>10341.32</v>
      </c>
      <c r="Q15" s="89">
        <f>IFERROR(P15/SUM(J15),0)</f>
        <v>26.652886597938142</v>
      </c>
      <c r="R15" s="485">
        <f t="shared" si="5"/>
        <v>36269.365217391307</v>
      </c>
      <c r="S15" s="89">
        <f>SUM(R15/B15)</f>
        <v>0.27729406726636713</v>
      </c>
      <c r="T15" s="485">
        <f t="shared" si="6"/>
        <v>20746.08695652174</v>
      </c>
      <c r="U15" s="89">
        <f>SUM(T15/B15)</f>
        <v>0.15861228332932514</v>
      </c>
      <c r="V15" s="310">
        <v>2729.5</v>
      </c>
      <c r="W15" s="488"/>
      <c r="X15" s="483"/>
      <c r="Y15" s="310">
        <v>17851.77</v>
      </c>
      <c r="Z15" s="75">
        <f>Y15/1.15</f>
        <v>15523.278260869567</v>
      </c>
      <c r="AA15" s="487"/>
      <c r="AB15" s="310">
        <v>23858</v>
      </c>
      <c r="AC15" s="75">
        <f t="shared" si="7"/>
        <v>20746.08695652174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21" priority="2" operator="equal">
      <formula>0</formula>
    </cfRule>
  </conditionalFormatting>
  <conditionalFormatting sqref="R12:R13">
    <cfRule type="cellIs" dxfId="2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AC49"/>
  <sheetViews>
    <sheetView zoomScale="60" zoomScaleNormal="60" workbookViewId="0">
      <pane xSplit="1" topLeftCell="B1" activePane="topRight" state="frozen"/>
      <selection pane="topRight" activeCell="B5" sqref="B5:C15"/>
    </sheetView>
  </sheetViews>
  <sheetFormatPr defaultRowHeight="14.4" x14ac:dyDescent="0.3"/>
  <cols>
    <col min="1" max="1" width="23" customWidth="1"/>
    <col min="2" max="2" width="30.55468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0.1088908451838143</v>
      </c>
      <c r="F2" s="426"/>
      <c r="G2" s="1"/>
      <c r="H2" s="427"/>
      <c r="I2" s="422">
        <f>((B4-D4)/D4)</f>
        <v>0.10068715960059761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2080531.5599999998</v>
      </c>
      <c r="C4" s="468">
        <f>SUM(C5:C15)</f>
        <v>1853980.7200000002</v>
      </c>
      <c r="D4" s="468">
        <f>SUM(D5:D15)</f>
        <v>1890211.53</v>
      </c>
      <c r="E4" s="472">
        <f>IFERROR((SUM(B4-C4)/B4),0)</f>
        <v>0.1088908451838143</v>
      </c>
      <c r="F4" s="465">
        <f>SUM(F5:F15)</f>
        <v>646578.51</v>
      </c>
      <c r="G4" s="468">
        <f>SUM(G5:G15)</f>
        <v>2106575.54</v>
      </c>
      <c r="H4" s="436">
        <f t="shared" ref="H4:H15" si="0">IFERROR((SUM(B4-G4)/G4),0)</f>
        <v>-1.2363183520112559E-2</v>
      </c>
      <c r="I4" s="436">
        <f t="shared" ref="I4:I9" si="1">IFERROR((SUM(B4-D4)/D4),0)</f>
        <v>0.10068715960059761</v>
      </c>
      <c r="J4" s="480">
        <f>SUM(J5:J15)</f>
        <v>6008</v>
      </c>
      <c r="K4" s="474">
        <f>AVERAGE(K5:K15)</f>
        <v>339.12716592390927</v>
      </c>
      <c r="L4" s="474">
        <f>SUM(L6:L15)</f>
        <v>912</v>
      </c>
      <c r="M4" s="439">
        <f>SUM(M5:M15)</f>
        <v>87584.87</v>
      </c>
      <c r="N4" s="442">
        <f>IFERROR(M4/J4,0)</f>
        <v>14.578040945406125</v>
      </c>
      <c r="O4" s="473">
        <f>SUM(O6:O15)</f>
        <v>3763</v>
      </c>
      <c r="P4" s="475">
        <f>SUM(P7:P15)</f>
        <v>320349.37</v>
      </c>
      <c r="Q4" s="442">
        <f t="shared" ref="Q4:Q9" si="2">IFERROR(P4/SUM(J4),0)</f>
        <v>53.320467709720369</v>
      </c>
      <c r="R4" s="455">
        <f>SUM(R5:R15)</f>
        <v>505379.56521739135</v>
      </c>
      <c r="S4" s="442">
        <f t="shared" ref="S4:S9" si="3">SUM(R4/B4)</f>
        <v>0.24290886758641209</v>
      </c>
      <c r="T4" s="455">
        <f>SUM(T5:T15)</f>
        <v>232610.22608695651</v>
      </c>
      <c r="U4" s="442">
        <f t="shared" ref="U4:U9" si="4">SUM(T4/B4)</f>
        <v>0.11180326727990443</v>
      </c>
      <c r="V4" s="481">
        <f>SUM(V5:V15)</f>
        <v>47513.1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333142.98</v>
      </c>
      <c r="C5" s="310">
        <v>221631.03</v>
      </c>
      <c r="D5" s="489">
        <v>166877.21</v>
      </c>
      <c r="E5" s="86">
        <f t="shared" ref="E5:E15" si="5">IFERROR((SUM(B5-C5)/C5),0)</f>
        <v>0.50314231721072622</v>
      </c>
      <c r="F5" s="310">
        <v>116428.03</v>
      </c>
      <c r="G5" s="311">
        <v>301643.55</v>
      </c>
      <c r="H5" s="467">
        <f t="shared" si="0"/>
        <v>0.10442600214723635</v>
      </c>
      <c r="I5" s="86">
        <f t="shared" si="1"/>
        <v>0.99633598859904238</v>
      </c>
      <c r="J5" s="311">
        <v>847</v>
      </c>
      <c r="K5" s="84">
        <f>IFERROR(B5/J5,0)</f>
        <v>393.32110979929161</v>
      </c>
      <c r="N5" s="89">
        <f>IFERROR(M5/J5,0)</f>
        <v>0</v>
      </c>
      <c r="O5" s="89"/>
      <c r="P5" s="477"/>
      <c r="Q5" s="89">
        <f t="shared" si="2"/>
        <v>0</v>
      </c>
      <c r="R5" s="485">
        <f t="shared" ref="R5:R15" si="6">SUM(Z5+AC5)</f>
        <v>23791.739130434784</v>
      </c>
      <c r="S5" s="89">
        <f t="shared" si="3"/>
        <v>7.1416000212385644E-2</v>
      </c>
      <c r="T5" s="485">
        <f t="shared" ref="T5:T15" si="7">SUM(AC5)</f>
        <v>23791.739130434784</v>
      </c>
      <c r="U5" s="89">
        <f t="shared" si="4"/>
        <v>7.1416000212385644E-2</v>
      </c>
      <c r="V5" s="310">
        <v>1991.6</v>
      </c>
      <c r="W5" s="486"/>
      <c r="X5" s="483"/>
      <c r="Y5" s="75">
        <v>0</v>
      </c>
      <c r="Z5" s="75">
        <f t="shared" ref="Z5:Z15" si="8">Y5/1.15</f>
        <v>0</v>
      </c>
      <c r="AA5" s="487"/>
      <c r="AB5" s="311">
        <v>27360.5</v>
      </c>
      <c r="AC5" s="75">
        <f t="shared" ref="AC5:AC15" si="9">SUM(AB5)/1.15</f>
        <v>23791.739130434784</v>
      </c>
    </row>
    <row r="6" spans="1:29" ht="15.6" customHeight="1" x14ac:dyDescent="0.3">
      <c r="A6" s="492" t="s">
        <v>21</v>
      </c>
      <c r="B6" s="310">
        <v>233802.48</v>
      </c>
      <c r="C6" s="310">
        <v>219847.95</v>
      </c>
      <c r="D6" s="489">
        <v>317233.91999999998</v>
      </c>
      <c r="E6" s="86">
        <f t="shared" si="5"/>
        <v>6.3473550697197761E-2</v>
      </c>
      <c r="F6" s="310">
        <v>74910.320000000007</v>
      </c>
      <c r="G6" s="311">
        <v>244557.62</v>
      </c>
      <c r="H6" s="467">
        <f t="shared" si="0"/>
        <v>-4.3977938614220995E-2</v>
      </c>
      <c r="I6" s="86">
        <f t="shared" si="1"/>
        <v>-0.26299659254596724</v>
      </c>
      <c r="J6" s="311">
        <v>639</v>
      </c>
      <c r="K6" s="84">
        <f>IFERROR(B6/J6,0)</f>
        <v>365.88807511737093</v>
      </c>
      <c r="L6" s="311">
        <v>114</v>
      </c>
      <c r="M6" s="310">
        <v>9859.1200000000008</v>
      </c>
      <c r="N6" s="479">
        <f>IFERROR(M7/J6,0)</f>
        <v>6.1981064162754302</v>
      </c>
      <c r="O6" s="311">
        <v>367</v>
      </c>
      <c r="P6" s="310">
        <v>35393.06</v>
      </c>
      <c r="Q6" s="89">
        <f t="shared" si="2"/>
        <v>55.388200312989042</v>
      </c>
      <c r="R6" s="485">
        <f t="shared" si="6"/>
        <v>61452.869565217399</v>
      </c>
      <c r="S6" s="89">
        <f t="shared" si="3"/>
        <v>0.26284096543893543</v>
      </c>
      <c r="T6" s="485">
        <f t="shared" si="7"/>
        <v>24940.626086956523</v>
      </c>
      <c r="U6" s="89">
        <f t="shared" si="4"/>
        <v>0.1066739158924085</v>
      </c>
      <c r="V6" s="310">
        <v>6982.7</v>
      </c>
      <c r="W6" s="488"/>
      <c r="X6" s="483"/>
      <c r="Y6" s="311">
        <v>41989.08</v>
      </c>
      <c r="Z6" s="75">
        <f t="shared" si="8"/>
        <v>36512.243478260876</v>
      </c>
      <c r="AA6" s="487"/>
      <c r="AB6" s="311">
        <v>28681.72</v>
      </c>
      <c r="AC6" s="75">
        <f t="shared" si="9"/>
        <v>24940.626086956523</v>
      </c>
    </row>
    <row r="7" spans="1:29" ht="16.5" customHeight="1" x14ac:dyDescent="0.3">
      <c r="A7" s="492" t="s">
        <v>15</v>
      </c>
      <c r="B7" s="310">
        <v>300875.84000000003</v>
      </c>
      <c r="C7" s="310">
        <v>263562.12</v>
      </c>
      <c r="D7" s="489">
        <v>254835.6</v>
      </c>
      <c r="E7" s="86">
        <f t="shared" si="5"/>
        <v>0.14157466937965149</v>
      </c>
      <c r="F7" s="310">
        <v>128176.91</v>
      </c>
      <c r="G7" s="311">
        <v>268572.24</v>
      </c>
      <c r="H7" s="467">
        <f t="shared" si="0"/>
        <v>0.12027899830600525</v>
      </c>
      <c r="I7" s="86">
        <f t="shared" si="1"/>
        <v>0.18066643749931335</v>
      </c>
      <c r="J7" s="311">
        <v>808</v>
      </c>
      <c r="K7" s="84">
        <f>IFERROR(B7/J7,0)</f>
        <v>372.37108910891095</v>
      </c>
      <c r="L7" s="311">
        <v>41</v>
      </c>
      <c r="M7" s="310">
        <v>3960.59</v>
      </c>
      <c r="N7" s="479">
        <f>IFERROR(#REF!/J7,0)</f>
        <v>0</v>
      </c>
      <c r="O7" s="311">
        <v>125</v>
      </c>
      <c r="P7" s="310">
        <v>10525.29</v>
      </c>
      <c r="Q7" s="89">
        <f t="shared" si="2"/>
        <v>13.026349009900992</v>
      </c>
      <c r="R7" s="485">
        <f t="shared" si="6"/>
        <v>53545.34782608696</v>
      </c>
      <c r="S7" s="89">
        <f t="shared" si="3"/>
        <v>0.17796493007244102</v>
      </c>
      <c r="T7" s="485">
        <f t="shared" si="7"/>
        <v>3814.0000000000005</v>
      </c>
      <c r="U7" s="89">
        <f t="shared" si="4"/>
        <v>1.2676325224384916E-2</v>
      </c>
      <c r="V7" s="310">
        <v>5447.65</v>
      </c>
      <c r="W7" s="488"/>
      <c r="X7" s="483"/>
      <c r="Y7" s="311">
        <v>57191.05</v>
      </c>
      <c r="Z7" s="75">
        <f t="shared" si="8"/>
        <v>49731.34782608696</v>
      </c>
      <c r="AA7" s="487"/>
      <c r="AB7" s="311">
        <v>4386.1000000000004</v>
      </c>
      <c r="AC7" s="75">
        <f t="shared" si="9"/>
        <v>3814.0000000000005</v>
      </c>
    </row>
    <row r="8" spans="1:29" ht="15.6" customHeight="1" x14ac:dyDescent="0.3">
      <c r="A8" s="492" t="s">
        <v>27</v>
      </c>
      <c r="B8" s="310">
        <v>173301.53</v>
      </c>
      <c r="C8" s="310">
        <v>159785.89000000001</v>
      </c>
      <c r="D8" s="489">
        <v>125945.97</v>
      </c>
      <c r="E8" s="86">
        <f t="shared" si="5"/>
        <v>8.4585941850059368E-2</v>
      </c>
      <c r="F8" s="310">
        <v>52368.39</v>
      </c>
      <c r="G8" s="311">
        <v>190587.81</v>
      </c>
      <c r="H8" s="467">
        <f t="shared" si="0"/>
        <v>-9.0699819678918603E-2</v>
      </c>
      <c r="I8" s="86">
        <f t="shared" si="1"/>
        <v>0.37599900973409467</v>
      </c>
      <c r="J8" s="311">
        <v>481</v>
      </c>
      <c r="K8" s="84">
        <f>IFERROR(B8/J8,0)</f>
        <v>360.29424116424116</v>
      </c>
      <c r="L8" s="310">
        <v>110</v>
      </c>
      <c r="M8" s="310">
        <v>10403.58</v>
      </c>
      <c r="N8" s="479">
        <f>IFERROR(M8/J8,0)</f>
        <v>21.629064449064447</v>
      </c>
      <c r="O8" s="311">
        <v>491</v>
      </c>
      <c r="P8" s="310">
        <v>49778.86</v>
      </c>
      <c r="Q8" s="89">
        <f t="shared" si="2"/>
        <v>103.49035343035344</v>
      </c>
      <c r="R8" s="485">
        <f t="shared" si="6"/>
        <v>51092.182608695657</v>
      </c>
      <c r="S8" s="89">
        <f t="shared" si="3"/>
        <v>0.29481668516542037</v>
      </c>
      <c r="T8" s="485">
        <f t="shared" si="7"/>
        <v>25917.269565217393</v>
      </c>
      <c r="U8" s="89">
        <f t="shared" si="4"/>
        <v>0.14955014860640523</v>
      </c>
      <c r="V8" s="310">
        <v>5726.55</v>
      </c>
      <c r="W8" s="486"/>
      <c r="X8" s="483"/>
      <c r="Y8" s="311">
        <v>28951.15</v>
      </c>
      <c r="Z8" s="75">
        <f t="shared" si="8"/>
        <v>25174.913043478264</v>
      </c>
      <c r="AA8" s="487"/>
      <c r="AB8" s="311">
        <v>29804.86</v>
      </c>
      <c r="AC8" s="75">
        <f t="shared" si="9"/>
        <v>25917.269565217393</v>
      </c>
    </row>
    <row r="9" spans="1:29" ht="15.6" customHeight="1" x14ac:dyDescent="0.3">
      <c r="A9" s="492" t="s">
        <v>23</v>
      </c>
      <c r="B9" s="310">
        <v>236084.36</v>
      </c>
      <c r="C9" s="310">
        <v>199326.5</v>
      </c>
      <c r="D9" s="489">
        <v>243010.12</v>
      </c>
      <c r="E9" s="86">
        <f t="shared" si="5"/>
        <v>0.18441030169094419</v>
      </c>
      <c r="F9" s="310">
        <v>53211.360000000001</v>
      </c>
      <c r="G9" s="311">
        <v>237796.93</v>
      </c>
      <c r="H9" s="467">
        <f t="shared" si="0"/>
        <v>-7.2018171134505694E-3</v>
      </c>
      <c r="I9" s="86">
        <f t="shared" si="1"/>
        <v>-2.8499883050138033E-2</v>
      </c>
      <c r="J9" s="311">
        <v>719</v>
      </c>
      <c r="K9" s="84">
        <f>IFERROR(B9/J9,0)</f>
        <v>328.3509874826147</v>
      </c>
      <c r="L9" s="311">
        <v>57</v>
      </c>
      <c r="M9" s="310">
        <v>5869.59</v>
      </c>
      <c r="N9" s="479">
        <f>IFERROR(M9/J9,0)</f>
        <v>8.1635465924895687</v>
      </c>
      <c r="O9" s="311">
        <v>198</v>
      </c>
      <c r="P9" s="310">
        <v>18943.939999999999</v>
      </c>
      <c r="Q9" s="89">
        <f t="shared" si="2"/>
        <v>26.347621696801109</v>
      </c>
      <c r="R9" s="485">
        <f t="shared" si="6"/>
        <v>57375.4</v>
      </c>
      <c r="S9" s="89">
        <f t="shared" si="3"/>
        <v>0.24302922904338095</v>
      </c>
      <c r="T9" s="485">
        <f t="shared" si="7"/>
        <v>33922.35652173913</v>
      </c>
      <c r="U9" s="89">
        <f t="shared" si="4"/>
        <v>0.14368743665077657</v>
      </c>
      <c r="V9" s="310">
        <v>6379.5</v>
      </c>
      <c r="W9" s="488"/>
      <c r="X9" s="483"/>
      <c r="Y9" s="311">
        <v>26971</v>
      </c>
      <c r="Z9" s="75">
        <f t="shared" si="8"/>
        <v>23453.043478260872</v>
      </c>
      <c r="AA9" s="487"/>
      <c r="AB9" s="311">
        <v>39010.71</v>
      </c>
      <c r="AC9" s="75">
        <f t="shared" si="9"/>
        <v>33922.35652173913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5"/>
        <v>0</v>
      </c>
      <c r="F10" s="310"/>
      <c r="G10" s="310"/>
      <c r="H10" s="467">
        <f t="shared" si="0"/>
        <v>0</v>
      </c>
      <c r="I10" s="86">
        <f>IFERROR((SUM(B11-D10)/D10),0)</f>
        <v>-0.27937105030767856</v>
      </c>
      <c r="J10" s="310"/>
      <c r="K10" s="84">
        <f>IFERROR(B11/J11,0)</f>
        <v>299.19047722342731</v>
      </c>
      <c r="L10" s="489"/>
      <c r="M10" s="489"/>
      <c r="N10" s="479">
        <f>IFERROR(M10/J11,0)</f>
        <v>0</v>
      </c>
      <c r="O10" s="489"/>
      <c r="P10" s="489"/>
      <c r="Q10" s="89">
        <f>IFERROR(P11/SUM(J11),0)</f>
        <v>173.34848156182213</v>
      </c>
      <c r="R10" s="485">
        <f t="shared" si="6"/>
        <v>0</v>
      </c>
      <c r="S10" s="89">
        <f>SUM(R10/B11)</f>
        <v>0</v>
      </c>
      <c r="T10" s="485">
        <f t="shared" si="7"/>
        <v>0</v>
      </c>
      <c r="U10" s="89">
        <f>SUM(T10/B11)</f>
        <v>0</v>
      </c>
      <c r="V10" s="310"/>
      <c r="W10" s="488"/>
      <c r="X10" s="483"/>
      <c r="Y10" s="75"/>
      <c r="Z10" s="75">
        <f t="shared" si="8"/>
        <v>0</v>
      </c>
      <c r="AA10" s="487"/>
      <c r="AB10" s="310"/>
      <c r="AC10" s="75">
        <f t="shared" si="9"/>
        <v>0</v>
      </c>
    </row>
    <row r="11" spans="1:29" ht="15.6" customHeight="1" x14ac:dyDescent="0.3">
      <c r="A11" s="492" t="s">
        <v>17</v>
      </c>
      <c r="B11" s="310">
        <v>137926.81</v>
      </c>
      <c r="C11" s="310">
        <v>146351.63</v>
      </c>
      <c r="D11" s="489">
        <v>86713.33</v>
      </c>
      <c r="E11" s="86">
        <f t="shared" si="5"/>
        <v>-5.7565604154870068E-2</v>
      </c>
      <c r="F11" s="310">
        <v>42181.89</v>
      </c>
      <c r="G11" s="311">
        <v>150343.1</v>
      </c>
      <c r="H11" s="467">
        <f t="shared" si="0"/>
        <v>-8.2586364123129086E-2</v>
      </c>
      <c r="I11" s="86">
        <f>IFERROR((SUM(#REF!-D11)/D11),0)</f>
        <v>0</v>
      </c>
      <c r="J11" s="311">
        <v>461</v>
      </c>
      <c r="K11" s="84">
        <f>IFERROR(B12/J12,0)</f>
        <v>292.68001497005986</v>
      </c>
      <c r="L11" s="311">
        <v>203</v>
      </c>
      <c r="M11" s="310">
        <v>20307.400000000001</v>
      </c>
      <c r="N11" s="479">
        <f>IFERROR(M11/J12,0)</f>
        <v>30.400299401197607</v>
      </c>
      <c r="O11" s="311">
        <v>823</v>
      </c>
      <c r="P11" s="310">
        <v>79913.649999999994</v>
      </c>
      <c r="Q11" s="89">
        <f>IFERROR(#REF!/SUM(J12),0)</f>
        <v>0</v>
      </c>
      <c r="R11" s="485">
        <f t="shared" si="6"/>
        <v>61951.6347826087</v>
      </c>
      <c r="S11" s="89">
        <f>SUM(R11/B12)</f>
        <v>0.31687154398610151</v>
      </c>
      <c r="T11" s="485">
        <f t="shared" si="7"/>
        <v>18734.295652173914</v>
      </c>
      <c r="U11" s="89">
        <f>SUM(T11/B12)</f>
        <v>9.5822575298092627E-2</v>
      </c>
      <c r="V11" s="310">
        <v>2771.6</v>
      </c>
      <c r="W11" s="488"/>
      <c r="X11" s="483"/>
      <c r="Y11" s="311">
        <v>49699.94</v>
      </c>
      <c r="Z11" s="75">
        <f t="shared" si="8"/>
        <v>43217.33913043479</v>
      </c>
      <c r="AA11" s="487"/>
      <c r="AB11" s="311">
        <v>21544.44</v>
      </c>
      <c r="AC11" s="75">
        <f t="shared" si="9"/>
        <v>18734.295652173914</v>
      </c>
    </row>
    <row r="12" spans="1:29" ht="15.6" customHeight="1" x14ac:dyDescent="0.3">
      <c r="A12" s="492" t="s">
        <v>55</v>
      </c>
      <c r="B12" s="310">
        <v>195510.25</v>
      </c>
      <c r="C12" s="310">
        <v>200165.74</v>
      </c>
      <c r="D12" s="489">
        <v>206751.49</v>
      </c>
      <c r="E12" s="86">
        <f t="shared" si="5"/>
        <v>-2.325817594959053E-2</v>
      </c>
      <c r="F12" s="310">
        <v>52433.27</v>
      </c>
      <c r="G12" s="311">
        <v>219752.94</v>
      </c>
      <c r="H12" s="467">
        <f t="shared" si="0"/>
        <v>-0.1103179324927348</v>
      </c>
      <c r="I12" s="86">
        <f>IFERROR((SUM(B12-D12)/D12),0)</f>
        <v>-5.4370781076353993E-2</v>
      </c>
      <c r="J12" s="311">
        <v>668</v>
      </c>
      <c r="K12" s="84">
        <f>IFERROR(B12/J12,0)</f>
        <v>292.68001497005986</v>
      </c>
      <c r="L12" s="311">
        <v>184</v>
      </c>
      <c r="M12" s="310">
        <v>19092.41</v>
      </c>
      <c r="N12" s="479">
        <f>IFERROR(M12/J12,0)</f>
        <v>28.581452095808384</v>
      </c>
      <c r="O12" s="311">
        <v>808</v>
      </c>
      <c r="P12" s="310">
        <v>78264.3</v>
      </c>
      <c r="Q12" s="89">
        <f>IFERROR(P12/SUM(J12),0)</f>
        <v>117.162125748503</v>
      </c>
      <c r="R12" s="485">
        <f t="shared" si="6"/>
        <v>67775.573913043481</v>
      </c>
      <c r="S12" s="89">
        <f>SUM(R12/B12)</f>
        <v>0.34665995216641315</v>
      </c>
      <c r="T12" s="485">
        <f t="shared" si="7"/>
        <v>33680.400000000001</v>
      </c>
      <c r="U12" s="89">
        <f>SUM(T12/B12)</f>
        <v>0.17226922885117277</v>
      </c>
      <c r="V12" s="310">
        <v>5942</v>
      </c>
      <c r="W12" s="486"/>
      <c r="X12" s="483"/>
      <c r="Y12" s="311">
        <v>39209.449999999997</v>
      </c>
      <c r="Z12" s="75">
        <f t="shared" si="8"/>
        <v>34095.17391304348</v>
      </c>
      <c r="AA12" s="487"/>
      <c r="AB12" s="311">
        <v>38732.46</v>
      </c>
      <c r="AC12" s="75">
        <f t="shared" si="9"/>
        <v>33680.400000000001</v>
      </c>
    </row>
    <row r="13" spans="1:29" ht="15.6" customHeight="1" x14ac:dyDescent="0.3">
      <c r="A13" s="492" t="s">
        <v>33</v>
      </c>
      <c r="B13" s="310">
        <v>182997.95</v>
      </c>
      <c r="C13" s="310">
        <v>165920.04999999999</v>
      </c>
      <c r="D13" s="489"/>
      <c r="E13" s="86">
        <f t="shared" si="5"/>
        <v>0.10292848875105826</v>
      </c>
      <c r="F13" s="310">
        <v>53364.12</v>
      </c>
      <c r="G13" s="311">
        <v>174446.62</v>
      </c>
      <c r="H13" s="467">
        <f t="shared" si="0"/>
        <v>4.9019751715453225E-2</v>
      </c>
      <c r="I13" s="86">
        <f>IFERROR((SUM(B13-D13)/D13),0)</f>
        <v>0</v>
      </c>
      <c r="J13" s="311">
        <v>571</v>
      </c>
      <c r="K13" s="84">
        <f>IFERROR(B13/J13,0)</f>
        <v>320.4867775831874</v>
      </c>
      <c r="L13" s="311">
        <v>102</v>
      </c>
      <c r="M13" s="310">
        <v>8394.26</v>
      </c>
      <c r="N13" s="479">
        <f>IFERROR(M13/J13,0)</f>
        <v>14.700980735551664</v>
      </c>
      <c r="O13" s="311">
        <v>479</v>
      </c>
      <c r="P13" s="310">
        <v>40967.56</v>
      </c>
      <c r="Q13" s="89">
        <f>IFERROR(P13/SUM(J13),0)</f>
        <v>71.747040280210157</v>
      </c>
      <c r="R13" s="485">
        <f t="shared" si="6"/>
        <v>47684.782608695656</v>
      </c>
      <c r="S13" s="89">
        <f>SUM(R13/B13)</f>
        <v>0.26057550157636</v>
      </c>
      <c r="T13" s="485">
        <f t="shared" si="7"/>
        <v>27295.191304347831</v>
      </c>
      <c r="U13" s="89">
        <f>SUM(T13/B13)</f>
        <v>0.14915572171353739</v>
      </c>
      <c r="V13" s="310">
        <v>6762.5</v>
      </c>
      <c r="W13" s="486"/>
      <c r="X13" s="483"/>
      <c r="Y13" s="311">
        <v>23448.03</v>
      </c>
      <c r="Z13" s="75">
        <f t="shared" si="8"/>
        <v>20389.591304347825</v>
      </c>
      <c r="AA13" s="487"/>
      <c r="AB13" s="311">
        <v>31389.47</v>
      </c>
      <c r="AC13" s="75">
        <f t="shared" si="9"/>
        <v>27295.191304347831</v>
      </c>
    </row>
    <row r="14" spans="1:29" ht="15.6" customHeight="1" x14ac:dyDescent="0.3">
      <c r="A14" s="492" t="s">
        <v>20</v>
      </c>
      <c r="B14" s="310">
        <v>138240.4</v>
      </c>
      <c r="C14" s="310">
        <v>146592.32999999999</v>
      </c>
      <c r="D14" s="489">
        <v>144600.03</v>
      </c>
      <c r="E14" s="86">
        <f t="shared" si="5"/>
        <v>-5.6973853952659005E-2</v>
      </c>
      <c r="F14" s="310">
        <v>39629.160000000003</v>
      </c>
      <c r="G14" s="311">
        <v>177308.39</v>
      </c>
      <c r="H14" s="467">
        <f t="shared" si="0"/>
        <v>-0.22033920673466167</v>
      </c>
      <c r="I14" s="86">
        <f>IFERROR((SUM(B14-D14)/D14),0)</f>
        <v>-4.3980834582122874E-2</v>
      </c>
      <c r="J14" s="311">
        <v>389</v>
      </c>
      <c r="K14" s="84">
        <f>IFERROR(B14/J14,0)</f>
        <v>355.3737789203085</v>
      </c>
      <c r="L14" s="311">
        <v>71</v>
      </c>
      <c r="M14" s="310">
        <v>6940.19</v>
      </c>
      <c r="N14" s="479">
        <f>IFERROR(M14/J14,0)</f>
        <v>17.841105398457582</v>
      </c>
      <c r="O14" s="311">
        <v>338</v>
      </c>
      <c r="P14" s="310">
        <v>30025.37</v>
      </c>
      <c r="Q14" s="89">
        <f>IFERROR(P14/SUM(J14),0)</f>
        <v>77.186041131105398</v>
      </c>
      <c r="R14" s="485">
        <f t="shared" si="6"/>
        <v>48898.113043478268</v>
      </c>
      <c r="S14" s="89">
        <f>SUM(R14/B14)</f>
        <v>0.3537179655403071</v>
      </c>
      <c r="T14" s="485">
        <f t="shared" si="7"/>
        <v>23510.869565217392</v>
      </c>
      <c r="U14" s="89">
        <f>SUM(T14/B14)</f>
        <v>0.17007234907608335</v>
      </c>
      <c r="V14" s="310">
        <v>1814.5</v>
      </c>
      <c r="W14" s="488"/>
      <c r="X14" s="483"/>
      <c r="Y14" s="311">
        <v>29195.33</v>
      </c>
      <c r="Z14" s="75">
        <f t="shared" si="8"/>
        <v>25387.243478260873</v>
      </c>
      <c r="AA14" s="487"/>
      <c r="AB14" s="311">
        <v>27037.5</v>
      </c>
      <c r="AC14" s="75">
        <f t="shared" si="9"/>
        <v>23510.869565217392</v>
      </c>
    </row>
    <row r="15" spans="1:29" ht="15.6" customHeight="1" x14ac:dyDescent="0.3">
      <c r="A15" s="432" t="s">
        <v>22</v>
      </c>
      <c r="B15" s="310">
        <v>148648.95999999999</v>
      </c>
      <c r="C15" s="310">
        <v>130797.48</v>
      </c>
      <c r="D15" s="489">
        <v>152846.04</v>
      </c>
      <c r="E15" s="86">
        <f t="shared" si="5"/>
        <v>0.13648183435949987</v>
      </c>
      <c r="F15" s="310">
        <v>33875.06</v>
      </c>
      <c r="G15" s="311">
        <v>141566.34</v>
      </c>
      <c r="H15" s="467">
        <f t="shared" si="0"/>
        <v>5.0030395643484146E-2</v>
      </c>
      <c r="I15" s="86">
        <f>IFERROR((SUM(B15-D15)/D15),0)</f>
        <v>-2.7459527247156786E-2</v>
      </c>
      <c r="J15" s="311">
        <v>425</v>
      </c>
      <c r="K15" s="84">
        <f>IFERROR(B15/J15,0)</f>
        <v>349.76225882352941</v>
      </c>
      <c r="L15" s="311">
        <v>30</v>
      </c>
      <c r="M15" s="310">
        <v>2757.73</v>
      </c>
      <c r="N15" s="479">
        <f>IFERROR(M15/J15,0)</f>
        <v>6.4887764705882356</v>
      </c>
      <c r="O15" s="311">
        <v>134</v>
      </c>
      <c r="P15" s="310">
        <v>11930.4</v>
      </c>
      <c r="Q15" s="89">
        <f>IFERROR(P15/SUM(J15),0)</f>
        <v>28.071529411764704</v>
      </c>
      <c r="R15" s="485">
        <f t="shared" si="6"/>
        <v>31811.921739130437</v>
      </c>
      <c r="S15" s="89">
        <f>SUM(R15/B15)</f>
        <v>0.21400702527034457</v>
      </c>
      <c r="T15" s="485">
        <f t="shared" si="7"/>
        <v>17003.478260869568</v>
      </c>
      <c r="U15" s="89">
        <f>SUM(T15/B15)</f>
        <v>0.11438679598477897</v>
      </c>
      <c r="V15" s="310">
        <v>3694.5</v>
      </c>
      <c r="W15" s="488"/>
      <c r="X15" s="483"/>
      <c r="Y15" s="311">
        <v>17029.71</v>
      </c>
      <c r="Z15" s="75">
        <f t="shared" si="8"/>
        <v>14808.44347826087</v>
      </c>
      <c r="AA15" s="487"/>
      <c r="AB15" s="311">
        <v>19554</v>
      </c>
      <c r="AC15" s="75">
        <f t="shared" si="9"/>
        <v>17003.478260869568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19" priority="2" operator="equal">
      <formula>0</formula>
    </cfRule>
  </conditionalFormatting>
  <conditionalFormatting sqref="R12:R13">
    <cfRule type="cellIs" dxfId="1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AC49"/>
  <sheetViews>
    <sheetView zoomScale="60" zoomScaleNormal="60" workbookViewId="0">
      <pane xSplit="1" topLeftCell="B1" activePane="topRight" state="frozen"/>
      <selection pane="topRight" activeCell="A9" sqref="A9"/>
    </sheetView>
  </sheetViews>
  <sheetFormatPr defaultRowHeight="14.4" x14ac:dyDescent="0.3"/>
  <cols>
    <col min="1" max="1" width="23" customWidth="1"/>
    <col min="2" max="2" width="30.55468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-0.17235864026086584</v>
      </c>
      <c r="F2" s="426"/>
      <c r="G2" s="1"/>
      <c r="H2" s="427"/>
      <c r="I2" s="422">
        <f>((B4-D4)/D4)</f>
        <v>-6.1134432927726232E-2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1774654.5200000003</v>
      </c>
      <c r="C4" s="468">
        <f>SUM(C5:C15)</f>
        <v>2080531.5599999998</v>
      </c>
      <c r="D4" s="468">
        <f>SUM(D5:D15)</f>
        <v>1890211.53</v>
      </c>
      <c r="E4" s="472">
        <f>IFERROR((SUM(B4-C4)/B4),0)</f>
        <v>-0.17235864026086584</v>
      </c>
      <c r="F4" s="465">
        <f>SUM(F5:F15)</f>
        <v>2392699.5699999998</v>
      </c>
      <c r="G4" s="468">
        <f>SUM(G5:G15)</f>
        <v>2269369.9300000002</v>
      </c>
      <c r="H4" s="436">
        <f t="shared" ref="H4:H15" si="0">IFERROR((SUM(B4-G4)/G4),0)</f>
        <v>-0.21799681200499554</v>
      </c>
      <c r="I4" s="436">
        <f t="shared" ref="I4:I9" si="1">IFERROR((SUM(B4-D4)/D4),0)</f>
        <v>-6.1134432927726232E-2</v>
      </c>
      <c r="J4" s="480">
        <f>SUM(J5:J15)</f>
        <v>5122</v>
      </c>
      <c r="K4" s="474">
        <f>AVERAGE(K5:K15)</f>
        <v>307.93235010468828</v>
      </c>
      <c r="L4" s="474">
        <f>SUM(L6:L15)</f>
        <v>637</v>
      </c>
      <c r="M4" s="439">
        <f>SUM(M5:M15)</f>
        <v>59826.240000000005</v>
      </c>
      <c r="N4" s="442">
        <f>IFERROR(M4/J4,0)</f>
        <v>11.680249902381883</v>
      </c>
      <c r="O4" s="473">
        <f>SUM(O6:O15)</f>
        <v>896</v>
      </c>
      <c r="P4" s="475">
        <f>SUM(P7:P15)</f>
        <v>76671.929999999993</v>
      </c>
      <c r="Q4" s="442">
        <f t="shared" ref="Q4:Q9" si="2">IFERROR(P4/SUM(J4),0)</f>
        <v>14.969139008199921</v>
      </c>
      <c r="R4" s="455">
        <f>SUM(R5:R15)</f>
        <v>438732.01739130443</v>
      </c>
      <c r="S4" s="442">
        <f t="shared" ref="S4:S9" si="3">SUM(R4/B4)</f>
        <v>0.24722108582086408</v>
      </c>
      <c r="T4" s="455">
        <f>SUM(T5:T15)</f>
        <v>216235.14782608699</v>
      </c>
      <c r="U4" s="442">
        <f t="shared" ref="U4:U9" si="4">SUM(T4/B4)</f>
        <v>0.12184633425219403</v>
      </c>
      <c r="V4" s="481">
        <f>SUM(V5:V15)</f>
        <v>45231.55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345609.59</v>
      </c>
      <c r="C5" s="310">
        <v>333142.98</v>
      </c>
      <c r="D5" s="489">
        <v>166877.21</v>
      </c>
      <c r="E5" s="86">
        <f t="shared" ref="E5:E15" si="5">IFERROR((SUM(B5-C5)/C5),0)</f>
        <v>3.7421199750329558E-2</v>
      </c>
      <c r="F5" s="310">
        <v>462037.62</v>
      </c>
      <c r="G5" s="310">
        <v>313858.58</v>
      </c>
      <c r="H5" s="467">
        <f t="shared" si="0"/>
        <v>0.1011634284460218</v>
      </c>
      <c r="I5" s="86">
        <f t="shared" si="1"/>
        <v>1.0710412763971788</v>
      </c>
      <c r="J5" s="310">
        <v>877</v>
      </c>
      <c r="K5" s="84">
        <f>IFERROR(B5/J5,0)</f>
        <v>394.08163055872296</v>
      </c>
      <c r="L5" s="310"/>
      <c r="M5" s="310"/>
      <c r="N5" s="479">
        <f>IFERROR(M5/J5,0)</f>
        <v>0</v>
      </c>
      <c r="O5" s="479"/>
      <c r="P5" s="479"/>
      <c r="Q5" s="89">
        <f t="shared" si="2"/>
        <v>0</v>
      </c>
      <c r="R5" s="485">
        <f t="shared" ref="R5:R15" si="6">SUM(Z5+AC5)</f>
        <v>38348.260869565223</v>
      </c>
      <c r="S5" s="89">
        <f t="shared" si="3"/>
        <v>0.11095832401399863</v>
      </c>
      <c r="T5" s="485">
        <f t="shared" ref="T5:T15" si="7">SUM(AC5)</f>
        <v>38348.260869565223</v>
      </c>
      <c r="U5" s="89">
        <f t="shared" si="4"/>
        <v>0.11095832401399863</v>
      </c>
      <c r="V5" s="310">
        <v>1360</v>
      </c>
      <c r="W5" s="486"/>
      <c r="X5" s="483"/>
      <c r="Y5" s="75">
        <f>X5/1.15</f>
        <v>0</v>
      </c>
      <c r="Z5" s="75">
        <f>Y5/1.15</f>
        <v>0</v>
      </c>
      <c r="AA5" s="487"/>
      <c r="AB5" s="310">
        <v>44100.5</v>
      </c>
      <c r="AC5" s="75">
        <f t="shared" ref="AC5:AC15" si="8">SUM(AB5)/1.15</f>
        <v>38348.260869565223</v>
      </c>
    </row>
    <row r="6" spans="1:29" ht="15.6" customHeight="1" x14ac:dyDescent="0.3">
      <c r="A6" s="492" t="s">
        <v>21</v>
      </c>
      <c r="B6" s="310">
        <v>209045.42</v>
      </c>
      <c r="C6" s="310">
        <v>233802.48</v>
      </c>
      <c r="D6" s="489">
        <v>317233.91999999998</v>
      </c>
      <c r="E6" s="86">
        <f t="shared" si="5"/>
        <v>-0.10588878270239048</v>
      </c>
      <c r="F6" s="310">
        <v>283955.74</v>
      </c>
      <c r="G6" s="310">
        <v>244802.01</v>
      </c>
      <c r="H6" s="467">
        <f t="shared" si="0"/>
        <v>-0.14606330233971523</v>
      </c>
      <c r="I6" s="86">
        <f t="shared" si="1"/>
        <v>-0.34103698620878869</v>
      </c>
      <c r="J6" s="310">
        <v>594</v>
      </c>
      <c r="K6" s="84">
        <f>IFERROR(B6/J6,0)</f>
        <v>351.92831649831652</v>
      </c>
      <c r="L6" s="310">
        <v>34</v>
      </c>
      <c r="M6" s="310">
        <v>3146.57</v>
      </c>
      <c r="N6" s="479">
        <f>IFERROR(M7/J6,0)</f>
        <v>5.855185185185185</v>
      </c>
      <c r="O6" s="310">
        <v>81</v>
      </c>
      <c r="P6" s="310">
        <v>6763.25</v>
      </c>
      <c r="Q6" s="89">
        <f t="shared" si="2"/>
        <v>11.385942760942761</v>
      </c>
      <c r="R6" s="485">
        <f t="shared" si="6"/>
        <v>58161.017391304355</v>
      </c>
      <c r="S6" s="89">
        <f t="shared" si="3"/>
        <v>0.27822191651605832</v>
      </c>
      <c r="T6" s="485">
        <f t="shared" si="7"/>
        <v>24754.573913043478</v>
      </c>
      <c r="U6" s="89">
        <f t="shared" si="4"/>
        <v>0.11841720288846068</v>
      </c>
      <c r="V6" s="310">
        <v>9634.0499999999993</v>
      </c>
      <c r="W6" s="488"/>
      <c r="X6" s="483"/>
      <c r="Y6" s="310">
        <v>38417.410000000003</v>
      </c>
      <c r="Z6" s="75">
        <f t="shared" ref="Z6:Z15" si="9">Y6/1.15</f>
        <v>33406.443478260873</v>
      </c>
      <c r="AA6" s="487"/>
      <c r="AB6" s="310">
        <v>28467.759999999998</v>
      </c>
      <c r="AC6" s="75">
        <f t="shared" si="8"/>
        <v>24754.573913043478</v>
      </c>
    </row>
    <row r="7" spans="1:29" ht="16.5" customHeight="1" x14ac:dyDescent="0.3">
      <c r="A7" s="492" t="s">
        <v>15</v>
      </c>
      <c r="B7" s="310">
        <v>255099.92</v>
      </c>
      <c r="C7" s="310">
        <v>300875.84000000003</v>
      </c>
      <c r="D7" s="489">
        <v>254835.6</v>
      </c>
      <c r="E7" s="86">
        <f t="shared" si="5"/>
        <v>-0.15214222584305875</v>
      </c>
      <c r="F7" s="310">
        <v>383276.83</v>
      </c>
      <c r="G7" s="310">
        <v>289239.53999999998</v>
      </c>
      <c r="H7" s="467">
        <f t="shared" si="0"/>
        <v>-0.11803234094480985</v>
      </c>
      <c r="I7" s="86">
        <f t="shared" si="1"/>
        <v>1.037217719973218E-3</v>
      </c>
      <c r="J7" s="310">
        <v>681</v>
      </c>
      <c r="K7" s="84">
        <f>IFERROR(B7/J7,0)</f>
        <v>374.59606461086639</v>
      </c>
      <c r="L7" s="310">
        <v>37</v>
      </c>
      <c r="M7" s="310">
        <v>3477.98</v>
      </c>
      <c r="N7" s="479">
        <f>IFERROR(#REF!/J7,0)</f>
        <v>0</v>
      </c>
      <c r="O7" s="310">
        <v>50</v>
      </c>
      <c r="P7" s="310">
        <v>4747.1000000000004</v>
      </c>
      <c r="Q7" s="89">
        <f t="shared" si="2"/>
        <v>6.9707782672540386</v>
      </c>
      <c r="R7" s="485">
        <f t="shared" si="6"/>
        <v>43359.191304347827</v>
      </c>
      <c r="S7" s="89">
        <f t="shared" si="3"/>
        <v>0.16996944297100455</v>
      </c>
      <c r="T7" s="485">
        <f t="shared" si="7"/>
        <v>4361.347826086957</v>
      </c>
      <c r="U7" s="89">
        <f t="shared" si="4"/>
        <v>1.7096625612767563E-2</v>
      </c>
      <c r="V7" s="310">
        <v>5095.3</v>
      </c>
      <c r="W7" s="488"/>
      <c r="X7" s="483"/>
      <c r="Y7" s="310">
        <v>44847.519999999997</v>
      </c>
      <c r="Z7" s="75">
        <f t="shared" si="9"/>
        <v>38997.843478260867</v>
      </c>
      <c r="AA7" s="487"/>
      <c r="AB7" s="310">
        <v>5015.55</v>
      </c>
      <c r="AC7" s="75">
        <f t="shared" si="8"/>
        <v>4361.347826086957</v>
      </c>
    </row>
    <row r="8" spans="1:29" ht="15.6" customHeight="1" x14ac:dyDescent="0.3">
      <c r="A8" s="492" t="s">
        <v>27</v>
      </c>
      <c r="B8" s="310"/>
      <c r="C8" s="310">
        <v>173301.53</v>
      </c>
      <c r="D8" s="489">
        <v>125945.97</v>
      </c>
      <c r="E8" s="86">
        <f t="shared" si="5"/>
        <v>-1</v>
      </c>
      <c r="F8" s="310">
        <v>52368.39</v>
      </c>
      <c r="G8" s="310">
        <v>151762.26999999999</v>
      </c>
      <c r="H8" s="467">
        <f t="shared" si="0"/>
        <v>-1</v>
      </c>
      <c r="I8" s="86">
        <f t="shared" si="1"/>
        <v>-1</v>
      </c>
      <c r="J8" s="310"/>
      <c r="K8" s="84">
        <f>IFERROR(B8/J8,0)</f>
        <v>0</v>
      </c>
      <c r="L8" s="310"/>
      <c r="M8" s="310"/>
      <c r="N8" s="479">
        <f>IFERROR(M8/J8,0)</f>
        <v>0</v>
      </c>
      <c r="O8" s="479"/>
      <c r="P8" s="479"/>
      <c r="Q8" s="89">
        <f t="shared" si="2"/>
        <v>0</v>
      </c>
      <c r="R8" s="485">
        <f t="shared" si="6"/>
        <v>0</v>
      </c>
      <c r="S8" s="89" t="e">
        <f t="shared" si="3"/>
        <v>#DIV/0!</v>
      </c>
      <c r="T8" s="485">
        <f t="shared" si="7"/>
        <v>0</v>
      </c>
      <c r="U8" s="89" t="e">
        <f t="shared" si="4"/>
        <v>#DIV/0!</v>
      </c>
      <c r="V8" s="310"/>
      <c r="W8" s="486"/>
      <c r="X8" s="483"/>
      <c r="Y8" s="310"/>
      <c r="Z8" s="75">
        <f t="shared" si="9"/>
        <v>0</v>
      </c>
      <c r="AA8" s="487"/>
      <c r="AB8" s="310"/>
      <c r="AC8" s="75">
        <f t="shared" si="8"/>
        <v>0</v>
      </c>
    </row>
    <row r="9" spans="1:29" ht="15.6" customHeight="1" x14ac:dyDescent="0.3">
      <c r="A9" s="493" t="s">
        <v>23</v>
      </c>
      <c r="B9" s="310">
        <v>193340.12</v>
      </c>
      <c r="C9" s="310">
        <v>236084.36</v>
      </c>
      <c r="D9" s="489">
        <v>243010.12</v>
      </c>
      <c r="E9" s="86">
        <f t="shared" si="5"/>
        <v>-0.18105494154716556</v>
      </c>
      <c r="F9" s="310">
        <v>218018.02</v>
      </c>
      <c r="G9" s="310">
        <v>212596.37</v>
      </c>
      <c r="H9" s="467">
        <f t="shared" si="0"/>
        <v>-9.0576570051501826E-2</v>
      </c>
      <c r="I9" s="86">
        <f t="shared" si="1"/>
        <v>-0.20439477993755981</v>
      </c>
      <c r="J9" s="310">
        <v>529</v>
      </c>
      <c r="K9" s="84">
        <f>IFERROR(B9/J9,0)</f>
        <v>365.4822684310019</v>
      </c>
      <c r="L9" s="310">
        <v>49</v>
      </c>
      <c r="M9" s="310">
        <v>4793.4799999999996</v>
      </c>
      <c r="N9" s="479">
        <f>IFERROR(M9/J9,0)</f>
        <v>9.0613988657844988</v>
      </c>
      <c r="O9" s="310">
        <v>63</v>
      </c>
      <c r="P9" s="310">
        <v>6053.3</v>
      </c>
      <c r="Q9" s="89">
        <f t="shared" si="2"/>
        <v>11.442911153119093</v>
      </c>
      <c r="R9" s="485">
        <f t="shared" si="6"/>
        <v>46289.686956521742</v>
      </c>
      <c r="S9" s="89">
        <f t="shared" si="3"/>
        <v>0.23942101078928546</v>
      </c>
      <c r="T9" s="485">
        <f t="shared" si="7"/>
        <v>19182.17391304348</v>
      </c>
      <c r="U9" s="89">
        <f t="shared" si="4"/>
        <v>9.9214658152914567E-2</v>
      </c>
      <c r="V9" s="310">
        <v>3822</v>
      </c>
      <c r="W9" s="488"/>
      <c r="X9" s="483"/>
      <c r="Y9" s="310">
        <v>31173.64</v>
      </c>
      <c r="Z9" s="75">
        <f t="shared" si="9"/>
        <v>27107.513043478262</v>
      </c>
      <c r="AA9" s="487"/>
      <c r="AB9" s="310">
        <v>22059.5</v>
      </c>
      <c r="AC9" s="75">
        <f t="shared" si="8"/>
        <v>19182.17391304348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5"/>
        <v>0</v>
      </c>
      <c r="F10" s="310"/>
      <c r="G10" s="310">
        <v>287810.49</v>
      </c>
      <c r="H10" s="467">
        <f t="shared" si="0"/>
        <v>-1</v>
      </c>
      <c r="I10" s="86">
        <f>IFERROR((SUM(B11-D10)/D10),0)</f>
        <v>-0.44567947534616642</v>
      </c>
      <c r="J10" s="310"/>
      <c r="K10" s="84">
        <f>IFERROR(B11/J11,0)</f>
        <v>300.55450424929182</v>
      </c>
      <c r="L10" s="310"/>
      <c r="M10" s="310"/>
      <c r="N10" s="479">
        <f>IFERROR(M10/J11,0)</f>
        <v>0</v>
      </c>
      <c r="O10" s="479"/>
      <c r="P10" s="479"/>
      <c r="Q10" s="89">
        <f>IFERROR(P11/SUM(J11),0)</f>
        <v>54.883739376770535</v>
      </c>
      <c r="R10" s="485">
        <f t="shared" si="6"/>
        <v>0</v>
      </c>
      <c r="S10" s="89">
        <f>SUM(R10/B11)</f>
        <v>0</v>
      </c>
      <c r="T10" s="485">
        <f t="shared" si="7"/>
        <v>0</v>
      </c>
      <c r="U10" s="89">
        <f>SUM(T10/B11)</f>
        <v>0</v>
      </c>
      <c r="V10" s="310"/>
      <c r="W10" s="488"/>
      <c r="X10" s="483"/>
      <c r="Y10" s="310"/>
      <c r="Z10" s="75">
        <f t="shared" si="9"/>
        <v>0</v>
      </c>
      <c r="AA10" s="487"/>
      <c r="AB10" s="310"/>
      <c r="AC10" s="75">
        <f t="shared" si="8"/>
        <v>0</v>
      </c>
    </row>
    <row r="11" spans="1:29" ht="15.6" customHeight="1" x14ac:dyDescent="0.3">
      <c r="A11" s="492" t="s">
        <v>17</v>
      </c>
      <c r="B11" s="310">
        <v>106095.74</v>
      </c>
      <c r="C11" s="310">
        <v>137926.81</v>
      </c>
      <c r="D11" s="489">
        <v>86713.33</v>
      </c>
      <c r="E11" s="86">
        <f t="shared" si="5"/>
        <v>-0.23078232578568295</v>
      </c>
      <c r="F11" s="310">
        <v>148277.63</v>
      </c>
      <c r="G11" s="310">
        <v>126008.3</v>
      </c>
      <c r="H11" s="467">
        <f t="shared" si="0"/>
        <v>-0.15802578084142074</v>
      </c>
      <c r="I11" s="86">
        <f>IFERROR((SUM(#REF!-D11)/D11),0)</f>
        <v>0</v>
      </c>
      <c r="J11" s="310">
        <v>353</v>
      </c>
      <c r="K11" s="84">
        <f>IFERROR(B12/J12,0)</f>
        <v>312.38084745762711</v>
      </c>
      <c r="L11" s="310">
        <v>126</v>
      </c>
      <c r="M11" s="310">
        <v>11737.2</v>
      </c>
      <c r="N11" s="479">
        <f>IFERROR(M11/J12,0)</f>
        <v>16.577966101694916</v>
      </c>
      <c r="O11" s="310">
        <v>204</v>
      </c>
      <c r="P11" s="310">
        <v>19373.96</v>
      </c>
      <c r="Q11" s="89">
        <f>IFERROR(#REF!/SUM(J12),0)</f>
        <v>0</v>
      </c>
      <c r="R11" s="485">
        <f t="shared" si="6"/>
        <v>47604.539130434787</v>
      </c>
      <c r="S11" s="89">
        <f>SUM(R11/B12)</f>
        <v>0.21524382869976902</v>
      </c>
      <c r="T11" s="485">
        <f t="shared" si="7"/>
        <v>19221.147826086959</v>
      </c>
      <c r="U11" s="89">
        <f>SUM(T11/B12)</f>
        <v>8.6908381546459731E-2</v>
      </c>
      <c r="V11" s="310">
        <v>3942</v>
      </c>
      <c r="W11" s="488"/>
      <c r="X11" s="483"/>
      <c r="Y11" s="310">
        <v>32640.9</v>
      </c>
      <c r="Z11" s="75">
        <f t="shared" si="9"/>
        <v>28383.391304347828</v>
      </c>
      <c r="AA11" s="487"/>
      <c r="AB11" s="310">
        <v>22104.32</v>
      </c>
      <c r="AC11" s="75">
        <f t="shared" si="8"/>
        <v>19221.147826086959</v>
      </c>
    </row>
    <row r="12" spans="1:29" ht="15.6" customHeight="1" x14ac:dyDescent="0.3">
      <c r="A12" s="492" t="s">
        <v>55</v>
      </c>
      <c r="B12" s="310">
        <v>221165.64</v>
      </c>
      <c r="C12" s="310">
        <v>195510.25</v>
      </c>
      <c r="D12" s="489">
        <v>206751.49</v>
      </c>
      <c r="E12" s="86">
        <f t="shared" si="5"/>
        <v>0.13122273640384591</v>
      </c>
      <c r="F12" s="310">
        <v>273598.90999999997</v>
      </c>
      <c r="G12" s="310">
        <v>195193.78</v>
      </c>
      <c r="H12" s="467">
        <f t="shared" si="0"/>
        <v>0.13305680129766437</v>
      </c>
      <c r="I12" s="86">
        <f>IFERROR((SUM(B12-D12)/D12),0)</f>
        <v>6.9717272654238299E-2</v>
      </c>
      <c r="J12" s="310">
        <v>708</v>
      </c>
      <c r="K12" s="84">
        <f>IFERROR(B12/J12,0)</f>
        <v>312.38084745762711</v>
      </c>
      <c r="L12" s="310">
        <v>174</v>
      </c>
      <c r="M12" s="310">
        <v>16488.29</v>
      </c>
      <c r="N12" s="479">
        <f>IFERROR(M12/J12,0)</f>
        <v>23.288545197740113</v>
      </c>
      <c r="O12" s="310">
        <v>218</v>
      </c>
      <c r="P12" s="310">
        <v>20533.439999999999</v>
      </c>
      <c r="Q12" s="89">
        <f>IFERROR(P12/SUM(J12),0)</f>
        <v>29.002033898305083</v>
      </c>
      <c r="R12" s="485">
        <f t="shared" si="6"/>
        <v>71458.878260869576</v>
      </c>
      <c r="S12" s="89">
        <f>SUM(R12/B12)</f>
        <v>0.32310117548489709</v>
      </c>
      <c r="T12" s="485">
        <f t="shared" si="7"/>
        <v>39344.226086956529</v>
      </c>
      <c r="U12" s="89">
        <f>SUM(T12/B12)</f>
        <v>0.17789483975429696</v>
      </c>
      <c r="V12" s="310">
        <v>5579</v>
      </c>
      <c r="W12" s="486"/>
      <c r="X12" s="483"/>
      <c r="Y12" s="310">
        <v>36931.85</v>
      </c>
      <c r="Z12" s="75">
        <f t="shared" si="9"/>
        <v>32114.652173913044</v>
      </c>
      <c r="AA12" s="487"/>
      <c r="AB12" s="310">
        <v>45245.86</v>
      </c>
      <c r="AC12" s="75">
        <f t="shared" si="8"/>
        <v>39344.226086956529</v>
      </c>
    </row>
    <row r="13" spans="1:29" ht="15.6" customHeight="1" x14ac:dyDescent="0.3">
      <c r="A13" s="492" t="s">
        <v>33</v>
      </c>
      <c r="B13" s="310">
        <v>172931.57</v>
      </c>
      <c r="C13" s="310">
        <v>182997.95</v>
      </c>
      <c r="D13" s="489"/>
      <c r="E13" s="86">
        <f t="shared" si="5"/>
        <v>-5.5008157195203577E-2</v>
      </c>
      <c r="F13" s="310">
        <v>226295.69</v>
      </c>
      <c r="G13" s="310">
        <v>157866.79999999999</v>
      </c>
      <c r="H13" s="467">
        <f t="shared" si="0"/>
        <v>9.5427094233873244E-2</v>
      </c>
      <c r="I13" s="86">
        <f>IFERROR((SUM(B13-D13)/D13),0)</f>
        <v>0</v>
      </c>
      <c r="J13" s="310">
        <v>575</v>
      </c>
      <c r="K13" s="84">
        <f>IFERROR(B13/J13,0)</f>
        <v>300.75055652173916</v>
      </c>
      <c r="L13" s="310">
        <v>118</v>
      </c>
      <c r="M13" s="310">
        <v>9961.27</v>
      </c>
      <c r="N13" s="479">
        <f>IFERROR(M13/J13,0)</f>
        <v>17.323947826086957</v>
      </c>
      <c r="O13" s="310">
        <v>152</v>
      </c>
      <c r="P13" s="310">
        <v>12726.14</v>
      </c>
      <c r="Q13" s="89">
        <f>IFERROR(P13/SUM(J13),0)</f>
        <v>22.132417391304347</v>
      </c>
      <c r="R13" s="485">
        <f t="shared" si="6"/>
        <v>50840.130434782608</v>
      </c>
      <c r="S13" s="89">
        <f>SUM(R13/B13)</f>
        <v>0.29398987376788754</v>
      </c>
      <c r="T13" s="485">
        <f t="shared" si="7"/>
        <v>28044.069565217393</v>
      </c>
      <c r="U13" s="89">
        <f>SUM(T13/B13)</f>
        <v>0.1621685940006061</v>
      </c>
      <c r="V13" s="310">
        <v>5934.4</v>
      </c>
      <c r="W13" s="486"/>
      <c r="X13" s="483"/>
      <c r="Y13" s="310">
        <v>26215.47</v>
      </c>
      <c r="Z13" s="75">
        <f t="shared" si="9"/>
        <v>22796.060869565219</v>
      </c>
      <c r="AA13" s="487"/>
      <c r="AB13" s="310">
        <v>32250.68</v>
      </c>
      <c r="AC13" s="75">
        <f t="shared" si="8"/>
        <v>28044.069565217393</v>
      </c>
    </row>
    <row r="14" spans="1:29" ht="15.6" customHeight="1" x14ac:dyDescent="0.3">
      <c r="A14" s="492" t="s">
        <v>20</v>
      </c>
      <c r="B14" s="310">
        <v>144683.57999999999</v>
      </c>
      <c r="C14" s="310">
        <v>138240.4</v>
      </c>
      <c r="D14" s="489">
        <v>144600.03</v>
      </c>
      <c r="E14" s="86">
        <f t="shared" si="5"/>
        <v>4.6608516757763965E-2</v>
      </c>
      <c r="F14" s="310">
        <v>184312.74</v>
      </c>
      <c r="G14" s="310">
        <v>161843.29999999999</v>
      </c>
      <c r="H14" s="467">
        <f t="shared" si="0"/>
        <v>-0.10602675550980487</v>
      </c>
      <c r="I14" s="86">
        <f>IFERROR((SUM(B14-D14)/D14),0)</f>
        <v>5.7780070999977214E-4</v>
      </c>
      <c r="J14" s="310">
        <v>396</v>
      </c>
      <c r="K14" s="84">
        <f>IFERROR(B14/J14,0)</f>
        <v>365.36257575757571</v>
      </c>
      <c r="L14" s="310">
        <v>71</v>
      </c>
      <c r="M14" s="310">
        <v>7778.81</v>
      </c>
      <c r="N14" s="479">
        <f>IFERROR(M14/J14,0)</f>
        <v>19.643459595959598</v>
      </c>
      <c r="O14" s="310">
        <v>89</v>
      </c>
      <c r="P14" s="310">
        <v>9626.7000000000007</v>
      </c>
      <c r="Q14" s="89">
        <f>IFERROR(P14/SUM(J14),0)</f>
        <v>24.309848484848487</v>
      </c>
      <c r="R14" s="485">
        <f t="shared" si="6"/>
        <v>51418.208695652174</v>
      </c>
      <c r="S14" s="89">
        <f>SUM(R14/B14)</f>
        <v>0.35538385693561203</v>
      </c>
      <c r="T14" s="485">
        <f t="shared" si="7"/>
        <v>26466.956521739132</v>
      </c>
      <c r="U14" s="89">
        <f>SUM(T14/B14)</f>
        <v>0.18292992557786539</v>
      </c>
      <c r="V14" s="310">
        <v>3930</v>
      </c>
      <c r="W14" s="488"/>
      <c r="X14" s="483"/>
      <c r="Y14" s="310">
        <v>28693.94</v>
      </c>
      <c r="Z14" s="75">
        <f t="shared" si="9"/>
        <v>24951.252173913042</v>
      </c>
      <c r="AA14" s="487"/>
      <c r="AB14" s="310">
        <v>30437</v>
      </c>
      <c r="AC14" s="75">
        <f t="shared" si="8"/>
        <v>26466.956521739132</v>
      </c>
    </row>
    <row r="15" spans="1:29" ht="15.6" customHeight="1" x14ac:dyDescent="0.3">
      <c r="A15" s="432" t="s">
        <v>22</v>
      </c>
      <c r="B15" s="310">
        <v>126682.94</v>
      </c>
      <c r="C15" s="310">
        <v>148648.95999999999</v>
      </c>
      <c r="D15" s="489">
        <v>152846.04</v>
      </c>
      <c r="E15" s="86">
        <f t="shared" si="5"/>
        <v>-0.14777109775944608</v>
      </c>
      <c r="F15" s="310">
        <v>160558</v>
      </c>
      <c r="G15" s="310">
        <v>128388.49</v>
      </c>
      <c r="H15" s="467">
        <f t="shared" si="0"/>
        <v>-1.3284290515450433E-2</v>
      </c>
      <c r="I15" s="86">
        <f>IFERROR((SUM(B15-D15)/D15),0)</f>
        <v>-0.1711729005213351</v>
      </c>
      <c r="J15" s="310">
        <v>409</v>
      </c>
      <c r="K15" s="84">
        <f>IFERROR(B15/J15,0)</f>
        <v>309.73823960880196</v>
      </c>
      <c r="L15" s="310">
        <v>28</v>
      </c>
      <c r="M15" s="310">
        <v>2442.64</v>
      </c>
      <c r="N15" s="479">
        <f>IFERROR(M15/J15,0)</f>
        <v>5.9722249388753053</v>
      </c>
      <c r="O15" s="310">
        <v>39</v>
      </c>
      <c r="P15" s="310">
        <v>3611.29</v>
      </c>
      <c r="Q15" s="89">
        <f>IFERROR(P15/SUM(J15),0)</f>
        <v>8.8295599022004883</v>
      </c>
      <c r="R15" s="485">
        <f t="shared" si="6"/>
        <v>31252.104347826091</v>
      </c>
      <c r="S15" s="89">
        <f>SUM(R15/B15)</f>
        <v>0.24669544571531171</v>
      </c>
      <c r="T15" s="485">
        <f t="shared" si="7"/>
        <v>16512.391304347828</v>
      </c>
      <c r="U15" s="89">
        <f>SUM(T15/B15)</f>
        <v>0.13034423817719915</v>
      </c>
      <c r="V15" s="310">
        <v>5934.8</v>
      </c>
      <c r="W15" s="488"/>
      <c r="X15" s="483"/>
      <c r="Y15" s="310">
        <v>16950.669999999998</v>
      </c>
      <c r="Z15" s="75">
        <f t="shared" si="9"/>
        <v>14739.713043478261</v>
      </c>
      <c r="AA15" s="487"/>
      <c r="AB15" s="310">
        <v>18989.25</v>
      </c>
      <c r="AC15" s="75">
        <f t="shared" si="8"/>
        <v>16512.391304347828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17" priority="2" operator="equal">
      <formula>0</formula>
    </cfRule>
  </conditionalFormatting>
  <conditionalFormatting sqref="R12:R13">
    <cfRule type="cellIs" dxfId="1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AC49"/>
  <sheetViews>
    <sheetView zoomScale="60" zoomScaleNormal="60" workbookViewId="0">
      <pane xSplit="1" topLeftCell="F1" activePane="topRight" state="frozen"/>
      <selection pane="topRight" activeCell="L3" sqref="L3"/>
    </sheetView>
  </sheetViews>
  <sheetFormatPr defaultRowHeight="14.4" x14ac:dyDescent="0.3"/>
  <cols>
    <col min="1" max="1" width="23" customWidth="1"/>
    <col min="2" max="2" width="30.55468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7.5765009978863665E-2</v>
      </c>
      <c r="F2" s="426"/>
      <c r="G2" s="1"/>
      <c r="H2" s="427"/>
      <c r="I2" s="422">
        <f>((B4-D4)/D4)</f>
        <v>1.582993200766274E-2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1920133.4500000002</v>
      </c>
      <c r="C4" s="468">
        <f>SUM(C5:C15)</f>
        <v>1774654.5200000003</v>
      </c>
      <c r="D4" s="468">
        <f>SUM(D5:D15)</f>
        <v>1890211.53</v>
      </c>
      <c r="E4" s="472">
        <f>IFERROR((SUM(B4-C4)/B4),0)</f>
        <v>7.5765009978863665E-2</v>
      </c>
      <c r="F4" s="465">
        <f>SUM(F5:F15)</f>
        <v>4341366.4800000004</v>
      </c>
      <c r="G4" s="468">
        <f>SUM(G5:G15)</f>
        <v>2187614.0699999998</v>
      </c>
      <c r="H4" s="436">
        <f t="shared" ref="H4:H15" si="0">IFERROR((SUM(B4-G4)/G4),0)</f>
        <v>-0.12227047890581526</v>
      </c>
      <c r="I4" s="436">
        <f t="shared" ref="I4:I9" si="1">IFERROR((SUM(B4-D4)/D4),0)</f>
        <v>1.582993200766274E-2</v>
      </c>
      <c r="J4" s="480">
        <f>SUM(J5:J15)</f>
        <v>5045</v>
      </c>
      <c r="K4" s="474">
        <f>AVERAGE(K5:K15)</f>
        <v>277.920606014984</v>
      </c>
      <c r="L4" s="474">
        <f>SUM(L6:L15)</f>
        <v>863</v>
      </c>
      <c r="M4" s="439">
        <f>SUM(M5:M15)</f>
        <v>81902.100000000006</v>
      </c>
      <c r="N4" s="442">
        <f>IFERROR(M4/J4,0)</f>
        <v>16.234311199207138</v>
      </c>
      <c r="O4" s="473">
        <f>SUM(O6:O15)</f>
        <v>1761</v>
      </c>
      <c r="P4" s="475">
        <f>SUM(P7:P15)</f>
        <v>147049.4</v>
      </c>
      <c r="Q4" s="442">
        <f>IFERROR(P4/SUM(J4),0)</f>
        <v>29.147552031714568</v>
      </c>
      <c r="R4" s="455">
        <f>SUM(R5:R15)</f>
        <v>502134.88695652178</v>
      </c>
      <c r="S4" s="442">
        <f t="shared" ref="S4:S9" si="2">SUM(R4/B4)</f>
        <v>0.26151041062095021</v>
      </c>
      <c r="T4" s="455">
        <f>SUM(T5:T15)</f>
        <v>221518.80000000002</v>
      </c>
      <c r="U4" s="442">
        <f t="shared" ref="U4:U9" si="3">SUM(T4/B4)</f>
        <v>0.11536635643736116</v>
      </c>
      <c r="V4" s="481">
        <f>SUM(V5:V15)</f>
        <v>46424.85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336127.2</v>
      </c>
      <c r="C5" s="310">
        <v>345609.59</v>
      </c>
      <c r="D5" s="489">
        <v>166877.21</v>
      </c>
      <c r="E5" s="86">
        <f t="shared" ref="E5:E15" si="4">IFERROR((SUM(B5-C5)/C5),0)</f>
        <v>-2.7436709727875357E-2</v>
      </c>
      <c r="F5" s="310">
        <v>798164.82</v>
      </c>
      <c r="G5" s="310">
        <v>308387.34000000003</v>
      </c>
      <c r="H5" s="467">
        <f t="shared" si="0"/>
        <v>8.9951357925393383E-2</v>
      </c>
      <c r="I5" s="86">
        <f t="shared" si="1"/>
        <v>1.0142187180622209</v>
      </c>
      <c r="J5">
        <v>902</v>
      </c>
      <c r="K5" s="84">
        <f>IFERROR(B5/J5,0)</f>
        <v>372.64656319290469</v>
      </c>
      <c r="L5" s="310"/>
      <c r="M5" s="310"/>
      <c r="N5" s="479">
        <f>IFERROR(M5/J5,0)</f>
        <v>0</v>
      </c>
      <c r="O5" s="479"/>
      <c r="P5" s="479"/>
      <c r="Q5" s="89">
        <f>IFERROR(P5/SUM(J5),0)</f>
        <v>0</v>
      </c>
      <c r="R5" s="485">
        <f t="shared" ref="R5:R15" si="5">SUM(Z5+AC5)</f>
        <v>33753.478260869568</v>
      </c>
      <c r="S5" s="89">
        <f t="shared" si="2"/>
        <v>0.10041876486303271</v>
      </c>
      <c r="T5" s="485">
        <f t="shared" ref="T5:T15" si="6">SUM(AC5)</f>
        <v>33753.478260869568</v>
      </c>
      <c r="U5" s="89">
        <f t="shared" si="3"/>
        <v>0.10041876486303271</v>
      </c>
      <c r="V5" s="310">
        <v>2340.1</v>
      </c>
      <c r="W5" s="486"/>
      <c r="X5" s="483"/>
      <c r="Y5" s="75">
        <v>0</v>
      </c>
      <c r="Z5" s="75">
        <f t="shared" ref="Z5:Z15" si="7">Y5/1.15</f>
        <v>0</v>
      </c>
      <c r="AA5" s="487"/>
      <c r="AB5" s="310">
        <v>38816.5</v>
      </c>
      <c r="AC5" s="75">
        <f t="shared" ref="AC5:AC15" si="8">SUM(AB5)/1.15</f>
        <v>33753.478260869568</v>
      </c>
    </row>
    <row r="6" spans="1:29" ht="15.6" customHeight="1" x14ac:dyDescent="0.3">
      <c r="A6" s="492" t="s">
        <v>21</v>
      </c>
      <c r="B6" s="310">
        <v>248766.27</v>
      </c>
      <c r="C6" s="310">
        <v>209045.42</v>
      </c>
      <c r="D6" s="489">
        <v>317233.91999999998</v>
      </c>
      <c r="E6" s="86">
        <f t="shared" si="4"/>
        <v>0.19001062065841948</v>
      </c>
      <c r="F6" s="310">
        <v>532722.01</v>
      </c>
      <c r="G6" s="310">
        <v>218341.36</v>
      </c>
      <c r="H6" s="467">
        <f t="shared" si="0"/>
        <v>0.13934561001177243</v>
      </c>
      <c r="I6" s="86">
        <f t="shared" si="1"/>
        <v>-0.21582701496737799</v>
      </c>
      <c r="J6">
        <v>699</v>
      </c>
      <c r="K6" s="84">
        <f>IFERROR(B6/J6,0)</f>
        <v>355.88879828326179</v>
      </c>
      <c r="L6" s="310">
        <v>109</v>
      </c>
      <c r="M6" s="310">
        <v>11733.98</v>
      </c>
      <c r="N6" s="479">
        <f>IFERROR(O7/J6,0)</f>
        <v>0.11587982832618025</v>
      </c>
      <c r="O6" s="310">
        <v>190</v>
      </c>
      <c r="P6" s="310">
        <v>18497.23</v>
      </c>
      <c r="Q6" s="89">
        <f>IFERROR(P6/SUM(J6),0)</f>
        <v>26.462417739628041</v>
      </c>
      <c r="R6" s="485">
        <f t="shared" si="5"/>
        <v>69326.756521739138</v>
      </c>
      <c r="S6" s="89">
        <f t="shared" si="2"/>
        <v>0.27868230094754864</v>
      </c>
      <c r="T6" s="485">
        <f t="shared" si="6"/>
        <v>25057.765217391305</v>
      </c>
      <c r="U6" s="89">
        <f t="shared" si="3"/>
        <v>0.10072814621287406</v>
      </c>
      <c r="V6" s="310">
        <v>8884.0499999999993</v>
      </c>
      <c r="W6" s="488"/>
      <c r="X6" s="483"/>
      <c r="Y6" s="310">
        <v>50909.34</v>
      </c>
      <c r="Z6" s="75">
        <f t="shared" si="7"/>
        <v>44268.99130434783</v>
      </c>
      <c r="AA6" s="487"/>
      <c r="AB6" s="310">
        <v>28816.43</v>
      </c>
      <c r="AC6" s="75">
        <f t="shared" si="8"/>
        <v>25057.765217391305</v>
      </c>
    </row>
    <row r="7" spans="1:29" ht="16.5" customHeight="1" x14ac:dyDescent="0.3">
      <c r="A7" s="492" t="s">
        <v>15</v>
      </c>
      <c r="B7" s="310">
        <v>283042.15000000002</v>
      </c>
      <c r="C7" s="310">
        <v>255099.92</v>
      </c>
      <c r="D7" s="489">
        <v>254835.6</v>
      </c>
      <c r="E7" s="86">
        <f t="shared" si="4"/>
        <v>0.10953445222562205</v>
      </c>
      <c r="F7" s="310">
        <v>666318.98</v>
      </c>
      <c r="G7" s="310">
        <v>279661.09999999998</v>
      </c>
      <c r="H7" s="467">
        <f t="shared" si="0"/>
        <v>1.2089811561207644E-2</v>
      </c>
      <c r="I7" s="86">
        <f t="shared" si="1"/>
        <v>0.11068528102039125</v>
      </c>
      <c r="J7">
        <v>751</v>
      </c>
      <c r="K7" s="84">
        <f>IFERROR(B7/J7,0)</f>
        <v>376.88701731025304</v>
      </c>
      <c r="L7" s="310">
        <v>31</v>
      </c>
      <c r="M7" s="310">
        <v>3765.25</v>
      </c>
      <c r="N7" s="479">
        <f>IFERROR(#REF!/J7,0)</f>
        <v>0</v>
      </c>
      <c r="O7" s="310">
        <v>81</v>
      </c>
      <c r="P7" s="310">
        <v>8512.35</v>
      </c>
      <c r="Q7" s="89">
        <f>IFERROR(#REF!/SUM(J7),0)</f>
        <v>0</v>
      </c>
      <c r="R7" s="485">
        <f t="shared" si="5"/>
        <v>47021.695652173919</v>
      </c>
      <c r="S7" s="89">
        <f t="shared" si="2"/>
        <v>0.16612965825822731</v>
      </c>
      <c r="T7" s="485">
        <f t="shared" si="6"/>
        <v>5037.347826086957</v>
      </c>
      <c r="U7" s="89">
        <f t="shared" si="3"/>
        <v>1.7797164931396107E-2</v>
      </c>
      <c r="V7" s="310">
        <v>4579.3500000000004</v>
      </c>
      <c r="W7" s="488"/>
      <c r="X7" s="483"/>
      <c r="Y7" s="310">
        <v>48282</v>
      </c>
      <c r="Z7" s="75">
        <f t="shared" si="7"/>
        <v>41984.34782608696</v>
      </c>
      <c r="AA7" s="487"/>
      <c r="AB7" s="310">
        <v>5792.95</v>
      </c>
      <c r="AC7" s="75">
        <f t="shared" si="8"/>
        <v>5037.347826086957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86">
        <f t="shared" si="4"/>
        <v>0</v>
      </c>
      <c r="F8" s="310">
        <v>52368.39</v>
      </c>
      <c r="G8" s="310">
        <v>145598.56</v>
      </c>
      <c r="H8" s="467">
        <f t="shared" si="0"/>
        <v>-1</v>
      </c>
      <c r="I8" s="86">
        <f t="shared" si="1"/>
        <v>-1</v>
      </c>
      <c r="J8" s="310"/>
      <c r="K8" s="84">
        <f>IFERROR(B8/J8,0)</f>
        <v>0</v>
      </c>
      <c r="L8" s="310"/>
      <c r="M8" s="310"/>
      <c r="N8" s="479">
        <f>IFERROR(M8/J8,0)</f>
        <v>0</v>
      </c>
      <c r="O8" s="479"/>
      <c r="P8" s="479"/>
      <c r="Q8" s="89">
        <f>IFERROR(P8/SUM(J8),0)</f>
        <v>0</v>
      </c>
      <c r="R8" s="485">
        <f t="shared" si="5"/>
        <v>0</v>
      </c>
      <c r="S8" s="89" t="e">
        <f t="shared" si="2"/>
        <v>#DIV/0!</v>
      </c>
      <c r="T8" s="485">
        <f t="shared" si="6"/>
        <v>0</v>
      </c>
      <c r="U8" s="89" t="e">
        <f t="shared" si="3"/>
        <v>#DIV/0!</v>
      </c>
      <c r="V8" s="310"/>
      <c r="W8" s="486"/>
      <c r="X8" s="483"/>
      <c r="Y8" s="75"/>
      <c r="Z8" s="75">
        <f t="shared" si="7"/>
        <v>0</v>
      </c>
      <c r="AA8" s="487"/>
      <c r="AB8" s="310"/>
      <c r="AC8" s="75">
        <f t="shared" si="8"/>
        <v>0</v>
      </c>
    </row>
    <row r="9" spans="1:29" ht="15.6" customHeight="1" x14ac:dyDescent="0.3">
      <c r="A9" s="492" t="s">
        <v>23</v>
      </c>
      <c r="B9" s="310">
        <v>238413.34</v>
      </c>
      <c r="C9" s="310">
        <v>193340.12</v>
      </c>
      <c r="D9" s="489">
        <v>243010.12</v>
      </c>
      <c r="E9" s="86">
        <f t="shared" si="4"/>
        <v>0.2331291611901348</v>
      </c>
      <c r="F9" s="310">
        <v>484964.82</v>
      </c>
      <c r="G9" s="310">
        <v>214919.99</v>
      </c>
      <c r="H9" s="467">
        <f t="shared" si="0"/>
        <v>0.10931207469347085</v>
      </c>
      <c r="I9" s="86">
        <f t="shared" si="1"/>
        <v>-1.8916002345910527E-2</v>
      </c>
      <c r="J9">
        <v>688</v>
      </c>
      <c r="K9" s="84">
        <f>IFERROR(B9/J9,0)</f>
        <v>346.53101744186046</v>
      </c>
      <c r="L9" s="310">
        <v>79</v>
      </c>
      <c r="M9" s="310">
        <v>6102.42</v>
      </c>
      <c r="N9" s="479">
        <f>IFERROR(M9/J9,0)</f>
        <v>8.8697965116279072</v>
      </c>
      <c r="O9" s="310">
        <v>144</v>
      </c>
      <c r="P9" s="310">
        <v>12365.07</v>
      </c>
      <c r="Q9" s="89">
        <f>IFERROR(P9/SUM(J9),0)</f>
        <v>17.972485465116279</v>
      </c>
      <c r="R9" s="485">
        <f t="shared" si="5"/>
        <v>59902.565217391311</v>
      </c>
      <c r="S9" s="89">
        <f t="shared" si="2"/>
        <v>0.25125509007755736</v>
      </c>
      <c r="T9" s="485">
        <f t="shared" si="6"/>
        <v>27926.878260869566</v>
      </c>
      <c r="U9" s="89">
        <f t="shared" si="3"/>
        <v>0.11713639119719377</v>
      </c>
      <c r="V9" s="310">
        <v>9138</v>
      </c>
      <c r="W9" s="488"/>
      <c r="X9" s="483"/>
      <c r="Y9" s="310">
        <v>36772.04</v>
      </c>
      <c r="Z9" s="75">
        <f t="shared" si="7"/>
        <v>31975.686956521742</v>
      </c>
      <c r="AA9" s="487"/>
      <c r="AB9" s="310">
        <v>32115.91</v>
      </c>
      <c r="AC9" s="75">
        <f t="shared" si="8"/>
        <v>27926.878260869566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4"/>
        <v>0</v>
      </c>
      <c r="F10" s="310"/>
      <c r="G10" s="310">
        <v>270660.21999999997</v>
      </c>
      <c r="H10" s="467">
        <f t="shared" si="0"/>
        <v>-1</v>
      </c>
      <c r="I10" s="86">
        <f>IFERROR((SUM(B11-D10)/D10),0)</f>
        <v>-0.32950098386700538</v>
      </c>
      <c r="J10" s="310"/>
      <c r="K10" s="84">
        <f>IFERROR(B11/J11,0)</f>
        <v>313.770293398533</v>
      </c>
      <c r="L10" s="310"/>
      <c r="M10" s="310"/>
      <c r="N10" s="479">
        <f>IFERROR(M10/J11,0)</f>
        <v>0</v>
      </c>
      <c r="O10" s="479"/>
      <c r="P10" s="479"/>
      <c r="Q10" s="89">
        <f>IFERROR(P11/SUM(J11),0)</f>
        <v>96.162493887530559</v>
      </c>
      <c r="R10" s="485">
        <f t="shared" si="5"/>
        <v>0</v>
      </c>
      <c r="S10" s="89">
        <f>SUM(R10/B11)</f>
        <v>0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75"/>
      <c r="Z10" s="75">
        <f t="shared" si="7"/>
        <v>0</v>
      </c>
      <c r="AA10" s="487"/>
      <c r="AB10" s="310"/>
      <c r="AC10" s="75">
        <f t="shared" si="8"/>
        <v>0</v>
      </c>
    </row>
    <row r="11" spans="1:29" ht="15.6" customHeight="1" x14ac:dyDescent="0.3">
      <c r="A11" s="492" t="s">
        <v>17</v>
      </c>
      <c r="B11" s="310">
        <v>128332.05</v>
      </c>
      <c r="C11" s="310">
        <v>106095.74</v>
      </c>
      <c r="D11" s="489">
        <v>86713.33</v>
      </c>
      <c r="E11" s="86">
        <f t="shared" si="4"/>
        <v>0.20958720868528743</v>
      </c>
      <c r="F11" s="310">
        <v>276609.68</v>
      </c>
      <c r="G11" s="310">
        <v>132052.69</v>
      </c>
      <c r="H11" s="467">
        <f t="shared" si="0"/>
        <v>-2.8175419978192034E-2</v>
      </c>
      <c r="I11" s="86">
        <f>IFERROR((SUM(#REF!-D11)/D11),0)</f>
        <v>0</v>
      </c>
      <c r="J11">
        <v>409</v>
      </c>
      <c r="K11" s="84">
        <f>IFERROR(B12/J12,0)</f>
        <v>323.02670868347337</v>
      </c>
      <c r="L11" s="310">
        <v>202</v>
      </c>
      <c r="M11" s="310">
        <v>19956.5</v>
      </c>
      <c r="N11" s="479">
        <f>IFERROR(M11/J12,0)</f>
        <v>27.950280112044819</v>
      </c>
      <c r="O11" s="310">
        <v>406</v>
      </c>
      <c r="P11" s="310">
        <v>39330.46</v>
      </c>
      <c r="Q11" s="89">
        <f>IFERROR(#REF!/SUM(J12),0)</f>
        <v>0</v>
      </c>
      <c r="R11" s="485">
        <f t="shared" si="5"/>
        <v>57253.182608695657</v>
      </c>
      <c r="S11" s="89">
        <f>SUM(R11/B12)</f>
        <v>0.24823498524653764</v>
      </c>
      <c r="T11" s="485">
        <f t="shared" si="6"/>
        <v>16305.426086956524</v>
      </c>
      <c r="U11" s="89">
        <f>SUM(T11/B12)</f>
        <v>7.0696108403228111E-2</v>
      </c>
      <c r="V11" s="310">
        <v>3221.6</v>
      </c>
      <c r="W11" s="488"/>
      <c r="X11" s="483"/>
      <c r="Y11" s="310">
        <v>47089.919999999998</v>
      </c>
      <c r="Z11" s="75">
        <f t="shared" si="7"/>
        <v>40947.756521739131</v>
      </c>
      <c r="AA11" s="487"/>
      <c r="AB11" s="310">
        <v>18751.240000000002</v>
      </c>
      <c r="AC11" s="75">
        <f t="shared" si="8"/>
        <v>16305.426086956524</v>
      </c>
    </row>
    <row r="12" spans="1:29" ht="15.6" customHeight="1" x14ac:dyDescent="0.3">
      <c r="A12" s="492" t="s">
        <v>55</v>
      </c>
      <c r="B12" s="310">
        <v>230641.07</v>
      </c>
      <c r="C12" s="310">
        <v>221165.64</v>
      </c>
      <c r="D12" s="489">
        <v>206751.49</v>
      </c>
      <c r="E12" s="86">
        <f t="shared" si="4"/>
        <v>4.284313784003696E-2</v>
      </c>
      <c r="F12" s="310">
        <v>504239.98</v>
      </c>
      <c r="G12" s="310">
        <v>192667.35</v>
      </c>
      <c r="H12" s="467">
        <f t="shared" si="0"/>
        <v>0.19709473348753695</v>
      </c>
      <c r="I12" s="86">
        <f>IFERROR((SUM(B12-D12)/D12),0)</f>
        <v>0.11554731721643223</v>
      </c>
      <c r="J12">
        <v>714</v>
      </c>
      <c r="K12" s="84">
        <f>IFERROR(B12/J12,0)</f>
        <v>323.02670868347337</v>
      </c>
      <c r="L12" s="310">
        <v>200</v>
      </c>
      <c r="M12" s="310">
        <v>18713.919999999998</v>
      </c>
      <c r="N12" s="479">
        <f>IFERROR(M12/J12,0)</f>
        <v>26.209971988795516</v>
      </c>
      <c r="O12" s="310">
        <v>418</v>
      </c>
      <c r="P12" s="310">
        <v>39247.360000000001</v>
      </c>
      <c r="Q12" s="89">
        <f>IFERROR(P12/SUM(J12),0)</f>
        <v>54.96829131652661</v>
      </c>
      <c r="R12" s="485">
        <f t="shared" si="5"/>
        <v>79053.521739130432</v>
      </c>
      <c r="S12" s="89">
        <f>SUM(R12/B12)</f>
        <v>0.34275561477030275</v>
      </c>
      <c r="T12" s="485">
        <f t="shared" si="6"/>
        <v>42996.495652173915</v>
      </c>
      <c r="U12" s="89">
        <f>SUM(T12/B12)</f>
        <v>0.18642167959147049</v>
      </c>
      <c r="V12" s="310">
        <v>6969</v>
      </c>
      <c r="W12" s="486"/>
      <c r="X12" s="483"/>
      <c r="Y12" s="310">
        <v>41465.58</v>
      </c>
      <c r="Z12" s="75">
        <f t="shared" si="7"/>
        <v>36057.026086956525</v>
      </c>
      <c r="AA12" s="487"/>
      <c r="AB12" s="310">
        <v>49445.97</v>
      </c>
      <c r="AC12" s="75">
        <f t="shared" si="8"/>
        <v>42996.495652173915</v>
      </c>
    </row>
    <row r="13" spans="1:29" ht="15.6" customHeight="1" x14ac:dyDescent="0.3">
      <c r="A13" s="492" t="s">
        <v>33</v>
      </c>
      <c r="B13" s="310">
        <v>170480.68</v>
      </c>
      <c r="C13" s="310">
        <v>172931.57</v>
      </c>
      <c r="D13" s="489"/>
      <c r="E13" s="86">
        <f t="shared" si="4"/>
        <v>-1.4172600179365826E-2</v>
      </c>
      <c r="F13" s="310">
        <v>396776.37</v>
      </c>
      <c r="G13" s="310">
        <v>155494.29999999999</v>
      </c>
      <c r="H13" s="467">
        <f t="shared" si="0"/>
        <v>9.63789669460553E-2</v>
      </c>
      <c r="I13" s="86">
        <f>IFERROR((SUM(B13-D13)/D13),0)</f>
        <v>0</v>
      </c>
      <c r="J13" s="310"/>
      <c r="K13" s="84">
        <f>IFERROR(B13/J13,0)</f>
        <v>0</v>
      </c>
      <c r="L13" s="310">
        <v>96</v>
      </c>
      <c r="M13" s="310">
        <v>8167.32</v>
      </c>
      <c r="N13" s="479">
        <f>IFERROR(M13/J13,0)</f>
        <v>0</v>
      </c>
      <c r="O13" s="310">
        <v>248</v>
      </c>
      <c r="P13" s="310">
        <v>20893.46</v>
      </c>
      <c r="Q13" s="89">
        <f>IFERROR(P13/SUM(J13),0)</f>
        <v>0</v>
      </c>
      <c r="R13" s="485">
        <f t="shared" si="5"/>
        <v>50779.860869565222</v>
      </c>
      <c r="S13" s="89">
        <f>SUM(R13/B13)</f>
        <v>0.29786284797529683</v>
      </c>
      <c r="T13" s="485">
        <f t="shared" si="6"/>
        <v>27138.365217391307</v>
      </c>
      <c r="U13" s="89">
        <f>SUM(T13/B13)</f>
        <v>0.1591873355819047</v>
      </c>
      <c r="V13" s="310">
        <v>555</v>
      </c>
      <c r="W13" s="486"/>
      <c r="X13" s="483"/>
      <c r="Y13" s="310">
        <v>27187.72</v>
      </c>
      <c r="Z13" s="75">
        <f t="shared" si="7"/>
        <v>23641.495652173915</v>
      </c>
      <c r="AA13" s="487"/>
      <c r="AB13" s="310">
        <v>31209.119999999999</v>
      </c>
      <c r="AC13" s="75">
        <f t="shared" si="8"/>
        <v>27138.365217391307</v>
      </c>
    </row>
    <row r="14" spans="1:29" ht="15.6" customHeight="1" x14ac:dyDescent="0.3">
      <c r="A14" s="492" t="s">
        <v>20</v>
      </c>
      <c r="B14" s="310">
        <v>140702.34</v>
      </c>
      <c r="C14" s="310">
        <v>144683.57999999999</v>
      </c>
      <c r="D14" s="489">
        <v>144600.03</v>
      </c>
      <c r="E14" s="86">
        <f t="shared" si="4"/>
        <v>-2.7516875100823405E-2</v>
      </c>
      <c r="F14" s="310">
        <v>325015.08</v>
      </c>
      <c r="G14" s="310">
        <v>140253.71</v>
      </c>
      <c r="H14" s="467">
        <f t="shared" si="0"/>
        <v>3.198703264248801E-3</v>
      </c>
      <c r="I14" s="86">
        <f>IFERROR((SUM(B14-D14)/D14),0)</f>
        <v>-2.6954973660793864E-2</v>
      </c>
      <c r="J14">
        <v>425</v>
      </c>
      <c r="K14" s="84">
        <f>IFERROR(B14/J14,0)</f>
        <v>331.06432941176467</v>
      </c>
      <c r="L14" s="310">
        <v>84</v>
      </c>
      <c r="M14" s="310">
        <v>8469.16</v>
      </c>
      <c r="N14" s="479">
        <f>IFERROR(M14/J14,0)</f>
        <v>19.927435294117647</v>
      </c>
      <c r="O14" s="310">
        <v>173</v>
      </c>
      <c r="P14" s="310">
        <v>18095.86</v>
      </c>
      <c r="Q14" s="89">
        <f>IFERROR(P14/SUM(J14),0)</f>
        <v>42.578494117647061</v>
      </c>
      <c r="R14" s="485">
        <f t="shared" si="5"/>
        <v>61437.660869565225</v>
      </c>
      <c r="S14" s="89">
        <f>SUM(R14/B14)</f>
        <v>0.4366498870563576</v>
      </c>
      <c r="T14" s="485">
        <f t="shared" si="6"/>
        <v>20156.956521739132</v>
      </c>
      <c r="U14" s="89">
        <f>SUM(T14/B14)</f>
        <v>0.14325956854547786</v>
      </c>
      <c r="V14" s="310">
        <v>4298.3500000000004</v>
      </c>
      <c r="W14" s="488"/>
      <c r="X14" s="483"/>
      <c r="Y14" s="310">
        <v>47472.81</v>
      </c>
      <c r="Z14" s="75">
        <f t="shared" si="7"/>
        <v>41280.704347826089</v>
      </c>
      <c r="AA14" s="487"/>
      <c r="AB14" s="310">
        <v>23180.5</v>
      </c>
      <c r="AC14" s="75">
        <f t="shared" si="8"/>
        <v>20156.956521739132</v>
      </c>
    </row>
    <row r="15" spans="1:29" ht="15.6" customHeight="1" x14ac:dyDescent="0.3">
      <c r="A15" s="432" t="s">
        <v>22</v>
      </c>
      <c r="B15" s="310">
        <v>143628.35</v>
      </c>
      <c r="C15" s="310">
        <v>126682.94</v>
      </c>
      <c r="D15" s="489">
        <v>152846.04</v>
      </c>
      <c r="E15" s="86">
        <f t="shared" si="4"/>
        <v>0.13376236768739344</v>
      </c>
      <c r="F15" s="310">
        <v>304186.34999999998</v>
      </c>
      <c r="G15" s="310">
        <v>129577.45</v>
      </c>
      <c r="H15" s="467">
        <f t="shared" si="0"/>
        <v>0.10843630585414367</v>
      </c>
      <c r="I15" s="86">
        <f>IFERROR((SUM(B15-D15)/D15),0)</f>
        <v>-6.0307025291594089E-2</v>
      </c>
      <c r="J15">
        <v>457</v>
      </c>
      <c r="K15" s="84">
        <f>IFERROR(B15/J15,0)</f>
        <v>314.2852297592998</v>
      </c>
      <c r="L15" s="310">
        <v>62</v>
      </c>
      <c r="M15" s="310">
        <v>4993.55</v>
      </c>
      <c r="N15" s="479">
        <f>IFERROR(M15/J15,0)</f>
        <v>10.926805251641138</v>
      </c>
      <c r="O15" s="310">
        <v>101</v>
      </c>
      <c r="P15" s="310">
        <v>8604.84</v>
      </c>
      <c r="Q15" s="89">
        <f>IFERROR(P15/SUM(J15),0)</f>
        <v>18.828971553610504</v>
      </c>
      <c r="R15" s="485">
        <f t="shared" si="5"/>
        <v>43606.165217391303</v>
      </c>
      <c r="S15" s="89">
        <f>SUM(R15/B15)</f>
        <v>0.30360416461925033</v>
      </c>
      <c r="T15" s="485">
        <f t="shared" si="6"/>
        <v>23146.08695652174</v>
      </c>
      <c r="U15" s="89">
        <f>SUM(T15/B15)</f>
        <v>0.16115263425724613</v>
      </c>
      <c r="V15" s="310">
        <v>6439.4</v>
      </c>
      <c r="W15" s="488"/>
      <c r="X15" s="483"/>
      <c r="Y15" s="310">
        <v>23529.09</v>
      </c>
      <c r="Z15" s="75">
        <f t="shared" si="7"/>
        <v>20460.078260869566</v>
      </c>
      <c r="AA15" s="487"/>
      <c r="AB15" s="310">
        <v>26618</v>
      </c>
      <c r="AC15" s="75">
        <f t="shared" si="8"/>
        <v>23146.08695652174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15" priority="2" operator="equal">
      <formula>0</formula>
    </cfRule>
  </conditionalFormatting>
  <conditionalFormatting sqref="R12:R13">
    <cfRule type="cellIs" dxfId="1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AC49"/>
  <sheetViews>
    <sheetView zoomScale="60" zoomScaleNormal="60" workbookViewId="0">
      <pane xSplit="1" topLeftCell="G1" activePane="topRight" state="frozen"/>
      <selection pane="topRight" activeCell="X14" sqref="X14"/>
    </sheetView>
  </sheetViews>
  <sheetFormatPr defaultRowHeight="14.4" x14ac:dyDescent="0.3"/>
  <cols>
    <col min="1" max="1" width="23" customWidth="1"/>
    <col min="2" max="2" width="30.55468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-0.13141973467812096</v>
      </c>
      <c r="F2" s="426"/>
      <c r="G2" s="1"/>
      <c r="H2" s="427"/>
      <c r="I2" s="422">
        <f>((B4-D4)/D4)</f>
        <v>-0.102163502303893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1697100.9</v>
      </c>
      <c r="C4" s="468">
        <f>SUM(C5:C15)</f>
        <v>1920133.4500000002</v>
      </c>
      <c r="D4" s="468">
        <f>SUM(D5:D15)</f>
        <v>1890211.53</v>
      </c>
      <c r="E4" s="472">
        <f>IFERROR((SUM(B4-C4)/B4),0)</f>
        <v>-0.13141973467812096</v>
      </c>
      <c r="F4" s="465">
        <f>SUM(F5:F15)</f>
        <v>6061273.4500000002</v>
      </c>
      <c r="G4" s="468">
        <f>SUM(G5:G15)</f>
        <v>2096578.7400000005</v>
      </c>
      <c r="H4" s="436">
        <f t="shared" ref="H4:H15" si="0">IFERROR((SUM(B4-G4)/G4),0)</f>
        <v>-0.19053796186066471</v>
      </c>
      <c r="I4" s="436">
        <f t="shared" ref="I4:I9" si="1">IFERROR((SUM(B4-D4)/D4),0)</f>
        <v>-0.102163502303893</v>
      </c>
      <c r="J4" s="480">
        <f>SUM(J5:J15)</f>
        <v>5192</v>
      </c>
      <c r="K4" s="474">
        <f>AVERAGE(K5:K15)</f>
        <v>292.58738601621531</v>
      </c>
      <c r="L4" s="474">
        <f>SUM(L6:L15)</f>
        <v>798</v>
      </c>
      <c r="M4" s="439">
        <f>SUM(M5:M15)</f>
        <v>73629.279999999999</v>
      </c>
      <c r="N4" s="442">
        <f>IFERROR(M4/J4,0)</f>
        <v>14.181294298921417</v>
      </c>
      <c r="O4" s="473">
        <f>SUM(O6:O15)</f>
        <v>2528</v>
      </c>
      <c r="P4" s="475">
        <f>SUM(P7:P15)</f>
        <v>208648.61</v>
      </c>
      <c r="Q4" s="442">
        <f>IFERROR(P4/SUM(J4),0)</f>
        <v>40.18655816640986</v>
      </c>
      <c r="R4" s="455">
        <f>SUM(R5:R15)</f>
        <v>456315.08695652179</v>
      </c>
      <c r="S4" s="442">
        <f t="shared" ref="S4:S9" si="2">SUM(R4/B4)</f>
        <v>0.2688791732751552</v>
      </c>
      <c r="T4" s="455">
        <f>SUM(T5:T15)</f>
        <v>189481.48695652175</v>
      </c>
      <c r="U4" s="442">
        <f t="shared" ref="U4:U9" si="3">SUM(T4/B4)</f>
        <v>0.11165010103790633</v>
      </c>
      <c r="V4" s="481">
        <f>SUM(V5:V15)</f>
        <v>51812.759999999995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245552.6</v>
      </c>
      <c r="C5" s="310">
        <v>336127.2</v>
      </c>
      <c r="D5" s="489">
        <v>166877.21</v>
      </c>
      <c r="E5" s="86">
        <f t="shared" ref="E5:E15" si="4">IFERROR((SUM(B5-C5)/C5),0)</f>
        <v>-0.26946525006009631</v>
      </c>
      <c r="F5" s="310">
        <v>1043717.42</v>
      </c>
      <c r="G5" s="310">
        <v>233558.86</v>
      </c>
      <c r="H5" s="467">
        <f t="shared" si="0"/>
        <v>5.1352108843141384E-2</v>
      </c>
      <c r="I5" s="86">
        <f t="shared" si="1"/>
        <v>0.4714567675238579</v>
      </c>
      <c r="J5" s="310">
        <v>705</v>
      </c>
      <c r="K5" s="84">
        <f>IFERROR(B5/J5,0)</f>
        <v>348.30156028368793</v>
      </c>
      <c r="L5" s="479"/>
      <c r="M5" s="479"/>
      <c r="N5" s="479">
        <f>IFERROR(M5/J5,0)</f>
        <v>0</v>
      </c>
      <c r="O5" s="479"/>
      <c r="P5" s="479"/>
      <c r="Q5" s="89">
        <f>IFERROR(P5/SUM(J5),0)</f>
        <v>0</v>
      </c>
      <c r="R5" s="485">
        <f t="shared" ref="R5:R15" si="5">SUM(Z5+AC5)</f>
        <v>23000.26086956522</v>
      </c>
      <c r="S5" s="89">
        <f t="shared" si="2"/>
        <v>9.3667348134636813E-2</v>
      </c>
      <c r="T5" s="485">
        <f t="shared" ref="T5:T15" si="6">SUM(AC5)</f>
        <v>23000.26086956522</v>
      </c>
      <c r="U5" s="89">
        <f t="shared" si="3"/>
        <v>9.3667348134636813E-2</v>
      </c>
      <c r="V5" s="310">
        <v>3434.7</v>
      </c>
      <c r="W5" s="486"/>
      <c r="X5" s="483"/>
      <c r="Y5" s="75">
        <v>0</v>
      </c>
      <c r="Z5" s="75">
        <f t="shared" ref="Z5:Z15" si="7">Y5/1.15</f>
        <v>0</v>
      </c>
      <c r="AA5" s="487"/>
      <c r="AB5" s="310">
        <v>26450.3</v>
      </c>
      <c r="AC5" s="75">
        <f t="shared" ref="AC5:AC15" si="8">SUM(AB5)/1.15</f>
        <v>23000.26086956522</v>
      </c>
    </row>
    <row r="6" spans="1:29" ht="15.6" customHeight="1" x14ac:dyDescent="0.3">
      <c r="A6" s="492" t="s">
        <v>21</v>
      </c>
      <c r="B6" s="310">
        <v>227209.77</v>
      </c>
      <c r="C6" s="310">
        <v>248766.27</v>
      </c>
      <c r="D6" s="489">
        <v>317233.91999999998</v>
      </c>
      <c r="E6" s="86">
        <f t="shared" si="4"/>
        <v>-8.6653628725469903E-2</v>
      </c>
      <c r="F6" s="310">
        <v>759931.78</v>
      </c>
      <c r="G6" s="310">
        <v>240257.2</v>
      </c>
      <c r="H6" s="467">
        <f t="shared" si="0"/>
        <v>-5.4306093636319837E-2</v>
      </c>
      <c r="I6" s="86">
        <f t="shared" si="1"/>
        <v>-0.28377844966893828</v>
      </c>
      <c r="J6" s="310">
        <v>629</v>
      </c>
      <c r="K6" s="84">
        <f>IFERROR(B6/J6,0)</f>
        <v>361.22379968203495</v>
      </c>
      <c r="L6" s="310">
        <v>100</v>
      </c>
      <c r="M6" s="310">
        <v>10318</v>
      </c>
      <c r="N6" s="479">
        <f>IFERROR(O7/J6,0)</f>
        <v>0.2066772655007949</v>
      </c>
      <c r="O6" s="310">
        <v>290</v>
      </c>
      <c r="P6" s="310">
        <v>28815.23</v>
      </c>
      <c r="Q6" s="89">
        <f>IFERROR(P6/SUM(J6),0)</f>
        <v>45.811176470588236</v>
      </c>
      <c r="R6" s="485">
        <f t="shared" si="5"/>
        <v>60672.547826086964</v>
      </c>
      <c r="S6" s="89">
        <f t="shared" si="2"/>
        <v>0.26703318183054792</v>
      </c>
      <c r="T6" s="485">
        <f t="shared" si="6"/>
        <v>19340.965217391305</v>
      </c>
      <c r="U6" s="89">
        <f t="shared" si="3"/>
        <v>8.5123827278163727E-2</v>
      </c>
      <c r="V6" s="310">
        <v>5693.85</v>
      </c>
      <c r="W6" s="488"/>
      <c r="X6" s="483"/>
      <c r="Y6" s="310">
        <v>47531.32</v>
      </c>
      <c r="Z6" s="75">
        <f t="shared" si="7"/>
        <v>41331.582608695659</v>
      </c>
      <c r="AA6" s="487"/>
      <c r="AB6" s="310">
        <v>22242.11</v>
      </c>
      <c r="AC6" s="75">
        <f t="shared" si="8"/>
        <v>19340.965217391305</v>
      </c>
    </row>
    <row r="7" spans="1:29" ht="16.5" customHeight="1" x14ac:dyDescent="0.3">
      <c r="A7" s="492" t="s">
        <v>15</v>
      </c>
      <c r="B7" s="310">
        <v>252535.33</v>
      </c>
      <c r="C7" s="310">
        <v>283042.15000000002</v>
      </c>
      <c r="D7" s="489">
        <v>254835.6</v>
      </c>
      <c r="E7" s="86">
        <f t="shared" si="4"/>
        <v>-0.10778189750183863</v>
      </c>
      <c r="F7" s="310">
        <v>918854.31</v>
      </c>
      <c r="G7" s="310">
        <v>262360.31</v>
      </c>
      <c r="H7" s="467">
        <f t="shared" si="0"/>
        <v>-3.7448423505826819E-2</v>
      </c>
      <c r="I7" s="86">
        <f t="shared" si="1"/>
        <v>-9.0264860953493883E-3</v>
      </c>
      <c r="J7" s="310">
        <v>697</v>
      </c>
      <c r="K7" s="84">
        <f>IFERROR(B7/J7,0)</f>
        <v>362.31754662840746</v>
      </c>
      <c r="L7" s="310">
        <v>49</v>
      </c>
      <c r="M7" s="310">
        <v>5299.45</v>
      </c>
      <c r="N7" s="479">
        <f>IFERROR(#REF!/J7,0)</f>
        <v>0</v>
      </c>
      <c r="O7" s="310">
        <v>130</v>
      </c>
      <c r="P7" s="310">
        <v>13811.8</v>
      </c>
      <c r="Q7" s="89">
        <f>IFERROR(#REF!/SUM(J7),0)</f>
        <v>0</v>
      </c>
      <c r="R7" s="485">
        <f t="shared" si="5"/>
        <v>43938.347826086952</v>
      </c>
      <c r="S7" s="89">
        <f t="shared" si="2"/>
        <v>0.17398891405050912</v>
      </c>
      <c r="T7" s="485">
        <f t="shared" si="6"/>
        <v>3155.6521739130435</v>
      </c>
      <c r="U7" s="89">
        <f t="shared" si="3"/>
        <v>1.2495883937954517E-2</v>
      </c>
      <c r="V7" s="310">
        <v>6399.45</v>
      </c>
      <c r="W7" s="488"/>
      <c r="X7" s="483"/>
      <c r="Y7" s="310">
        <v>46900.1</v>
      </c>
      <c r="Z7" s="75">
        <f t="shared" si="7"/>
        <v>40782.695652173912</v>
      </c>
      <c r="AA7" s="487"/>
      <c r="AB7" s="310">
        <v>3629</v>
      </c>
      <c r="AC7" s="75">
        <f t="shared" si="8"/>
        <v>3155.6521739130435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86">
        <f t="shared" si="4"/>
        <v>0</v>
      </c>
      <c r="F8" s="310">
        <v>52368.39</v>
      </c>
      <c r="G8" s="310">
        <v>151370.57999999999</v>
      </c>
      <c r="H8" s="467">
        <f t="shared" si="0"/>
        <v>-1</v>
      </c>
      <c r="I8" s="86">
        <f t="shared" si="1"/>
        <v>-1</v>
      </c>
      <c r="J8" s="310"/>
      <c r="K8" s="84">
        <f>IFERROR(B8/J8,0)</f>
        <v>0</v>
      </c>
      <c r="L8" s="310"/>
      <c r="M8" s="310"/>
      <c r="N8" s="479">
        <f>IFERROR(M8/J8,0)</f>
        <v>0</v>
      </c>
      <c r="O8" s="479"/>
      <c r="P8" s="479"/>
      <c r="Q8" s="89">
        <f>IFERROR(P8/SUM(J8),0)</f>
        <v>0</v>
      </c>
      <c r="R8" s="485">
        <f t="shared" si="5"/>
        <v>0</v>
      </c>
      <c r="S8" s="89" t="e">
        <f t="shared" si="2"/>
        <v>#DIV/0!</v>
      </c>
      <c r="T8" s="485">
        <f t="shared" si="6"/>
        <v>0</v>
      </c>
      <c r="U8" s="89" t="e">
        <f t="shared" si="3"/>
        <v>#DIV/0!</v>
      </c>
      <c r="V8" s="310"/>
      <c r="W8" s="486"/>
      <c r="X8" s="483"/>
      <c r="Y8" s="75"/>
      <c r="Z8" s="75">
        <f t="shared" si="7"/>
        <v>0</v>
      </c>
      <c r="AA8" s="487"/>
      <c r="AB8" s="313"/>
      <c r="AC8" s="75">
        <f t="shared" si="8"/>
        <v>0</v>
      </c>
    </row>
    <row r="9" spans="1:29" ht="15.6" customHeight="1" x14ac:dyDescent="0.3">
      <c r="A9" s="492" t="s">
        <v>23</v>
      </c>
      <c r="B9" s="310">
        <v>178117.45</v>
      </c>
      <c r="C9" s="310">
        <v>238413.34</v>
      </c>
      <c r="D9" s="489">
        <v>243010.12</v>
      </c>
      <c r="E9" s="86">
        <f t="shared" si="4"/>
        <v>-0.25290485003901203</v>
      </c>
      <c r="F9" s="310">
        <v>685888.34</v>
      </c>
      <c r="G9" s="310">
        <v>193389.34</v>
      </c>
      <c r="H9" s="467">
        <f t="shared" si="0"/>
        <v>-7.896965778982433E-2</v>
      </c>
      <c r="I9" s="86">
        <f t="shared" si="1"/>
        <v>-0.26703690364829247</v>
      </c>
      <c r="J9" s="310">
        <v>597</v>
      </c>
      <c r="K9" s="84">
        <f>IFERROR(B9/J9,0)</f>
        <v>298.35418760469014</v>
      </c>
      <c r="L9" s="310">
        <v>100</v>
      </c>
      <c r="M9" s="310">
        <v>6882.06</v>
      </c>
      <c r="N9" s="479">
        <f>IFERROR(M9/J9,0)</f>
        <v>11.527738693467338</v>
      </c>
      <c r="O9" s="310">
        <v>213</v>
      </c>
      <c r="P9" s="310">
        <v>17535.060000000001</v>
      </c>
      <c r="Q9" s="89">
        <f>IFERROR(P9/SUM(J9),0)</f>
        <v>29.371959798994975</v>
      </c>
      <c r="R9" s="485">
        <f t="shared" si="5"/>
        <v>49835.947826086966</v>
      </c>
      <c r="S9" s="89">
        <f t="shared" si="2"/>
        <v>0.27979261900553237</v>
      </c>
      <c r="T9" s="485">
        <f t="shared" si="6"/>
        <v>25149.469565217394</v>
      </c>
      <c r="U9" s="89">
        <f t="shared" si="3"/>
        <v>0.14119598930490748</v>
      </c>
      <c r="V9" s="310">
        <v>5782</v>
      </c>
      <c r="W9" s="488"/>
      <c r="X9" s="483"/>
      <c r="Y9" s="310">
        <v>28389.45</v>
      </c>
      <c r="Z9" s="75">
        <f t="shared" si="7"/>
        <v>24686.478260869568</v>
      </c>
      <c r="AA9" s="487"/>
      <c r="AB9" s="310">
        <v>28921.89</v>
      </c>
      <c r="AC9" s="75">
        <f t="shared" si="8"/>
        <v>25149.469565217394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86">
        <f t="shared" si="4"/>
        <v>0</v>
      </c>
      <c r="F10" s="310"/>
      <c r="G10" s="310">
        <v>288431.05</v>
      </c>
      <c r="H10" s="467">
        <f t="shared" si="0"/>
        <v>-1</v>
      </c>
      <c r="I10" s="86">
        <f>IFERROR((SUM(B11-D10)/D10),0)</f>
        <v>-0.20541785690140044</v>
      </c>
      <c r="J10" s="310"/>
      <c r="K10" s="84">
        <f>IFERROR(B11/J11,0)</f>
        <v>337.20906873614194</v>
      </c>
      <c r="L10" s="310"/>
      <c r="M10" s="310"/>
      <c r="N10" s="479">
        <f>IFERROR(M10/J11,0)</f>
        <v>0</v>
      </c>
      <c r="O10" s="479"/>
      <c r="P10" s="479"/>
      <c r="Q10" s="89">
        <f>IFERROR(P11/SUM(J11),0)</f>
        <v>120.84141906873614</v>
      </c>
      <c r="R10" s="485">
        <f t="shared" si="5"/>
        <v>0</v>
      </c>
      <c r="S10" s="89">
        <f>SUM(R10/B11)</f>
        <v>0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75"/>
      <c r="Z10" s="75">
        <f t="shared" si="7"/>
        <v>0</v>
      </c>
      <c r="AA10" s="487"/>
      <c r="AB10" s="313"/>
      <c r="AC10" s="75">
        <f t="shared" si="8"/>
        <v>0</v>
      </c>
    </row>
    <row r="11" spans="1:29" ht="15.6" customHeight="1" x14ac:dyDescent="0.3">
      <c r="A11" s="492" t="s">
        <v>17</v>
      </c>
      <c r="B11" s="310">
        <v>152081.29</v>
      </c>
      <c r="C11" s="310">
        <v>128332.05</v>
      </c>
      <c r="D11" s="489">
        <v>86713.33</v>
      </c>
      <c r="E11" s="86">
        <f t="shared" si="4"/>
        <v>0.18506086359564897</v>
      </c>
      <c r="F11" s="310">
        <v>428690.97</v>
      </c>
      <c r="G11" s="310">
        <v>131691.29999999999</v>
      </c>
      <c r="H11" s="467">
        <f t="shared" si="0"/>
        <v>0.15483171629409095</v>
      </c>
      <c r="I11" s="86">
        <f>IFERROR((SUM(#REF!-D11)/D11),0)</f>
        <v>0</v>
      </c>
      <c r="J11" s="310">
        <v>451</v>
      </c>
      <c r="K11" s="84">
        <f>IFERROR(B12/J12,0)</f>
        <v>292.55061011904763</v>
      </c>
      <c r="L11" s="310">
        <v>161</v>
      </c>
      <c r="M11" s="310">
        <v>15169.02</v>
      </c>
      <c r="N11" s="479">
        <f>IFERROR(M11/J12,0)</f>
        <v>22.572946428571431</v>
      </c>
      <c r="O11" s="310">
        <v>567</v>
      </c>
      <c r="P11" s="310">
        <v>54499.48</v>
      </c>
      <c r="Q11" s="89">
        <f>IFERROR(#REF!/SUM(J12),0)</f>
        <v>0</v>
      </c>
      <c r="R11" s="485">
        <f t="shared" si="5"/>
        <v>64411.382608695654</v>
      </c>
      <c r="S11" s="89">
        <f>SUM(R11/B12)</f>
        <v>0.32763654705804951</v>
      </c>
      <c r="T11" s="485">
        <f t="shared" si="6"/>
        <v>27192.321739130435</v>
      </c>
      <c r="U11" s="89">
        <f>SUM(T11/B12)</f>
        <v>0.13831714272032211</v>
      </c>
      <c r="V11" s="310">
        <v>6417.74</v>
      </c>
      <c r="W11" s="488"/>
      <c r="X11" s="483"/>
      <c r="Y11" s="310">
        <v>42801.919999999998</v>
      </c>
      <c r="Z11" s="75">
        <f t="shared" si="7"/>
        <v>37219.060869565219</v>
      </c>
      <c r="AA11" s="487"/>
      <c r="AB11" s="310">
        <v>31271.17</v>
      </c>
      <c r="AC11" s="75">
        <f t="shared" si="8"/>
        <v>27192.321739130435</v>
      </c>
    </row>
    <row r="12" spans="1:29" ht="15.6" customHeight="1" x14ac:dyDescent="0.3">
      <c r="A12" s="492" t="s">
        <v>55</v>
      </c>
      <c r="B12" s="310">
        <v>196594.01</v>
      </c>
      <c r="C12" s="310">
        <v>230641.07</v>
      </c>
      <c r="D12" s="489">
        <v>206751.49</v>
      </c>
      <c r="E12" s="86">
        <f t="shared" si="4"/>
        <v>-0.1476192423144759</v>
      </c>
      <c r="F12" s="310">
        <v>700833.99</v>
      </c>
      <c r="G12" s="310">
        <v>171116.79</v>
      </c>
      <c r="H12" s="467">
        <f t="shared" si="0"/>
        <v>0.14888790281771883</v>
      </c>
      <c r="I12" s="86">
        <f>IFERROR((SUM(B12-D12)/D12),0)</f>
        <v>-4.912893251700378E-2</v>
      </c>
      <c r="J12" s="310">
        <v>672</v>
      </c>
      <c r="K12" s="84">
        <f>IFERROR(B12/J12,0)</f>
        <v>292.55061011904763</v>
      </c>
      <c r="L12" s="310">
        <v>218</v>
      </c>
      <c r="M12" s="310">
        <v>19760.099999999999</v>
      </c>
      <c r="N12" s="479">
        <f>IFERROR(M12/J12,0)</f>
        <v>29.404910714285712</v>
      </c>
      <c r="O12" s="310">
        <v>636</v>
      </c>
      <c r="P12" s="310">
        <v>59007.46</v>
      </c>
      <c r="Q12" s="89">
        <f>IFERROR(P12/SUM(J12),0)</f>
        <v>87.808720238095233</v>
      </c>
      <c r="R12" s="485">
        <f t="shared" si="5"/>
        <v>67281.426086956533</v>
      </c>
      <c r="S12" s="89">
        <f>SUM(R12/B12)</f>
        <v>0.34223538187636809</v>
      </c>
      <c r="T12" s="485">
        <f t="shared" si="6"/>
        <v>28180.791304347829</v>
      </c>
      <c r="U12" s="89">
        <f>SUM(T12/B12)</f>
        <v>0.14334511669174371</v>
      </c>
      <c r="V12" s="310">
        <v>6717.54</v>
      </c>
      <c r="W12" s="486"/>
      <c r="X12" s="483"/>
      <c r="Y12" s="310">
        <v>44965.73</v>
      </c>
      <c r="Z12" s="75">
        <f t="shared" si="7"/>
        <v>39100.6347826087</v>
      </c>
      <c r="AA12" s="487"/>
      <c r="AB12" s="310">
        <v>32407.91</v>
      </c>
      <c r="AC12" s="75">
        <f t="shared" si="8"/>
        <v>28180.791304347829</v>
      </c>
    </row>
    <row r="13" spans="1:29" ht="15.6" customHeight="1" x14ac:dyDescent="0.3">
      <c r="A13" s="492" t="s">
        <v>33</v>
      </c>
      <c r="B13" s="310">
        <v>161398.59</v>
      </c>
      <c r="C13" s="310">
        <v>170480.68</v>
      </c>
      <c r="D13" s="489"/>
      <c r="E13" s="86">
        <f t="shared" si="4"/>
        <v>-5.3273426642831301E-2</v>
      </c>
      <c r="F13" s="310">
        <v>558174.96</v>
      </c>
      <c r="G13" s="310">
        <v>155532.37</v>
      </c>
      <c r="H13" s="467">
        <f t="shared" si="0"/>
        <v>3.7717036009931572E-2</v>
      </c>
      <c r="I13" s="86">
        <f>IFERROR((SUM(B13-D13)/D13),0)</f>
        <v>0</v>
      </c>
      <c r="J13" s="310">
        <v>512</v>
      </c>
      <c r="K13" s="84">
        <f>IFERROR(B13/J13,0)</f>
        <v>315.23162109374999</v>
      </c>
      <c r="L13" s="310">
        <v>63</v>
      </c>
      <c r="M13" s="310">
        <v>6433.47</v>
      </c>
      <c r="N13" s="479">
        <f>IFERROR(M13/J13,0)</f>
        <v>12.56537109375</v>
      </c>
      <c r="O13" s="310">
        <v>311</v>
      </c>
      <c r="P13" s="310">
        <v>27326.93</v>
      </c>
      <c r="Q13" s="89">
        <f>IFERROR(P13/SUM(J13),0)</f>
        <v>53.372910156250001</v>
      </c>
      <c r="R13" s="485">
        <f t="shared" si="5"/>
        <v>42052.6347826087</v>
      </c>
      <c r="S13" s="89">
        <f>SUM(R13/B13)</f>
        <v>0.26055143841472655</v>
      </c>
      <c r="T13" s="485">
        <f t="shared" si="6"/>
        <v>20725.678260869565</v>
      </c>
      <c r="U13" s="89">
        <f>SUM(T13/B13)</f>
        <v>0.12841300695916591</v>
      </c>
      <c r="V13" s="310">
        <v>6402.85</v>
      </c>
      <c r="W13" s="486"/>
      <c r="X13" s="483"/>
      <c r="Y13" s="310">
        <v>24526</v>
      </c>
      <c r="Z13" s="75">
        <f t="shared" si="7"/>
        <v>21326.956521739132</v>
      </c>
      <c r="AA13" s="487"/>
      <c r="AB13" s="310">
        <v>23834.53</v>
      </c>
      <c r="AC13" s="75">
        <f t="shared" si="8"/>
        <v>20725.678260869565</v>
      </c>
    </row>
    <row r="14" spans="1:29" ht="15.6" customHeight="1" x14ac:dyDescent="0.3">
      <c r="A14" s="492" t="s">
        <v>20</v>
      </c>
      <c r="B14" s="310">
        <v>139638.43</v>
      </c>
      <c r="C14" s="310">
        <v>140702.34</v>
      </c>
      <c r="D14" s="489">
        <v>144600.03</v>
      </c>
      <c r="E14" s="86">
        <f t="shared" si="4"/>
        <v>-7.5614236408577395E-3</v>
      </c>
      <c r="F14" s="310">
        <v>464653.51</v>
      </c>
      <c r="G14" s="310">
        <v>157170.6</v>
      </c>
      <c r="H14" s="467">
        <f t="shared" si="0"/>
        <v>-0.11154866113637037</v>
      </c>
      <c r="I14" s="86">
        <f>IFERROR((SUM(B14-D14)/D14),0)</f>
        <v>-3.431257932657418E-2</v>
      </c>
      <c r="J14" s="310">
        <v>469</v>
      </c>
      <c r="K14" s="84">
        <f>IFERROR(B14/J14,0)</f>
        <v>297.73652452025584</v>
      </c>
      <c r="L14" s="310">
        <v>74</v>
      </c>
      <c r="M14" s="310">
        <v>7020.61</v>
      </c>
      <c r="N14" s="479">
        <f>IFERROR(M14/J14,0)</f>
        <v>14.969317697228144</v>
      </c>
      <c r="O14" s="310">
        <v>247</v>
      </c>
      <c r="P14" s="310">
        <v>25116.47</v>
      </c>
      <c r="Q14" s="89">
        <f>IFERROR(P14/SUM(J14),0)</f>
        <v>53.553240938166311</v>
      </c>
      <c r="R14" s="485">
        <f t="shared" si="5"/>
        <v>62855.443478260873</v>
      </c>
      <c r="S14" s="89">
        <f>SUM(R14/B14)</f>
        <v>0.45012997838962293</v>
      </c>
      <c r="T14" s="485">
        <f t="shared" si="6"/>
        <v>21882.434782608696</v>
      </c>
      <c r="U14" s="89">
        <f>SUM(T14/B14)</f>
        <v>0.15670782593737767</v>
      </c>
      <c r="V14" s="310">
        <v>6244.63</v>
      </c>
      <c r="W14" s="488"/>
      <c r="X14" s="483"/>
      <c r="Y14" s="310">
        <v>47118.96</v>
      </c>
      <c r="Z14" s="75">
        <f t="shared" si="7"/>
        <v>40973.008695652177</v>
      </c>
      <c r="AA14" s="487"/>
      <c r="AB14" s="310">
        <v>25164.799999999999</v>
      </c>
      <c r="AC14" s="75">
        <f t="shared" si="8"/>
        <v>21882.434782608696</v>
      </c>
    </row>
    <row r="15" spans="1:29" ht="15.6" customHeight="1" x14ac:dyDescent="0.3">
      <c r="A15" s="432" t="s">
        <v>22</v>
      </c>
      <c r="B15" s="310">
        <v>143973.43</v>
      </c>
      <c r="C15" s="310">
        <v>143628.35</v>
      </c>
      <c r="D15" s="489">
        <v>152846.04</v>
      </c>
      <c r="E15" s="86">
        <f t="shared" si="4"/>
        <v>2.4025897394211321E-3</v>
      </c>
      <c r="F15" s="310">
        <v>448159.78</v>
      </c>
      <c r="G15" s="310">
        <v>111700.34</v>
      </c>
      <c r="H15" s="467">
        <f t="shared" si="0"/>
        <v>0.28892562010106682</v>
      </c>
      <c r="I15" s="86">
        <f>IFERROR((SUM(B15-D15)/D15),0)</f>
        <v>-5.8049328592353552E-2</v>
      </c>
      <c r="J15" s="310">
        <v>460</v>
      </c>
      <c r="K15" s="84">
        <f>IFERROR(B15/J15,0)</f>
        <v>312.98571739130432</v>
      </c>
      <c r="L15" s="310">
        <v>33</v>
      </c>
      <c r="M15" s="310">
        <v>2746.57</v>
      </c>
      <c r="N15" s="479">
        <f>IFERROR(M15/J15,0)</f>
        <v>5.9708043478260873</v>
      </c>
      <c r="O15" s="310">
        <v>134</v>
      </c>
      <c r="P15" s="310">
        <v>11351.41</v>
      </c>
      <c r="Q15" s="89">
        <f>IFERROR(P15/SUM(J15),0)</f>
        <v>24.676978260869564</v>
      </c>
      <c r="R15" s="485">
        <f t="shared" si="5"/>
        <v>42267.095652173914</v>
      </c>
      <c r="S15" s="89">
        <f>SUM(R15/B15)</f>
        <v>0.2935756663724266</v>
      </c>
      <c r="T15" s="485">
        <f t="shared" si="6"/>
        <v>20853.913043478264</v>
      </c>
      <c r="U15" s="89">
        <f>SUM(T15/B15)</f>
        <v>0.14484556659849157</v>
      </c>
      <c r="V15" s="310">
        <v>4720</v>
      </c>
      <c r="W15" s="488"/>
      <c r="X15" s="483"/>
      <c r="Y15" s="310">
        <v>24625.16</v>
      </c>
      <c r="Z15" s="75">
        <f t="shared" si="7"/>
        <v>21413.182608695653</v>
      </c>
      <c r="AA15" s="487"/>
      <c r="AB15" s="310">
        <v>23982</v>
      </c>
      <c r="AC15" s="75">
        <f t="shared" si="8"/>
        <v>20853.913043478264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13" priority="2" operator="equal">
      <formula>0</formula>
    </cfRule>
  </conditionalFormatting>
  <conditionalFormatting sqref="R12:R13">
    <cfRule type="cellIs" dxfId="1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G23"/>
  <sheetViews>
    <sheetView zoomScale="70" zoomScaleNormal="70" workbookViewId="0">
      <selection activeCell="F35" sqref="F35"/>
    </sheetView>
  </sheetViews>
  <sheetFormatPr defaultRowHeight="14.4" x14ac:dyDescent="0.3"/>
  <cols>
    <col min="1" max="2" width="37.33203125" bestFit="1" customWidth="1"/>
    <col min="3" max="3" width="13.44140625" bestFit="1" customWidth="1"/>
    <col min="4" max="4" width="19.33203125" bestFit="1" customWidth="1"/>
    <col min="5" max="5" width="7.6640625" bestFit="1" customWidth="1"/>
    <col min="6" max="6" width="23.5546875" bestFit="1" customWidth="1"/>
    <col min="7" max="7" width="48.44140625" customWidth="1"/>
  </cols>
  <sheetData>
    <row r="1" spans="1:7" ht="15" customHeight="1" thickBot="1" x14ac:dyDescent="0.35">
      <c r="A1" t="s">
        <v>68</v>
      </c>
      <c r="C1" t="s">
        <v>69</v>
      </c>
      <c r="D1" t="s">
        <v>70</v>
      </c>
      <c r="E1" t="s">
        <v>6</v>
      </c>
      <c r="G1" t="s">
        <v>71</v>
      </c>
    </row>
    <row r="2" spans="1:7" x14ac:dyDescent="0.3">
      <c r="A2" t="str">
        <f>VLOOKUP(B2,'Naming Convertions'!A:B,2,FALSE)</f>
        <v>Hartenbos</v>
      </c>
      <c r="B2" s="108" t="s">
        <v>72</v>
      </c>
      <c r="C2">
        <v>8193.4</v>
      </c>
      <c r="D2">
        <v>163941.60999999999</v>
      </c>
      <c r="E2">
        <v>1429</v>
      </c>
      <c r="G2" s="104"/>
    </row>
    <row r="3" spans="1:7" x14ac:dyDescent="0.3">
      <c r="A3" t="str">
        <f>VLOOKUP(B3,'Naming Convertions'!A:B,2,FALSE)</f>
        <v>Eagles Landing</v>
      </c>
      <c r="B3" t="s">
        <v>73</v>
      </c>
      <c r="C3">
        <v>22738.6</v>
      </c>
      <c r="D3">
        <v>382519.05</v>
      </c>
      <c r="E3">
        <v>2541</v>
      </c>
      <c r="G3" s="105"/>
    </row>
    <row r="4" spans="1:7" x14ac:dyDescent="0.3">
      <c r="A4" t="str">
        <f>VLOOKUP(B4,'Naming Convertions'!A:B,2,FALSE)</f>
        <v>Irene Village</v>
      </c>
      <c r="B4" s="103" t="s">
        <v>74</v>
      </c>
      <c r="C4">
        <v>13822.45</v>
      </c>
      <c r="D4">
        <v>277850.46999999997</v>
      </c>
      <c r="E4">
        <v>2457</v>
      </c>
      <c r="G4" s="105"/>
    </row>
    <row r="5" spans="1:7" x14ac:dyDescent="0.3">
      <c r="A5" t="str">
        <f>VLOOKUP(B5,'Naming Convertions'!A:B,2,FALSE)</f>
        <v>Kyalami Corner</v>
      </c>
      <c r="B5" s="103" t="s">
        <v>75</v>
      </c>
      <c r="C5">
        <v>10417.299999999999</v>
      </c>
      <c r="D5">
        <v>156915.53</v>
      </c>
      <c r="E5">
        <v>1089</v>
      </c>
      <c r="G5" s="105"/>
    </row>
    <row r="6" spans="1:7" x14ac:dyDescent="0.3">
      <c r="A6" t="str">
        <f>VLOOKUP(B6,'Naming Convertions'!A:B,2,FALSE)</f>
        <v>Lynnwood</v>
      </c>
      <c r="B6" s="103" t="s">
        <v>76</v>
      </c>
      <c r="C6">
        <v>12809.95</v>
      </c>
      <c r="D6">
        <v>233865.68</v>
      </c>
      <c r="E6">
        <v>1988</v>
      </c>
      <c r="G6" s="105"/>
    </row>
    <row r="7" spans="1:7" x14ac:dyDescent="0.3">
      <c r="A7" t="str">
        <f>VLOOKUP(B7,'Naming Convertions'!A:B,2,FALSE)</f>
        <v>Melrose Arch</v>
      </c>
      <c r="B7" s="103" t="s">
        <v>77</v>
      </c>
      <c r="C7">
        <v>14659.2</v>
      </c>
      <c r="D7">
        <v>255721.48</v>
      </c>
      <c r="E7">
        <v>1993</v>
      </c>
      <c r="G7" s="105"/>
    </row>
    <row r="8" spans="1:7" x14ac:dyDescent="0.3">
      <c r="A8" t="str">
        <f>VLOOKUP(B8,'Naming Convertions'!A:B,2,FALSE)</f>
        <v>Melville</v>
      </c>
      <c r="B8" s="103" t="s">
        <v>78</v>
      </c>
      <c r="C8">
        <v>3916.8</v>
      </c>
      <c r="D8">
        <v>149467.35999999999</v>
      </c>
      <c r="E8">
        <v>887</v>
      </c>
      <c r="G8" s="105"/>
    </row>
    <row r="9" spans="1:7" x14ac:dyDescent="0.3">
      <c r="A9" t="str">
        <f>VLOOKUP(B9,'Naming Convertions'!A:B,2,FALSE)</f>
        <v>Paulshof</v>
      </c>
      <c r="B9" s="103" t="s">
        <v>79</v>
      </c>
      <c r="C9">
        <v>12081.35</v>
      </c>
      <c r="D9">
        <v>204319.37</v>
      </c>
      <c r="E9">
        <v>1404</v>
      </c>
      <c r="G9" s="105"/>
    </row>
    <row r="10" spans="1:7" x14ac:dyDescent="0.3">
      <c r="A10" t="s">
        <v>33</v>
      </c>
      <c r="B10" s="103" t="s">
        <v>80</v>
      </c>
      <c r="C10">
        <v>6245.5</v>
      </c>
      <c r="D10">
        <v>197506.48</v>
      </c>
      <c r="E10">
        <v>1620</v>
      </c>
      <c r="G10" s="105"/>
    </row>
    <row r="11" spans="1:7" x14ac:dyDescent="0.3">
      <c r="A11" t="str">
        <f>VLOOKUP(B11,'Naming Convertions'!A:B,2,FALSE)</f>
        <v>Rosebank</v>
      </c>
      <c r="B11" t="s">
        <v>81</v>
      </c>
      <c r="C11">
        <v>16713.7</v>
      </c>
      <c r="D11">
        <v>314671.8</v>
      </c>
      <c r="E11">
        <v>2352</v>
      </c>
      <c r="G11" s="105"/>
    </row>
    <row r="12" spans="1:7" x14ac:dyDescent="0.3">
      <c r="A12" t="str">
        <f>VLOOKUP(B12,'Naming Convertions'!A:B,2,FALSE)</f>
        <v xml:space="preserve">Waterkloof </v>
      </c>
      <c r="B12" t="s">
        <v>82</v>
      </c>
      <c r="C12">
        <v>14894.11</v>
      </c>
      <c r="D12">
        <v>146819.43</v>
      </c>
      <c r="E12">
        <v>1006</v>
      </c>
      <c r="G12" s="105"/>
    </row>
    <row r="13" spans="1:7" x14ac:dyDescent="0.3">
      <c r="A13" t="str">
        <f>VLOOKUP(B13,'Naming Convertions'!A:B,2,FALSE)</f>
        <v>Stellenbosch</v>
      </c>
      <c r="B13" t="s">
        <v>83</v>
      </c>
      <c r="C13">
        <v>14313.2</v>
      </c>
      <c r="D13">
        <v>144817.99</v>
      </c>
      <c r="E13">
        <v>1209</v>
      </c>
      <c r="G13" s="105"/>
    </row>
    <row r="14" spans="1:7" x14ac:dyDescent="0.3">
      <c r="G14" s="105"/>
    </row>
    <row r="15" spans="1:7" ht="15" customHeight="1" thickBot="1" x14ac:dyDescent="0.35">
      <c r="A15" t="s">
        <v>24</v>
      </c>
      <c r="C15" s="100"/>
      <c r="D15" s="100"/>
      <c r="E15" s="109"/>
      <c r="G15" s="106"/>
    </row>
    <row r="17" spans="3:5" x14ac:dyDescent="0.3">
      <c r="E17" s="94"/>
    </row>
    <row r="18" spans="3:5" x14ac:dyDescent="0.3">
      <c r="C18" s="103"/>
      <c r="D18" s="103"/>
      <c r="E18" s="103"/>
    </row>
    <row r="19" spans="3:5" x14ac:dyDescent="0.3">
      <c r="C19" s="111"/>
      <c r="D19" s="111"/>
      <c r="E19" s="103"/>
    </row>
    <row r="20" spans="3:5" x14ac:dyDescent="0.3">
      <c r="C20" s="103"/>
      <c r="D20" s="103"/>
      <c r="E20" s="103"/>
    </row>
    <row r="21" spans="3:5" x14ac:dyDescent="0.3">
      <c r="C21" s="103"/>
      <c r="D21" s="103"/>
      <c r="E21" s="103"/>
    </row>
    <row r="22" spans="3:5" x14ac:dyDescent="0.3">
      <c r="C22" s="103"/>
      <c r="D22" s="103"/>
      <c r="E22" s="103"/>
    </row>
    <row r="23" spans="3:5" x14ac:dyDescent="0.3">
      <c r="C23" s="111"/>
      <c r="D23" s="111"/>
      <c r="E23" s="103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AC49"/>
  <sheetViews>
    <sheetView zoomScale="60" zoomScaleNormal="60" workbookViewId="0">
      <pane xSplit="1" topLeftCell="H1" activePane="topRight" state="frozen"/>
      <selection pane="topRight" activeCell="J8" sqref="J8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0.11708622815066623</v>
      </c>
      <c r="F2" s="426"/>
      <c r="G2" s="1"/>
      <c r="H2" s="427"/>
      <c r="I2" s="422">
        <f>((B4-D4)/D4)</f>
        <v>1.6901679781839141E-2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1922159.2800000003</v>
      </c>
      <c r="C4" s="468">
        <f>SUM(C5:C15)</f>
        <v>1697100.9</v>
      </c>
      <c r="D4" s="468">
        <f>SUM(D5:D15)</f>
        <v>1890211.53</v>
      </c>
      <c r="E4" s="472">
        <f>IFERROR((SUM(B4-C4)/B4),0)</f>
        <v>0.11708622815066623</v>
      </c>
      <c r="F4" s="465">
        <f>SUM(F5:F15)</f>
        <v>7983432.7299999995</v>
      </c>
      <c r="G4" s="468">
        <f>SUM(G5:G15)</f>
        <v>2096578.7400000005</v>
      </c>
      <c r="H4" s="436">
        <f t="shared" ref="H4:H15" si="0">IFERROR((SUM(B4-G4)/G4),0)</f>
        <v>-8.3192420428721964E-2</v>
      </c>
      <c r="I4" s="436">
        <f t="shared" ref="I4:I9" si="1">IFERROR((SUM(B4-D4)/D4),0)</f>
        <v>1.6901679781839141E-2</v>
      </c>
      <c r="J4" s="480">
        <f>SUM(J5:J15)</f>
        <v>5692</v>
      </c>
      <c r="K4" s="474">
        <f>AVERAGE(K5:K15)</f>
        <v>306.20052066832028</v>
      </c>
      <c r="L4" s="474">
        <f>SUM(L6:L15)</f>
        <v>998</v>
      </c>
      <c r="M4" s="439">
        <f>SUM(M5:M15)</f>
        <v>96581.78</v>
      </c>
      <c r="N4" s="442">
        <f>IFERROR(M4/J4,0)</f>
        <v>16.967986647926914</v>
      </c>
      <c r="O4" s="473">
        <f>SUM(O6:O15)</f>
        <v>3526</v>
      </c>
      <c r="P4" s="475">
        <f>SUM(P7:P15)</f>
        <v>295350.36</v>
      </c>
      <c r="Q4" s="442">
        <f>IFERROR(P4/SUM(J4),0)</f>
        <v>51.888678847505268</v>
      </c>
      <c r="R4" s="455">
        <f>SUM(R5:R15)</f>
        <v>497653.51304347836</v>
      </c>
      <c r="S4" s="442">
        <f t="shared" ref="S4:S9" si="2">SUM(R4/B4)</f>
        <v>0.25890336884229403</v>
      </c>
      <c r="T4" s="455">
        <f>SUM(T5:T15)</f>
        <v>213327.21739130432</v>
      </c>
      <c r="U4" s="442">
        <f t="shared" ref="U4:U9" si="3">SUM(T4/B4)</f>
        <v>0.11098311134304348</v>
      </c>
      <c r="V4" s="481">
        <f>SUM(V5:V15)</f>
        <v>58658.02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223716.88</v>
      </c>
      <c r="C5" s="310">
        <v>245552.6</v>
      </c>
      <c r="D5" s="489">
        <v>166877.21</v>
      </c>
      <c r="E5" s="494">
        <f t="shared" ref="E5:E15" si="4">IFERROR((SUM(B5-C5)/C5),0)</f>
        <v>-8.8924816923135822E-2</v>
      </c>
      <c r="F5" s="310">
        <v>1267434.3</v>
      </c>
      <c r="G5" s="310">
        <v>233558.86</v>
      </c>
      <c r="H5" s="467">
        <f t="shared" si="0"/>
        <v>-4.2139184957487724E-2</v>
      </c>
      <c r="I5" s="86">
        <f t="shared" si="1"/>
        <v>0.34060774386148962</v>
      </c>
      <c r="J5" s="310">
        <v>617</v>
      </c>
      <c r="K5" s="84">
        <f>IFERROR(B5/J5,0)</f>
        <v>362.58813614262561</v>
      </c>
      <c r="L5" s="479"/>
      <c r="M5" s="479"/>
      <c r="N5" s="479">
        <f>IFERROR(M5/J5,0)</f>
        <v>0</v>
      </c>
      <c r="O5" s="479"/>
      <c r="P5" s="479"/>
      <c r="Q5" s="89">
        <f>IFERROR(P5/SUM(J5),0)</f>
        <v>0</v>
      </c>
      <c r="R5" s="485">
        <f t="shared" ref="R5:R15" si="5">SUM(Z5+AC5)</f>
        <v>26004.34782608696</v>
      </c>
      <c r="S5" s="89">
        <f t="shared" si="2"/>
        <v>0.11623775472859696</v>
      </c>
      <c r="T5" s="485">
        <f t="shared" ref="T5:T15" si="6">SUM(AC5)</f>
        <v>26004.34782608696</v>
      </c>
      <c r="U5" s="89">
        <f t="shared" si="3"/>
        <v>0.11623775472859696</v>
      </c>
      <c r="V5" s="310">
        <v>2876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29905</v>
      </c>
      <c r="AC5" s="75">
        <f t="shared" ref="AC5:AC15" si="8">SUM(AB5)/1.15</f>
        <v>26004.34782608696</v>
      </c>
    </row>
    <row r="6" spans="1:29" ht="15.6" customHeight="1" x14ac:dyDescent="0.3">
      <c r="A6" s="492" t="s">
        <v>21</v>
      </c>
      <c r="B6" s="310">
        <v>252646.93</v>
      </c>
      <c r="C6" s="310">
        <v>227209.77</v>
      </c>
      <c r="D6" s="489">
        <v>317233.91999999998</v>
      </c>
      <c r="E6" s="494">
        <f t="shared" si="4"/>
        <v>0.11195451674459247</v>
      </c>
      <c r="F6" s="310">
        <v>1012578.71</v>
      </c>
      <c r="G6" s="310">
        <v>240257.2</v>
      </c>
      <c r="H6" s="467">
        <f t="shared" si="0"/>
        <v>5.1568610638931867E-2</v>
      </c>
      <c r="I6" s="86">
        <f t="shared" si="1"/>
        <v>-0.20359421211956147</v>
      </c>
      <c r="J6" s="310">
        <v>666</v>
      </c>
      <c r="K6" s="84">
        <f>IFERROR(B6/J6,0)</f>
        <v>379.34974474474473</v>
      </c>
      <c r="L6" s="310">
        <v>87</v>
      </c>
      <c r="M6" s="310">
        <v>9880.0300000000007</v>
      </c>
      <c r="N6" s="479">
        <f>IFERROR(O7/J6,0)</f>
        <v>0.29579579579579579</v>
      </c>
      <c r="O6" s="310">
        <v>377</v>
      </c>
      <c r="P6" s="310">
        <v>38695.26</v>
      </c>
      <c r="Q6" s="89">
        <f>IFERROR(P6/SUM(J6),0)</f>
        <v>58.100990990990994</v>
      </c>
      <c r="R6" s="485">
        <f t="shared" si="5"/>
        <v>72338.060869565234</v>
      </c>
      <c r="S6" s="89">
        <f t="shared" si="2"/>
        <v>0.28632075944704827</v>
      </c>
      <c r="T6" s="485">
        <f t="shared" si="6"/>
        <v>28627.556521739134</v>
      </c>
      <c r="U6" s="89">
        <f t="shared" si="3"/>
        <v>0.11331052596498653</v>
      </c>
      <c r="V6" s="310">
        <v>7534.5</v>
      </c>
      <c r="W6" s="488"/>
      <c r="X6" s="483"/>
      <c r="Y6" s="310">
        <v>50267.08</v>
      </c>
      <c r="Z6" s="75">
        <f t="shared" si="7"/>
        <v>43710.504347826092</v>
      </c>
      <c r="AA6" s="487"/>
      <c r="AB6" s="310">
        <v>32921.69</v>
      </c>
      <c r="AC6" s="75">
        <f t="shared" si="8"/>
        <v>28627.556521739134</v>
      </c>
    </row>
    <row r="7" spans="1:29" ht="16.5" customHeight="1" x14ac:dyDescent="0.3">
      <c r="A7" s="492" t="s">
        <v>15</v>
      </c>
      <c r="B7" s="310">
        <v>262968.59000000003</v>
      </c>
      <c r="C7" s="310">
        <v>252535.33</v>
      </c>
      <c r="D7" s="489">
        <v>254835.6</v>
      </c>
      <c r="E7" s="494">
        <f t="shared" si="4"/>
        <v>4.131406088803511E-2</v>
      </c>
      <c r="F7" s="310">
        <v>1181822.8999999999</v>
      </c>
      <c r="G7" s="310">
        <v>262360.31</v>
      </c>
      <c r="H7" s="467">
        <f t="shared" si="0"/>
        <v>2.318490933327636E-3</v>
      </c>
      <c r="I7" s="86">
        <f t="shared" si="1"/>
        <v>3.1914653996537451E-2</v>
      </c>
      <c r="J7" s="310">
        <v>725</v>
      </c>
      <c r="K7" s="84">
        <f>IFERROR(B7/J7,0)</f>
        <v>362.71529655172418</v>
      </c>
      <c r="L7" s="310">
        <v>67</v>
      </c>
      <c r="M7" s="310">
        <v>6306.1</v>
      </c>
      <c r="N7" s="479">
        <f>IFERROR(#REF!/J7,0)</f>
        <v>0</v>
      </c>
      <c r="O7" s="310">
        <v>197</v>
      </c>
      <c r="P7" s="310">
        <v>20117.900000000001</v>
      </c>
      <c r="Q7" s="89">
        <f>IFERROR(#REF!/SUM(J7),0)</f>
        <v>0</v>
      </c>
      <c r="R7" s="485">
        <f t="shared" si="5"/>
        <v>41839.234782608699</v>
      </c>
      <c r="S7" s="89">
        <f t="shared" si="2"/>
        <v>0.15910354458153614</v>
      </c>
      <c r="T7" s="485">
        <f t="shared" si="6"/>
        <v>4305.913043478261</v>
      </c>
      <c r="U7" s="89">
        <f t="shared" si="3"/>
        <v>1.6374248511878398E-2</v>
      </c>
      <c r="V7" s="310">
        <v>13441.36</v>
      </c>
      <c r="W7" s="488"/>
      <c r="X7" s="483"/>
      <c r="Y7" s="310">
        <v>43163.32</v>
      </c>
      <c r="Z7" s="75">
        <f t="shared" si="7"/>
        <v>37533.321739130435</v>
      </c>
      <c r="AA7" s="487"/>
      <c r="AB7" s="310">
        <v>4951.8</v>
      </c>
      <c r="AC7" s="75">
        <f t="shared" si="8"/>
        <v>4305.913043478261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494">
        <f t="shared" si="4"/>
        <v>0</v>
      </c>
      <c r="F8" s="310">
        <v>52368.39</v>
      </c>
      <c r="G8" s="310">
        <v>151370.57999999999</v>
      </c>
      <c r="H8" s="467">
        <f t="shared" si="0"/>
        <v>-1</v>
      </c>
      <c r="I8" s="86">
        <f t="shared" si="1"/>
        <v>-1</v>
      </c>
      <c r="J8" s="310">
        <v>50</v>
      </c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89">
        <f>IFERROR(P8/SUM(J8),0)</f>
        <v>0</v>
      </c>
      <c r="R8" s="485">
        <f t="shared" si="5"/>
        <v>0</v>
      </c>
      <c r="S8" s="89" t="e">
        <f t="shared" si="2"/>
        <v>#DIV/0!</v>
      </c>
      <c r="T8" s="485">
        <f t="shared" si="6"/>
        <v>0</v>
      </c>
      <c r="U8" s="89" t="e">
        <f t="shared" si="3"/>
        <v>#DIV/0!</v>
      </c>
      <c r="V8" s="310"/>
      <c r="W8" s="486"/>
      <c r="X8" s="483"/>
      <c r="Y8" s="313"/>
      <c r="Z8" s="75">
        <f t="shared" si="7"/>
        <v>0</v>
      </c>
      <c r="AA8" s="487"/>
      <c r="AB8" s="313"/>
      <c r="AC8" s="75">
        <f t="shared" si="8"/>
        <v>0</v>
      </c>
    </row>
    <row r="9" spans="1:29" ht="15.6" customHeight="1" x14ac:dyDescent="0.3">
      <c r="A9" s="492" t="s">
        <v>23</v>
      </c>
      <c r="B9" s="310">
        <v>241619.52</v>
      </c>
      <c r="C9" s="310">
        <v>178117.45</v>
      </c>
      <c r="D9" s="489">
        <v>243010.12</v>
      </c>
      <c r="E9" s="494">
        <f t="shared" si="4"/>
        <v>0.35651796048057038</v>
      </c>
      <c r="F9" s="310">
        <v>927507.86</v>
      </c>
      <c r="G9" s="310">
        <v>193389.34</v>
      </c>
      <c r="H9" s="467">
        <f t="shared" si="0"/>
        <v>0.24939420135566931</v>
      </c>
      <c r="I9" s="86">
        <f t="shared" si="1"/>
        <v>-5.7223954294578589E-3</v>
      </c>
      <c r="J9" s="310">
        <v>694</v>
      </c>
      <c r="K9" s="84">
        <f>IFERROR(B9/J9,0)</f>
        <v>348.15492795389048</v>
      </c>
      <c r="L9" s="310">
        <v>60</v>
      </c>
      <c r="M9" s="310">
        <v>6495.38</v>
      </c>
      <c r="N9" s="479">
        <f>IFERROR(M9/J9,0)</f>
        <v>9.3593371757925077</v>
      </c>
      <c r="O9" s="310">
        <v>273</v>
      </c>
      <c r="P9" s="310">
        <v>24030.44</v>
      </c>
      <c r="Q9" s="89">
        <f>IFERROR(P9/SUM(J9),0)</f>
        <v>34.625994236311236</v>
      </c>
      <c r="R9" s="485">
        <f t="shared" si="5"/>
        <v>58402.443478260873</v>
      </c>
      <c r="S9" s="89">
        <f t="shared" si="2"/>
        <v>0.24171243895468741</v>
      </c>
      <c r="T9" s="485">
        <f t="shared" si="6"/>
        <v>29309.869565217392</v>
      </c>
      <c r="U9" s="89">
        <f t="shared" si="3"/>
        <v>0.12130588441371538</v>
      </c>
      <c r="V9" s="310">
        <v>7973.3</v>
      </c>
      <c r="W9" s="488"/>
      <c r="X9" s="483"/>
      <c r="Y9" s="310">
        <v>33456.46</v>
      </c>
      <c r="Z9" s="75">
        <f t="shared" si="7"/>
        <v>29092.573913043481</v>
      </c>
      <c r="AA9" s="487"/>
      <c r="AB9" s="310">
        <v>33706.35</v>
      </c>
      <c r="AC9" s="75">
        <f t="shared" si="8"/>
        <v>29309.869565217392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494">
        <f t="shared" si="4"/>
        <v>0</v>
      </c>
      <c r="F10" s="310"/>
      <c r="G10" s="310">
        <v>288431.05</v>
      </c>
      <c r="H10" s="467">
        <f t="shared" si="0"/>
        <v>-1</v>
      </c>
      <c r="I10" s="86">
        <f>IFERROR((SUM(B11-D10)/D10),0)</f>
        <v>-0.22258283819533572</v>
      </c>
      <c r="J10" s="310"/>
      <c r="K10" s="84">
        <f>IFERROR(B11/J11,0)</f>
        <v>297.59190000000001</v>
      </c>
      <c r="L10" s="310"/>
      <c r="M10" s="310"/>
      <c r="N10" s="479">
        <f>IFERROR(M11/J11,0)</f>
        <v>47.556220000000003</v>
      </c>
      <c r="O10" s="479"/>
      <c r="P10" s="479"/>
      <c r="Q10" s="89">
        <f>IFERROR(P11/SUM(J11),0)</f>
        <v>156.55518000000001</v>
      </c>
      <c r="R10" s="485">
        <f t="shared" si="5"/>
        <v>0</v>
      </c>
      <c r="S10" s="89">
        <f>SUM(R10/B11)</f>
        <v>0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313"/>
      <c r="Z10" s="75">
        <f t="shared" si="7"/>
        <v>0</v>
      </c>
      <c r="AA10" s="487"/>
      <c r="AB10" s="313"/>
      <c r="AC10" s="75">
        <f t="shared" si="8"/>
        <v>0</v>
      </c>
    </row>
    <row r="11" spans="1:29" ht="15.6" customHeight="1" x14ac:dyDescent="0.3">
      <c r="A11" s="492" t="s">
        <v>17</v>
      </c>
      <c r="B11" s="310">
        <v>148795.95000000001</v>
      </c>
      <c r="C11" s="310">
        <v>152081.29</v>
      </c>
      <c r="D11" s="489">
        <v>86713.33</v>
      </c>
      <c r="E11" s="494">
        <f t="shared" si="4"/>
        <v>-2.1602525859689883E-2</v>
      </c>
      <c r="F11" s="310">
        <v>577486.92000000004</v>
      </c>
      <c r="G11" s="310">
        <v>131691.29999999999</v>
      </c>
      <c r="H11" s="467">
        <f t="shared" si="0"/>
        <v>0.1298844342792578</v>
      </c>
      <c r="I11" s="86">
        <f>IFERROR((SUM(#REF!-D11)/D11),0)</f>
        <v>0</v>
      </c>
      <c r="J11" s="310">
        <v>500</v>
      </c>
      <c r="K11" s="84">
        <f>IFERROR(B12/J12,0)</f>
        <v>310.21219419924336</v>
      </c>
      <c r="L11" s="310">
        <v>240</v>
      </c>
      <c r="M11" s="310">
        <v>23778.11</v>
      </c>
      <c r="N11" s="479">
        <f>IFERROR(#REF!/J12,0)</f>
        <v>0</v>
      </c>
      <c r="O11" s="310">
        <v>807</v>
      </c>
      <c r="P11" s="310">
        <v>78277.59</v>
      </c>
      <c r="Q11" s="89">
        <f>IFERROR(#REF!/SUM(J12),0)</f>
        <v>0</v>
      </c>
      <c r="R11" s="485">
        <f t="shared" si="5"/>
        <v>60404.052173913049</v>
      </c>
      <c r="S11" s="89">
        <f>SUM(R11/B12)</f>
        <v>0.24554665434806941</v>
      </c>
      <c r="T11" s="485">
        <f t="shared" si="6"/>
        <v>19261.973913043479</v>
      </c>
      <c r="U11" s="89">
        <f>SUM(T11/B12)</f>
        <v>7.830125761877707E-2</v>
      </c>
      <c r="V11" s="310">
        <v>4811.3999999999996</v>
      </c>
      <c r="W11" s="488"/>
      <c r="X11" s="483"/>
      <c r="Y11" s="310">
        <v>47313.39</v>
      </c>
      <c r="Z11" s="75">
        <f t="shared" si="7"/>
        <v>41142.078260869566</v>
      </c>
      <c r="AA11" s="487"/>
      <c r="AB11" s="310">
        <v>22151.27</v>
      </c>
      <c r="AC11" s="75">
        <f t="shared" si="8"/>
        <v>19261.973913043479</v>
      </c>
    </row>
    <row r="12" spans="1:29" ht="15.6" customHeight="1" x14ac:dyDescent="0.3">
      <c r="A12" s="492" t="s">
        <v>55</v>
      </c>
      <c r="B12" s="310">
        <v>245998.27</v>
      </c>
      <c r="C12" s="310">
        <v>196594.01</v>
      </c>
      <c r="D12" s="489">
        <v>206751.49</v>
      </c>
      <c r="E12" s="494">
        <f t="shared" si="4"/>
        <v>0.25130094248548052</v>
      </c>
      <c r="F12" s="310">
        <v>946832.26</v>
      </c>
      <c r="G12" s="310">
        <v>171116.79</v>
      </c>
      <c r="H12" s="467">
        <f t="shared" si="0"/>
        <v>0.43760451560597868</v>
      </c>
      <c r="I12" s="86">
        <f>IFERROR((SUM(B12-D12)/D12),0)</f>
        <v>0.18982586292364809</v>
      </c>
      <c r="J12" s="310">
        <v>793</v>
      </c>
      <c r="K12" s="84">
        <f>IFERROR(B12/J12,0)</f>
        <v>310.21219419924336</v>
      </c>
      <c r="L12" s="310">
        <v>272</v>
      </c>
      <c r="M12" s="310">
        <v>26496.7</v>
      </c>
      <c r="N12" s="479">
        <f>IFERROR(M12/J12,0)</f>
        <v>33.413240857503155</v>
      </c>
      <c r="O12" s="310">
        <v>908</v>
      </c>
      <c r="P12" s="310">
        <v>85504.16</v>
      </c>
      <c r="Q12" s="89">
        <f>IFERROR(P12/SUM(J12),0)</f>
        <v>107.82365699873897</v>
      </c>
      <c r="R12" s="485">
        <f t="shared" si="5"/>
        <v>88602.62608695653</v>
      </c>
      <c r="S12" s="89">
        <f>SUM(R12/B12)</f>
        <v>0.36017580971994856</v>
      </c>
      <c r="T12" s="485">
        <f t="shared" si="6"/>
        <v>42198.956521739135</v>
      </c>
      <c r="U12" s="89">
        <f>SUM(T12/B12)</f>
        <v>0.17154168003595771</v>
      </c>
      <c r="V12" s="310">
        <v>3840</v>
      </c>
      <c r="W12" s="486"/>
      <c r="X12" s="483"/>
      <c r="Y12" s="310">
        <v>53364.22</v>
      </c>
      <c r="Z12" s="75">
        <f t="shared" si="7"/>
        <v>46403.669565217395</v>
      </c>
      <c r="AA12" s="487"/>
      <c r="AB12" s="310">
        <v>48528.800000000003</v>
      </c>
      <c r="AC12" s="75">
        <f t="shared" si="8"/>
        <v>42198.956521739135</v>
      </c>
    </row>
    <row r="13" spans="1:29" ht="15.6" customHeight="1" x14ac:dyDescent="0.3">
      <c r="A13" s="492" t="s">
        <v>33</v>
      </c>
      <c r="B13" s="310">
        <v>178310.37</v>
      </c>
      <c r="C13" s="310">
        <v>161398.59</v>
      </c>
      <c r="D13" s="489"/>
      <c r="E13" s="494">
        <f t="shared" si="4"/>
        <v>0.10478269977451475</v>
      </c>
      <c r="F13" s="310">
        <v>736485.33</v>
      </c>
      <c r="G13" s="310">
        <v>155532.37</v>
      </c>
      <c r="H13" s="467">
        <f t="shared" si="0"/>
        <v>0.14645182864505954</v>
      </c>
      <c r="I13" s="86">
        <f>IFERROR((SUM(B13-D13)/D13),0)</f>
        <v>0</v>
      </c>
      <c r="J13" s="310">
        <v>581</v>
      </c>
      <c r="K13" s="84">
        <f>IFERROR(B13/J13,0)</f>
        <v>306.90253012048191</v>
      </c>
      <c r="L13" s="310">
        <v>96</v>
      </c>
      <c r="M13" s="310">
        <v>8785.0499999999993</v>
      </c>
      <c r="N13" s="479">
        <f>IFERROR(M13/J13,0)</f>
        <v>15.120567986230636</v>
      </c>
      <c r="O13" s="310">
        <v>407</v>
      </c>
      <c r="P13" s="310">
        <v>36111.980000000003</v>
      </c>
      <c r="Q13" s="89">
        <f>IFERROR(P13/SUM(J13),0)</f>
        <v>62.154870912220318</v>
      </c>
      <c r="R13" s="485">
        <f t="shared" si="5"/>
        <v>48236.600000000006</v>
      </c>
      <c r="S13" s="89">
        <f>SUM(R13/B13)</f>
        <v>0.27052044140786657</v>
      </c>
      <c r="T13" s="485">
        <f t="shared" si="6"/>
        <v>23587.113043478264</v>
      </c>
      <c r="U13" s="89">
        <f>SUM(T13/B13)</f>
        <v>0.1322812186609128</v>
      </c>
      <c r="V13" s="310">
        <v>5345.7</v>
      </c>
      <c r="W13" s="486"/>
      <c r="X13" s="483"/>
      <c r="Y13" s="310">
        <v>28346.91</v>
      </c>
      <c r="Z13" s="75">
        <f t="shared" si="7"/>
        <v>24649.486956521741</v>
      </c>
      <c r="AA13" s="487"/>
      <c r="AB13" s="310">
        <v>27125.18</v>
      </c>
      <c r="AC13" s="75">
        <f t="shared" si="8"/>
        <v>23587.113043478264</v>
      </c>
    </row>
    <row r="14" spans="1:29" ht="15.6" customHeight="1" x14ac:dyDescent="0.3">
      <c r="A14" s="492" t="s">
        <v>20</v>
      </c>
      <c r="B14" s="310">
        <v>189570.96</v>
      </c>
      <c r="C14" s="310">
        <v>139638.43</v>
      </c>
      <c r="D14" s="489">
        <v>144600.03</v>
      </c>
      <c r="E14" s="494">
        <f t="shared" si="4"/>
        <v>0.35758444147502949</v>
      </c>
      <c r="F14" s="310">
        <v>654224.47</v>
      </c>
      <c r="G14" s="310">
        <v>157170.6</v>
      </c>
      <c r="H14" s="467">
        <f t="shared" si="0"/>
        <v>0.20614771464892279</v>
      </c>
      <c r="I14" s="86">
        <f>IFERROR((SUM(B14-D14)/D14),0)</f>
        <v>0.31100221763439462</v>
      </c>
      <c r="J14" s="310">
        <v>543</v>
      </c>
      <c r="K14" s="84">
        <f>IFERROR(B14/J14,0)</f>
        <v>349.11779005524858</v>
      </c>
      <c r="L14" s="310">
        <v>141</v>
      </c>
      <c r="M14" s="310">
        <v>12194.32</v>
      </c>
      <c r="N14" s="479">
        <f>IFERROR(M14/J14,0)</f>
        <v>22.457311233885818</v>
      </c>
      <c r="O14" s="310">
        <v>388</v>
      </c>
      <c r="P14" s="310">
        <v>37310.79</v>
      </c>
      <c r="Q14" s="89">
        <f>IFERROR(P14/SUM(J14),0)</f>
        <v>68.71232044198895</v>
      </c>
      <c r="R14" s="485">
        <f t="shared" si="5"/>
        <v>48501.443478260873</v>
      </c>
      <c r="S14" s="89">
        <f>SUM(R14/B14)</f>
        <v>0.25584848796598841</v>
      </c>
      <c r="T14" s="485">
        <f t="shared" si="6"/>
        <v>15540.869565217392</v>
      </c>
      <c r="U14" s="89">
        <f>SUM(T14/B14)</f>
        <v>8.1979167933830116E-2</v>
      </c>
      <c r="V14" s="310">
        <v>8487.26</v>
      </c>
      <c r="W14" s="488"/>
      <c r="X14" s="483"/>
      <c r="Y14" s="310">
        <v>37904.660000000003</v>
      </c>
      <c r="Z14" s="75">
        <f t="shared" si="7"/>
        <v>32960.573913043481</v>
      </c>
      <c r="AA14" s="487"/>
      <c r="AB14" s="310">
        <v>17872</v>
      </c>
      <c r="AC14" s="75">
        <f t="shared" si="8"/>
        <v>15540.869565217392</v>
      </c>
    </row>
    <row r="15" spans="1:29" ht="15.6" customHeight="1" x14ac:dyDescent="0.3">
      <c r="A15" s="432" t="s">
        <v>22</v>
      </c>
      <c r="B15" s="310">
        <v>178531.81</v>
      </c>
      <c r="C15" s="310">
        <v>143973.43</v>
      </c>
      <c r="D15" s="489">
        <v>152846.04</v>
      </c>
      <c r="E15" s="494">
        <f t="shared" si="4"/>
        <v>0.24003303942956702</v>
      </c>
      <c r="F15" s="310">
        <v>626691.59</v>
      </c>
      <c r="G15" s="310">
        <v>111700.34</v>
      </c>
      <c r="H15" s="467">
        <f t="shared" si="0"/>
        <v>0.59831035429256529</v>
      </c>
      <c r="I15" s="86">
        <f>IFERROR((SUM(B15-D15)/D15),0)</f>
        <v>0.16804995405834516</v>
      </c>
      <c r="J15" s="310">
        <v>523</v>
      </c>
      <c r="K15" s="84">
        <f>IFERROR(B15/J15,0)</f>
        <v>341.36101338432121</v>
      </c>
      <c r="L15" s="310">
        <v>35</v>
      </c>
      <c r="M15" s="310">
        <v>2646.09</v>
      </c>
      <c r="N15" s="479">
        <f>IFERROR(M15/J15,0)</f>
        <v>5.0594455066921613</v>
      </c>
      <c r="O15" s="310">
        <v>169</v>
      </c>
      <c r="P15" s="310">
        <v>13997.5</v>
      </c>
      <c r="Q15" s="89">
        <f>IFERROR(P15/SUM(J15),0)</f>
        <v>26.763862332695986</v>
      </c>
      <c r="R15" s="485">
        <f t="shared" si="5"/>
        <v>53324.704347826089</v>
      </c>
      <c r="S15" s="89">
        <f>SUM(R15/B15)</f>
        <v>0.29868461171051863</v>
      </c>
      <c r="T15" s="485">
        <f t="shared" si="6"/>
        <v>24490.617391304349</v>
      </c>
      <c r="U15" s="89">
        <f>SUM(T15/B15)</f>
        <v>0.13717789222718546</v>
      </c>
      <c r="V15" s="310">
        <v>4348.5</v>
      </c>
      <c r="W15" s="488"/>
      <c r="X15" s="483"/>
      <c r="Y15" s="310">
        <v>33159.199999999997</v>
      </c>
      <c r="Z15" s="75">
        <f t="shared" si="7"/>
        <v>28834.08695652174</v>
      </c>
      <c r="AA15" s="487"/>
      <c r="AB15" s="310">
        <v>28164.21</v>
      </c>
      <c r="AC15" s="75">
        <f t="shared" si="8"/>
        <v>24490.617391304349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K5:U9 E5:E15 I5:I15 K10 N10:U10 K11:U15">
    <cfRule type="cellIs" dxfId="11" priority="2" operator="equal">
      <formula>0</formula>
    </cfRule>
  </conditionalFormatting>
  <conditionalFormatting sqref="R12:R13">
    <cfRule type="cellIs" dxfId="10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AC49"/>
  <sheetViews>
    <sheetView zoomScale="60" zoomScaleNormal="60" workbookViewId="0">
      <pane xSplit="1" topLeftCell="B1" activePane="topRight" state="frozen"/>
      <selection pane="topRight" activeCell="A11" sqref="A11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-8.5903111312776823E-2</v>
      </c>
      <c r="F2" s="426"/>
      <c r="G2" s="1"/>
      <c r="H2" s="427"/>
      <c r="I2" s="422">
        <f>((B4-D4)/D4)</f>
        <v>-6.3542898820429794E-2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1770102.0100000002</v>
      </c>
      <c r="C4" s="468">
        <f>SUM(C5:C15)</f>
        <v>1922159.2800000003</v>
      </c>
      <c r="D4" s="468">
        <f>SUM(D5:D15)</f>
        <v>1890211.53</v>
      </c>
      <c r="E4" s="472">
        <f>IFERROR((SUM(B4-C4)/B4),0)</f>
        <v>-8.5903111312776823E-2</v>
      </c>
      <c r="F4" s="465">
        <f>SUM(F5:F15)</f>
        <v>1620145.85</v>
      </c>
      <c r="G4" s="468">
        <f>SUM(G5:G15)</f>
        <v>2095685.3799999997</v>
      </c>
      <c r="H4" s="436">
        <f t="shared" ref="H4:H15" si="0">IFERROR((SUM(B4-G4)/G4),0)</f>
        <v>-0.15535889743144529</v>
      </c>
      <c r="I4" s="436">
        <f t="shared" ref="I4:I9" si="1">IFERROR((SUM(B4-D4)/D4),0)</f>
        <v>-6.3542898820429794E-2</v>
      </c>
      <c r="J4" s="480">
        <f>SUM(J5:J15)</f>
        <v>5487</v>
      </c>
      <c r="K4" s="474">
        <f>AVERAGE(K5:K15)</f>
        <v>289.25147726303879</v>
      </c>
      <c r="L4" s="474">
        <f>SUM(L6:L15)</f>
        <v>893</v>
      </c>
      <c r="M4" s="439">
        <f>SUM(M5:M15)</f>
        <v>86862.43</v>
      </c>
      <c r="N4" s="442">
        <f>IFERROR(M4/J4,0)</f>
        <v>15.83058684162566</v>
      </c>
      <c r="O4" s="473">
        <f>SUM(O6:O15)</f>
        <v>801</v>
      </c>
      <c r="P4" s="475">
        <f>SUM(P7:P15)</f>
        <v>68913.91</v>
      </c>
      <c r="Q4" s="442">
        <f>IFERROR(P4/SUM(J4),0)</f>
        <v>12.559487880444689</v>
      </c>
      <c r="R4" s="455">
        <f>SUM(R5:R15)</f>
        <v>474064.17391304357</v>
      </c>
      <c r="S4" s="442">
        <f t="shared" ref="S4:S9" si="2">SUM(R4/B4)</f>
        <v>0.26781743155754256</v>
      </c>
      <c r="T4" s="455">
        <f>SUM(T5:T15)</f>
        <v>219351.93043478261</v>
      </c>
      <c r="U4" s="442">
        <f t="shared" ref="U4:U9" si="3">SUM(T4/B4)</f>
        <v>0.12392050243182458</v>
      </c>
      <c r="V4" s="481">
        <f>SUM(V5:V15)</f>
        <v>63959.05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263188.61</v>
      </c>
      <c r="C5" s="310">
        <v>223716.88</v>
      </c>
      <c r="D5" s="489">
        <v>166877.21</v>
      </c>
      <c r="E5" s="494">
        <f t="shared" ref="E5:E15" si="4">IFERROR((SUM(B5-C5)/C5),0)</f>
        <v>0.17643608296343119</v>
      </c>
      <c r="F5" s="310">
        <v>242292.79</v>
      </c>
      <c r="G5" s="310">
        <v>223073.31</v>
      </c>
      <c r="H5" s="467">
        <f t="shared" si="0"/>
        <v>0.1798301195243841</v>
      </c>
      <c r="I5" s="86">
        <f t="shared" si="1"/>
        <v>0.57713932297885373</v>
      </c>
      <c r="J5" s="310">
        <v>726</v>
      </c>
      <c r="K5" s="84">
        <f>IFERROR(B5/J5,0)</f>
        <v>362.51874655647379</v>
      </c>
      <c r="L5" s="479"/>
      <c r="M5" s="479"/>
      <c r="N5" s="479">
        <f>IFERROR(M5/J5,0)</f>
        <v>0</v>
      </c>
      <c r="O5" s="479"/>
      <c r="P5" s="479"/>
      <c r="Q5" s="89">
        <f>IFERROR(P5/SUM(J5),0)</f>
        <v>0</v>
      </c>
      <c r="R5" s="485">
        <f t="shared" ref="R5:R15" si="5">SUM(Z5+AC5)</f>
        <v>22252.17391304348</v>
      </c>
      <c r="S5" s="89">
        <f t="shared" si="2"/>
        <v>8.4548392550283541E-2</v>
      </c>
      <c r="T5" s="485">
        <f t="shared" ref="T5:T15" si="6">SUM(AC5)</f>
        <v>22252.17391304348</v>
      </c>
      <c r="U5" s="89">
        <f t="shared" si="3"/>
        <v>8.4548392550283541E-2</v>
      </c>
      <c r="V5" s="310">
        <v>1895.5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25590</v>
      </c>
      <c r="AC5" s="75">
        <f t="shared" ref="AC5:AC15" si="8">SUM(AB5)/1.15</f>
        <v>22252.17391304348</v>
      </c>
    </row>
    <row r="6" spans="1:29" ht="15.6" customHeight="1" x14ac:dyDescent="0.3">
      <c r="A6" s="492" t="s">
        <v>21</v>
      </c>
      <c r="B6" s="310">
        <v>215281.39</v>
      </c>
      <c r="C6" s="310">
        <v>252646.93</v>
      </c>
      <c r="D6" s="489">
        <v>317233.91999999998</v>
      </c>
      <c r="E6" s="494">
        <f t="shared" si="4"/>
        <v>-0.14789627564443383</v>
      </c>
      <c r="F6" s="310">
        <v>195144.56</v>
      </c>
      <c r="G6" s="310">
        <v>246017.55</v>
      </c>
      <c r="H6" s="467">
        <f t="shared" si="0"/>
        <v>-0.12493482680402263</v>
      </c>
      <c r="I6" s="86">
        <f t="shared" si="1"/>
        <v>-0.32137966204874929</v>
      </c>
      <c r="J6" s="310">
        <v>652</v>
      </c>
      <c r="K6" s="84">
        <f>IFERROR(B6/J6,0)</f>
        <v>330.1861809815951</v>
      </c>
      <c r="L6" s="310">
        <v>101</v>
      </c>
      <c r="M6" s="310">
        <v>10151.34</v>
      </c>
      <c r="N6" s="479">
        <f>IFERROR(O7/J6,0)</f>
        <v>8.1288343558282211E-2</v>
      </c>
      <c r="O6" s="310">
        <v>96</v>
      </c>
      <c r="P6" s="310">
        <v>9639.59</v>
      </c>
      <c r="Q6" s="89">
        <f>IFERROR(P6/SUM(J6),0)</f>
        <v>14.784647239263803</v>
      </c>
      <c r="R6" s="485">
        <f t="shared" si="5"/>
        <v>63515.052173913049</v>
      </c>
      <c r="S6" s="89">
        <f t="shared" si="2"/>
        <v>0.29503271125252883</v>
      </c>
      <c r="T6" s="485">
        <f t="shared" si="6"/>
        <v>22716.956521739132</v>
      </c>
      <c r="U6" s="89">
        <f t="shared" si="3"/>
        <v>0.10552215647501687</v>
      </c>
      <c r="V6" s="310">
        <v>7649.55</v>
      </c>
      <c r="W6" s="488"/>
      <c r="X6" s="483"/>
      <c r="Y6" s="310">
        <v>46917.81</v>
      </c>
      <c r="Z6" s="75">
        <f t="shared" si="7"/>
        <v>40798.095652173914</v>
      </c>
      <c r="AA6" s="487"/>
      <c r="AB6" s="310">
        <v>26124.5</v>
      </c>
      <c r="AC6" s="75">
        <f t="shared" si="8"/>
        <v>22716.956521739132</v>
      </c>
    </row>
    <row r="7" spans="1:29" ht="16.5" customHeight="1" x14ac:dyDescent="0.3">
      <c r="A7" s="492" t="s">
        <v>15</v>
      </c>
      <c r="B7" s="310">
        <v>244637.43</v>
      </c>
      <c r="C7" s="310">
        <v>262968.59000000003</v>
      </c>
      <c r="D7" s="489">
        <v>254835.6</v>
      </c>
      <c r="E7" s="494">
        <f t="shared" si="4"/>
        <v>-6.9708553405560841E-2</v>
      </c>
      <c r="F7" s="310">
        <v>226353.05</v>
      </c>
      <c r="G7" s="310">
        <v>222929.78</v>
      </c>
      <c r="H7" s="467">
        <f t="shared" si="0"/>
        <v>9.7374383987639493E-2</v>
      </c>
      <c r="I7" s="86">
        <f t="shared" si="1"/>
        <v>-4.0018623771561006E-2</v>
      </c>
      <c r="J7" s="310">
        <v>694</v>
      </c>
      <c r="K7" s="84">
        <f>IFERROR(B7/J7,0)</f>
        <v>352.50350144092221</v>
      </c>
      <c r="L7" s="310">
        <v>67</v>
      </c>
      <c r="M7" s="310">
        <v>6529.81</v>
      </c>
      <c r="N7" s="479">
        <f>IFERROR(#REF!/J7,0)</f>
        <v>0</v>
      </c>
      <c r="O7" s="310">
        <v>53</v>
      </c>
      <c r="P7" s="310">
        <v>5489.24</v>
      </c>
      <c r="Q7" s="89">
        <f>IFERROR(#REF!/SUM(J7),0)</f>
        <v>0</v>
      </c>
      <c r="R7" s="485">
        <f t="shared" si="5"/>
        <v>42741.460869565228</v>
      </c>
      <c r="S7" s="89">
        <f t="shared" si="2"/>
        <v>0.17471349690668853</v>
      </c>
      <c r="T7" s="485">
        <f t="shared" si="6"/>
        <v>4479.2173913043489</v>
      </c>
      <c r="U7" s="89">
        <f t="shared" si="3"/>
        <v>1.8309615954125863E-2</v>
      </c>
      <c r="V7" s="310">
        <v>23312.5</v>
      </c>
      <c r="W7" s="488"/>
      <c r="X7" s="483"/>
      <c r="Y7" s="310">
        <v>44001.58</v>
      </c>
      <c r="Z7" s="75">
        <f t="shared" si="7"/>
        <v>38262.243478260876</v>
      </c>
      <c r="AA7" s="487"/>
      <c r="AB7" s="310">
        <v>5151.1000000000004</v>
      </c>
      <c r="AC7" s="75">
        <f t="shared" si="8"/>
        <v>4479.2173913043489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494">
        <f t="shared" si="4"/>
        <v>0</v>
      </c>
      <c r="F8" s="310"/>
      <c r="G8" s="310">
        <v>142525.06</v>
      </c>
      <c r="H8" s="467">
        <f t="shared" si="0"/>
        <v>-1</v>
      </c>
      <c r="I8" s="86">
        <f t="shared" si="1"/>
        <v>-1</v>
      </c>
      <c r="J8" s="310"/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89">
        <f>IFERROR(P8/SUM(J8),0)</f>
        <v>0</v>
      </c>
      <c r="R8" s="485">
        <f t="shared" si="5"/>
        <v>0</v>
      </c>
      <c r="S8" s="89" t="e">
        <f t="shared" si="2"/>
        <v>#DIV/0!</v>
      </c>
      <c r="T8" s="485">
        <f t="shared" si="6"/>
        <v>0</v>
      </c>
      <c r="U8" s="89" t="e">
        <f t="shared" si="3"/>
        <v>#DIV/0!</v>
      </c>
      <c r="V8" s="310"/>
      <c r="W8" s="486"/>
      <c r="X8" s="483"/>
      <c r="Y8" s="310"/>
      <c r="Z8" s="75">
        <f t="shared" si="7"/>
        <v>0</v>
      </c>
      <c r="AA8" s="487"/>
      <c r="AB8" s="313"/>
      <c r="AC8" s="75">
        <f t="shared" si="8"/>
        <v>0</v>
      </c>
    </row>
    <row r="9" spans="1:29" ht="15.6" customHeight="1" x14ac:dyDescent="0.3">
      <c r="A9" s="492" t="s">
        <v>23</v>
      </c>
      <c r="B9" s="310">
        <v>184879.71</v>
      </c>
      <c r="C9" s="310">
        <v>241619.52</v>
      </c>
      <c r="D9" s="489">
        <v>243010.12</v>
      </c>
      <c r="E9" s="494">
        <f t="shared" si="4"/>
        <v>-0.23483123383408758</v>
      </c>
      <c r="F9" s="310">
        <v>173146.52</v>
      </c>
      <c r="G9" s="310">
        <v>210674.76</v>
      </c>
      <c r="H9" s="467">
        <f t="shared" si="0"/>
        <v>-0.12244015372320831</v>
      </c>
      <c r="I9" s="86">
        <f t="shared" si="1"/>
        <v>-0.23920983208435931</v>
      </c>
      <c r="J9" s="310">
        <v>622</v>
      </c>
      <c r="K9" s="84">
        <f>IFERROR(B9/J9,0)</f>
        <v>297.23426045016078</v>
      </c>
      <c r="L9" s="310">
        <v>54</v>
      </c>
      <c r="M9" s="310">
        <v>4823.75</v>
      </c>
      <c r="N9" s="479">
        <f>IFERROR(M9/J9,0)</f>
        <v>7.755225080385852</v>
      </c>
      <c r="O9" s="310">
        <v>44</v>
      </c>
      <c r="P9" s="310">
        <v>3731.42</v>
      </c>
      <c r="Q9" s="89">
        <f>IFERROR(P9/SUM(J9),0)</f>
        <v>5.9990675241157554</v>
      </c>
      <c r="R9" s="485">
        <f t="shared" si="5"/>
        <v>55094.878260869569</v>
      </c>
      <c r="S9" s="89">
        <f t="shared" si="2"/>
        <v>0.29800391974256973</v>
      </c>
      <c r="T9" s="485">
        <f t="shared" si="6"/>
        <v>31772.286956521741</v>
      </c>
      <c r="U9" s="89">
        <f t="shared" si="3"/>
        <v>0.17185383380643415</v>
      </c>
      <c r="V9" s="310">
        <v>6545.5</v>
      </c>
      <c r="W9" s="488"/>
      <c r="X9" s="483"/>
      <c r="Y9" s="310">
        <v>26820.98</v>
      </c>
      <c r="Z9" s="75">
        <f t="shared" si="7"/>
        <v>23322.591304347829</v>
      </c>
      <c r="AA9" s="487"/>
      <c r="AB9" s="310">
        <v>36538.129999999997</v>
      </c>
      <c r="AC9" s="75">
        <f t="shared" si="8"/>
        <v>31772.286956521741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494">
        <f t="shared" si="4"/>
        <v>0</v>
      </c>
      <c r="F10" s="310"/>
      <c r="G10" s="310">
        <v>253761.63</v>
      </c>
      <c r="H10" s="467">
        <f t="shared" si="0"/>
        <v>-1</v>
      </c>
      <c r="I10" s="86">
        <f>IFERROR((SUM(B11-D10)/D10),0)</f>
        <v>-0.21216396299602577</v>
      </c>
      <c r="J10" s="310"/>
      <c r="K10" s="84">
        <f>IFERROR(B11/J11,0)</f>
        <v>295.66686274509806</v>
      </c>
      <c r="L10" s="479"/>
      <c r="M10" s="479"/>
      <c r="N10" s="479">
        <f>IFERROR(M11/J11,0)</f>
        <v>40.032274509803919</v>
      </c>
      <c r="O10" s="479"/>
      <c r="P10" s="479"/>
      <c r="Q10" s="89">
        <f>IFERROR(P11/SUM(J11),0)</f>
        <v>37.691549019607841</v>
      </c>
      <c r="R10" s="485">
        <f t="shared" si="5"/>
        <v>0</v>
      </c>
      <c r="S10" s="89">
        <f>SUM(R10/B11)</f>
        <v>0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310"/>
      <c r="Z10" s="75">
        <f t="shared" si="7"/>
        <v>0</v>
      </c>
      <c r="AA10" s="487"/>
      <c r="AB10" s="313"/>
      <c r="AC10" s="75">
        <f t="shared" si="8"/>
        <v>0</v>
      </c>
    </row>
    <row r="11" spans="1:29" ht="15.6" customHeight="1" x14ac:dyDescent="0.3">
      <c r="A11" s="492" t="s">
        <v>17</v>
      </c>
      <c r="B11" s="310">
        <v>150790.1</v>
      </c>
      <c r="C11" s="310">
        <v>148795.95000000001</v>
      </c>
      <c r="D11" s="489">
        <v>86713.33</v>
      </c>
      <c r="E11" s="494">
        <f t="shared" si="4"/>
        <v>1.3401910468665269E-2</v>
      </c>
      <c r="F11" s="310">
        <v>135244.89000000001</v>
      </c>
      <c r="G11" s="310">
        <v>137253.75</v>
      </c>
      <c r="H11" s="467">
        <f t="shared" si="0"/>
        <v>9.8622806298552912E-2</v>
      </c>
      <c r="I11" s="86">
        <f>IFERROR((SUM(#REF!-D11)/D11),0)</f>
        <v>0</v>
      </c>
      <c r="J11" s="310">
        <v>510</v>
      </c>
      <c r="K11" s="84">
        <f>IFERROR(B12/J12,0)</f>
        <v>292.02068814055639</v>
      </c>
      <c r="L11" s="310">
        <v>213</v>
      </c>
      <c r="M11" s="310">
        <v>20416.46</v>
      </c>
      <c r="N11" s="479">
        <f>IFERROR(#REF!/J12,0)</f>
        <v>0</v>
      </c>
      <c r="O11" s="310">
        <v>199</v>
      </c>
      <c r="P11" s="310">
        <v>19222.689999999999</v>
      </c>
      <c r="Q11" s="89">
        <f>IFERROR(#REF!/SUM(J12),0)</f>
        <v>0</v>
      </c>
      <c r="R11" s="485">
        <f t="shared" si="5"/>
        <v>69891.408695652179</v>
      </c>
      <c r="S11" s="89">
        <f>SUM(R11/B12)</f>
        <v>0.35042047200296222</v>
      </c>
      <c r="T11" s="485">
        <f t="shared" si="6"/>
        <v>26291.104347826091</v>
      </c>
      <c r="U11" s="89">
        <f>SUM(T11/B12)</f>
        <v>0.13181793537976683</v>
      </c>
      <c r="V11" s="310">
        <v>3682</v>
      </c>
      <c r="W11" s="488"/>
      <c r="X11" s="483"/>
      <c r="Y11" s="310">
        <v>50140.35</v>
      </c>
      <c r="Z11" s="75">
        <f t="shared" si="7"/>
        <v>43600.304347826088</v>
      </c>
      <c r="AA11" s="487"/>
      <c r="AB11" s="310">
        <v>30234.77</v>
      </c>
      <c r="AC11" s="75">
        <f t="shared" si="8"/>
        <v>26291.104347826091</v>
      </c>
    </row>
    <row r="12" spans="1:29" ht="15.6" customHeight="1" x14ac:dyDescent="0.3">
      <c r="A12" s="492" t="s">
        <v>55</v>
      </c>
      <c r="B12" s="310">
        <v>199450.13</v>
      </c>
      <c r="C12" s="310">
        <v>245998.27</v>
      </c>
      <c r="D12" s="489">
        <v>206751.49</v>
      </c>
      <c r="E12" s="494">
        <f t="shared" si="4"/>
        <v>-0.18922141200423884</v>
      </c>
      <c r="F12" s="310">
        <v>181782.9</v>
      </c>
      <c r="G12" s="310">
        <v>203624.91</v>
      </c>
      <c r="H12" s="467">
        <f t="shared" si="0"/>
        <v>-2.0502304948839506E-2</v>
      </c>
      <c r="I12" s="86">
        <f>IFERROR((SUM(B12-D12)/D12),0)</f>
        <v>-3.5314666897926519E-2</v>
      </c>
      <c r="J12" s="310">
        <v>683</v>
      </c>
      <c r="K12" s="84">
        <f>IFERROR(B12/J12,0)</f>
        <v>292.02068814055639</v>
      </c>
      <c r="L12" s="310">
        <v>232</v>
      </c>
      <c r="M12" s="310">
        <v>24374.12</v>
      </c>
      <c r="N12" s="479">
        <f>IFERROR(M12/J12,0)</f>
        <v>35.686852122986821</v>
      </c>
      <c r="O12" s="310">
        <v>202</v>
      </c>
      <c r="P12" s="310">
        <v>21598.720000000001</v>
      </c>
      <c r="Q12" s="89">
        <f>IFERROR(P12/SUM(J12),0)</f>
        <v>31.623308931185946</v>
      </c>
      <c r="R12" s="485">
        <f t="shared" si="5"/>
        <v>68899.034782608709</v>
      </c>
      <c r="S12" s="89">
        <f>SUM(R12/B12)</f>
        <v>0.34544492291185125</v>
      </c>
      <c r="T12" s="485">
        <f t="shared" si="6"/>
        <v>37051.069565217396</v>
      </c>
      <c r="U12" s="89">
        <f>SUM(T12/B12)</f>
        <v>0.18576608380860618</v>
      </c>
      <c r="V12" s="310">
        <v>7046</v>
      </c>
      <c r="W12" s="486"/>
      <c r="X12" s="483"/>
      <c r="Y12" s="310">
        <v>36625.160000000003</v>
      </c>
      <c r="Z12" s="75">
        <f t="shared" si="7"/>
        <v>31847.965217391309</v>
      </c>
      <c r="AA12" s="487"/>
      <c r="AB12" s="310">
        <v>42608.73</v>
      </c>
      <c r="AC12" s="75">
        <f t="shared" si="8"/>
        <v>37051.069565217396</v>
      </c>
    </row>
    <row r="13" spans="1:29" ht="15.6" customHeight="1" x14ac:dyDescent="0.3">
      <c r="A13" s="492" t="s">
        <v>33</v>
      </c>
      <c r="B13" s="310">
        <v>177417.58</v>
      </c>
      <c r="C13" s="310">
        <v>178310.37</v>
      </c>
      <c r="D13" s="489"/>
      <c r="E13" s="494">
        <f t="shared" si="4"/>
        <v>-5.0069437913230069E-3</v>
      </c>
      <c r="F13" s="310">
        <v>163576.94</v>
      </c>
      <c r="G13" s="310">
        <v>149649.69</v>
      </c>
      <c r="H13" s="467">
        <f t="shared" si="0"/>
        <v>0.18555260622324032</v>
      </c>
      <c r="I13" s="86">
        <f>IFERROR((SUM(B13-D13)/D13),0)</f>
        <v>0</v>
      </c>
      <c r="J13" s="310">
        <v>559</v>
      </c>
      <c r="K13" s="84">
        <f>IFERROR(B13/J13,0)</f>
        <v>317.38386404293379</v>
      </c>
      <c r="L13" s="310">
        <v>101</v>
      </c>
      <c r="M13" s="310">
        <v>9110.5499999999993</v>
      </c>
      <c r="N13" s="479">
        <f>IFERROR(M13/J13,0)</f>
        <v>16.297942754919497</v>
      </c>
      <c r="O13" s="310">
        <v>95</v>
      </c>
      <c r="P13" s="310">
        <v>8571.83</v>
      </c>
      <c r="Q13" s="89">
        <f>IFERROR(P13/SUM(J13),0)</f>
        <v>15.33422182468694</v>
      </c>
      <c r="R13" s="485">
        <f t="shared" si="5"/>
        <v>51212.773913043478</v>
      </c>
      <c r="S13" s="89">
        <f>SUM(R13/B13)</f>
        <v>0.28865670421749345</v>
      </c>
      <c r="T13" s="485">
        <f t="shared" si="6"/>
        <v>29794.139130434785</v>
      </c>
      <c r="U13" s="89">
        <f>SUM(T13/B13)</f>
        <v>0.16793228230502744</v>
      </c>
      <c r="V13" s="310">
        <v>5812.1</v>
      </c>
      <c r="W13" s="486"/>
      <c r="X13" s="483"/>
      <c r="Y13" s="310">
        <v>24631.43</v>
      </c>
      <c r="Z13" s="75">
        <f t="shared" si="7"/>
        <v>21418.634782608697</v>
      </c>
      <c r="AA13" s="487"/>
      <c r="AB13" s="310">
        <v>34263.26</v>
      </c>
      <c r="AC13" s="75">
        <f t="shared" si="8"/>
        <v>29794.139130434785</v>
      </c>
    </row>
    <row r="14" spans="1:29" ht="15.6" customHeight="1" x14ac:dyDescent="0.3">
      <c r="A14" s="492" t="s">
        <v>20</v>
      </c>
      <c r="B14" s="310">
        <v>181408.54</v>
      </c>
      <c r="C14" s="310">
        <v>189570.96</v>
      </c>
      <c r="D14" s="489">
        <v>144600.03</v>
      </c>
      <c r="E14" s="494">
        <f t="shared" si="4"/>
        <v>-4.3057333253996202E-2</v>
      </c>
      <c r="F14" s="310">
        <v>160734.57999999999</v>
      </c>
      <c r="G14" s="310">
        <v>174804.45</v>
      </c>
      <c r="H14" s="467">
        <f t="shared" si="0"/>
        <v>3.7779873452878324E-2</v>
      </c>
      <c r="I14" s="86">
        <f>IFERROR((SUM(B14-D14)/D14),0)</f>
        <v>0.25455395825298244</v>
      </c>
      <c r="J14" s="310">
        <v>524</v>
      </c>
      <c r="K14" s="84">
        <f>IFERROR(B14/J14,0)</f>
        <v>346.19950381679394</v>
      </c>
      <c r="L14" s="310">
        <v>109</v>
      </c>
      <c r="M14" s="310">
        <v>9430.2000000000007</v>
      </c>
      <c r="N14" s="479">
        <f>IFERROR(M14/J14,0)</f>
        <v>17.996564885496184</v>
      </c>
      <c r="O14" s="310">
        <v>97</v>
      </c>
      <c r="P14" s="310">
        <v>8371.51</v>
      </c>
      <c r="Q14" s="89">
        <f>IFERROR(P14/SUM(J14),0)</f>
        <v>15.976164122137405</v>
      </c>
      <c r="R14" s="485">
        <f t="shared" si="5"/>
        <v>59863.069565217389</v>
      </c>
      <c r="S14" s="89">
        <f>SUM(R14/B14)</f>
        <v>0.3299903607912692</v>
      </c>
      <c r="T14" s="485">
        <f t="shared" si="6"/>
        <v>22135.521739130436</v>
      </c>
      <c r="U14" s="89">
        <f>SUM(T14/B14)</f>
        <v>0.1220202849277682</v>
      </c>
      <c r="V14" s="310">
        <v>4057.9</v>
      </c>
      <c r="W14" s="488"/>
      <c r="X14" s="483"/>
      <c r="Y14" s="310">
        <v>43386.68</v>
      </c>
      <c r="Z14" s="75">
        <f t="shared" si="7"/>
        <v>37727.547826086957</v>
      </c>
      <c r="AA14" s="487"/>
      <c r="AB14" s="310">
        <v>25455.85</v>
      </c>
      <c r="AC14" s="75">
        <f t="shared" si="8"/>
        <v>22135.521739130436</v>
      </c>
    </row>
    <row r="15" spans="1:29" ht="15.6" customHeight="1" x14ac:dyDescent="0.3">
      <c r="A15" s="432" t="s">
        <v>22</v>
      </c>
      <c r="B15" s="310">
        <v>153048.51999999999</v>
      </c>
      <c r="C15" s="310">
        <v>178531.81</v>
      </c>
      <c r="D15" s="489">
        <v>152846.04</v>
      </c>
      <c r="E15" s="494">
        <f t="shared" si="4"/>
        <v>-0.14273809244414207</v>
      </c>
      <c r="F15" s="310">
        <v>141869.62</v>
      </c>
      <c r="G15" s="310">
        <v>131370.49</v>
      </c>
      <c r="H15" s="467">
        <f t="shared" si="0"/>
        <v>0.1650144564429957</v>
      </c>
      <c r="I15" s="86">
        <f>IFERROR((SUM(B15-D15)/D15),0)</f>
        <v>1.3247317365891937E-3</v>
      </c>
      <c r="J15" s="310">
        <v>517</v>
      </c>
      <c r="K15" s="84">
        <f>IFERROR(B15/J15,0)</f>
        <v>296.03195357833653</v>
      </c>
      <c r="L15" s="310">
        <v>16</v>
      </c>
      <c r="M15" s="310">
        <v>2026.2</v>
      </c>
      <c r="N15" s="479">
        <f>IFERROR(M15/J15,0)</f>
        <v>3.9191489361702128</v>
      </c>
      <c r="O15" s="310">
        <v>15</v>
      </c>
      <c r="P15" s="310">
        <v>1928.5</v>
      </c>
      <c r="Q15" s="89">
        <f>IFERROR(P15/SUM(J15),0)</f>
        <v>3.7301740812379109</v>
      </c>
      <c r="R15" s="485">
        <f t="shared" si="5"/>
        <v>40594.321739130435</v>
      </c>
      <c r="S15" s="89">
        <f>SUM(R15/B15)</f>
        <v>0.26523825084444097</v>
      </c>
      <c r="T15" s="485">
        <f t="shared" si="6"/>
        <v>22859.46086956522</v>
      </c>
      <c r="U15" s="89">
        <f>SUM(T15/B15)</f>
        <v>0.14936087503208278</v>
      </c>
      <c r="V15" s="310">
        <v>3958</v>
      </c>
      <c r="W15" s="488"/>
      <c r="X15" s="483"/>
      <c r="Y15" s="310">
        <v>20395.09</v>
      </c>
      <c r="Z15" s="75">
        <f t="shared" si="7"/>
        <v>17734.860869565218</v>
      </c>
      <c r="AA15" s="487"/>
      <c r="AB15" s="310">
        <v>26288.38</v>
      </c>
      <c r="AC15" s="75">
        <f t="shared" si="8"/>
        <v>22859.46086956522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9" priority="2" operator="equal">
      <formula>0</formula>
    </cfRule>
  </conditionalFormatting>
  <conditionalFormatting sqref="R12:R13">
    <cfRule type="cellIs" dxfId="8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AC49"/>
  <sheetViews>
    <sheetView zoomScale="60" zoomScaleNormal="60" workbookViewId="0">
      <pane xSplit="1" topLeftCell="G1" activePane="topRight" state="frozen"/>
      <selection pane="topRight" activeCell="M40" sqref="M40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1.1090041933169059E-3</v>
      </c>
      <c r="F2" s="426"/>
      <c r="G2" s="1"/>
      <c r="H2" s="427"/>
      <c r="I2" s="422">
        <f>((B4-D4)/D4)</f>
        <v>-6.2503210950152377E-2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1772067.2399999998</v>
      </c>
      <c r="C4" s="468">
        <f>SUM(C5:C15)</f>
        <v>1770102.0100000002</v>
      </c>
      <c r="D4" s="468">
        <f>SUM(D5:D15)</f>
        <v>1890211.53</v>
      </c>
      <c r="E4" s="472">
        <f>IFERROR((SUM(B4-C4)/B4),0)</f>
        <v>1.1090041933169059E-3</v>
      </c>
      <c r="F4" s="465">
        <f>SUM(F5:F15)</f>
        <v>3392213.09</v>
      </c>
      <c r="G4" s="468">
        <f>SUM(G5:G15)</f>
        <v>2229039.65</v>
      </c>
      <c r="H4" s="436">
        <f t="shared" ref="H4:H15" si="0">IFERROR((SUM(B4-G4)/G4),0)</f>
        <v>-0.20500865024989581</v>
      </c>
      <c r="I4" s="436">
        <f t="shared" ref="I4:I9" si="1">IFERROR((SUM(B4-D4)/D4),0)</f>
        <v>-6.2503210950152377E-2</v>
      </c>
      <c r="J4" s="480">
        <f>SUM(J5:J15)</f>
        <v>5380</v>
      </c>
      <c r="K4" s="474">
        <f>AVERAGE(K5:K15)</f>
        <v>294.96250265768896</v>
      </c>
      <c r="L4" s="474">
        <f>SUM(L6:L15)</f>
        <v>747</v>
      </c>
      <c r="M4" s="439">
        <f>SUM(M5:M15)</f>
        <v>69460.490000000005</v>
      </c>
      <c r="N4" s="442">
        <f>IFERROR(M4/J4,0)</f>
        <v>12.910871747211896</v>
      </c>
      <c r="O4" s="473">
        <f>SUM(O6:O15)</f>
        <v>1623</v>
      </c>
      <c r="P4" s="475">
        <f>SUM(P7:P15)</f>
        <v>130813.30999999998</v>
      </c>
      <c r="Q4" s="442">
        <f>IFERROR(P4/SUM(J4),0)</f>
        <v>24.314741635687728</v>
      </c>
      <c r="R4" s="455">
        <f>SUM(R5:R15)</f>
        <v>458120.5391304348</v>
      </c>
      <c r="S4" s="442">
        <f t="shared" ref="S4:S9" si="2">SUM(R4/B4)</f>
        <v>0.2585232257498507</v>
      </c>
      <c r="T4" s="455">
        <f>SUM(T5:T15)</f>
        <v>211887.44347826086</v>
      </c>
      <c r="U4" s="442">
        <f t="shared" ref="U4:U9" si="3">SUM(T4/B4)</f>
        <v>0.11957076949194145</v>
      </c>
      <c r="V4" s="481">
        <f>SUM(V5:V15)</f>
        <v>46025.11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328440.5</v>
      </c>
      <c r="C5" s="310">
        <v>263188.61</v>
      </c>
      <c r="D5" s="489">
        <v>166877.21</v>
      </c>
      <c r="E5" s="494">
        <f t="shared" ref="E5:E15" si="4">IFERROR((SUM(B5-C5)/C5),0)</f>
        <v>0.24792824431118055</v>
      </c>
      <c r="F5" s="310">
        <v>570733.29</v>
      </c>
      <c r="G5" s="310">
        <v>250229.34</v>
      </c>
      <c r="H5" s="467">
        <f t="shared" si="0"/>
        <v>0.31255791187396331</v>
      </c>
      <c r="I5" s="86">
        <f t="shared" si="1"/>
        <v>0.96815670635912487</v>
      </c>
      <c r="J5">
        <v>937</v>
      </c>
      <c r="K5" s="84">
        <f>IFERROR(B5/J5,0)</f>
        <v>350.52347918890075</v>
      </c>
      <c r="L5" s="479"/>
      <c r="M5" s="479"/>
      <c r="N5" s="479">
        <f>IFERROR(M5/J5,0)</f>
        <v>0</v>
      </c>
      <c r="O5" s="479"/>
      <c r="P5" s="479"/>
      <c r="Q5" s="89">
        <f>IFERROR(P5/SUM(J5),0)</f>
        <v>0</v>
      </c>
      <c r="R5" s="485">
        <f t="shared" ref="R5:R15" si="5">SUM(Z5+AC5)</f>
        <v>24907.826086956524</v>
      </c>
      <c r="S5" s="89">
        <f t="shared" si="2"/>
        <v>7.5836646476170028E-2</v>
      </c>
      <c r="T5" s="485">
        <f t="shared" ref="T5:T15" si="6">SUM(AC5)</f>
        <v>24907.826086956524</v>
      </c>
      <c r="U5" s="89">
        <f t="shared" si="3"/>
        <v>7.5836646476170028E-2</v>
      </c>
      <c r="V5" s="310">
        <v>3326.2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28644</v>
      </c>
      <c r="AC5" s="75">
        <f t="shared" ref="AC5:AC15" si="8">SUM(AB5)/1.15</f>
        <v>24907.826086956524</v>
      </c>
    </row>
    <row r="6" spans="1:29" ht="15.6" customHeight="1" x14ac:dyDescent="0.3">
      <c r="A6" s="492" t="s">
        <v>21</v>
      </c>
      <c r="B6" s="310">
        <v>210918.38</v>
      </c>
      <c r="C6" s="310">
        <v>215281.39</v>
      </c>
      <c r="D6" s="489">
        <v>317233.91999999998</v>
      </c>
      <c r="E6" s="494">
        <f t="shared" si="4"/>
        <v>-2.0266545101738746E-2</v>
      </c>
      <c r="F6" s="310">
        <v>406062.94</v>
      </c>
      <c r="G6" s="310">
        <v>225621.66</v>
      </c>
      <c r="H6" s="467">
        <f t="shared" si="0"/>
        <v>-6.516785666766213E-2</v>
      </c>
      <c r="I6" s="86">
        <f t="shared" si="1"/>
        <v>-0.33513295173479551</v>
      </c>
      <c r="J6">
        <v>629</v>
      </c>
      <c r="K6" s="84">
        <f>IFERROR(B6/J6,0)</f>
        <v>335.32333863275039</v>
      </c>
      <c r="L6" s="310">
        <v>76</v>
      </c>
      <c r="M6" s="310">
        <v>7515.86</v>
      </c>
      <c r="N6" s="479">
        <f>IFERROR(O7/J6,0)</f>
        <v>0.17488076311605724</v>
      </c>
      <c r="O6" s="310">
        <v>172</v>
      </c>
      <c r="P6" s="310">
        <v>17155.45</v>
      </c>
      <c r="Q6" s="89">
        <f>IFERROR(P6/SUM(J6),0)</f>
        <v>27.274165341812402</v>
      </c>
      <c r="R6" s="485">
        <f t="shared" si="5"/>
        <v>63931.6</v>
      </c>
      <c r="S6" s="89">
        <f t="shared" si="2"/>
        <v>0.30311061558504288</v>
      </c>
      <c r="T6" s="485">
        <f t="shared" si="6"/>
        <v>19179.565217391304</v>
      </c>
      <c r="U6" s="89">
        <f t="shared" si="3"/>
        <v>9.0933588705694138E-2</v>
      </c>
      <c r="V6" s="310">
        <v>7744.25</v>
      </c>
      <c r="W6" s="488"/>
      <c r="X6" s="483"/>
      <c r="Y6" s="310">
        <v>51464.84</v>
      </c>
      <c r="Z6" s="75">
        <f t="shared" si="7"/>
        <v>44752.034782608695</v>
      </c>
      <c r="AA6" s="487"/>
      <c r="AB6" s="310">
        <v>22056.5</v>
      </c>
      <c r="AC6" s="75">
        <f t="shared" si="8"/>
        <v>19179.565217391304</v>
      </c>
    </row>
    <row r="7" spans="1:29" ht="16.5" customHeight="1" x14ac:dyDescent="0.3">
      <c r="A7" s="492" t="s">
        <v>15</v>
      </c>
      <c r="B7" s="310">
        <v>238718.61</v>
      </c>
      <c r="C7" s="310">
        <v>244637.43</v>
      </c>
      <c r="D7" s="489">
        <v>254835.6</v>
      </c>
      <c r="E7" s="494">
        <f t="shared" si="4"/>
        <v>-2.4194253512228311E-2</v>
      </c>
      <c r="F7" s="310">
        <v>465071.66</v>
      </c>
      <c r="G7" s="310">
        <v>251168.25</v>
      </c>
      <c r="H7" s="467">
        <f t="shared" si="0"/>
        <v>-4.9566933718732421E-2</v>
      </c>
      <c r="I7" s="86">
        <f t="shared" si="1"/>
        <v>-6.3244656555049683E-2</v>
      </c>
      <c r="J7">
        <v>610</v>
      </c>
      <c r="K7" s="84">
        <f>IFERROR(B7/J7,0)</f>
        <v>391.34198360655733</v>
      </c>
      <c r="L7" s="310">
        <v>57</v>
      </c>
      <c r="M7" s="310">
        <v>7036.27</v>
      </c>
      <c r="N7" s="479">
        <f>IFERROR(#REF!/J7,0)</f>
        <v>0</v>
      </c>
      <c r="O7" s="310">
        <v>110</v>
      </c>
      <c r="P7" s="310">
        <v>12525.51</v>
      </c>
      <c r="Q7" s="89">
        <f>IFERROR(#REF!/SUM(J7),0)</f>
        <v>0</v>
      </c>
      <c r="R7" s="485">
        <f t="shared" si="5"/>
        <v>44444.391304347824</v>
      </c>
      <c r="S7" s="89">
        <f t="shared" si="2"/>
        <v>0.18617899670389262</v>
      </c>
      <c r="T7" s="485">
        <f t="shared" si="6"/>
        <v>7148.086956521739</v>
      </c>
      <c r="U7" s="89">
        <f t="shared" si="3"/>
        <v>2.994356810523377E-2</v>
      </c>
      <c r="V7" s="310">
        <v>5245.31</v>
      </c>
      <c r="W7" s="488"/>
      <c r="X7" s="483"/>
      <c r="Y7" s="310">
        <v>42890.75</v>
      </c>
      <c r="Z7" s="75">
        <f t="shared" si="7"/>
        <v>37296.304347826088</v>
      </c>
      <c r="AA7" s="487"/>
      <c r="AB7" s="310">
        <v>8220.2999999999993</v>
      </c>
      <c r="AC7" s="75">
        <f t="shared" si="8"/>
        <v>7148.086956521739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494">
        <f t="shared" si="4"/>
        <v>0</v>
      </c>
      <c r="F8" s="310"/>
      <c r="G8" s="310">
        <v>149602.25</v>
      </c>
      <c r="H8" s="467">
        <f t="shared" si="0"/>
        <v>-1</v>
      </c>
      <c r="I8" s="86">
        <f t="shared" si="1"/>
        <v>-1</v>
      </c>
      <c r="J8" s="310"/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89">
        <f>IFERROR(P8/SUM(J8),0)</f>
        <v>0</v>
      </c>
      <c r="R8" s="485">
        <f t="shared" si="5"/>
        <v>0</v>
      </c>
      <c r="S8" s="89" t="e">
        <f t="shared" si="2"/>
        <v>#DIV/0!</v>
      </c>
      <c r="T8" s="485">
        <f t="shared" si="6"/>
        <v>0</v>
      </c>
      <c r="U8" s="89" t="e">
        <f t="shared" si="3"/>
        <v>#DIV/0!</v>
      </c>
      <c r="V8" s="310"/>
      <c r="W8" s="486"/>
      <c r="X8" s="483"/>
      <c r="Y8" s="310"/>
      <c r="Z8" s="75">
        <f t="shared" si="7"/>
        <v>0</v>
      </c>
      <c r="AA8" s="487"/>
      <c r="AB8" s="310"/>
      <c r="AC8" s="75">
        <f t="shared" si="8"/>
        <v>0</v>
      </c>
    </row>
    <row r="9" spans="1:29" ht="15.6" customHeight="1" x14ac:dyDescent="0.3">
      <c r="A9" s="492" t="s">
        <v>23</v>
      </c>
      <c r="B9" s="310">
        <v>193770.68</v>
      </c>
      <c r="C9" s="310">
        <v>184879.71</v>
      </c>
      <c r="D9" s="489">
        <v>243010.12</v>
      </c>
      <c r="E9" s="494">
        <f t="shared" si="4"/>
        <v>4.8090566563523937E-2</v>
      </c>
      <c r="F9" s="310">
        <v>366917.2</v>
      </c>
      <c r="G9" s="310">
        <v>206309.34</v>
      </c>
      <c r="H9" s="467">
        <f t="shared" si="0"/>
        <v>-6.0776017217640282E-2</v>
      </c>
      <c r="I9" s="86">
        <f t="shared" si="1"/>
        <v>-0.20262300187333762</v>
      </c>
      <c r="J9">
        <v>611</v>
      </c>
      <c r="K9" s="84">
        <f>IFERROR(B9/J9,0)</f>
        <v>317.1369558101473</v>
      </c>
      <c r="L9" s="310">
        <v>24</v>
      </c>
      <c r="M9" s="310">
        <v>1972.2</v>
      </c>
      <c r="N9" s="479">
        <f>IFERROR(M9/J9,0)</f>
        <v>3.2278232405891982</v>
      </c>
      <c r="O9" s="310">
        <v>68</v>
      </c>
      <c r="P9" s="310">
        <v>5703.62</v>
      </c>
      <c r="Q9" s="89">
        <f>IFERROR(P9/SUM(J9),0)</f>
        <v>9.334893617021276</v>
      </c>
      <c r="R9" s="485">
        <f t="shared" si="5"/>
        <v>50061.295652173918</v>
      </c>
      <c r="S9" s="89">
        <f t="shared" si="2"/>
        <v>0.25835330532036077</v>
      </c>
      <c r="T9" s="485">
        <f t="shared" si="6"/>
        <v>27888.26086956522</v>
      </c>
      <c r="U9" s="89">
        <f t="shared" si="3"/>
        <v>0.1439240491366662</v>
      </c>
      <c r="V9" s="310">
        <v>7393</v>
      </c>
      <c r="W9" s="488"/>
      <c r="X9" s="483"/>
      <c r="Y9" s="310">
        <v>25498.99</v>
      </c>
      <c r="Z9" s="75">
        <f t="shared" si="7"/>
        <v>22173.034782608698</v>
      </c>
      <c r="AA9" s="487"/>
      <c r="AB9" s="310">
        <v>32071.5</v>
      </c>
      <c r="AC9" s="75">
        <f t="shared" si="8"/>
        <v>27888.26086956522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494">
        <f t="shared" si="4"/>
        <v>0</v>
      </c>
      <c r="F10" s="310"/>
      <c r="G10" s="310">
        <v>343437.12</v>
      </c>
      <c r="H10" s="467">
        <f t="shared" si="0"/>
        <v>-1</v>
      </c>
      <c r="I10" s="86">
        <f>IFERROR((SUM(B11-D10)/D10),0)</f>
        <v>-0.27561217781895325</v>
      </c>
      <c r="J10" s="310"/>
      <c r="K10" s="84">
        <f>IFERROR(B11/J11,0)</f>
        <v>317.26830663615561</v>
      </c>
      <c r="L10" s="479"/>
      <c r="M10" s="479"/>
      <c r="N10" s="479">
        <f>IFERROR(M11/J11,0)</f>
        <v>35.013913043478261</v>
      </c>
      <c r="O10" s="479"/>
      <c r="P10" s="479"/>
      <c r="Q10" s="89">
        <f>IFERROR(P11/SUM(J11),0)</f>
        <v>79.001762013729973</v>
      </c>
      <c r="R10" s="485">
        <f t="shared" si="5"/>
        <v>0</v>
      </c>
      <c r="S10" s="89">
        <f>SUM(R10/B11)</f>
        <v>0</v>
      </c>
      <c r="T10" s="485">
        <f t="shared" si="6"/>
        <v>0</v>
      </c>
      <c r="U10" s="89">
        <f>SUM(T10/B11)</f>
        <v>0</v>
      </c>
      <c r="V10" s="310"/>
      <c r="W10" s="488"/>
      <c r="X10" s="483"/>
      <c r="Y10" s="310"/>
      <c r="Z10" s="75">
        <f t="shared" si="7"/>
        <v>0</v>
      </c>
      <c r="AA10" s="487"/>
      <c r="AB10" s="310"/>
      <c r="AC10" s="75">
        <f t="shared" si="8"/>
        <v>0</v>
      </c>
    </row>
    <row r="11" spans="1:29" ht="15.6" customHeight="1" x14ac:dyDescent="0.3">
      <c r="A11" s="492" t="s">
        <v>17</v>
      </c>
      <c r="B11" s="310">
        <v>138646.25</v>
      </c>
      <c r="C11" s="310">
        <v>150790.1</v>
      </c>
      <c r="D11" s="489">
        <v>86713.33</v>
      </c>
      <c r="E11" s="494">
        <f t="shared" si="4"/>
        <v>-8.0534796382521173E-2</v>
      </c>
      <c r="F11" s="310">
        <v>273891.14</v>
      </c>
      <c r="G11" s="310">
        <v>142653.71</v>
      </c>
      <c r="H11" s="467">
        <f t="shared" si="0"/>
        <v>-2.8092224169984727E-2</v>
      </c>
      <c r="I11" s="86">
        <f>IFERROR((SUM(#REF!-D11)/D11),0)</f>
        <v>0</v>
      </c>
      <c r="J11">
        <v>437</v>
      </c>
      <c r="K11" s="84">
        <f>IFERROR(B12/J12,0)</f>
        <v>298.06979197622587</v>
      </c>
      <c r="L11" s="310">
        <v>153</v>
      </c>
      <c r="M11" s="310">
        <v>15301.08</v>
      </c>
      <c r="N11" s="479">
        <f>IFERROR(#REF!/J12,0)</f>
        <v>0</v>
      </c>
      <c r="O11" s="310">
        <v>352</v>
      </c>
      <c r="P11" s="310">
        <v>34523.769999999997</v>
      </c>
      <c r="Q11" s="89">
        <f>IFERROR(#REF!/SUM(J12),0)</f>
        <v>0</v>
      </c>
      <c r="R11" s="485">
        <f t="shared" si="5"/>
        <v>63346.069565217404</v>
      </c>
      <c r="S11" s="89">
        <f>SUM(R11/B12)</f>
        <v>0.31578147187033745</v>
      </c>
      <c r="T11" s="485">
        <f t="shared" si="6"/>
        <v>25201.182608695653</v>
      </c>
      <c r="U11" s="89">
        <f>SUM(T11/B12)</f>
        <v>0.12562841849017806</v>
      </c>
      <c r="V11" s="310">
        <v>5126.55</v>
      </c>
      <c r="W11" s="488"/>
      <c r="X11" s="483"/>
      <c r="Y11" s="310">
        <v>43866.62</v>
      </c>
      <c r="Z11" s="75">
        <f t="shared" si="7"/>
        <v>38144.886956521746</v>
      </c>
      <c r="AA11" s="487"/>
      <c r="AB11" s="310">
        <v>28981.360000000001</v>
      </c>
      <c r="AC11" s="75">
        <f t="shared" si="8"/>
        <v>25201.182608695653</v>
      </c>
    </row>
    <row r="12" spans="1:29" ht="15.6" customHeight="1" x14ac:dyDescent="0.3">
      <c r="A12" s="492" t="s">
        <v>55</v>
      </c>
      <c r="B12" s="310">
        <v>200600.97</v>
      </c>
      <c r="C12" s="310">
        <v>199450.13</v>
      </c>
      <c r="D12" s="489">
        <v>206751.49</v>
      </c>
      <c r="E12" s="494">
        <f t="shared" si="4"/>
        <v>5.7700639252528767E-3</v>
      </c>
      <c r="F12" s="310">
        <v>382383.87</v>
      </c>
      <c r="G12" s="310">
        <v>197141.69</v>
      </c>
      <c r="H12" s="467">
        <f t="shared" si="0"/>
        <v>1.7547176348138228E-2</v>
      </c>
      <c r="I12" s="86">
        <f>IFERROR((SUM(B12-D12)/D12),0)</f>
        <v>-2.9748370858173695E-2</v>
      </c>
      <c r="J12">
        <v>673</v>
      </c>
      <c r="K12" s="84">
        <f>IFERROR(B12/J12,0)</f>
        <v>298.06979197622587</v>
      </c>
      <c r="L12" s="310">
        <v>227</v>
      </c>
      <c r="M12" s="310">
        <v>20369.990000000002</v>
      </c>
      <c r="N12" s="479">
        <f>IFERROR(M12/J12,0)</f>
        <v>30.267444279346215</v>
      </c>
      <c r="O12" s="310">
        <v>429</v>
      </c>
      <c r="P12" s="310">
        <v>41968.71</v>
      </c>
      <c r="Q12" s="89">
        <f>IFERROR(P12/SUM(J12),0)</f>
        <v>62.360638930163447</v>
      </c>
      <c r="R12" s="485">
        <f t="shared" si="5"/>
        <v>70055.860869565222</v>
      </c>
      <c r="S12" s="89">
        <f>SUM(R12/B12)</f>
        <v>0.3492299208202494</v>
      </c>
      <c r="T12" s="485">
        <f t="shared" si="6"/>
        <v>35557.886956521739</v>
      </c>
      <c r="U12" s="89">
        <f>SUM(T12/B12)</f>
        <v>0.17725680467308677</v>
      </c>
      <c r="V12" s="310">
        <v>5151.8</v>
      </c>
      <c r="W12" s="486"/>
      <c r="X12" s="483"/>
      <c r="Y12" s="310">
        <v>39672.67</v>
      </c>
      <c r="Z12" s="75">
        <f t="shared" si="7"/>
        <v>34497.973913043483</v>
      </c>
      <c r="AA12" s="487"/>
      <c r="AB12" s="310">
        <v>40891.57</v>
      </c>
      <c r="AC12" s="75">
        <f t="shared" si="8"/>
        <v>35557.886956521739</v>
      </c>
    </row>
    <row r="13" spans="1:29" ht="15.6" customHeight="1" x14ac:dyDescent="0.3">
      <c r="A13" s="492" t="s">
        <v>33</v>
      </c>
      <c r="B13" s="310">
        <v>156547.88</v>
      </c>
      <c r="C13" s="310">
        <v>177417.58</v>
      </c>
      <c r="D13" s="489"/>
      <c r="E13" s="494">
        <f t="shared" si="4"/>
        <v>-0.11763039491351411</v>
      </c>
      <c r="F13" s="310">
        <v>320124.82</v>
      </c>
      <c r="G13" s="310">
        <v>154231.74</v>
      </c>
      <c r="H13" s="467">
        <f t="shared" si="0"/>
        <v>1.5017272060861234E-2</v>
      </c>
      <c r="I13" s="86">
        <f>IFERROR((SUM(B13-D13)/D13),0)</f>
        <v>0</v>
      </c>
      <c r="J13">
        <v>514</v>
      </c>
      <c r="K13" s="84">
        <f>IFERROR(B13/J13,0)</f>
        <v>304.56785992217903</v>
      </c>
      <c r="L13" s="310">
        <v>68</v>
      </c>
      <c r="M13" s="310">
        <v>5398.02</v>
      </c>
      <c r="N13" s="479">
        <f>IFERROR(M13/J13,0)</f>
        <v>10.501984435797667</v>
      </c>
      <c r="O13" s="310">
        <v>238</v>
      </c>
      <c r="P13" s="310">
        <v>13924.62</v>
      </c>
      <c r="Q13" s="89">
        <f>IFERROR(P13/SUM(J13),0)</f>
        <v>27.090700389105059</v>
      </c>
      <c r="R13" s="485">
        <f t="shared" si="5"/>
        <v>37846.947826086958</v>
      </c>
      <c r="S13" s="89">
        <f>SUM(R13/B13)</f>
        <v>0.241759567910386</v>
      </c>
      <c r="T13" s="485">
        <f t="shared" si="6"/>
        <v>24006.591304347829</v>
      </c>
      <c r="U13" s="89">
        <f>SUM(T13/B13)</f>
        <v>0.15334983331839325</v>
      </c>
      <c r="V13" s="310">
        <v>5099.28</v>
      </c>
      <c r="W13" s="486"/>
      <c r="X13" s="483"/>
      <c r="Y13" s="310">
        <v>15916.41</v>
      </c>
      <c r="Z13" s="75">
        <f t="shared" si="7"/>
        <v>13840.356521739131</v>
      </c>
      <c r="AA13" s="487"/>
      <c r="AB13" s="310">
        <v>27607.58</v>
      </c>
      <c r="AC13" s="75">
        <f t="shared" si="8"/>
        <v>24006.591304347829</v>
      </c>
    </row>
    <row r="14" spans="1:29" ht="15.6" customHeight="1" x14ac:dyDescent="0.3">
      <c r="A14" s="492" t="s">
        <v>20</v>
      </c>
      <c r="B14" s="310">
        <v>143985.85999999999</v>
      </c>
      <c r="C14" s="310">
        <v>181408.54</v>
      </c>
      <c r="D14" s="489">
        <v>144600.03</v>
      </c>
      <c r="E14" s="494">
        <f t="shared" si="4"/>
        <v>-0.20628951646929092</v>
      </c>
      <c r="F14" s="310">
        <v>304720.44</v>
      </c>
      <c r="G14" s="310">
        <v>178592.68</v>
      </c>
      <c r="H14" s="467">
        <f t="shared" si="0"/>
        <v>-0.1937751312091851</v>
      </c>
      <c r="I14" s="86">
        <f>IFERROR((SUM(B14-D14)/D14),0)</f>
        <v>-4.2473711796602864E-3</v>
      </c>
      <c r="J14">
        <v>431</v>
      </c>
      <c r="K14" s="84">
        <f>IFERROR(B14/J14,0)</f>
        <v>334.07392111368904</v>
      </c>
      <c r="L14" s="310">
        <v>97</v>
      </c>
      <c r="M14" s="310">
        <v>7769.48</v>
      </c>
      <c r="N14" s="479">
        <f>IFERROR(M14/J14,0)</f>
        <v>18.026635730858466</v>
      </c>
      <c r="O14" s="310">
        <v>194</v>
      </c>
      <c r="P14" s="310">
        <v>16140.99</v>
      </c>
      <c r="Q14" s="89">
        <f>IFERROR(P14/SUM(J14),0)</f>
        <v>37.450092807424596</v>
      </c>
      <c r="R14" s="485">
        <f t="shared" si="5"/>
        <v>61213.260869565216</v>
      </c>
      <c r="S14" s="89">
        <f>SUM(R14/B14)</f>
        <v>0.42513383515273806</v>
      </c>
      <c r="T14" s="485">
        <f t="shared" si="6"/>
        <v>24596.08695652174</v>
      </c>
      <c r="U14" s="89">
        <f>SUM(T14/B14)</f>
        <v>0.17082293328332201</v>
      </c>
      <c r="V14" s="310">
        <v>3890.42</v>
      </c>
      <c r="W14" s="488"/>
      <c r="X14" s="483"/>
      <c r="Y14" s="310">
        <v>42109.75</v>
      </c>
      <c r="Z14" s="75">
        <f t="shared" si="7"/>
        <v>36617.17391304348</v>
      </c>
      <c r="AA14" s="487"/>
      <c r="AB14" s="310">
        <v>28285.5</v>
      </c>
      <c r="AC14" s="75">
        <f t="shared" si="8"/>
        <v>24596.08695652174</v>
      </c>
    </row>
    <row r="15" spans="1:29" ht="15.6" customHeight="1" x14ac:dyDescent="0.3">
      <c r="A15" s="432" t="s">
        <v>22</v>
      </c>
      <c r="B15" s="310">
        <v>160438.10999999999</v>
      </c>
      <c r="C15" s="310">
        <v>153048.51999999999</v>
      </c>
      <c r="D15" s="489">
        <v>152846.04</v>
      </c>
      <c r="E15" s="494">
        <f t="shared" si="4"/>
        <v>4.8282662256387693E-2</v>
      </c>
      <c r="F15" s="310">
        <v>302307.73</v>
      </c>
      <c r="G15" s="310">
        <v>130051.87</v>
      </c>
      <c r="H15" s="467">
        <f t="shared" si="0"/>
        <v>0.23364708250638758</v>
      </c>
      <c r="I15" s="86">
        <f>IFERROR((SUM(B15-D15)/D15),0)</f>
        <v>4.9671355567994943E-2</v>
      </c>
      <c r="J15">
        <v>538</v>
      </c>
      <c r="K15" s="84">
        <f>IFERROR(B15/J15,0)</f>
        <v>298.21210037174717</v>
      </c>
      <c r="L15" s="310">
        <v>45</v>
      </c>
      <c r="M15" s="310">
        <v>4097.59</v>
      </c>
      <c r="N15" s="479">
        <f>IFERROR(M15/J15,0)</f>
        <v>7.6163382899628251</v>
      </c>
      <c r="O15" s="310">
        <v>60</v>
      </c>
      <c r="P15" s="310">
        <v>6026.09</v>
      </c>
      <c r="Q15" s="89">
        <f>IFERROR(P15/SUM(J15),0)</f>
        <v>11.200910780669146</v>
      </c>
      <c r="R15" s="485">
        <f t="shared" si="5"/>
        <v>42313.286956521741</v>
      </c>
      <c r="S15" s="89">
        <f>SUM(R15/B15)</f>
        <v>0.26373588517417557</v>
      </c>
      <c r="T15" s="485">
        <f t="shared" si="6"/>
        <v>23401.956521739132</v>
      </c>
      <c r="U15" s="89">
        <f>SUM(T15/B15)</f>
        <v>0.14586282848719131</v>
      </c>
      <c r="V15" s="310">
        <v>3048.3</v>
      </c>
      <c r="W15" s="488"/>
      <c r="X15" s="483"/>
      <c r="Y15" s="310">
        <v>21748.03</v>
      </c>
      <c r="Z15" s="75">
        <f t="shared" si="7"/>
        <v>18911.330434782609</v>
      </c>
      <c r="AA15" s="487"/>
      <c r="AB15" s="310">
        <v>26912.25</v>
      </c>
      <c r="AC15" s="75">
        <f t="shared" si="8"/>
        <v>23401.956521739132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7" priority="2" operator="equal">
      <formula>0</formula>
    </cfRule>
  </conditionalFormatting>
  <conditionalFormatting sqref="R12:R13">
    <cfRule type="cellIs" dxfId="6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AC49"/>
  <sheetViews>
    <sheetView zoomScale="60" zoomScaleNormal="60" workbookViewId="0">
      <pane xSplit="1" topLeftCell="G1" activePane="topRight" state="frozen"/>
      <selection pane="topRight" activeCell="Z21" sqref="Z21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6.1093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8.66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-0.15890916725673723</v>
      </c>
      <c r="F2" s="426"/>
      <c r="G2" s="1"/>
      <c r="H2" s="427"/>
      <c r="I2" s="422">
        <f>((B4-D4)/D4)</f>
        <v>-0.19105240036283133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1529082.08</v>
      </c>
      <c r="C4" s="468">
        <f>SUM(C5:C15)</f>
        <v>1772067.2399999998</v>
      </c>
      <c r="D4" s="468">
        <f>SUM(D5:D15)</f>
        <v>1890211.53</v>
      </c>
      <c r="E4" s="472">
        <f>IFERROR((SUM(B4-C4)/B4),0)</f>
        <v>-0.15890916725673723</v>
      </c>
      <c r="F4" s="465">
        <f>SUM(F5:F15)</f>
        <v>4921295.17</v>
      </c>
      <c r="G4" s="468">
        <f>SUM(G5:G15)</f>
        <v>1971369.53</v>
      </c>
      <c r="H4" s="472">
        <f t="shared" ref="H4:H15" si="0">IFERROR((SUM(B4-G4)/G4),0)</f>
        <v>-0.22435542564158428</v>
      </c>
      <c r="I4" s="472">
        <f t="shared" ref="I4:I9" si="1">IFERROR((SUM(B4-D4)/D4),0)</f>
        <v>-0.19105240036283133</v>
      </c>
      <c r="J4" s="501">
        <f>SUM(J5:J15)</f>
        <v>4828</v>
      </c>
      <c r="K4" s="497">
        <f>AVERAGE(K5:K15)</f>
        <v>283.4364154107484</v>
      </c>
      <c r="L4" s="497">
        <f>SUM(L6:L15)</f>
        <v>694</v>
      </c>
      <c r="M4" s="502">
        <f>SUM(M5:M15)</f>
        <v>66542.86</v>
      </c>
      <c r="N4" s="496">
        <f>IFERROR(M4/J4,0)</f>
        <v>13.782696768848384</v>
      </c>
      <c r="O4" s="499">
        <f>SUM(O6:O15)</f>
        <v>2205</v>
      </c>
      <c r="P4" s="500">
        <f>SUM(P7:P15)</f>
        <v>187105.04999999996</v>
      </c>
      <c r="Q4" s="496">
        <f>IFERROR(P4/SUM(J4),0)</f>
        <v>38.754152858326421</v>
      </c>
      <c r="R4" s="465">
        <f>SUM(R5:R15)</f>
        <v>354888.17391304352</v>
      </c>
      <c r="S4" s="496">
        <f t="shared" ref="S4:S9" si="2">SUM(R4/B4)</f>
        <v>0.23209229808843454</v>
      </c>
      <c r="T4" s="465">
        <f>SUM(T5:T15)</f>
        <v>156774.60869565219</v>
      </c>
      <c r="U4" s="496">
        <f t="shared" ref="U4:U9" si="3">SUM(T4/B4)</f>
        <v>0.10252857629176595</v>
      </c>
      <c r="V4" s="498">
        <f>SUM(V5:V15)</f>
        <v>52877.590000000004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264990.67</v>
      </c>
      <c r="C5" s="310">
        <v>328440.5</v>
      </c>
      <c r="D5" s="489">
        <v>166877.21</v>
      </c>
      <c r="E5" s="494">
        <f t="shared" ref="E5:E15" si="4">IFERROR((SUM(B5-C5)/C5),0)</f>
        <v>-0.19318515834679345</v>
      </c>
      <c r="F5" s="310">
        <v>835723.96</v>
      </c>
      <c r="G5" s="310">
        <v>203120.59</v>
      </c>
      <c r="H5" s="495">
        <f t="shared" si="0"/>
        <v>0.30459777612894878</v>
      </c>
      <c r="I5" s="494">
        <f t="shared" si="1"/>
        <v>0.58793804138983385</v>
      </c>
      <c r="J5" s="310">
        <v>743</v>
      </c>
      <c r="K5" s="84">
        <f>IFERROR(B5/J5,0)</f>
        <v>356.6496231493943</v>
      </c>
      <c r="L5" s="479"/>
      <c r="M5" s="479"/>
      <c r="N5" s="479">
        <f>IFERROR(M5/J5,0)</f>
        <v>0</v>
      </c>
      <c r="O5" s="479"/>
      <c r="P5" s="479"/>
      <c r="Q5" s="479">
        <f>IFERROR(P5/SUM(J5),0)</f>
        <v>0</v>
      </c>
      <c r="R5" s="485">
        <f t="shared" ref="R5:R15" si="5">SUM(Z5+AC5)</f>
        <v>19288.695652173916</v>
      </c>
      <c r="S5" s="479">
        <f t="shared" si="2"/>
        <v>7.2790093523571672E-2</v>
      </c>
      <c r="T5" s="485">
        <f t="shared" ref="T5:T15" si="6">SUM(AC5)</f>
        <v>19288.695652173916</v>
      </c>
      <c r="U5" s="479">
        <f t="shared" si="3"/>
        <v>7.2790093523571672E-2</v>
      </c>
      <c r="V5" s="310">
        <v>2481.4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22182</v>
      </c>
      <c r="AC5" s="75">
        <f t="shared" ref="AC5:AC15" si="8">SUM(AB5)/1.15</f>
        <v>19288.695652173916</v>
      </c>
    </row>
    <row r="6" spans="1:29" ht="15.6" customHeight="1" x14ac:dyDescent="0.3">
      <c r="A6" s="492" t="s">
        <v>21</v>
      </c>
      <c r="B6" s="310">
        <v>192141.41</v>
      </c>
      <c r="C6" s="310">
        <v>210918.38</v>
      </c>
      <c r="D6" s="489">
        <v>317233.91999999998</v>
      </c>
      <c r="E6" s="494">
        <f t="shared" si="4"/>
        <v>-8.9024816139778806E-2</v>
      </c>
      <c r="F6" s="310">
        <v>598204.35</v>
      </c>
      <c r="G6" s="310">
        <v>196366.64</v>
      </c>
      <c r="H6" s="495">
        <f t="shared" si="0"/>
        <v>-2.151704586889102E-2</v>
      </c>
      <c r="I6" s="494">
        <f t="shared" si="1"/>
        <v>-0.39432261846400279</v>
      </c>
      <c r="J6" s="310">
        <v>583</v>
      </c>
      <c r="K6" s="84">
        <f>IFERROR(B6/J6,0)</f>
        <v>329.57360205831907</v>
      </c>
      <c r="L6" s="310">
        <v>89</v>
      </c>
      <c r="M6" s="310">
        <v>8973.8799999999992</v>
      </c>
      <c r="N6" s="479">
        <f>IFERROR(O7/J6,0)</f>
        <v>0.2504288164665523</v>
      </c>
      <c r="O6" s="310">
        <v>261</v>
      </c>
      <c r="P6" s="310">
        <v>26129.33</v>
      </c>
      <c r="Q6" s="479">
        <f>IFERROR(P6/SUM(J6),0)</f>
        <v>44.818747855917671</v>
      </c>
      <c r="R6" s="485">
        <f t="shared" si="5"/>
        <v>55134.756521739138</v>
      </c>
      <c r="S6" s="479">
        <f t="shared" si="2"/>
        <v>0.28694884940075716</v>
      </c>
      <c r="T6" s="485">
        <f t="shared" si="6"/>
        <v>23008.391304347828</v>
      </c>
      <c r="U6" s="479">
        <f t="shared" si="3"/>
        <v>0.11974717633407514</v>
      </c>
      <c r="V6" s="310">
        <v>5555.65</v>
      </c>
      <c r="W6" s="488"/>
      <c r="X6" s="483"/>
      <c r="Y6" s="310">
        <v>36945.32</v>
      </c>
      <c r="Z6" s="75">
        <f t="shared" si="7"/>
        <v>32126.365217391307</v>
      </c>
      <c r="AA6" s="487"/>
      <c r="AB6" s="310">
        <v>26459.65</v>
      </c>
      <c r="AC6" s="75">
        <f t="shared" si="8"/>
        <v>23008.391304347828</v>
      </c>
    </row>
    <row r="7" spans="1:29" ht="16.5" customHeight="1" x14ac:dyDescent="0.3">
      <c r="A7" s="492" t="s">
        <v>15</v>
      </c>
      <c r="B7" s="310">
        <v>190409.57</v>
      </c>
      <c r="C7" s="310">
        <v>238718.61</v>
      </c>
      <c r="D7" s="489">
        <v>254835.6</v>
      </c>
      <c r="E7" s="494">
        <f t="shared" si="4"/>
        <v>-0.20236813543778587</v>
      </c>
      <c r="F7" s="310">
        <v>655481.23</v>
      </c>
      <c r="G7" s="310">
        <v>194288.81</v>
      </c>
      <c r="H7" s="495">
        <f t="shared" si="0"/>
        <v>-1.9966358330158029E-2</v>
      </c>
      <c r="I7" s="494">
        <f t="shared" si="1"/>
        <v>-0.25281408876938699</v>
      </c>
      <c r="J7" s="310">
        <v>554</v>
      </c>
      <c r="K7" s="84">
        <f>IFERROR(B7/J7,0)</f>
        <v>343.69958483754516</v>
      </c>
      <c r="L7" s="310">
        <v>36</v>
      </c>
      <c r="M7" s="310">
        <v>3546</v>
      </c>
      <c r="N7" s="479">
        <f>IFERROR(#REF!/J7,0)</f>
        <v>0</v>
      </c>
      <c r="O7" s="310">
        <v>146</v>
      </c>
      <c r="P7" s="310">
        <v>16071.51</v>
      </c>
      <c r="Q7" s="479">
        <f>IFERROR(#REF!/SUM(J7),0)</f>
        <v>0</v>
      </c>
      <c r="R7" s="485">
        <f t="shared" si="5"/>
        <v>34572.043478260872</v>
      </c>
      <c r="S7" s="479">
        <f t="shared" si="2"/>
        <v>0.18156673258734249</v>
      </c>
      <c r="T7" s="485">
        <f t="shared" si="6"/>
        <v>1884.8695652173915</v>
      </c>
      <c r="U7" s="479">
        <f t="shared" si="3"/>
        <v>9.899027476493915E-3</v>
      </c>
      <c r="V7" s="310">
        <v>12710.75</v>
      </c>
      <c r="W7" s="488"/>
      <c r="X7" s="483"/>
      <c r="Y7" s="310">
        <v>37590.25</v>
      </c>
      <c r="Z7" s="75">
        <f t="shared" si="7"/>
        <v>32687.17391304348</v>
      </c>
      <c r="AA7" s="487"/>
      <c r="AB7" s="310">
        <v>2167.6</v>
      </c>
      <c r="AC7" s="75">
        <f t="shared" si="8"/>
        <v>1884.8695652173915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494">
        <f t="shared" si="4"/>
        <v>0</v>
      </c>
      <c r="F8" s="310"/>
      <c r="G8" s="310">
        <v>148905.81</v>
      </c>
      <c r="H8" s="495">
        <f t="shared" si="0"/>
        <v>-1</v>
      </c>
      <c r="I8" s="494">
        <f t="shared" si="1"/>
        <v>-1</v>
      </c>
      <c r="J8" s="310"/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479">
        <f>IFERROR(P8/SUM(J8),0)</f>
        <v>0</v>
      </c>
      <c r="R8" s="485">
        <f t="shared" si="5"/>
        <v>0</v>
      </c>
      <c r="S8" s="479" t="e">
        <f t="shared" si="2"/>
        <v>#DIV/0!</v>
      </c>
      <c r="T8" s="485">
        <f t="shared" si="6"/>
        <v>0</v>
      </c>
      <c r="U8" s="479" t="e">
        <f t="shared" si="3"/>
        <v>#DIV/0!</v>
      </c>
      <c r="V8" s="310"/>
      <c r="W8" s="486"/>
      <c r="X8" s="483"/>
      <c r="Y8" s="310"/>
      <c r="Z8" s="75">
        <f t="shared" si="7"/>
        <v>0</v>
      </c>
      <c r="AA8" s="487"/>
      <c r="AB8" s="310"/>
      <c r="AC8" s="75">
        <f t="shared" si="8"/>
        <v>0</v>
      </c>
    </row>
    <row r="9" spans="1:29" ht="15.6" customHeight="1" x14ac:dyDescent="0.3">
      <c r="A9" s="492" t="s">
        <v>23</v>
      </c>
      <c r="B9" s="310">
        <v>185294.29</v>
      </c>
      <c r="C9" s="310">
        <v>193770.68</v>
      </c>
      <c r="D9" s="489">
        <v>243010.12</v>
      </c>
      <c r="E9" s="494">
        <f t="shared" si="4"/>
        <v>-4.3744440593385878E-2</v>
      </c>
      <c r="F9" s="310">
        <v>552211.49</v>
      </c>
      <c r="G9" s="310">
        <v>208809.95</v>
      </c>
      <c r="H9" s="495">
        <f t="shared" si="0"/>
        <v>-0.11261752612842445</v>
      </c>
      <c r="I9" s="494">
        <f t="shared" si="1"/>
        <v>-0.23750381259842177</v>
      </c>
      <c r="J9" s="310">
        <v>579</v>
      </c>
      <c r="K9" s="84">
        <f>IFERROR(B9/J9,0)</f>
        <v>320.02468048359242</v>
      </c>
      <c r="L9" s="310">
        <v>27</v>
      </c>
      <c r="M9" s="310">
        <v>2176.16</v>
      </c>
      <c r="N9" s="479">
        <f>IFERROR(M9/J9,0)</f>
        <v>3.758480138169257</v>
      </c>
      <c r="O9" s="310">
        <v>95</v>
      </c>
      <c r="P9" s="310">
        <v>7879.78</v>
      </c>
      <c r="Q9" s="479">
        <f>IFERROR(P9/SUM(J9),0)</f>
        <v>13.60929188255613</v>
      </c>
      <c r="R9" s="485">
        <f t="shared" si="5"/>
        <v>52845.034782608695</v>
      </c>
      <c r="S9" s="479">
        <f t="shared" si="2"/>
        <v>0.28519516053413568</v>
      </c>
      <c r="T9" s="485">
        <f t="shared" si="6"/>
        <v>27194.834782608697</v>
      </c>
      <c r="U9" s="479">
        <f t="shared" si="3"/>
        <v>0.14676563850191335</v>
      </c>
      <c r="V9" s="310">
        <v>6359</v>
      </c>
      <c r="W9" s="488"/>
      <c r="X9" s="483"/>
      <c r="Y9" s="310">
        <v>29497.73</v>
      </c>
      <c r="Z9" s="75">
        <f t="shared" si="7"/>
        <v>25650.2</v>
      </c>
      <c r="AA9" s="487"/>
      <c r="AB9" s="310">
        <v>31274.06</v>
      </c>
      <c r="AC9" s="75">
        <f t="shared" si="8"/>
        <v>27194.834782608697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494">
        <f t="shared" si="4"/>
        <v>0</v>
      </c>
      <c r="F10" s="310"/>
      <c r="G10" s="310">
        <v>230636.06</v>
      </c>
      <c r="H10" s="495">
        <f t="shared" si="0"/>
        <v>-1</v>
      </c>
      <c r="I10" s="494">
        <f>IFERROR((SUM(B11-D10)/D10),0)</f>
        <v>-0.42945980262471123</v>
      </c>
      <c r="J10" s="310"/>
      <c r="K10" s="84">
        <f>IFERROR(B11/J11,0)</f>
        <v>268.30503685503686</v>
      </c>
      <c r="L10" s="479"/>
      <c r="M10" s="479"/>
      <c r="N10" s="479">
        <f>IFERROR(M11/J11,0)</f>
        <v>46.100393120393122</v>
      </c>
      <c r="O10" s="479"/>
      <c r="P10" s="479"/>
      <c r="Q10" s="479">
        <f>IFERROR(P11/SUM(J11),0)</f>
        <v>130.92538083538082</v>
      </c>
      <c r="R10" s="485">
        <f t="shared" si="5"/>
        <v>0</v>
      </c>
      <c r="S10" s="479">
        <f>SUM(R10/B11)</f>
        <v>0</v>
      </c>
      <c r="T10" s="485">
        <f t="shared" si="6"/>
        <v>0</v>
      </c>
      <c r="U10" s="479">
        <f>SUM(T10/B11)</f>
        <v>0</v>
      </c>
      <c r="V10" s="310"/>
      <c r="W10" s="488"/>
      <c r="X10" s="483"/>
      <c r="Y10" s="310"/>
      <c r="Z10" s="75">
        <f t="shared" si="7"/>
        <v>0</v>
      </c>
      <c r="AA10" s="487"/>
      <c r="AB10" s="310"/>
      <c r="AC10" s="75">
        <f t="shared" si="8"/>
        <v>0</v>
      </c>
    </row>
    <row r="11" spans="1:29" ht="15.6" customHeight="1" x14ac:dyDescent="0.3">
      <c r="A11" s="492" t="s">
        <v>17</v>
      </c>
      <c r="B11" s="310">
        <v>109200.15</v>
      </c>
      <c r="C11" s="310">
        <v>138646.25</v>
      </c>
      <c r="D11" s="489">
        <v>86713.33</v>
      </c>
      <c r="E11" s="494">
        <f t="shared" si="4"/>
        <v>-0.2123829530189241</v>
      </c>
      <c r="F11" s="310">
        <v>383091.29</v>
      </c>
      <c r="G11" s="310">
        <v>114215.58</v>
      </c>
      <c r="H11" s="495">
        <f t="shared" si="0"/>
        <v>-4.3911960172158718E-2</v>
      </c>
      <c r="I11" s="494">
        <f>IFERROR((SUM(#REF!-D11)/D11),0)</f>
        <v>0</v>
      </c>
      <c r="J11" s="310">
        <v>407</v>
      </c>
      <c r="K11" s="84">
        <f>IFERROR(B12/J12,0)</f>
        <v>294.6265753424658</v>
      </c>
      <c r="L11" s="310">
        <v>182</v>
      </c>
      <c r="M11" s="310">
        <v>18762.86</v>
      </c>
      <c r="N11" s="479">
        <f>IFERROR(#REF!/J12,0)</f>
        <v>0</v>
      </c>
      <c r="O11" s="310">
        <v>534</v>
      </c>
      <c r="P11" s="310">
        <v>53286.63</v>
      </c>
      <c r="Q11" s="479">
        <f>IFERROR(#REF!/SUM(J12),0)</f>
        <v>0</v>
      </c>
      <c r="R11" s="485">
        <f t="shared" si="5"/>
        <v>50967.886956521746</v>
      </c>
      <c r="S11" s="479">
        <f>SUM(R11/B12)</f>
        <v>0.29621828558301422</v>
      </c>
      <c r="T11" s="485">
        <f t="shared" si="6"/>
        <v>14365.608695652176</v>
      </c>
      <c r="U11" s="479">
        <f>SUM(T11/B12)</f>
        <v>8.349092405601527E-2</v>
      </c>
      <c r="V11" s="310">
        <v>3183.3</v>
      </c>
      <c r="W11" s="488"/>
      <c r="X11" s="483"/>
      <c r="Y11" s="310">
        <v>42092.62</v>
      </c>
      <c r="Z11" s="75">
        <f t="shared" si="7"/>
        <v>36602.278260869571</v>
      </c>
      <c r="AA11" s="487"/>
      <c r="AB11" s="310">
        <v>16520.45</v>
      </c>
      <c r="AC11" s="75">
        <f t="shared" si="8"/>
        <v>14365.608695652176</v>
      </c>
    </row>
    <row r="12" spans="1:29" ht="15.6" customHeight="1" x14ac:dyDescent="0.3">
      <c r="A12" s="492" t="s">
        <v>55</v>
      </c>
      <c r="B12" s="310">
        <v>172061.92</v>
      </c>
      <c r="C12" s="310">
        <v>200600.97</v>
      </c>
      <c r="D12" s="489">
        <v>206751.49</v>
      </c>
      <c r="E12" s="494">
        <f t="shared" si="4"/>
        <v>-0.14226775673118625</v>
      </c>
      <c r="F12" s="310">
        <v>554445.79</v>
      </c>
      <c r="G12" s="310">
        <v>189760.56</v>
      </c>
      <c r="H12" s="495">
        <f t="shared" si="0"/>
        <v>-9.326827450340569E-2</v>
      </c>
      <c r="I12" s="494">
        <f>IFERROR((SUM(B12-D12)/D12),0)</f>
        <v>-0.16778389360096016</v>
      </c>
      <c r="J12" s="310">
        <v>584</v>
      </c>
      <c r="K12" s="84">
        <f>IFERROR(B12/J12,0)</f>
        <v>294.6265753424658</v>
      </c>
      <c r="L12" s="310">
        <v>168</v>
      </c>
      <c r="M12" s="310">
        <v>18189.099999999999</v>
      </c>
      <c r="N12" s="479">
        <f>IFERROR(M12/J12,0)</f>
        <v>31.145719178082189</v>
      </c>
      <c r="O12" s="310">
        <v>597</v>
      </c>
      <c r="P12" s="310">
        <v>60157.81</v>
      </c>
      <c r="Q12" s="479">
        <f>IFERROR(P12/SUM(J12),0)</f>
        <v>103.00994863013699</v>
      </c>
      <c r="R12" s="485">
        <f t="shared" si="5"/>
        <v>57661.64347826087</v>
      </c>
      <c r="S12" s="479">
        <f>SUM(R12/B12)</f>
        <v>0.33512146951667671</v>
      </c>
      <c r="T12" s="485">
        <f t="shared" si="6"/>
        <v>27826.521739130436</v>
      </c>
      <c r="U12" s="479">
        <f>SUM(T12/B12)</f>
        <v>0.16172388253676603</v>
      </c>
      <c r="V12" s="310">
        <v>5218</v>
      </c>
      <c r="W12" s="486"/>
      <c r="X12" s="483"/>
      <c r="Y12" s="310">
        <v>34310.39</v>
      </c>
      <c r="Z12" s="75">
        <f t="shared" si="7"/>
        <v>29835.121739130438</v>
      </c>
      <c r="AA12" s="487"/>
      <c r="AB12" s="310">
        <v>32000.5</v>
      </c>
      <c r="AC12" s="75">
        <f t="shared" si="8"/>
        <v>27826.521739130436</v>
      </c>
    </row>
    <row r="13" spans="1:29" ht="15.6" customHeight="1" x14ac:dyDescent="0.3">
      <c r="A13" s="492" t="s">
        <v>33</v>
      </c>
      <c r="B13" s="310">
        <v>160154</v>
      </c>
      <c r="C13" s="310">
        <v>156547.88</v>
      </c>
      <c r="D13" s="489"/>
      <c r="E13" s="494">
        <f t="shared" si="4"/>
        <v>2.3035252856825627E-2</v>
      </c>
      <c r="F13" s="310">
        <v>480278.82</v>
      </c>
      <c r="G13" s="310">
        <v>153506.39000000001</v>
      </c>
      <c r="H13" s="495">
        <f t="shared" si="0"/>
        <v>4.330510280386364E-2</v>
      </c>
      <c r="I13" s="494">
        <f>IFERROR((SUM(B13-D13)/D13),0)</f>
        <v>0</v>
      </c>
      <c r="J13" s="310">
        <v>561</v>
      </c>
      <c r="K13" s="84">
        <f>IFERROR(B13/J13,0)</f>
        <v>285.47950089126562</v>
      </c>
      <c r="L13" s="310">
        <v>76</v>
      </c>
      <c r="M13" s="310">
        <v>6002.7</v>
      </c>
      <c r="N13" s="479">
        <f>IFERROR(M13/J13,0)</f>
        <v>10.7</v>
      </c>
      <c r="O13" s="310">
        <v>239</v>
      </c>
      <c r="P13" s="310">
        <v>19972.55</v>
      </c>
      <c r="Q13" s="479">
        <f>IFERROR(P13/SUM(J13),0)</f>
        <v>35.601693404634581</v>
      </c>
      <c r="R13" s="485">
        <f t="shared" si="5"/>
        <v>39174.782608695656</v>
      </c>
      <c r="S13" s="479">
        <f>SUM(R13/B13)</f>
        <v>0.24460695710813127</v>
      </c>
      <c r="T13" s="485">
        <f t="shared" si="6"/>
        <v>24573.686956521742</v>
      </c>
      <c r="U13" s="479">
        <f>SUM(T13/B13)</f>
        <v>0.15343785953845512</v>
      </c>
      <c r="V13" s="310">
        <v>6731.15</v>
      </c>
      <c r="W13" s="486"/>
      <c r="X13" s="483"/>
      <c r="Y13" s="310">
        <v>16791.259999999998</v>
      </c>
      <c r="Z13" s="75">
        <f t="shared" si="7"/>
        <v>14601.095652173914</v>
      </c>
      <c r="AA13" s="487"/>
      <c r="AB13" s="310">
        <v>28259.74</v>
      </c>
      <c r="AC13" s="75">
        <f t="shared" si="8"/>
        <v>24573.686956521742</v>
      </c>
    </row>
    <row r="14" spans="1:29" ht="15.6" customHeight="1" x14ac:dyDescent="0.3">
      <c r="A14" s="492" t="s">
        <v>20</v>
      </c>
      <c r="B14" s="310">
        <v>120612.28</v>
      </c>
      <c r="C14" s="310">
        <v>143985.85999999999</v>
      </c>
      <c r="D14" s="489">
        <v>144600.03</v>
      </c>
      <c r="E14" s="494">
        <f t="shared" si="4"/>
        <v>-0.16233246792428083</v>
      </c>
      <c r="F14" s="310">
        <v>425332.72</v>
      </c>
      <c r="G14" s="310">
        <v>184661.74</v>
      </c>
      <c r="H14" s="495">
        <f t="shared" si="0"/>
        <v>-0.346847484487041</v>
      </c>
      <c r="I14" s="494">
        <f>IFERROR((SUM(B14-D14)/D14),0)</f>
        <v>-0.1658903528581564</v>
      </c>
      <c r="J14" s="310">
        <v>378</v>
      </c>
      <c r="K14" s="84">
        <f>IFERROR(B14/J14,0)</f>
        <v>319.08010582010581</v>
      </c>
      <c r="L14" s="310">
        <v>53</v>
      </c>
      <c r="M14" s="310">
        <v>4883.47</v>
      </c>
      <c r="N14" s="479">
        <f>IFERROR(M14/J14,0)</f>
        <v>12.919232804232806</v>
      </c>
      <c r="O14" s="310">
        <v>247</v>
      </c>
      <c r="P14" s="310">
        <v>21024.46</v>
      </c>
      <c r="Q14" s="479">
        <f>IFERROR(P14/SUM(J14),0)</f>
        <v>55.620264550264551</v>
      </c>
      <c r="R14" s="485">
        <f t="shared" si="5"/>
        <v>45243.330434782605</v>
      </c>
      <c r="S14" s="479">
        <f>SUM(R14/B14)</f>
        <v>0.37511379798792133</v>
      </c>
      <c r="T14" s="485">
        <f t="shared" si="6"/>
        <v>18632</v>
      </c>
      <c r="U14" s="479">
        <f>SUM(T14/B14)</f>
        <v>0.15447846604010804</v>
      </c>
      <c r="V14" s="310">
        <v>5004.04</v>
      </c>
      <c r="W14" s="488"/>
      <c r="X14" s="483"/>
      <c r="Y14" s="310">
        <v>30603.03</v>
      </c>
      <c r="Z14" s="75">
        <f t="shared" si="7"/>
        <v>26611.330434782609</v>
      </c>
      <c r="AA14" s="487"/>
      <c r="AB14" s="310">
        <v>21426.799999999999</v>
      </c>
      <c r="AC14" s="75">
        <f t="shared" si="8"/>
        <v>18632</v>
      </c>
    </row>
    <row r="15" spans="1:29" ht="15.6" customHeight="1" x14ac:dyDescent="0.3">
      <c r="A15" s="432" t="s">
        <v>22</v>
      </c>
      <c r="B15" s="310">
        <v>134217.79</v>
      </c>
      <c r="C15" s="310">
        <v>160438.10999999999</v>
      </c>
      <c r="D15" s="489">
        <v>152846.04</v>
      </c>
      <c r="E15" s="494">
        <f t="shared" si="4"/>
        <v>-0.16342949938764537</v>
      </c>
      <c r="F15" s="310">
        <v>436525.52</v>
      </c>
      <c r="G15" s="310">
        <v>147097.4</v>
      </c>
      <c r="H15" s="495">
        <f t="shared" si="0"/>
        <v>-8.7558379685840723E-2</v>
      </c>
      <c r="I15" s="494">
        <f>IFERROR((SUM(B15-D15)/D15),0)</f>
        <v>-0.12187590859403358</v>
      </c>
      <c r="J15" s="310">
        <v>439</v>
      </c>
      <c r="K15" s="84">
        <f>IFERROR(B15/J15,0)</f>
        <v>305.735284738041</v>
      </c>
      <c r="L15" s="310">
        <v>63</v>
      </c>
      <c r="M15" s="310">
        <v>4008.69</v>
      </c>
      <c r="N15" s="479">
        <f>IFERROR(M15/J15,0)</f>
        <v>9.1314123006833707</v>
      </c>
      <c r="O15" s="310">
        <v>86</v>
      </c>
      <c r="P15" s="310">
        <v>8712.31</v>
      </c>
      <c r="Q15" s="479">
        <f>IFERROR(P15/SUM(J15),0)</f>
        <v>19.845808656036446</v>
      </c>
      <c r="R15" s="485">
        <f t="shared" si="5"/>
        <v>0</v>
      </c>
      <c r="S15" s="479">
        <f>SUM(R15/B15)</f>
        <v>0</v>
      </c>
      <c r="T15" s="485">
        <f t="shared" si="6"/>
        <v>0</v>
      </c>
      <c r="U15" s="479">
        <f>SUM(T15/B15)</f>
        <v>0</v>
      </c>
      <c r="V15" s="310">
        <v>5634.3</v>
      </c>
      <c r="W15" s="488"/>
      <c r="X15" s="483"/>
      <c r="Y15" s="310"/>
      <c r="Z15" s="75">
        <f t="shared" si="7"/>
        <v>0</v>
      </c>
      <c r="AA15" s="487"/>
      <c r="AB15" s="310"/>
      <c r="AC15" s="75">
        <f t="shared" si="8"/>
        <v>0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E5:E15 I5:I15 K5:U15">
    <cfRule type="cellIs" dxfId="5" priority="2" operator="equal">
      <formula>0</formula>
    </cfRule>
  </conditionalFormatting>
  <conditionalFormatting sqref="R12:R13">
    <cfRule type="cellIs" dxfId="4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AC49"/>
  <sheetViews>
    <sheetView zoomScale="60" zoomScaleNormal="60" workbookViewId="0">
      <pane xSplit="1" topLeftCell="B1" activePane="topRight" state="frozen"/>
      <selection pane="topRight" sqref="A1:XFD1048576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hidden="1" customWidth="1"/>
    <col min="5" max="5" width="12.6640625" customWidth="1"/>
    <col min="6" max="6" width="22.33203125" customWidth="1"/>
    <col min="7" max="7" width="22.21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hidden="1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6.441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6.4238597560747193E-2</v>
      </c>
      <c r="F2" s="426"/>
      <c r="G2" s="1"/>
      <c r="H2" s="427"/>
      <c r="I2" s="422">
        <f>((B4-D4)/D4)</f>
        <v>-0.13551937755876456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1634051.24</v>
      </c>
      <c r="C4" s="468">
        <f>SUM(C5:C15)</f>
        <v>1529082.08</v>
      </c>
      <c r="D4" s="468">
        <f>SUM(D5:D15)</f>
        <v>1890211.53</v>
      </c>
      <c r="E4" s="503">
        <f t="shared" ref="E4:E15" si="0">IFERROR((SUM(B4-C4)/B4),0)</f>
        <v>6.4238597560747193E-2</v>
      </c>
      <c r="F4" s="465">
        <f>SUM(F5:F15)</f>
        <v>6555346.4100000001</v>
      </c>
      <c r="G4" s="468">
        <f>SUM(G5:G15)</f>
        <v>2072564.94</v>
      </c>
      <c r="H4" s="504">
        <f t="shared" ref="H4:H15" si="1">IFERROR((SUM(B4-G4)/G4),0)</f>
        <v>-0.2115801978200017</v>
      </c>
      <c r="I4" s="472">
        <f t="shared" ref="I4:I9" si="2">IFERROR((SUM(B4-D4)/D4),0)</f>
        <v>-0.13551937755876456</v>
      </c>
      <c r="J4" s="501">
        <f>SUM(J5:J15)</f>
        <v>4270</v>
      </c>
      <c r="K4" s="497">
        <f>AVERAGE(K5:K15)</f>
        <v>2032.2396950812281</v>
      </c>
      <c r="L4" s="497">
        <f>SUM(L6:L15)</f>
        <v>627</v>
      </c>
      <c r="M4" s="502">
        <f>SUM(M5:M15)</f>
        <v>59029.69999999999</v>
      </c>
      <c r="N4" s="496">
        <f>IFERROR(M4/J4,0)</f>
        <v>13.824285714285711</v>
      </c>
      <c r="O4" s="499">
        <f>SUM(O6:O15)</f>
        <v>2832</v>
      </c>
      <c r="P4" s="500">
        <f>SUM(P7:P15)</f>
        <v>241100.56000000003</v>
      </c>
      <c r="Q4" s="496">
        <f>IFERROR(P4/SUM(J4),0)</f>
        <v>56.46383138173303</v>
      </c>
      <c r="R4" s="465">
        <f>SUM(R5:R15)</f>
        <v>434940.57391304348</v>
      </c>
      <c r="S4" s="496">
        <f t="shared" ref="S4:S15" si="3">SUM(R4/B4)</f>
        <v>0.26617315495751742</v>
      </c>
      <c r="T4" s="465">
        <f>SUM(T5:T15)</f>
        <v>181679.95652173916</v>
      </c>
      <c r="U4" s="442">
        <f t="shared" ref="U4:U15" si="4">SUM(T4/B4)</f>
        <v>0.11118375732314194</v>
      </c>
      <c r="V4" s="481">
        <f>SUM(V5:V15)</f>
        <v>46459.77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273101.15000000002</v>
      </c>
      <c r="C5" s="310">
        <v>264990.67</v>
      </c>
      <c r="D5" s="489">
        <v>166877.21</v>
      </c>
      <c r="E5" s="503">
        <f t="shared" si="0"/>
        <v>2.9697714564731928E-2</v>
      </c>
      <c r="F5" s="310">
        <v>1108825.1100000001</v>
      </c>
      <c r="G5" s="310">
        <v>212042.92</v>
      </c>
      <c r="H5" s="504">
        <f t="shared" si="1"/>
        <v>0.28795222212559612</v>
      </c>
      <c r="I5" s="494">
        <f t="shared" si="2"/>
        <v>0.63653952507954825</v>
      </c>
      <c r="J5" s="310">
        <v>751</v>
      </c>
      <c r="K5" s="84">
        <f>IFERROR(B5/J5,0)</f>
        <v>363.65000000000003</v>
      </c>
      <c r="L5" s="479"/>
      <c r="M5" s="479"/>
      <c r="N5" s="479">
        <f>IFERROR(M5/J5,0)</f>
        <v>0</v>
      </c>
      <c r="O5" s="479"/>
      <c r="P5" s="479"/>
      <c r="Q5" s="479">
        <f>IFERROR(P5/SUM(J5),0)</f>
        <v>0</v>
      </c>
      <c r="R5" s="485">
        <f t="shared" ref="R5:R15" si="5">SUM(Z5+AC5)</f>
        <v>25285.652173913044</v>
      </c>
      <c r="S5" s="496">
        <f t="shared" si="3"/>
        <v>9.2587131815127996E-2</v>
      </c>
      <c r="T5" s="485">
        <f t="shared" ref="T5:T15" si="6">SUM(AC5)</f>
        <v>25285.652173913044</v>
      </c>
      <c r="U5" s="442">
        <f t="shared" si="4"/>
        <v>9.2587131815127996E-2</v>
      </c>
      <c r="V5" s="310">
        <v>2899.65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29078.5</v>
      </c>
      <c r="AC5" s="75">
        <f t="shared" ref="AC5:AC15" si="8">SUM(AB5)/1.15</f>
        <v>25285.652173913044</v>
      </c>
    </row>
    <row r="6" spans="1:29" ht="15.6" customHeight="1" x14ac:dyDescent="0.3">
      <c r="A6" s="492" t="s">
        <v>21</v>
      </c>
      <c r="B6" s="310">
        <v>205533.83</v>
      </c>
      <c r="C6" s="310">
        <v>192141.41</v>
      </c>
      <c r="D6" s="489">
        <v>317233.91999999998</v>
      </c>
      <c r="E6" s="503">
        <f t="shared" si="0"/>
        <v>6.5159200312668641E-2</v>
      </c>
      <c r="F6" s="310">
        <v>803738.18</v>
      </c>
      <c r="G6" s="310">
        <v>201569.89</v>
      </c>
      <c r="H6" s="504">
        <f t="shared" si="1"/>
        <v>1.9665337913316185E-2</v>
      </c>
      <c r="I6" s="494">
        <f t="shared" si="2"/>
        <v>-0.35210638887543932</v>
      </c>
      <c r="J6" s="310">
        <v>598</v>
      </c>
      <c r="K6" s="84">
        <f>IFERROR(B6/J6,0)</f>
        <v>343.70205685618726</v>
      </c>
      <c r="L6" s="310">
        <v>59</v>
      </c>
      <c r="M6" s="310">
        <v>5034.1899999999996</v>
      </c>
      <c r="N6" s="479">
        <f>IFERROR(O7/J6,0)</f>
        <v>0.30267558528428096</v>
      </c>
      <c r="O6" s="310">
        <v>320</v>
      </c>
      <c r="P6" s="310">
        <v>31163.52</v>
      </c>
      <c r="Q6" s="479">
        <f>IFERROR(P6/SUM(J6),0)</f>
        <v>52.112909698996653</v>
      </c>
      <c r="R6" s="485">
        <f t="shared" si="5"/>
        <v>49707.060869565219</v>
      </c>
      <c r="S6" s="496">
        <f t="shared" si="3"/>
        <v>0.24184369487770077</v>
      </c>
      <c r="T6" s="485">
        <f t="shared" si="6"/>
        <v>20649.704347826089</v>
      </c>
      <c r="U6" s="442">
        <f t="shared" si="4"/>
        <v>0.10046863987221029</v>
      </c>
      <c r="V6" s="310">
        <v>9343.25</v>
      </c>
      <c r="W6" s="488"/>
      <c r="X6" s="483"/>
      <c r="Y6" s="310">
        <v>33415.96</v>
      </c>
      <c r="Z6" s="75">
        <f t="shared" si="7"/>
        <v>29057.356521739133</v>
      </c>
      <c r="AA6" s="487"/>
      <c r="AB6" s="310">
        <v>23747.16</v>
      </c>
      <c r="AC6" s="75">
        <f t="shared" si="8"/>
        <v>20649.704347826089</v>
      </c>
    </row>
    <row r="7" spans="1:29" ht="16.5" customHeight="1" x14ac:dyDescent="0.3">
      <c r="A7" s="492" t="s">
        <v>15</v>
      </c>
      <c r="B7" s="310">
        <v>199073.79</v>
      </c>
      <c r="C7" s="310">
        <v>190409.57</v>
      </c>
      <c r="D7" s="489">
        <v>254835.6</v>
      </c>
      <c r="E7" s="503">
        <f t="shared" si="0"/>
        <v>4.3522655594189476E-2</v>
      </c>
      <c r="F7" s="310">
        <v>854555.02</v>
      </c>
      <c r="G7" s="310">
        <v>222418.21</v>
      </c>
      <c r="H7" s="504">
        <f t="shared" si="1"/>
        <v>-0.1049573234134021</v>
      </c>
      <c r="I7" s="494">
        <f t="shared" si="2"/>
        <v>-0.21881483591774462</v>
      </c>
      <c r="J7" s="310">
        <v>560</v>
      </c>
      <c r="K7" s="84">
        <f>IFERROR(B7/J7,0)</f>
        <v>355.48891071428574</v>
      </c>
      <c r="L7" s="310">
        <v>35</v>
      </c>
      <c r="M7" s="310">
        <v>3105.47</v>
      </c>
      <c r="N7" s="479">
        <f>IFERROR(#REF!/J7,0)</f>
        <v>0</v>
      </c>
      <c r="O7" s="310">
        <v>181</v>
      </c>
      <c r="P7" s="310">
        <v>19176.98</v>
      </c>
      <c r="Q7" s="479">
        <f>IFERROR(#REF!/SUM(J7),0)</f>
        <v>0</v>
      </c>
      <c r="R7" s="485">
        <f t="shared" si="5"/>
        <v>36140.704347826089</v>
      </c>
      <c r="S7" s="496">
        <f t="shared" si="3"/>
        <v>0.18154426229503184</v>
      </c>
      <c r="T7" s="485">
        <f t="shared" si="6"/>
        <v>1778.3478260869565</v>
      </c>
      <c r="U7" s="442">
        <f t="shared" si="4"/>
        <v>8.9331088039613666E-3</v>
      </c>
      <c r="V7" s="310">
        <v>4315.3500000000004</v>
      </c>
      <c r="W7" s="488"/>
      <c r="X7" s="483"/>
      <c r="Y7" s="310">
        <v>39516.71</v>
      </c>
      <c r="Z7" s="75">
        <f t="shared" si="7"/>
        <v>34362.35652173913</v>
      </c>
      <c r="AA7" s="487"/>
      <c r="AB7" s="310">
        <v>2045.1</v>
      </c>
      <c r="AC7" s="75">
        <f t="shared" si="8"/>
        <v>1778.3478260869565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503">
        <f t="shared" si="0"/>
        <v>0</v>
      </c>
      <c r="F8" s="310"/>
      <c r="G8" s="310">
        <v>148590.98000000001</v>
      </c>
      <c r="H8" s="504">
        <f t="shared" si="1"/>
        <v>-1</v>
      </c>
      <c r="I8" s="494">
        <f t="shared" si="2"/>
        <v>-1</v>
      </c>
      <c r="J8" s="310"/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479">
        <f>IFERROR(P8/SUM(J8),0)</f>
        <v>0</v>
      </c>
      <c r="R8" s="485">
        <f t="shared" si="5"/>
        <v>0</v>
      </c>
      <c r="S8" s="496" t="e">
        <f t="shared" si="3"/>
        <v>#DIV/0!</v>
      </c>
      <c r="T8" s="485">
        <f t="shared" si="6"/>
        <v>0</v>
      </c>
      <c r="U8" s="442" t="e">
        <f t="shared" si="4"/>
        <v>#DIV/0!</v>
      </c>
      <c r="V8" s="310"/>
      <c r="W8" s="486"/>
      <c r="X8" s="483"/>
      <c r="Y8" s="313"/>
      <c r="Z8" s="75">
        <f t="shared" si="7"/>
        <v>0</v>
      </c>
      <c r="AA8" s="487"/>
      <c r="AB8" s="313"/>
      <c r="AC8" s="75">
        <f t="shared" si="8"/>
        <v>0</v>
      </c>
    </row>
    <row r="9" spans="1:29" ht="15.6" customHeight="1" x14ac:dyDescent="0.3">
      <c r="A9" s="492" t="s">
        <v>23</v>
      </c>
      <c r="B9" s="310">
        <v>192463.68</v>
      </c>
      <c r="C9" s="310">
        <v>185294.29</v>
      </c>
      <c r="D9" s="489">
        <v>243010.12</v>
      </c>
      <c r="E9" s="503">
        <f t="shared" si="0"/>
        <v>3.7250612687027417E-2</v>
      </c>
      <c r="F9" s="310">
        <v>744675.17</v>
      </c>
      <c r="G9" s="310">
        <v>212422.03</v>
      </c>
      <c r="H9" s="504">
        <f t="shared" si="1"/>
        <v>-9.3956121217747546E-2</v>
      </c>
      <c r="I9" s="494">
        <f t="shared" si="2"/>
        <v>-0.2080013787080143</v>
      </c>
      <c r="J9" s="310">
        <v>618</v>
      </c>
      <c r="K9" s="84">
        <f>IFERROR(B9/J9,0)</f>
        <v>311.42990291262134</v>
      </c>
      <c r="L9" s="310">
        <v>35</v>
      </c>
      <c r="M9" s="310">
        <v>2607.5</v>
      </c>
      <c r="N9" s="479">
        <f>IFERROR(M9/J9,0)</f>
        <v>4.2192556634304204</v>
      </c>
      <c r="O9" s="310">
        <v>130</v>
      </c>
      <c r="P9" s="310">
        <v>10487.28</v>
      </c>
      <c r="Q9" s="479">
        <f>IFERROR(P9/SUM(J9),0)</f>
        <v>16.969708737864078</v>
      </c>
      <c r="R9" s="485">
        <f t="shared" si="5"/>
        <v>47424.200000000012</v>
      </c>
      <c r="S9" s="496">
        <f t="shared" si="3"/>
        <v>0.24640597124610739</v>
      </c>
      <c r="T9" s="485">
        <f t="shared" si="6"/>
        <v>23524.565217391308</v>
      </c>
      <c r="U9" s="442">
        <f t="shared" si="4"/>
        <v>0.12222859511670622</v>
      </c>
      <c r="V9" s="310">
        <v>4170.55</v>
      </c>
      <c r="W9" s="488"/>
      <c r="X9" s="483"/>
      <c r="Y9" s="310">
        <v>27484.58</v>
      </c>
      <c r="Z9" s="75">
        <f t="shared" si="7"/>
        <v>23899.6347826087</v>
      </c>
      <c r="AA9" s="487"/>
      <c r="AB9" s="310">
        <v>27053.25</v>
      </c>
      <c r="AC9" s="75">
        <f t="shared" si="8"/>
        <v>23524.565217391308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503">
        <f t="shared" si="0"/>
        <v>0</v>
      </c>
      <c r="F10" s="310"/>
      <c r="G10" s="310">
        <v>272667.7</v>
      </c>
      <c r="H10" s="504">
        <f t="shared" si="1"/>
        <v>-1</v>
      </c>
      <c r="I10" s="494">
        <f>IFERROR((SUM(B11-D10)/D10),0)</f>
        <v>-0.33931060447814926</v>
      </c>
      <c r="J10" s="310"/>
      <c r="K10" s="84">
        <f>IFERROR(B11/J11,0)</f>
        <v>288.70892694063923</v>
      </c>
      <c r="L10" s="479"/>
      <c r="M10" s="479"/>
      <c r="N10" s="479">
        <f>IFERROR(M11/J11,0)</f>
        <v>36.413515981735159</v>
      </c>
      <c r="O10" s="479"/>
      <c r="P10" s="479"/>
      <c r="Q10" s="479">
        <f>IFERROR(P11/SUM(J11),0)</f>
        <v>158.07248858447488</v>
      </c>
      <c r="R10" s="485">
        <f t="shared" si="5"/>
        <v>0</v>
      </c>
      <c r="S10" s="496" t="e">
        <f t="shared" si="3"/>
        <v>#DIV/0!</v>
      </c>
      <c r="T10" s="485">
        <f t="shared" si="6"/>
        <v>0</v>
      </c>
      <c r="U10" s="442" t="e">
        <f t="shared" si="4"/>
        <v>#DIV/0!</v>
      </c>
      <c r="V10" s="310"/>
      <c r="W10" s="488"/>
      <c r="X10" s="483"/>
      <c r="Y10" s="313"/>
      <c r="Z10" s="75">
        <f t="shared" si="7"/>
        <v>0</v>
      </c>
      <c r="AA10" s="487"/>
      <c r="AB10" s="313"/>
      <c r="AC10" s="75">
        <f t="shared" si="8"/>
        <v>0</v>
      </c>
    </row>
    <row r="11" spans="1:29" ht="15.6" customHeight="1" x14ac:dyDescent="0.3">
      <c r="A11" s="492" t="s">
        <v>17</v>
      </c>
      <c r="B11" s="310">
        <v>126454.51</v>
      </c>
      <c r="C11" s="310">
        <v>109200.15</v>
      </c>
      <c r="D11" s="489">
        <v>86713.33</v>
      </c>
      <c r="E11" s="503">
        <f t="shared" si="0"/>
        <v>0.13644716981624461</v>
      </c>
      <c r="F11" s="310">
        <v>509545.8</v>
      </c>
      <c r="G11" s="310">
        <v>152939.37</v>
      </c>
      <c r="H11" s="504">
        <f t="shared" si="1"/>
        <v>-0.17317228389263015</v>
      </c>
      <c r="I11" s="494">
        <f>IFERROR((SUM(#REF!-D11)/D11),0)</f>
        <v>0</v>
      </c>
      <c r="J11" s="310">
        <v>438</v>
      </c>
      <c r="K11" s="84">
        <f>IFERROR(B12/J12,0)</f>
        <v>9863.4843478260882</v>
      </c>
      <c r="L11" s="310">
        <v>165</v>
      </c>
      <c r="M11" s="310">
        <v>15949.12</v>
      </c>
      <c r="N11" s="479">
        <f>IFERROR(#REF!/J12,0)</f>
        <v>0</v>
      </c>
      <c r="O11" s="310">
        <v>699</v>
      </c>
      <c r="P11" s="310">
        <v>69235.75</v>
      </c>
      <c r="Q11" s="479">
        <f>IFERROR(#REF!/SUM(J12),0)</f>
        <v>0</v>
      </c>
      <c r="R11" s="485">
        <f t="shared" si="5"/>
        <v>63185.791304347833</v>
      </c>
      <c r="S11" s="496">
        <f t="shared" si="3"/>
        <v>0.49967210583748917</v>
      </c>
      <c r="T11" s="485">
        <f t="shared" si="6"/>
        <v>14245.73043478261</v>
      </c>
      <c r="U11" s="442">
        <f t="shared" si="4"/>
        <v>0.11265498110571628</v>
      </c>
      <c r="V11" s="310">
        <v>4733</v>
      </c>
      <c r="W11" s="488"/>
      <c r="X11" s="483"/>
      <c r="Y11" s="310">
        <v>56281.07</v>
      </c>
      <c r="Z11" s="75">
        <f t="shared" si="7"/>
        <v>48940.060869565219</v>
      </c>
      <c r="AA11" s="487"/>
      <c r="AB11" s="310">
        <v>16382.59</v>
      </c>
      <c r="AC11" s="75">
        <f t="shared" si="8"/>
        <v>14245.73043478261</v>
      </c>
    </row>
    <row r="12" spans="1:29" ht="15.6" customHeight="1" x14ac:dyDescent="0.3">
      <c r="A12" s="492" t="s">
        <v>55</v>
      </c>
      <c r="B12" s="310">
        <v>226860.14</v>
      </c>
      <c r="C12" s="310">
        <v>172061.92</v>
      </c>
      <c r="D12" s="489">
        <v>206751.49</v>
      </c>
      <c r="E12" s="503">
        <f t="shared" si="0"/>
        <v>0.24155067523100354</v>
      </c>
      <c r="F12" s="310">
        <v>781305.93</v>
      </c>
      <c r="G12" s="310">
        <v>190621.49</v>
      </c>
      <c r="H12" s="504">
        <f t="shared" si="1"/>
        <v>0.19010789392108951</v>
      </c>
      <c r="I12" s="494">
        <f>IFERROR((SUM(B12-D12)/D12),0)</f>
        <v>9.726000039951356E-2</v>
      </c>
      <c r="J12" s="310">
        <v>23</v>
      </c>
      <c r="K12" s="84">
        <f>IFERROR(B12/J12,0)</f>
        <v>9863.4843478260882</v>
      </c>
      <c r="L12" s="310">
        <v>185</v>
      </c>
      <c r="M12" s="310">
        <v>19147.009999999998</v>
      </c>
      <c r="N12" s="479">
        <f>IFERROR(M12/J12,0)</f>
        <v>832.47869565217388</v>
      </c>
      <c r="O12" s="310">
        <v>782</v>
      </c>
      <c r="P12" s="310">
        <v>79304.820000000007</v>
      </c>
      <c r="Q12" s="479">
        <f>IFERROR(P12/SUM(J12),0)</f>
        <v>3448.0356521739131</v>
      </c>
      <c r="R12" s="485">
        <f t="shared" si="5"/>
        <v>72999.478260869568</v>
      </c>
      <c r="S12" s="496">
        <f t="shared" si="3"/>
        <v>0.32178186199157577</v>
      </c>
      <c r="T12" s="485">
        <f t="shared" si="6"/>
        <v>31448.886956521743</v>
      </c>
      <c r="U12" s="442">
        <f t="shared" si="4"/>
        <v>0.13862676341697461</v>
      </c>
      <c r="V12" s="310">
        <v>7415.49</v>
      </c>
      <c r="W12" s="486"/>
      <c r="X12" s="483"/>
      <c r="Y12" s="310">
        <v>47783.18</v>
      </c>
      <c r="Z12" s="75">
        <f t="shared" si="7"/>
        <v>41550.591304347829</v>
      </c>
      <c r="AA12" s="487"/>
      <c r="AB12" s="310">
        <v>36166.22</v>
      </c>
      <c r="AC12" s="75">
        <f t="shared" si="8"/>
        <v>31448.886956521743</v>
      </c>
    </row>
    <row r="13" spans="1:29" ht="15.6" customHeight="1" x14ac:dyDescent="0.3">
      <c r="A13" s="492" t="s">
        <v>33</v>
      </c>
      <c r="B13" s="310">
        <v>128519.42</v>
      </c>
      <c r="C13" s="310">
        <v>160154</v>
      </c>
      <c r="D13" s="489"/>
      <c r="E13" s="503">
        <f t="shared" si="0"/>
        <v>-0.24614630224755141</v>
      </c>
      <c r="F13" s="310">
        <v>608798.24</v>
      </c>
      <c r="G13" s="310">
        <v>166033.59</v>
      </c>
      <c r="H13" s="504">
        <f t="shared" si="1"/>
        <v>-0.22594325642178789</v>
      </c>
      <c r="I13" s="494">
        <f>IFERROR((SUM(B13-D13)/D13),0)</f>
        <v>0</v>
      </c>
      <c r="J13" s="310">
        <v>456</v>
      </c>
      <c r="K13" s="84">
        <f>IFERROR(B13/J13,0)</f>
        <v>281.84083333333331</v>
      </c>
      <c r="L13" s="310">
        <v>49</v>
      </c>
      <c r="M13" s="310">
        <v>4407.34</v>
      </c>
      <c r="N13" s="479">
        <f>IFERROR(M13/J13,0)</f>
        <v>9.6652192982456135</v>
      </c>
      <c r="O13" s="310">
        <v>288</v>
      </c>
      <c r="P13" s="310">
        <v>24379.89</v>
      </c>
      <c r="Q13" s="479">
        <f>IFERROR(P13/SUM(J13),0)</f>
        <v>53.46467105263158</v>
      </c>
      <c r="R13" s="485">
        <f t="shared" si="5"/>
        <v>38272.660869565225</v>
      </c>
      <c r="S13" s="496">
        <f t="shared" si="3"/>
        <v>0.29779671328710655</v>
      </c>
      <c r="T13" s="485">
        <f t="shared" si="6"/>
        <v>23020.782608695656</v>
      </c>
      <c r="U13" s="442">
        <f t="shared" si="4"/>
        <v>0.17912298864012657</v>
      </c>
      <c r="V13" s="310">
        <v>4293.3500000000004</v>
      </c>
      <c r="W13" s="486"/>
      <c r="X13" s="483"/>
      <c r="Y13" s="310">
        <v>17539.66</v>
      </c>
      <c r="Z13" s="75">
        <f t="shared" si="7"/>
        <v>15251.878260869566</v>
      </c>
      <c r="AA13" s="487"/>
      <c r="AB13" s="310">
        <v>26473.9</v>
      </c>
      <c r="AC13" s="75">
        <f t="shared" si="8"/>
        <v>23020.782608695656</v>
      </c>
    </row>
    <row r="14" spans="1:29" ht="15.6" customHeight="1" x14ac:dyDescent="0.3">
      <c r="A14" s="492" t="s">
        <v>20</v>
      </c>
      <c r="B14" s="310">
        <v>143873.67000000001</v>
      </c>
      <c r="C14" s="310">
        <v>120612.28</v>
      </c>
      <c r="D14" s="489">
        <v>144600.03</v>
      </c>
      <c r="E14" s="503">
        <f t="shared" si="0"/>
        <v>0.16167927043217853</v>
      </c>
      <c r="F14" s="310">
        <v>569206.39</v>
      </c>
      <c r="G14" s="310">
        <v>157298.63</v>
      </c>
      <c r="H14" s="504">
        <f t="shared" si="1"/>
        <v>-8.534696074593906E-2</v>
      </c>
      <c r="I14" s="494">
        <f>IFERROR((SUM(B14-D14)/D14),0)</f>
        <v>-5.0232354723576894E-3</v>
      </c>
      <c r="J14" s="310">
        <v>417</v>
      </c>
      <c r="K14" s="84">
        <f>IFERROR(B14/J14,0)</f>
        <v>345.02079136690651</v>
      </c>
      <c r="L14" s="310">
        <v>69</v>
      </c>
      <c r="M14" s="310">
        <v>5103.83</v>
      </c>
      <c r="N14" s="479">
        <f>IFERROR(M14/J14,0)</f>
        <v>12.239400479616307</v>
      </c>
      <c r="O14" s="310">
        <v>316</v>
      </c>
      <c r="P14" s="310">
        <v>26128.29</v>
      </c>
      <c r="Q14" s="479">
        <f>IFERROR(P14/SUM(J14),0)</f>
        <v>62.657769784172665</v>
      </c>
      <c r="R14" s="485">
        <f t="shared" si="5"/>
        <v>55927.860869565222</v>
      </c>
      <c r="S14" s="496">
        <f t="shared" si="3"/>
        <v>0.38872895137494734</v>
      </c>
      <c r="T14" s="485">
        <f t="shared" si="6"/>
        <v>16460.765217391305</v>
      </c>
      <c r="U14" s="442">
        <f t="shared" si="4"/>
        <v>0.11441124159404083</v>
      </c>
      <c r="V14" s="310">
        <v>5323.13</v>
      </c>
      <c r="W14" s="488"/>
      <c r="X14" s="483"/>
      <c r="Y14" s="310">
        <v>45387.16</v>
      </c>
      <c r="Z14" s="75">
        <f t="shared" si="7"/>
        <v>39467.095652173921</v>
      </c>
      <c r="AA14" s="487"/>
      <c r="AB14" s="310">
        <v>18929.88</v>
      </c>
      <c r="AC14" s="75">
        <f t="shared" si="8"/>
        <v>16460.765217391305</v>
      </c>
    </row>
    <row r="15" spans="1:29" ht="15.6" customHeight="1" x14ac:dyDescent="0.3">
      <c r="A15" s="432" t="s">
        <v>22</v>
      </c>
      <c r="B15" s="310">
        <v>138171.04999999999</v>
      </c>
      <c r="C15" s="310">
        <v>134217.79</v>
      </c>
      <c r="D15" s="489">
        <v>152846.04</v>
      </c>
      <c r="E15" s="503">
        <f t="shared" si="0"/>
        <v>2.861134803564119E-2</v>
      </c>
      <c r="F15" s="310">
        <v>574696.56999999995</v>
      </c>
      <c r="G15" s="310">
        <v>135960.13</v>
      </c>
      <c r="H15" s="504">
        <f t="shared" si="1"/>
        <v>1.6261531965289996E-2</v>
      </c>
      <c r="I15" s="494">
        <f>IFERROR((SUM(B15-D15)/D15),0)</f>
        <v>-9.6011581327197087E-2</v>
      </c>
      <c r="J15" s="310">
        <v>409</v>
      </c>
      <c r="K15" s="84">
        <f>IFERROR(B15/J15,0)</f>
        <v>337.82652811735937</v>
      </c>
      <c r="L15" s="310">
        <v>30</v>
      </c>
      <c r="M15" s="310">
        <v>3675.24</v>
      </c>
      <c r="N15" s="479">
        <f>IFERROR(M15/J15,0)</f>
        <v>8.9859168704156467</v>
      </c>
      <c r="O15" s="310">
        <v>116</v>
      </c>
      <c r="P15" s="310">
        <v>12387.55</v>
      </c>
      <c r="Q15" s="479">
        <f>IFERROR(P15/SUM(J15),0)</f>
        <v>30.287408312958433</v>
      </c>
      <c r="R15" s="485">
        <f t="shared" si="5"/>
        <v>45997.165217391303</v>
      </c>
      <c r="S15" s="496">
        <f t="shared" si="3"/>
        <v>0.33290016408930312</v>
      </c>
      <c r="T15" s="485">
        <f t="shared" si="6"/>
        <v>25265.521739130436</v>
      </c>
      <c r="U15" s="442">
        <f t="shared" si="4"/>
        <v>0.18285684113372835</v>
      </c>
      <c r="V15" s="310">
        <v>3966</v>
      </c>
      <c r="W15" s="488"/>
      <c r="X15" s="483"/>
      <c r="Y15" s="310">
        <v>23841.39</v>
      </c>
      <c r="Z15" s="75">
        <f t="shared" si="7"/>
        <v>20731.64347826087</v>
      </c>
      <c r="AA15" s="487"/>
      <c r="AB15" s="310">
        <v>29055.35</v>
      </c>
      <c r="AC15" s="75">
        <f t="shared" si="8"/>
        <v>25265.521739130436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I5:I15 K5:R15 T5:T15">
    <cfRule type="cellIs" dxfId="3" priority="2" operator="equal">
      <formula>0</formula>
    </cfRule>
  </conditionalFormatting>
  <conditionalFormatting sqref="R12:R13"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T16"/>
  <sheetViews>
    <sheetView zoomScale="55" zoomScaleNormal="55" workbookViewId="0">
      <selection activeCell="Z19" sqref="Z19"/>
    </sheetView>
  </sheetViews>
  <sheetFormatPr defaultRowHeight="14.4" x14ac:dyDescent="0.3"/>
  <cols>
    <col min="1" max="1" width="18.6640625" customWidth="1"/>
    <col min="2" max="2" width="36" customWidth="1"/>
    <col min="3" max="10" width="7.33203125" customWidth="1"/>
    <col min="11" max="11" width="6.6640625" customWidth="1"/>
    <col min="12" max="12" width="7.33203125" customWidth="1"/>
    <col min="13" max="14" width="6.6640625" customWidth="1"/>
    <col min="15" max="15" width="9.44140625" customWidth="1"/>
    <col min="16" max="16" width="9" customWidth="1"/>
    <col min="17" max="17" width="6.5546875" customWidth="1"/>
    <col min="20" max="20" width="15.44140625" bestFit="1" customWidth="1"/>
    <col min="21" max="21" width="18.6640625" customWidth="1"/>
  </cols>
  <sheetData>
    <row r="1" spans="1:20" x14ac:dyDescent="0.3">
      <c r="A1" t="s">
        <v>84</v>
      </c>
      <c r="B1" t="s">
        <v>85</v>
      </c>
      <c r="C1" s="95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</row>
    <row r="2" spans="1:20" x14ac:dyDescent="0.3">
      <c r="A2" t="str">
        <f>VLOOKUP(B2,'Naming Convertions'!A:B,2,FALSE)</f>
        <v>Hartenbos</v>
      </c>
      <c r="B2" t="s">
        <v>72</v>
      </c>
      <c r="C2">
        <v>37</v>
      </c>
      <c r="D2">
        <v>67</v>
      </c>
      <c r="E2">
        <v>80</v>
      </c>
      <c r="F2">
        <v>85</v>
      </c>
      <c r="G2">
        <v>86</v>
      </c>
      <c r="H2">
        <v>101</v>
      </c>
      <c r="I2">
        <v>101</v>
      </c>
      <c r="J2">
        <v>100</v>
      </c>
      <c r="K2">
        <v>68</v>
      </c>
      <c r="L2">
        <v>103</v>
      </c>
      <c r="M2" s="103">
        <v>47</v>
      </c>
      <c r="N2" s="107">
        <v>17</v>
      </c>
      <c r="O2">
        <v>51</v>
      </c>
      <c r="P2">
        <v>71</v>
      </c>
      <c r="Q2">
        <v>29</v>
      </c>
      <c r="R2">
        <v>45</v>
      </c>
      <c r="S2">
        <v>49</v>
      </c>
      <c r="T2">
        <v>31</v>
      </c>
    </row>
    <row r="3" spans="1:20" x14ac:dyDescent="0.3">
      <c r="A3" t="str">
        <f>VLOOKUP(B3,'Naming Convertions'!A:B,2,FALSE)</f>
        <v>Eagles Landing</v>
      </c>
      <c r="B3" t="s">
        <v>73</v>
      </c>
      <c r="C3">
        <v>175</v>
      </c>
      <c r="D3">
        <v>153</v>
      </c>
      <c r="E3">
        <v>112</v>
      </c>
      <c r="F3">
        <v>101</v>
      </c>
      <c r="G3">
        <v>150</v>
      </c>
      <c r="H3">
        <v>136</v>
      </c>
      <c r="I3">
        <v>165</v>
      </c>
      <c r="J3">
        <v>133</v>
      </c>
      <c r="K3">
        <v>129</v>
      </c>
      <c r="L3">
        <v>148</v>
      </c>
      <c r="M3" s="103">
        <v>127</v>
      </c>
      <c r="N3">
        <v>140</v>
      </c>
      <c r="O3">
        <v>118</v>
      </c>
      <c r="P3">
        <v>132</v>
      </c>
      <c r="Q3">
        <v>108</v>
      </c>
      <c r="R3">
        <v>85</v>
      </c>
      <c r="S3">
        <v>108</v>
      </c>
      <c r="T3">
        <v>111</v>
      </c>
    </row>
    <row r="4" spans="1:20" x14ac:dyDescent="0.3">
      <c r="A4" t="str">
        <f>VLOOKUP(B4,'Naming Convertions'!A:B,2,FALSE)</f>
        <v>Irene Village</v>
      </c>
      <c r="B4" t="s">
        <v>74</v>
      </c>
      <c r="C4">
        <v>106</v>
      </c>
      <c r="D4">
        <v>101</v>
      </c>
      <c r="E4">
        <v>68</v>
      </c>
      <c r="F4">
        <v>71</v>
      </c>
      <c r="G4">
        <v>49</v>
      </c>
      <c r="H4">
        <v>50</v>
      </c>
      <c r="I4">
        <v>59</v>
      </c>
      <c r="J4">
        <v>75</v>
      </c>
      <c r="K4">
        <v>51</v>
      </c>
      <c r="L4">
        <v>61</v>
      </c>
      <c r="M4" s="103">
        <v>70</v>
      </c>
      <c r="N4">
        <v>110</v>
      </c>
      <c r="O4">
        <v>77</v>
      </c>
      <c r="P4">
        <v>84</v>
      </c>
      <c r="Q4">
        <v>45</v>
      </c>
      <c r="R4">
        <v>67</v>
      </c>
      <c r="S4">
        <v>75</v>
      </c>
      <c r="T4">
        <v>73</v>
      </c>
    </row>
    <row r="5" spans="1:20" x14ac:dyDescent="0.3">
      <c r="A5" t="str">
        <f>VLOOKUP(B5,'Naming Convertions'!A:B,2,FALSE)</f>
        <v>Kyalami Corner</v>
      </c>
      <c r="B5" t="s">
        <v>75</v>
      </c>
      <c r="C5">
        <v>68</v>
      </c>
      <c r="D5">
        <v>40</v>
      </c>
      <c r="E5">
        <v>35</v>
      </c>
      <c r="F5">
        <v>49</v>
      </c>
      <c r="G5">
        <v>37</v>
      </c>
      <c r="H5">
        <v>44</v>
      </c>
      <c r="I5">
        <v>38</v>
      </c>
      <c r="J5">
        <v>49</v>
      </c>
      <c r="K5">
        <v>27</v>
      </c>
      <c r="L5">
        <v>28</v>
      </c>
      <c r="M5" s="103">
        <v>28</v>
      </c>
      <c r="N5">
        <v>33</v>
      </c>
      <c r="O5">
        <v>36</v>
      </c>
      <c r="P5">
        <v>25</v>
      </c>
      <c r="Q5">
        <v>28</v>
      </c>
      <c r="R5">
        <v>19</v>
      </c>
      <c r="S5">
        <v>26</v>
      </c>
      <c r="T5">
        <v>24</v>
      </c>
    </row>
    <row r="6" spans="1:20" x14ac:dyDescent="0.3">
      <c r="A6" t="str">
        <f>VLOOKUP(B6,'Naming Convertions'!A:B,2,FALSE)</f>
        <v>Lynnwood</v>
      </c>
      <c r="B6" t="s">
        <v>76</v>
      </c>
      <c r="C6">
        <v>127</v>
      </c>
      <c r="D6">
        <v>98</v>
      </c>
      <c r="E6">
        <v>101</v>
      </c>
      <c r="F6">
        <v>83</v>
      </c>
      <c r="G6">
        <v>128</v>
      </c>
      <c r="H6">
        <v>98</v>
      </c>
      <c r="I6">
        <v>98</v>
      </c>
      <c r="J6">
        <v>103</v>
      </c>
      <c r="K6">
        <v>80</v>
      </c>
      <c r="L6">
        <v>92</v>
      </c>
      <c r="M6" s="103">
        <v>68</v>
      </c>
      <c r="N6">
        <v>98</v>
      </c>
      <c r="O6">
        <v>86</v>
      </c>
      <c r="P6">
        <v>100</v>
      </c>
      <c r="Q6">
        <v>51</v>
      </c>
      <c r="R6">
        <v>64</v>
      </c>
      <c r="S6">
        <v>69</v>
      </c>
      <c r="T6">
        <v>43</v>
      </c>
    </row>
    <row r="7" spans="1:20" x14ac:dyDescent="0.3">
      <c r="A7" t="str">
        <f>VLOOKUP(B7,'Naming Convertions'!A:B,2,FALSE)</f>
        <v>Melrose Arch</v>
      </c>
      <c r="B7" t="s">
        <v>77</v>
      </c>
      <c r="C7">
        <v>104</v>
      </c>
      <c r="D7">
        <v>111</v>
      </c>
      <c r="E7">
        <v>72</v>
      </c>
      <c r="F7">
        <v>95</v>
      </c>
      <c r="G7">
        <v>89</v>
      </c>
      <c r="H7">
        <v>100</v>
      </c>
      <c r="I7">
        <v>85</v>
      </c>
      <c r="J7">
        <v>121</v>
      </c>
      <c r="K7">
        <v>100</v>
      </c>
      <c r="L7">
        <v>107</v>
      </c>
      <c r="M7" s="103">
        <v>89</v>
      </c>
      <c r="N7">
        <v>107</v>
      </c>
      <c r="O7">
        <v>65</v>
      </c>
      <c r="P7">
        <v>101</v>
      </c>
      <c r="Q7">
        <v>54</v>
      </c>
      <c r="R7">
        <v>58</v>
      </c>
      <c r="S7">
        <v>52</v>
      </c>
      <c r="T7">
        <v>61</v>
      </c>
    </row>
    <row r="8" spans="1:20" x14ac:dyDescent="0.3">
      <c r="A8" t="str">
        <f>VLOOKUP(B8,'Naming Convertions'!A:B,2,FALSE)</f>
        <v>Melville</v>
      </c>
      <c r="B8" t="s">
        <v>78</v>
      </c>
      <c r="C8">
        <v>23</v>
      </c>
      <c r="D8">
        <v>33</v>
      </c>
      <c r="E8">
        <v>43</v>
      </c>
      <c r="F8">
        <v>50</v>
      </c>
      <c r="G8">
        <v>29</v>
      </c>
      <c r="H8">
        <v>23</v>
      </c>
      <c r="I8">
        <v>29</v>
      </c>
      <c r="J8">
        <v>38</v>
      </c>
      <c r="K8">
        <v>25</v>
      </c>
      <c r="L8">
        <v>25</v>
      </c>
      <c r="M8" s="103">
        <v>26</v>
      </c>
      <c r="N8">
        <v>34</v>
      </c>
      <c r="O8">
        <v>22</v>
      </c>
      <c r="P8">
        <v>35</v>
      </c>
      <c r="Q8">
        <v>31</v>
      </c>
      <c r="R8" s="110">
        <v>9</v>
      </c>
      <c r="S8">
        <v>15</v>
      </c>
      <c r="T8">
        <v>16</v>
      </c>
    </row>
    <row r="9" spans="1:20" x14ac:dyDescent="0.3">
      <c r="A9" t="str">
        <f>VLOOKUP(B9,'Naming Convertions'!A:B,2,FALSE)</f>
        <v>Paulshof</v>
      </c>
      <c r="B9" t="s">
        <v>79</v>
      </c>
      <c r="C9">
        <v>153</v>
      </c>
      <c r="D9">
        <v>148</v>
      </c>
      <c r="E9">
        <v>128</v>
      </c>
      <c r="F9">
        <v>130</v>
      </c>
      <c r="G9">
        <v>128</v>
      </c>
      <c r="H9">
        <v>106</v>
      </c>
      <c r="I9">
        <v>94</v>
      </c>
      <c r="J9">
        <v>147</v>
      </c>
      <c r="K9">
        <v>139</v>
      </c>
      <c r="L9">
        <v>90</v>
      </c>
      <c r="M9" s="103">
        <v>75</v>
      </c>
      <c r="N9">
        <v>86</v>
      </c>
      <c r="O9">
        <v>116</v>
      </c>
      <c r="P9">
        <v>86</v>
      </c>
      <c r="Q9">
        <v>90</v>
      </c>
      <c r="R9" s="110">
        <v>90</v>
      </c>
      <c r="S9">
        <v>69</v>
      </c>
      <c r="T9">
        <v>71</v>
      </c>
    </row>
    <row r="10" spans="1:20" x14ac:dyDescent="0.3">
      <c r="A10" t="str">
        <f>VLOOKUP(B10,'Naming Convertions'!A:B,2,FALSE)</f>
        <v>Rosebank</v>
      </c>
      <c r="B10" t="s">
        <v>81</v>
      </c>
      <c r="C10">
        <v>80</v>
      </c>
      <c r="D10">
        <v>105</v>
      </c>
      <c r="E10">
        <v>123</v>
      </c>
      <c r="F10">
        <v>114</v>
      </c>
      <c r="G10">
        <v>95</v>
      </c>
      <c r="H10">
        <v>64</v>
      </c>
      <c r="I10">
        <v>80</v>
      </c>
      <c r="J10">
        <v>88</v>
      </c>
      <c r="K10">
        <v>104</v>
      </c>
      <c r="L10">
        <v>54</v>
      </c>
      <c r="M10" s="103">
        <v>67</v>
      </c>
      <c r="N10">
        <v>55</v>
      </c>
      <c r="O10">
        <v>42</v>
      </c>
      <c r="P10">
        <v>52</v>
      </c>
      <c r="Q10">
        <v>62</v>
      </c>
      <c r="R10">
        <v>68</v>
      </c>
      <c r="S10">
        <v>39</v>
      </c>
      <c r="T10">
        <v>46</v>
      </c>
    </row>
    <row r="11" spans="1:20" x14ac:dyDescent="0.3">
      <c r="A11" t="str">
        <f>VLOOKUP(B11,'Naming Convertions'!A:B,2,FALSE)</f>
        <v xml:space="preserve">Waterkloof </v>
      </c>
      <c r="B11" t="s">
        <v>82</v>
      </c>
      <c r="C11">
        <v>73</v>
      </c>
      <c r="D11">
        <v>65</v>
      </c>
      <c r="E11">
        <v>45</v>
      </c>
      <c r="F11">
        <v>60</v>
      </c>
      <c r="G11">
        <v>51</v>
      </c>
      <c r="H11">
        <v>54</v>
      </c>
      <c r="I11">
        <v>44</v>
      </c>
      <c r="J11">
        <v>58</v>
      </c>
      <c r="K11">
        <v>48</v>
      </c>
      <c r="L11">
        <v>51</v>
      </c>
      <c r="M11" s="103">
        <v>33</v>
      </c>
      <c r="N11">
        <v>27</v>
      </c>
      <c r="O11">
        <v>35</v>
      </c>
      <c r="P11">
        <v>36</v>
      </c>
      <c r="Q11">
        <v>27</v>
      </c>
      <c r="R11">
        <v>54</v>
      </c>
      <c r="S11">
        <v>31</v>
      </c>
      <c r="T11">
        <v>38</v>
      </c>
    </row>
    <row r="12" spans="1:20" x14ac:dyDescent="0.3">
      <c r="A12" t="str">
        <f>VLOOKUP(B12,'Naming Convertions'!A:B,2,FALSE)</f>
        <v>Stellenbosch</v>
      </c>
      <c r="B12" t="s">
        <v>83</v>
      </c>
      <c r="C12">
        <v>72</v>
      </c>
      <c r="D12">
        <v>74</v>
      </c>
      <c r="E12">
        <v>50</v>
      </c>
      <c r="F12">
        <v>53</v>
      </c>
      <c r="G12">
        <v>54</v>
      </c>
      <c r="H12">
        <v>52</v>
      </c>
      <c r="I12">
        <v>43</v>
      </c>
      <c r="J12">
        <v>62</v>
      </c>
      <c r="K12">
        <v>42</v>
      </c>
      <c r="L12">
        <v>53</v>
      </c>
      <c r="M12" s="103">
        <v>36</v>
      </c>
      <c r="N12">
        <v>49</v>
      </c>
      <c r="O12">
        <v>57</v>
      </c>
      <c r="P12">
        <v>51</v>
      </c>
      <c r="Q12">
        <v>23</v>
      </c>
      <c r="R12">
        <v>28</v>
      </c>
      <c r="S12">
        <v>20</v>
      </c>
      <c r="T12">
        <v>58</v>
      </c>
    </row>
    <row r="13" spans="1:20" x14ac:dyDescent="0.3">
      <c r="A13" t="s">
        <v>33</v>
      </c>
      <c r="C13">
        <v>0</v>
      </c>
      <c r="D13">
        <v>0</v>
      </c>
      <c r="E13">
        <v>0</v>
      </c>
      <c r="F13">
        <v>0</v>
      </c>
      <c r="G13">
        <v>95</v>
      </c>
      <c r="H13">
        <v>52</v>
      </c>
      <c r="I13">
        <v>59</v>
      </c>
      <c r="J13">
        <v>77</v>
      </c>
      <c r="K13">
        <v>63</v>
      </c>
      <c r="L13">
        <v>68</v>
      </c>
      <c r="M13" s="103">
        <v>79</v>
      </c>
      <c r="N13">
        <v>31</v>
      </c>
      <c r="O13">
        <v>69</v>
      </c>
      <c r="P13">
        <v>64</v>
      </c>
      <c r="Q13">
        <v>40</v>
      </c>
      <c r="R13">
        <v>28</v>
      </c>
      <c r="S13">
        <v>63</v>
      </c>
      <c r="T13">
        <v>45</v>
      </c>
    </row>
    <row r="14" spans="1:20" x14ac:dyDescent="0.3">
      <c r="A14" t="s">
        <v>24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20" x14ac:dyDescent="0.3">
      <c r="C15">
        <f t="shared" ref="C15:T15" si="0">SUM(C2:C14)</f>
        <v>1018</v>
      </c>
      <c r="D15">
        <f t="shared" si="0"/>
        <v>995</v>
      </c>
      <c r="E15">
        <f t="shared" si="0"/>
        <v>857</v>
      </c>
      <c r="F15">
        <f t="shared" si="0"/>
        <v>891</v>
      </c>
      <c r="G15">
        <f t="shared" si="0"/>
        <v>991</v>
      </c>
      <c r="H15">
        <f t="shared" si="0"/>
        <v>880</v>
      </c>
      <c r="I15">
        <f t="shared" si="0"/>
        <v>895</v>
      </c>
      <c r="J15">
        <f t="shared" si="0"/>
        <v>1051</v>
      </c>
      <c r="K15">
        <f t="shared" si="0"/>
        <v>876</v>
      </c>
      <c r="L15">
        <f t="shared" si="0"/>
        <v>880</v>
      </c>
      <c r="M15">
        <f t="shared" si="0"/>
        <v>745</v>
      </c>
      <c r="N15">
        <f t="shared" si="0"/>
        <v>787</v>
      </c>
      <c r="O15">
        <f t="shared" si="0"/>
        <v>774</v>
      </c>
      <c r="P15">
        <f t="shared" si="0"/>
        <v>837</v>
      </c>
      <c r="Q15">
        <f t="shared" si="0"/>
        <v>588</v>
      </c>
      <c r="R15">
        <f t="shared" si="0"/>
        <v>615</v>
      </c>
      <c r="S15">
        <f t="shared" si="0"/>
        <v>616</v>
      </c>
      <c r="T15">
        <f t="shared" si="0"/>
        <v>617</v>
      </c>
    </row>
    <row r="16" spans="1:20" ht="15.6" customHeight="1" x14ac:dyDescent="0.3">
      <c r="A16" s="40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B13"/>
  <sheetViews>
    <sheetView workbookViewId="0">
      <selection activeCell="G11" sqref="G11"/>
    </sheetView>
  </sheetViews>
  <sheetFormatPr defaultRowHeight="14.4" x14ac:dyDescent="0.3"/>
  <cols>
    <col min="1" max="1" width="33.6640625" bestFit="1" customWidth="1"/>
    <col min="2" max="2" width="18.5546875" bestFit="1" customWidth="1"/>
  </cols>
  <sheetData>
    <row r="1" spans="1:2" x14ac:dyDescent="0.3">
      <c r="A1" t="s">
        <v>104</v>
      </c>
      <c r="B1" t="s">
        <v>105</v>
      </c>
    </row>
    <row r="2" spans="1:2" ht="15.6" customHeight="1" x14ac:dyDescent="0.3">
      <c r="A2" t="s">
        <v>74</v>
      </c>
      <c r="B2" s="92" t="s">
        <v>15</v>
      </c>
    </row>
    <row r="3" spans="1:2" ht="15.6" customHeight="1" x14ac:dyDescent="0.3">
      <c r="A3" t="s">
        <v>77</v>
      </c>
      <c r="B3" s="92" t="s">
        <v>16</v>
      </c>
    </row>
    <row r="4" spans="1:2" ht="15.6" customHeight="1" x14ac:dyDescent="0.3">
      <c r="A4" t="s">
        <v>78</v>
      </c>
      <c r="B4" s="92" t="s">
        <v>17</v>
      </c>
    </row>
    <row r="5" spans="1:2" ht="15.6" customHeight="1" x14ac:dyDescent="0.3">
      <c r="A5" t="s">
        <v>81</v>
      </c>
      <c r="B5" s="92" t="s">
        <v>18</v>
      </c>
    </row>
    <row r="6" spans="1:2" ht="15.6" customHeight="1" x14ac:dyDescent="0.3">
      <c r="A6" t="s">
        <v>82</v>
      </c>
      <c r="B6" s="92" t="s">
        <v>20</v>
      </c>
    </row>
    <row r="7" spans="1:2" ht="15.6" customHeight="1" x14ac:dyDescent="0.3">
      <c r="A7" t="s">
        <v>73</v>
      </c>
      <c r="B7" s="92" t="s">
        <v>21</v>
      </c>
    </row>
    <row r="8" spans="1:2" ht="15.6" customHeight="1" x14ac:dyDescent="0.3">
      <c r="A8" t="s">
        <v>83</v>
      </c>
      <c r="B8" s="93" t="s">
        <v>22</v>
      </c>
    </row>
    <row r="9" spans="1:2" ht="15.6" customHeight="1" x14ac:dyDescent="0.3">
      <c r="A9" t="s">
        <v>76</v>
      </c>
      <c r="B9" s="93" t="s">
        <v>23</v>
      </c>
    </row>
    <row r="10" spans="1:2" ht="15.6" customHeight="1" x14ac:dyDescent="0.3">
      <c r="B10" s="93" t="s">
        <v>24</v>
      </c>
    </row>
    <row r="11" spans="1:2" ht="15.6" customHeight="1" x14ac:dyDescent="0.3">
      <c r="A11" t="s">
        <v>72</v>
      </c>
      <c r="B11" s="93" t="s">
        <v>26</v>
      </c>
    </row>
    <row r="12" spans="1:2" ht="15.6" customHeight="1" x14ac:dyDescent="0.3">
      <c r="A12" t="s">
        <v>75</v>
      </c>
      <c r="B12" s="93" t="s">
        <v>27</v>
      </c>
    </row>
    <row r="13" spans="1:2" ht="15.6" customHeight="1" x14ac:dyDescent="0.3">
      <c r="A13" t="s">
        <v>79</v>
      </c>
      <c r="B13" s="93" t="s">
        <v>28</v>
      </c>
    </row>
  </sheetData>
  <pageMargins left="0.7" right="0.7" top="0.75" bottom="0.75" header="0.3" footer="0.3"/>
  <pageSetup paperSize="9" orientation="portrait" verticalDpi="0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AC49"/>
  <sheetViews>
    <sheetView workbookViewId="0">
      <selection activeCell="E7" sqref="E7"/>
    </sheetView>
  </sheetViews>
  <sheetFormatPr defaultRowHeight="14.4" x14ac:dyDescent="0.3"/>
  <cols>
    <col min="1" max="1" width="23" customWidth="1"/>
    <col min="2" max="2" width="25.77734375" customWidth="1"/>
    <col min="3" max="3" width="21.44140625" customWidth="1"/>
    <col min="4" max="4" width="20.109375" customWidth="1"/>
    <col min="5" max="5" width="12.6640625" customWidth="1"/>
    <col min="6" max="6" width="22.33203125" customWidth="1"/>
    <col min="7" max="7" width="22.21875" customWidth="1"/>
    <col min="8" max="8" width="12.6640625" customWidth="1"/>
    <col min="9" max="9" width="12.6640625" hidden="1" customWidth="1"/>
    <col min="10" max="10" width="11.44140625" style="463" bestFit="1" customWidth="1"/>
    <col min="11" max="11" width="13.44140625" bestFit="1" customWidth="1"/>
    <col min="12" max="12" width="13.44140625" customWidth="1"/>
    <col min="13" max="13" width="16.6640625" customWidth="1"/>
    <col min="14" max="14" width="15" customWidth="1"/>
    <col min="15" max="15" width="16.109375" customWidth="1"/>
    <col min="16" max="16" width="16.5546875" customWidth="1"/>
    <col min="17" max="17" width="10.5546875" hidden="1" customWidth="1"/>
    <col min="18" max="18" width="18.5546875" customWidth="1"/>
    <col min="19" max="19" width="11.6640625" bestFit="1" customWidth="1"/>
    <col min="20" max="20" width="19.6640625" customWidth="1"/>
    <col min="21" max="21" width="13.44140625" customWidth="1"/>
    <col min="22" max="22" width="16.44140625" customWidth="1"/>
    <col min="25" max="25" width="16" customWidth="1"/>
    <col min="26" max="26" width="16" style="296" customWidth="1"/>
    <col min="28" max="28" width="17.33203125" customWidth="1"/>
    <col min="29" max="29" width="17.33203125" style="296" customWidth="1"/>
  </cols>
  <sheetData>
    <row r="1" spans="1:29" ht="15.6" customHeight="1" x14ac:dyDescent="0.3">
      <c r="A1" s="7"/>
      <c r="B1" s="7"/>
      <c r="C1" s="7"/>
      <c r="D1" s="7"/>
      <c r="E1" s="14" t="s">
        <v>0</v>
      </c>
      <c r="F1" s="7"/>
      <c r="G1" s="7"/>
      <c r="H1" s="417"/>
      <c r="I1" s="370" t="s">
        <v>0</v>
      </c>
      <c r="J1" s="458"/>
      <c r="K1" s="7"/>
      <c r="L1" s="7"/>
      <c r="M1" s="7"/>
      <c r="N1" s="7"/>
      <c r="O1" s="7"/>
      <c r="P1" s="7" t="s">
        <v>31</v>
      </c>
      <c r="Q1" s="7"/>
      <c r="R1" s="7" t="s">
        <v>31</v>
      </c>
      <c r="S1" s="7"/>
      <c r="T1" s="7"/>
      <c r="U1" s="7"/>
      <c r="V1" s="81"/>
      <c r="W1" s="9"/>
    </row>
    <row r="2" spans="1:29" ht="16.5" customHeight="1" x14ac:dyDescent="0.3">
      <c r="A2" s="1"/>
      <c r="B2" s="1"/>
      <c r="C2" s="1"/>
      <c r="D2" s="1"/>
      <c r="E2" s="400">
        <f>((B4-C4)/B4)</f>
        <v>6.4238597560747193E-2</v>
      </c>
      <c r="F2" s="426"/>
      <c r="G2" s="1"/>
      <c r="H2" s="427"/>
      <c r="I2" s="422">
        <f>((B4-D4)/D4)</f>
        <v>-0.13551937755876456</v>
      </c>
      <c r="J2" s="459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81"/>
      <c r="W2" s="17"/>
    </row>
    <row r="3" spans="1:29" ht="41.4" customHeight="1" x14ac:dyDescent="0.3">
      <c r="A3" s="429"/>
      <c r="B3" s="430" t="s">
        <v>64</v>
      </c>
      <c r="C3" s="431" t="s">
        <v>34</v>
      </c>
      <c r="D3" s="101" t="s">
        <v>45</v>
      </c>
      <c r="E3" s="432" t="s">
        <v>41</v>
      </c>
      <c r="F3" s="433" t="s">
        <v>44</v>
      </c>
      <c r="G3" s="101" t="s">
        <v>62</v>
      </c>
      <c r="H3" s="433" t="s">
        <v>63</v>
      </c>
      <c r="I3" s="433" t="s">
        <v>46</v>
      </c>
      <c r="J3" s="464" t="s">
        <v>38</v>
      </c>
      <c r="K3" s="433" t="s">
        <v>54</v>
      </c>
      <c r="L3" s="478"/>
      <c r="M3" s="471" t="s">
        <v>65</v>
      </c>
      <c r="N3" s="101" t="s">
        <v>29</v>
      </c>
      <c r="O3" s="101"/>
      <c r="P3" s="471" t="s">
        <v>66</v>
      </c>
      <c r="Q3" s="101" t="s">
        <v>11</v>
      </c>
      <c r="R3" s="101" t="s">
        <v>39</v>
      </c>
      <c r="S3" s="101" t="s">
        <v>11</v>
      </c>
      <c r="T3" s="101" t="s">
        <v>42</v>
      </c>
      <c r="U3" s="101" t="s">
        <v>43</v>
      </c>
      <c r="V3" s="453" t="s">
        <v>53</v>
      </c>
      <c r="W3" s="407"/>
      <c r="Y3" s="453" t="s">
        <v>57</v>
      </c>
      <c r="Z3" s="312"/>
      <c r="AB3" s="453" t="s">
        <v>61</v>
      </c>
      <c r="AC3" s="312"/>
    </row>
    <row r="4" spans="1:29" ht="15.6" customHeight="1" x14ac:dyDescent="0.3">
      <c r="A4" s="491" t="s">
        <v>13</v>
      </c>
      <c r="B4" s="468">
        <f>SUM(B5:B15)</f>
        <v>1634051.24</v>
      </c>
      <c r="C4" s="468">
        <f>SUM(C5:C15)</f>
        <v>1529082.08</v>
      </c>
      <c r="D4" s="468">
        <f>SUM(D5:D15)</f>
        <v>1890211.53</v>
      </c>
      <c r="E4" s="503">
        <f t="shared" ref="E4:E15" si="0">IFERROR((SUM(B4-C4)/B4),0)</f>
        <v>6.4238597560747193E-2</v>
      </c>
      <c r="F4" s="465">
        <f>SUM(F5:F15)</f>
        <v>6555346.4100000001</v>
      </c>
      <c r="G4" s="468">
        <f>SUM(G5:G15)</f>
        <v>2072564.94</v>
      </c>
      <c r="H4" s="504">
        <f t="shared" ref="H4:H15" si="1">IFERROR((SUM(B4-G4)/G4),0)</f>
        <v>-0.2115801978200017</v>
      </c>
      <c r="I4" s="472">
        <f t="shared" ref="I4:I9" si="2">IFERROR((SUM(B4-D4)/D4),0)</f>
        <v>-0.13551937755876456</v>
      </c>
      <c r="J4" s="501">
        <f>SUM(J5:J15)</f>
        <v>4270</v>
      </c>
      <c r="K4" s="497">
        <f>AVERAGE(K5:K15)</f>
        <v>2032.2396950812281</v>
      </c>
      <c r="L4" s="497">
        <f>SUM(L6:L15)</f>
        <v>627</v>
      </c>
      <c r="M4" s="502">
        <f>SUM(M5:M15)</f>
        <v>59029.69999999999</v>
      </c>
      <c r="N4" s="496">
        <f>IFERROR(M4/J4,0)</f>
        <v>13.824285714285711</v>
      </c>
      <c r="O4" s="499">
        <f>SUM(O6:O15)</f>
        <v>2832</v>
      </c>
      <c r="P4" s="500">
        <f>SUM(P7:P15)</f>
        <v>241100.56000000003</v>
      </c>
      <c r="Q4" s="496">
        <f>IFERROR(P4/SUM(J4),0)</f>
        <v>56.46383138173303</v>
      </c>
      <c r="R4" s="465">
        <f>SUM(R5:R15)</f>
        <v>434940.57391304348</v>
      </c>
      <c r="S4" s="496">
        <f t="shared" ref="S4:S15" si="3">SUM(R4/B4)</f>
        <v>0.26617315495751742</v>
      </c>
      <c r="T4" s="465">
        <f>SUM(T5:T15)</f>
        <v>181679.95652173916</v>
      </c>
      <c r="U4" s="442">
        <f t="shared" ref="U4:U15" si="4">SUM(T4/B4)</f>
        <v>0.11118375732314194</v>
      </c>
      <c r="V4" s="481">
        <f>SUM(V5:V15)</f>
        <v>46459.77</v>
      </c>
      <c r="W4" s="482"/>
      <c r="X4" s="483"/>
      <c r="Y4" s="476"/>
      <c r="Z4" s="484"/>
      <c r="AA4" s="483"/>
      <c r="AB4" s="476"/>
      <c r="AC4" s="484"/>
    </row>
    <row r="5" spans="1:29" ht="15.6" customHeight="1" x14ac:dyDescent="0.3">
      <c r="A5" s="432" t="s">
        <v>26</v>
      </c>
      <c r="B5" s="310">
        <v>273101.15000000002</v>
      </c>
      <c r="C5" s="310">
        <v>264990.67</v>
      </c>
      <c r="D5" s="489">
        <v>166877.21</v>
      </c>
      <c r="E5" s="503">
        <f t="shared" si="0"/>
        <v>2.9697714564731928E-2</v>
      </c>
      <c r="F5" s="310">
        <v>1108825.1100000001</v>
      </c>
      <c r="G5" s="310">
        <v>212042.92</v>
      </c>
      <c r="H5" s="504">
        <f t="shared" si="1"/>
        <v>0.28795222212559612</v>
      </c>
      <c r="I5" s="494">
        <f t="shared" si="2"/>
        <v>0.63653952507954825</v>
      </c>
      <c r="J5" s="310">
        <v>751</v>
      </c>
      <c r="K5" s="84">
        <f>IFERROR(B5/J5,0)</f>
        <v>363.65000000000003</v>
      </c>
      <c r="L5" s="479"/>
      <c r="M5" s="479"/>
      <c r="N5" s="479">
        <f>IFERROR(M5/J5,0)</f>
        <v>0</v>
      </c>
      <c r="O5" s="479"/>
      <c r="P5" s="479"/>
      <c r="Q5" s="479">
        <f>IFERROR(P5/SUM(J5),0)</f>
        <v>0</v>
      </c>
      <c r="R5" s="485">
        <f t="shared" ref="R5:R15" si="5">SUM(Z5+AC5)</f>
        <v>25285.652173913044</v>
      </c>
      <c r="S5" s="496">
        <f t="shared" si="3"/>
        <v>9.2587131815127996E-2</v>
      </c>
      <c r="T5" s="485">
        <f t="shared" ref="T5:T15" si="6">SUM(AC5)</f>
        <v>25285.652173913044</v>
      </c>
      <c r="U5" s="442">
        <f t="shared" si="4"/>
        <v>9.2587131815127996E-2</v>
      </c>
      <c r="V5" s="310">
        <v>2899.65</v>
      </c>
      <c r="W5" s="486"/>
      <c r="X5" s="483"/>
      <c r="Y5" s="310">
        <v>0</v>
      </c>
      <c r="Z5" s="75">
        <f t="shared" ref="Z5:Z15" si="7">Y5/1.15</f>
        <v>0</v>
      </c>
      <c r="AA5" s="487"/>
      <c r="AB5" s="310">
        <v>29078.5</v>
      </c>
      <c r="AC5" s="75">
        <f t="shared" ref="AC5:AC15" si="8">SUM(AB5)/1.15</f>
        <v>25285.652173913044</v>
      </c>
    </row>
    <row r="6" spans="1:29" ht="15.6" customHeight="1" x14ac:dyDescent="0.3">
      <c r="A6" s="492" t="s">
        <v>21</v>
      </c>
      <c r="B6" s="310">
        <v>205533.83</v>
      </c>
      <c r="C6" s="310">
        <v>192141.41</v>
      </c>
      <c r="D6" s="489">
        <v>317233.91999999998</v>
      </c>
      <c r="E6" s="503">
        <f t="shared" si="0"/>
        <v>6.5159200312668641E-2</v>
      </c>
      <c r="F6" s="310">
        <v>803738.18</v>
      </c>
      <c r="G6" s="310">
        <v>201569.89</v>
      </c>
      <c r="H6" s="504">
        <f t="shared" si="1"/>
        <v>1.9665337913316185E-2</v>
      </c>
      <c r="I6" s="494">
        <f t="shared" si="2"/>
        <v>-0.35210638887543932</v>
      </c>
      <c r="J6" s="310">
        <v>598</v>
      </c>
      <c r="K6" s="84">
        <f>IFERROR(B6/J6,0)</f>
        <v>343.70205685618726</v>
      </c>
      <c r="L6" s="310">
        <v>59</v>
      </c>
      <c r="M6" s="310">
        <v>5034.1899999999996</v>
      </c>
      <c r="N6" s="479">
        <f>IFERROR(O7/J6,0)</f>
        <v>0.30267558528428096</v>
      </c>
      <c r="O6" s="310">
        <v>320</v>
      </c>
      <c r="P6" s="310">
        <v>31163.52</v>
      </c>
      <c r="Q6" s="479">
        <f>IFERROR(P6/SUM(J6),0)</f>
        <v>52.112909698996653</v>
      </c>
      <c r="R6" s="485">
        <f t="shared" si="5"/>
        <v>49707.060869565219</v>
      </c>
      <c r="S6" s="496">
        <f t="shared" si="3"/>
        <v>0.24184369487770077</v>
      </c>
      <c r="T6" s="485">
        <f t="shared" si="6"/>
        <v>20649.704347826089</v>
      </c>
      <c r="U6" s="442">
        <f t="shared" si="4"/>
        <v>0.10046863987221029</v>
      </c>
      <c r="V6" s="310">
        <v>9343.25</v>
      </c>
      <c r="W6" s="488"/>
      <c r="X6" s="483"/>
      <c r="Y6" s="310">
        <v>33415.96</v>
      </c>
      <c r="Z6" s="75">
        <f t="shared" si="7"/>
        <v>29057.356521739133</v>
      </c>
      <c r="AA6" s="487"/>
      <c r="AB6" s="310">
        <v>23747.16</v>
      </c>
      <c r="AC6" s="75">
        <f t="shared" si="8"/>
        <v>20649.704347826089</v>
      </c>
    </row>
    <row r="7" spans="1:29" ht="16.5" customHeight="1" x14ac:dyDescent="0.3">
      <c r="A7" s="492" t="s">
        <v>15</v>
      </c>
      <c r="B7" s="310">
        <v>199073.79</v>
      </c>
      <c r="C7" s="310">
        <v>190409.57</v>
      </c>
      <c r="D7" s="489">
        <v>254835.6</v>
      </c>
      <c r="E7" s="503">
        <f t="shared" si="0"/>
        <v>4.3522655594189476E-2</v>
      </c>
      <c r="F7" s="310">
        <v>854555.02</v>
      </c>
      <c r="G7" s="310">
        <v>222418.21</v>
      </c>
      <c r="H7" s="504">
        <f t="shared" si="1"/>
        <v>-0.1049573234134021</v>
      </c>
      <c r="I7" s="494">
        <f t="shared" si="2"/>
        <v>-0.21881483591774462</v>
      </c>
      <c r="J7" s="310">
        <v>560</v>
      </c>
      <c r="K7" s="84">
        <f>IFERROR(B7/J7,0)</f>
        <v>355.48891071428574</v>
      </c>
      <c r="L7" s="310">
        <v>35</v>
      </c>
      <c r="M7" s="310">
        <v>3105.47</v>
      </c>
      <c r="N7" s="479">
        <f>IFERROR(#REF!/J7,0)</f>
        <v>0</v>
      </c>
      <c r="O7" s="310">
        <v>181</v>
      </c>
      <c r="P7" s="310">
        <v>19176.98</v>
      </c>
      <c r="Q7" s="479">
        <f>IFERROR(#REF!/SUM(J7),0)</f>
        <v>0</v>
      </c>
      <c r="R7" s="485">
        <f t="shared" si="5"/>
        <v>36140.704347826089</v>
      </c>
      <c r="S7" s="496">
        <f t="shared" si="3"/>
        <v>0.18154426229503184</v>
      </c>
      <c r="T7" s="485">
        <f t="shared" si="6"/>
        <v>1778.3478260869565</v>
      </c>
      <c r="U7" s="442">
        <f t="shared" si="4"/>
        <v>8.9331088039613666E-3</v>
      </c>
      <c r="V7" s="310">
        <v>4315.3500000000004</v>
      </c>
      <c r="W7" s="488"/>
      <c r="X7" s="483"/>
      <c r="Y7" s="310">
        <v>39516.71</v>
      </c>
      <c r="Z7" s="75">
        <f t="shared" si="7"/>
        <v>34362.35652173913</v>
      </c>
      <c r="AA7" s="487"/>
      <c r="AB7" s="310">
        <v>2045.1</v>
      </c>
      <c r="AC7" s="75">
        <f t="shared" si="8"/>
        <v>1778.3478260869565</v>
      </c>
    </row>
    <row r="8" spans="1:29" ht="15.6" customHeight="1" x14ac:dyDescent="0.3">
      <c r="A8" s="492" t="s">
        <v>27</v>
      </c>
      <c r="B8" s="310"/>
      <c r="C8" s="310"/>
      <c r="D8" s="489">
        <v>125945.97</v>
      </c>
      <c r="E8" s="503">
        <f t="shared" si="0"/>
        <v>0</v>
      </c>
      <c r="F8" s="310"/>
      <c r="G8" s="310">
        <v>148590.98000000001</v>
      </c>
      <c r="H8" s="504">
        <f t="shared" si="1"/>
        <v>-1</v>
      </c>
      <c r="I8" s="494">
        <f t="shared" si="2"/>
        <v>-1</v>
      </c>
      <c r="J8" s="310"/>
      <c r="K8" s="84">
        <f>IFERROR(B8/J8,0)</f>
        <v>0</v>
      </c>
      <c r="L8" s="479"/>
      <c r="M8" s="479"/>
      <c r="N8" s="479">
        <f>IFERROR(M8/J8,0)</f>
        <v>0</v>
      </c>
      <c r="O8" s="479"/>
      <c r="P8" s="479"/>
      <c r="Q8" s="479">
        <f>IFERROR(P8/SUM(J8),0)</f>
        <v>0</v>
      </c>
      <c r="R8" s="485">
        <f t="shared" si="5"/>
        <v>0</v>
      </c>
      <c r="S8" s="496" t="e">
        <f t="shared" si="3"/>
        <v>#DIV/0!</v>
      </c>
      <c r="T8" s="485">
        <f t="shared" si="6"/>
        <v>0</v>
      </c>
      <c r="U8" s="442" t="e">
        <f t="shared" si="4"/>
        <v>#DIV/0!</v>
      </c>
      <c r="V8" s="310"/>
      <c r="W8" s="486"/>
      <c r="X8" s="483"/>
      <c r="Y8" s="313"/>
      <c r="Z8" s="75">
        <f t="shared" si="7"/>
        <v>0</v>
      </c>
      <c r="AA8" s="487"/>
      <c r="AB8" s="313"/>
      <c r="AC8" s="75">
        <f t="shared" si="8"/>
        <v>0</v>
      </c>
    </row>
    <row r="9" spans="1:29" ht="15.6" customHeight="1" x14ac:dyDescent="0.3">
      <c r="A9" s="492" t="s">
        <v>23</v>
      </c>
      <c r="B9" s="310">
        <v>192463.68</v>
      </c>
      <c r="C9" s="310">
        <v>185294.29</v>
      </c>
      <c r="D9" s="489">
        <v>243010.12</v>
      </c>
      <c r="E9" s="503">
        <f t="shared" si="0"/>
        <v>3.7250612687027417E-2</v>
      </c>
      <c r="F9" s="310">
        <v>744675.17</v>
      </c>
      <c r="G9" s="310">
        <v>212422.03</v>
      </c>
      <c r="H9" s="504">
        <f t="shared" si="1"/>
        <v>-9.3956121217747546E-2</v>
      </c>
      <c r="I9" s="494">
        <f t="shared" si="2"/>
        <v>-0.2080013787080143</v>
      </c>
      <c r="J9" s="310">
        <v>618</v>
      </c>
      <c r="K9" s="84">
        <f>IFERROR(B9/J9,0)</f>
        <v>311.42990291262134</v>
      </c>
      <c r="L9" s="310">
        <v>35</v>
      </c>
      <c r="M9" s="310">
        <v>2607.5</v>
      </c>
      <c r="N9" s="479">
        <f>IFERROR(M9/J9,0)</f>
        <v>4.2192556634304204</v>
      </c>
      <c r="O9" s="310">
        <v>130</v>
      </c>
      <c r="P9" s="310">
        <v>10487.28</v>
      </c>
      <c r="Q9" s="479">
        <f>IFERROR(P9/SUM(J9),0)</f>
        <v>16.969708737864078</v>
      </c>
      <c r="R9" s="485">
        <f t="shared" si="5"/>
        <v>47424.200000000012</v>
      </c>
      <c r="S9" s="496">
        <f t="shared" si="3"/>
        <v>0.24640597124610739</v>
      </c>
      <c r="T9" s="485">
        <f t="shared" si="6"/>
        <v>23524.565217391308</v>
      </c>
      <c r="U9" s="442">
        <f t="shared" si="4"/>
        <v>0.12222859511670622</v>
      </c>
      <c r="V9" s="310">
        <v>4170.55</v>
      </c>
      <c r="W9" s="488"/>
      <c r="X9" s="483"/>
      <c r="Y9" s="310">
        <v>27484.58</v>
      </c>
      <c r="Z9" s="75">
        <f t="shared" si="7"/>
        <v>23899.6347826087</v>
      </c>
      <c r="AA9" s="487"/>
      <c r="AB9" s="310">
        <v>27053.25</v>
      </c>
      <c r="AC9" s="75">
        <f t="shared" si="8"/>
        <v>23524.565217391308</v>
      </c>
    </row>
    <row r="10" spans="1:29" ht="15.6" customHeight="1" x14ac:dyDescent="0.3">
      <c r="A10" s="432" t="s">
        <v>16</v>
      </c>
      <c r="B10" s="310"/>
      <c r="C10" s="310"/>
      <c r="D10" s="489">
        <v>191397.82</v>
      </c>
      <c r="E10" s="503">
        <f t="shared" si="0"/>
        <v>0</v>
      </c>
      <c r="F10" s="310"/>
      <c r="G10" s="310">
        <v>272667.7</v>
      </c>
      <c r="H10" s="504">
        <f t="shared" si="1"/>
        <v>-1</v>
      </c>
      <c r="I10" s="494">
        <f>IFERROR((SUM(B11-D10)/D10),0)</f>
        <v>-0.33931060447814926</v>
      </c>
      <c r="J10" s="310"/>
      <c r="K10" s="84">
        <f>IFERROR(B11/J11,0)</f>
        <v>288.70892694063923</v>
      </c>
      <c r="L10" s="479"/>
      <c r="M10" s="479"/>
      <c r="N10" s="479">
        <f>IFERROR(M11/J11,0)</f>
        <v>36.413515981735159</v>
      </c>
      <c r="O10" s="479"/>
      <c r="P10" s="479"/>
      <c r="Q10" s="479">
        <f>IFERROR(P11/SUM(J11),0)</f>
        <v>158.07248858447488</v>
      </c>
      <c r="R10" s="485">
        <f t="shared" si="5"/>
        <v>0</v>
      </c>
      <c r="S10" s="496" t="e">
        <f t="shared" si="3"/>
        <v>#DIV/0!</v>
      </c>
      <c r="T10" s="485">
        <f t="shared" si="6"/>
        <v>0</v>
      </c>
      <c r="U10" s="442" t="e">
        <f t="shared" si="4"/>
        <v>#DIV/0!</v>
      </c>
      <c r="V10" s="310"/>
      <c r="W10" s="488"/>
      <c r="X10" s="483"/>
      <c r="Y10" s="313"/>
      <c r="Z10" s="75">
        <f t="shared" si="7"/>
        <v>0</v>
      </c>
      <c r="AA10" s="487"/>
      <c r="AB10" s="313"/>
      <c r="AC10" s="75">
        <f t="shared" si="8"/>
        <v>0</v>
      </c>
    </row>
    <row r="11" spans="1:29" ht="15.6" customHeight="1" x14ac:dyDescent="0.3">
      <c r="A11" s="492" t="s">
        <v>17</v>
      </c>
      <c r="B11" s="310">
        <v>126454.51</v>
      </c>
      <c r="C11" s="310">
        <v>109200.15</v>
      </c>
      <c r="D11" s="489">
        <v>86713.33</v>
      </c>
      <c r="E11" s="503">
        <f t="shared" si="0"/>
        <v>0.13644716981624461</v>
      </c>
      <c r="F11" s="310">
        <v>509545.8</v>
      </c>
      <c r="G11" s="310">
        <v>152939.37</v>
      </c>
      <c r="H11" s="504">
        <f t="shared" si="1"/>
        <v>-0.17317228389263015</v>
      </c>
      <c r="I11" s="494">
        <f>IFERROR((SUM(#REF!-D11)/D11),0)</f>
        <v>0</v>
      </c>
      <c r="J11" s="310">
        <v>438</v>
      </c>
      <c r="K11" s="84">
        <f>IFERROR(B12/J12,0)</f>
        <v>9863.4843478260882</v>
      </c>
      <c r="L11" s="310">
        <v>165</v>
      </c>
      <c r="M11" s="310">
        <v>15949.12</v>
      </c>
      <c r="N11" s="479">
        <f>IFERROR(#REF!/J12,0)</f>
        <v>0</v>
      </c>
      <c r="O11" s="310">
        <v>699</v>
      </c>
      <c r="P11" s="310">
        <v>69235.75</v>
      </c>
      <c r="Q11" s="479">
        <f>IFERROR(#REF!/SUM(J12),0)</f>
        <v>0</v>
      </c>
      <c r="R11" s="485">
        <f t="shared" si="5"/>
        <v>63185.791304347833</v>
      </c>
      <c r="S11" s="496">
        <f t="shared" si="3"/>
        <v>0.49967210583748917</v>
      </c>
      <c r="T11" s="485">
        <f t="shared" si="6"/>
        <v>14245.73043478261</v>
      </c>
      <c r="U11" s="442">
        <f t="shared" si="4"/>
        <v>0.11265498110571628</v>
      </c>
      <c r="V11" s="310">
        <v>4733</v>
      </c>
      <c r="W11" s="488"/>
      <c r="X11" s="483"/>
      <c r="Y11" s="310">
        <v>56281.07</v>
      </c>
      <c r="Z11" s="75">
        <f t="shared" si="7"/>
        <v>48940.060869565219</v>
      </c>
      <c r="AA11" s="487"/>
      <c r="AB11" s="310">
        <v>16382.59</v>
      </c>
      <c r="AC11" s="75">
        <f t="shared" si="8"/>
        <v>14245.73043478261</v>
      </c>
    </row>
    <row r="12" spans="1:29" ht="15.6" customHeight="1" x14ac:dyDescent="0.3">
      <c r="A12" s="492" t="s">
        <v>55</v>
      </c>
      <c r="B12" s="310">
        <v>226860.14</v>
      </c>
      <c r="C12" s="310">
        <v>172061.92</v>
      </c>
      <c r="D12" s="489">
        <v>206751.49</v>
      </c>
      <c r="E12" s="503">
        <f t="shared" si="0"/>
        <v>0.24155067523100354</v>
      </c>
      <c r="F12" s="310">
        <v>781305.93</v>
      </c>
      <c r="G12" s="310">
        <v>190621.49</v>
      </c>
      <c r="H12" s="504">
        <f t="shared" si="1"/>
        <v>0.19010789392108951</v>
      </c>
      <c r="I12" s="494">
        <f>IFERROR((SUM(B12-D12)/D12),0)</f>
        <v>9.726000039951356E-2</v>
      </c>
      <c r="J12" s="310">
        <v>23</v>
      </c>
      <c r="K12" s="84">
        <f>IFERROR(B12/J12,0)</f>
        <v>9863.4843478260882</v>
      </c>
      <c r="L12" s="310">
        <v>185</v>
      </c>
      <c r="M12" s="310">
        <v>19147.009999999998</v>
      </c>
      <c r="N12" s="479">
        <f>IFERROR(M12/J12,0)</f>
        <v>832.47869565217388</v>
      </c>
      <c r="O12" s="310">
        <v>782</v>
      </c>
      <c r="P12" s="310">
        <v>79304.820000000007</v>
      </c>
      <c r="Q12" s="479">
        <f>IFERROR(P12/SUM(J12),0)</f>
        <v>3448.0356521739131</v>
      </c>
      <c r="R12" s="485">
        <f t="shared" si="5"/>
        <v>72999.478260869568</v>
      </c>
      <c r="S12" s="496">
        <f t="shared" si="3"/>
        <v>0.32178186199157577</v>
      </c>
      <c r="T12" s="485">
        <f t="shared" si="6"/>
        <v>31448.886956521743</v>
      </c>
      <c r="U12" s="442">
        <f t="shared" si="4"/>
        <v>0.13862676341697461</v>
      </c>
      <c r="V12" s="310">
        <v>7415.49</v>
      </c>
      <c r="W12" s="486"/>
      <c r="X12" s="483"/>
      <c r="Y12" s="310">
        <v>47783.18</v>
      </c>
      <c r="Z12" s="75">
        <f t="shared" si="7"/>
        <v>41550.591304347829</v>
      </c>
      <c r="AA12" s="487"/>
      <c r="AB12" s="310">
        <v>36166.22</v>
      </c>
      <c r="AC12" s="75">
        <f t="shared" si="8"/>
        <v>31448.886956521743</v>
      </c>
    </row>
    <row r="13" spans="1:29" ht="15.6" customHeight="1" x14ac:dyDescent="0.3">
      <c r="A13" s="492" t="s">
        <v>33</v>
      </c>
      <c r="B13" s="310">
        <v>128519.42</v>
      </c>
      <c r="C13" s="310">
        <v>160154</v>
      </c>
      <c r="D13" s="489"/>
      <c r="E13" s="503">
        <f t="shared" si="0"/>
        <v>-0.24614630224755141</v>
      </c>
      <c r="F13" s="310">
        <v>608798.24</v>
      </c>
      <c r="G13" s="310">
        <v>166033.59</v>
      </c>
      <c r="H13" s="504">
        <f t="shared" si="1"/>
        <v>-0.22594325642178789</v>
      </c>
      <c r="I13" s="494">
        <f>IFERROR((SUM(B13-D13)/D13),0)</f>
        <v>0</v>
      </c>
      <c r="J13" s="310">
        <v>456</v>
      </c>
      <c r="K13" s="84">
        <f>IFERROR(B13/J13,0)</f>
        <v>281.84083333333331</v>
      </c>
      <c r="L13" s="310">
        <v>49</v>
      </c>
      <c r="M13" s="310">
        <v>4407.34</v>
      </c>
      <c r="N13" s="479">
        <f>IFERROR(M13/J13,0)</f>
        <v>9.6652192982456135</v>
      </c>
      <c r="O13" s="310">
        <v>288</v>
      </c>
      <c r="P13" s="310">
        <v>24379.89</v>
      </c>
      <c r="Q13" s="479">
        <f>IFERROR(P13/SUM(J13),0)</f>
        <v>53.46467105263158</v>
      </c>
      <c r="R13" s="485">
        <f t="shared" si="5"/>
        <v>38272.660869565225</v>
      </c>
      <c r="S13" s="496">
        <f t="shared" si="3"/>
        <v>0.29779671328710655</v>
      </c>
      <c r="T13" s="485">
        <f t="shared" si="6"/>
        <v>23020.782608695656</v>
      </c>
      <c r="U13" s="442">
        <f t="shared" si="4"/>
        <v>0.17912298864012657</v>
      </c>
      <c r="V13" s="310">
        <v>4293.3500000000004</v>
      </c>
      <c r="W13" s="486"/>
      <c r="X13" s="483"/>
      <c r="Y13" s="310">
        <v>17539.66</v>
      </c>
      <c r="Z13" s="75">
        <f t="shared" si="7"/>
        <v>15251.878260869566</v>
      </c>
      <c r="AA13" s="487"/>
      <c r="AB13" s="310">
        <v>26473.9</v>
      </c>
      <c r="AC13" s="75">
        <f t="shared" si="8"/>
        <v>23020.782608695656</v>
      </c>
    </row>
    <row r="14" spans="1:29" ht="15.6" customHeight="1" x14ac:dyDescent="0.3">
      <c r="A14" s="492" t="s">
        <v>20</v>
      </c>
      <c r="B14" s="310">
        <v>143873.67000000001</v>
      </c>
      <c r="C14" s="310">
        <v>120612.28</v>
      </c>
      <c r="D14" s="489">
        <v>144600.03</v>
      </c>
      <c r="E14" s="503">
        <f t="shared" si="0"/>
        <v>0.16167927043217853</v>
      </c>
      <c r="F14" s="310">
        <v>569206.39</v>
      </c>
      <c r="G14" s="310">
        <v>157298.63</v>
      </c>
      <c r="H14" s="504">
        <f t="shared" si="1"/>
        <v>-8.534696074593906E-2</v>
      </c>
      <c r="I14" s="494">
        <f>IFERROR((SUM(B14-D14)/D14),0)</f>
        <v>-5.0232354723576894E-3</v>
      </c>
      <c r="J14" s="310">
        <v>417</v>
      </c>
      <c r="K14" s="84">
        <f>IFERROR(B14/J14,0)</f>
        <v>345.02079136690651</v>
      </c>
      <c r="L14" s="310">
        <v>69</v>
      </c>
      <c r="M14" s="310">
        <v>5103.83</v>
      </c>
      <c r="N14" s="479">
        <f>IFERROR(M14/J14,0)</f>
        <v>12.239400479616307</v>
      </c>
      <c r="O14" s="310">
        <v>316</v>
      </c>
      <c r="P14" s="310">
        <v>26128.29</v>
      </c>
      <c r="Q14" s="479">
        <f>IFERROR(P14/SUM(J14),0)</f>
        <v>62.657769784172665</v>
      </c>
      <c r="R14" s="485">
        <f t="shared" si="5"/>
        <v>55927.860869565222</v>
      </c>
      <c r="S14" s="496">
        <f t="shared" si="3"/>
        <v>0.38872895137494734</v>
      </c>
      <c r="T14" s="485">
        <f t="shared" si="6"/>
        <v>16460.765217391305</v>
      </c>
      <c r="U14" s="442">
        <f t="shared" si="4"/>
        <v>0.11441124159404083</v>
      </c>
      <c r="V14" s="310">
        <v>5323.13</v>
      </c>
      <c r="W14" s="488"/>
      <c r="X14" s="483"/>
      <c r="Y14" s="310">
        <v>45387.16</v>
      </c>
      <c r="Z14" s="75">
        <f t="shared" si="7"/>
        <v>39467.095652173921</v>
      </c>
      <c r="AA14" s="487"/>
      <c r="AB14" s="310">
        <v>18929.88</v>
      </c>
      <c r="AC14" s="75">
        <f t="shared" si="8"/>
        <v>16460.765217391305</v>
      </c>
    </row>
    <row r="15" spans="1:29" ht="15.6" customHeight="1" x14ac:dyDescent="0.3">
      <c r="A15" s="432" t="s">
        <v>22</v>
      </c>
      <c r="B15" s="310">
        <v>138171.04999999999</v>
      </c>
      <c r="C15" s="310">
        <v>134217.79</v>
      </c>
      <c r="D15" s="489">
        <v>152846.04</v>
      </c>
      <c r="E15" s="503">
        <f t="shared" si="0"/>
        <v>2.861134803564119E-2</v>
      </c>
      <c r="F15" s="310">
        <v>574696.56999999995</v>
      </c>
      <c r="G15" s="310">
        <v>135960.13</v>
      </c>
      <c r="H15" s="504">
        <f t="shared" si="1"/>
        <v>1.6261531965289996E-2</v>
      </c>
      <c r="I15" s="494">
        <f>IFERROR((SUM(B15-D15)/D15),0)</f>
        <v>-9.6011581327197087E-2</v>
      </c>
      <c r="J15" s="310">
        <v>409</v>
      </c>
      <c r="K15" s="84">
        <f>IFERROR(B15/J15,0)</f>
        <v>337.82652811735937</v>
      </c>
      <c r="L15" s="310">
        <v>30</v>
      </c>
      <c r="M15" s="310">
        <v>3675.24</v>
      </c>
      <c r="N15" s="479">
        <f>IFERROR(M15/J15,0)</f>
        <v>8.9859168704156467</v>
      </c>
      <c r="O15" s="310">
        <v>116</v>
      </c>
      <c r="P15" s="310">
        <v>12387.55</v>
      </c>
      <c r="Q15" s="479">
        <f>IFERROR(P15/SUM(J15),0)</f>
        <v>30.287408312958433</v>
      </c>
      <c r="R15" s="485">
        <f t="shared" si="5"/>
        <v>45997.165217391303</v>
      </c>
      <c r="S15" s="496">
        <f t="shared" si="3"/>
        <v>0.33290016408930312</v>
      </c>
      <c r="T15" s="485">
        <f t="shared" si="6"/>
        <v>25265.521739130436</v>
      </c>
      <c r="U15" s="442">
        <f t="shared" si="4"/>
        <v>0.18285684113372835</v>
      </c>
      <c r="V15" s="310">
        <v>3966</v>
      </c>
      <c r="W15" s="488"/>
      <c r="X15" s="483"/>
      <c r="Y15" s="310">
        <v>23841.39</v>
      </c>
      <c r="Z15" s="75">
        <f t="shared" si="7"/>
        <v>20731.64347826087</v>
      </c>
      <c r="AA15" s="487"/>
      <c r="AB15" s="310">
        <v>29055.35</v>
      </c>
      <c r="AC15" s="75">
        <f t="shared" si="8"/>
        <v>25265.521739130436</v>
      </c>
    </row>
    <row r="16" spans="1:29" x14ac:dyDescent="0.3">
      <c r="A16" s="81"/>
      <c r="B16" s="83"/>
      <c r="C16" s="81"/>
      <c r="D16" s="81"/>
      <c r="E16" s="81"/>
      <c r="F16" s="83"/>
      <c r="G16" s="83"/>
      <c r="H16" s="81"/>
      <c r="I16" s="81"/>
      <c r="J16" s="462"/>
      <c r="K16" s="81"/>
      <c r="L16" s="81"/>
      <c r="N16" s="81"/>
      <c r="O16" s="81"/>
      <c r="P16" s="81"/>
      <c r="Q16" s="81"/>
      <c r="R16" s="81"/>
      <c r="S16" s="81"/>
      <c r="T16" s="81"/>
      <c r="U16" s="81"/>
      <c r="V16" s="81"/>
      <c r="W16" s="9"/>
    </row>
    <row r="17" spans="1:23" x14ac:dyDescent="0.3">
      <c r="A17" s="81"/>
      <c r="B17" s="83"/>
      <c r="C17" s="81"/>
      <c r="D17" s="81"/>
      <c r="E17" s="81"/>
      <c r="F17" s="83"/>
      <c r="G17" s="83"/>
      <c r="H17" s="81"/>
      <c r="I17" s="81"/>
      <c r="J17" s="462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9"/>
    </row>
    <row r="18" spans="1:23" x14ac:dyDescent="0.3">
      <c r="A18" s="81"/>
      <c r="B18" s="83"/>
      <c r="C18" s="81"/>
      <c r="D18" s="81"/>
      <c r="E18" s="81"/>
      <c r="F18" s="83"/>
      <c r="G18" s="83"/>
      <c r="H18" s="81"/>
      <c r="I18" s="81"/>
      <c r="J18" s="462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9"/>
    </row>
    <row r="19" spans="1:23" ht="15" customHeight="1" x14ac:dyDescent="0.3">
      <c r="A19" s="81"/>
      <c r="B19" s="83"/>
      <c r="C19" s="81"/>
      <c r="D19" s="81"/>
      <c r="E19" s="81"/>
      <c r="F19" s="83"/>
      <c r="G19" s="83"/>
      <c r="H19" s="81"/>
      <c r="I19" s="81"/>
      <c r="J19" s="462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27"/>
      <c r="W19" s="9"/>
    </row>
    <row r="20" spans="1:23" x14ac:dyDescent="0.3">
      <c r="A20" s="81"/>
      <c r="B20" s="83"/>
      <c r="C20" s="81"/>
      <c r="D20" s="81"/>
      <c r="E20" s="81"/>
      <c r="F20" s="83"/>
      <c r="G20" s="83"/>
      <c r="H20" s="81"/>
      <c r="I20" s="81"/>
      <c r="J20" s="462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9"/>
    </row>
    <row r="21" spans="1:23" x14ac:dyDescent="0.3">
      <c r="A21" s="81"/>
      <c r="B21" s="83"/>
      <c r="C21" s="81"/>
      <c r="D21" s="81"/>
      <c r="E21" s="81"/>
      <c r="F21" s="83"/>
      <c r="G21" s="83"/>
      <c r="H21" s="81"/>
      <c r="I21" s="81"/>
      <c r="J21" s="462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9"/>
    </row>
    <row r="22" spans="1:23" x14ac:dyDescent="0.3">
      <c r="A22" s="81"/>
      <c r="B22" s="83"/>
      <c r="C22" s="81"/>
      <c r="D22" s="81"/>
      <c r="E22" s="81"/>
      <c r="F22" s="83"/>
      <c r="G22" s="83"/>
      <c r="H22" s="81"/>
      <c r="I22" s="81"/>
      <c r="J22" s="462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9"/>
    </row>
    <row r="23" spans="1:23" x14ac:dyDescent="0.3">
      <c r="A23" s="81"/>
      <c r="B23" s="83"/>
      <c r="C23" s="81"/>
      <c r="D23" s="81"/>
      <c r="E23" s="81"/>
      <c r="F23" s="83"/>
      <c r="G23" s="83"/>
      <c r="H23" s="81"/>
      <c r="I23" s="81"/>
      <c r="J23" s="462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9"/>
    </row>
    <row r="24" spans="1:23" x14ac:dyDescent="0.3">
      <c r="A24" s="81"/>
      <c r="B24" s="83"/>
      <c r="C24" s="81"/>
      <c r="D24" s="81"/>
      <c r="E24" s="81"/>
      <c r="F24" s="83"/>
      <c r="G24" s="83"/>
      <c r="H24" s="81"/>
      <c r="I24" s="81"/>
      <c r="J24" s="462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9"/>
    </row>
    <row r="25" spans="1:23" x14ac:dyDescent="0.3">
      <c r="A25" s="81"/>
      <c r="B25" s="81"/>
      <c r="C25" s="81"/>
      <c r="D25" s="81"/>
      <c r="E25" s="81"/>
      <c r="F25" s="81"/>
      <c r="G25" s="81"/>
      <c r="H25" s="81"/>
      <c r="I25" s="81"/>
      <c r="J25" s="462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9"/>
    </row>
    <row r="26" spans="1:23" x14ac:dyDescent="0.3">
      <c r="A26" s="81"/>
      <c r="B26" s="81"/>
      <c r="C26" s="81"/>
      <c r="D26" s="81"/>
      <c r="E26" s="81"/>
      <c r="F26" s="81"/>
      <c r="G26" s="81"/>
      <c r="H26" s="81"/>
      <c r="I26" s="81"/>
      <c r="J26" s="462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9"/>
    </row>
    <row r="27" spans="1:23" x14ac:dyDescent="0.3">
      <c r="A27" s="81"/>
      <c r="B27" s="81"/>
      <c r="C27" s="81"/>
      <c r="D27" s="81"/>
      <c r="E27" s="81"/>
      <c r="F27" s="81"/>
      <c r="G27" s="81"/>
      <c r="H27" s="81"/>
      <c r="I27" s="81"/>
      <c r="J27" s="462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9"/>
    </row>
    <row r="28" spans="1:23" x14ac:dyDescent="0.3">
      <c r="A28" s="81"/>
      <c r="B28" s="81"/>
      <c r="C28" s="81"/>
      <c r="D28" s="81"/>
      <c r="E28" s="81"/>
      <c r="F28" s="81"/>
      <c r="G28" s="81"/>
      <c r="H28" s="81"/>
      <c r="I28" s="81"/>
      <c r="J28" s="462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9"/>
    </row>
    <row r="29" spans="1:23" x14ac:dyDescent="0.3">
      <c r="A29" s="81"/>
      <c r="B29" s="81"/>
      <c r="C29" s="81"/>
      <c r="D29" s="81"/>
      <c r="E29" s="81"/>
      <c r="F29" s="81"/>
      <c r="G29" s="81"/>
      <c r="H29" s="81"/>
      <c r="I29" s="81"/>
      <c r="J29" s="462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9"/>
    </row>
    <row r="30" spans="1:23" x14ac:dyDescent="0.3">
      <c r="A30" s="81"/>
      <c r="B30" s="81"/>
      <c r="C30" s="81"/>
      <c r="D30" s="81"/>
      <c r="E30" s="81"/>
      <c r="F30" s="81"/>
      <c r="G30" s="81"/>
      <c r="H30" s="81"/>
      <c r="I30" s="81"/>
      <c r="J30" s="462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9"/>
    </row>
    <row r="31" spans="1:23" x14ac:dyDescent="0.3">
      <c r="A31" s="81"/>
      <c r="B31" s="81"/>
      <c r="C31" s="81"/>
      <c r="D31" s="81"/>
      <c r="E31" s="81"/>
      <c r="F31" s="81"/>
      <c r="G31" s="81"/>
      <c r="H31" s="81"/>
      <c r="I31" s="81"/>
      <c r="J31" s="462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9"/>
    </row>
    <row r="32" spans="1:23" x14ac:dyDescent="0.3">
      <c r="A32" s="81"/>
      <c r="B32" s="81"/>
      <c r="C32" s="81"/>
      <c r="D32" s="81"/>
      <c r="E32" s="81"/>
      <c r="F32" s="81"/>
      <c r="G32" s="81"/>
      <c r="H32" s="81"/>
      <c r="I32" s="81"/>
      <c r="J32" s="462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9"/>
    </row>
    <row r="33" spans="1:23" x14ac:dyDescent="0.3">
      <c r="A33" s="81"/>
      <c r="B33" s="81"/>
      <c r="C33" s="81"/>
      <c r="D33" s="81"/>
      <c r="E33" s="81"/>
      <c r="F33" s="81"/>
      <c r="G33" s="81"/>
      <c r="H33" s="81"/>
      <c r="I33" s="81"/>
      <c r="J33" s="462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9"/>
    </row>
    <row r="34" spans="1:23" x14ac:dyDescent="0.3">
      <c r="A34" s="81"/>
      <c r="B34" s="81"/>
      <c r="C34" s="81"/>
      <c r="D34" s="81"/>
      <c r="E34" s="81"/>
      <c r="F34" s="81"/>
      <c r="G34" s="81"/>
      <c r="H34" s="81"/>
      <c r="I34" s="81"/>
      <c r="J34" s="462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9"/>
    </row>
    <row r="35" spans="1:23" x14ac:dyDescent="0.3">
      <c r="A35" s="81"/>
      <c r="B35" s="81"/>
      <c r="C35" s="81"/>
      <c r="D35" s="81"/>
      <c r="E35" s="81"/>
      <c r="F35" s="81"/>
      <c r="G35" s="81"/>
      <c r="H35" s="81"/>
      <c r="I35" s="81"/>
      <c r="J35" s="462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9"/>
    </row>
    <row r="36" spans="1:23" x14ac:dyDescent="0.3">
      <c r="A36" s="81"/>
      <c r="B36" s="81"/>
      <c r="C36" s="81"/>
      <c r="D36" s="81"/>
      <c r="E36" s="81"/>
      <c r="F36" s="81"/>
      <c r="G36" s="81"/>
      <c r="H36" s="81"/>
      <c r="I36" s="81"/>
      <c r="J36" s="462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9"/>
    </row>
    <row r="37" spans="1:23" x14ac:dyDescent="0.3">
      <c r="A37" s="81"/>
      <c r="B37" s="81"/>
      <c r="C37" s="81"/>
      <c r="D37" s="81"/>
      <c r="E37" s="81"/>
      <c r="F37" s="81"/>
      <c r="G37" s="81"/>
      <c r="H37" s="81"/>
      <c r="I37" s="81"/>
      <c r="J37" s="462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9"/>
    </row>
    <row r="39" spans="1:23" ht="15.6" customHeight="1" x14ac:dyDescent="0.3">
      <c r="H39" s="391"/>
    </row>
    <row r="49" spans="11:11" x14ac:dyDescent="0.3">
      <c r="K49" s="446"/>
    </row>
  </sheetData>
  <conditionalFormatting sqref="I5:I15 K5:R15 T5:T15">
    <cfRule type="cellIs" dxfId="1" priority="2" operator="equal">
      <formula>0</formula>
    </cfRule>
  </conditionalFormatting>
  <conditionalFormatting sqref="R12:R13">
    <cfRule type="cellIs" dxfId="0" priority="1" operator="equal">
      <formula>0</formula>
    </cfRule>
  </conditionalFormatting>
  <pageMargins left="0.75" right="0.75" top="1" bottom="1" header="0.5" footer="0.5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AC15"/>
  <sheetViews>
    <sheetView tabSelected="1" workbookViewId="0">
      <selection activeCell="G6" sqref="G6"/>
    </sheetView>
  </sheetViews>
  <sheetFormatPr defaultRowHeight="14.4" x14ac:dyDescent="0.3"/>
  <cols>
    <col min="2" max="2" width="16.88671875" bestFit="1" customWidth="1"/>
  </cols>
  <sheetData>
    <row r="1" spans="1:29" x14ac:dyDescent="0.3">
      <c r="E1" t="s">
        <v>0</v>
      </c>
      <c r="I1" t="s">
        <v>0</v>
      </c>
      <c r="P1" t="s">
        <v>31</v>
      </c>
      <c r="R1" t="s">
        <v>31</v>
      </c>
    </row>
    <row r="2" spans="1:29" x14ac:dyDescent="0.3">
      <c r="E2" t="e">
        <f>((B4-C4)/B4)</f>
        <v>#DIV/0!</v>
      </c>
      <c r="I2">
        <f>((B4-D4)/D4)</f>
        <v>-1</v>
      </c>
    </row>
    <row r="3" spans="1:29" x14ac:dyDescent="0.3">
      <c r="B3" t="s">
        <v>64</v>
      </c>
      <c r="C3" t="s">
        <v>34</v>
      </c>
      <c r="D3" t="s">
        <v>45</v>
      </c>
      <c r="E3" t="s">
        <v>41</v>
      </c>
      <c r="F3" t="s">
        <v>44</v>
      </c>
      <c r="G3" t="s">
        <v>62</v>
      </c>
      <c r="H3" t="s">
        <v>63</v>
      </c>
      <c r="I3" t="s">
        <v>46</v>
      </c>
      <c r="J3" t="s">
        <v>38</v>
      </c>
      <c r="K3" t="s">
        <v>54</v>
      </c>
      <c r="M3" t="s">
        <v>65</v>
      </c>
      <c r="N3" t="s">
        <v>29</v>
      </c>
      <c r="P3" t="s">
        <v>66</v>
      </c>
      <c r="Q3" t="s">
        <v>11</v>
      </c>
      <c r="R3" t="s">
        <v>39</v>
      </c>
      <c r="S3" t="s">
        <v>11</v>
      </c>
      <c r="T3" t="s">
        <v>42</v>
      </c>
      <c r="U3" t="s">
        <v>43</v>
      </c>
      <c r="V3" t="s">
        <v>53</v>
      </c>
      <c r="Y3" t="s">
        <v>57</v>
      </c>
      <c r="AB3" t="s">
        <v>61</v>
      </c>
    </row>
    <row r="4" spans="1:29" x14ac:dyDescent="0.3">
      <c r="A4" t="s">
        <v>13</v>
      </c>
      <c r="B4">
        <f>SUM(B5:B15)</f>
        <v>0</v>
      </c>
      <c r="C4">
        <f>SUM(C5:C15)</f>
        <v>1634051.24</v>
      </c>
      <c r="D4">
        <f>SUM(D5:D15)</f>
        <v>1890211.53</v>
      </c>
      <c r="E4">
        <f t="shared" ref="E4:E15" si="0">IFERROR((SUM(B4-C4)/B4),0)</f>
        <v>0</v>
      </c>
      <c r="F4">
        <f>SUM(F5:F15)</f>
        <v>0</v>
      </c>
      <c r="G4">
        <f>SUM(G5:G15)</f>
        <v>0</v>
      </c>
      <c r="H4">
        <f t="shared" ref="H4:H15" si="1">IFERROR((SUM(B4-G4)/G4),0)</f>
        <v>0</v>
      </c>
      <c r="I4">
        <f t="shared" ref="I4:I9" si="2">IFERROR((SUM(B4-D4)/D4),0)</f>
        <v>-1</v>
      </c>
      <c r="J4">
        <f>SUM(J5:J15)</f>
        <v>0</v>
      </c>
      <c r="K4">
        <f>AVERAGE(K5:K15)</f>
        <v>0</v>
      </c>
      <c r="L4">
        <f>SUM(L6:L15)</f>
        <v>0</v>
      </c>
      <c r="M4">
        <f>SUM(M5:M15)</f>
        <v>0</v>
      </c>
      <c r="N4">
        <f>IFERROR(M4/J4,0)</f>
        <v>0</v>
      </c>
      <c r="O4">
        <f>SUM(O6:O15)</f>
        <v>0</v>
      </c>
      <c r="P4">
        <f>SUM(P7:P15)</f>
        <v>0</v>
      </c>
      <c r="Q4">
        <f>IFERROR(P4/SUM(J4),0)</f>
        <v>0</v>
      </c>
      <c r="R4">
        <f>SUM(R5:R15)</f>
        <v>0</v>
      </c>
      <c r="S4" t="e">
        <f t="shared" ref="S4:S15" si="3">SUM(R4/B4)</f>
        <v>#DIV/0!</v>
      </c>
      <c r="T4">
        <f>SUM(T5:T15)</f>
        <v>0</v>
      </c>
      <c r="U4" t="e">
        <f t="shared" ref="U4:U15" si="4">SUM(T4/B4)</f>
        <v>#DIV/0!</v>
      </c>
      <c r="V4">
        <f>SUM(V5:V15)</f>
        <v>0</v>
      </c>
    </row>
    <row r="5" spans="1:29" x14ac:dyDescent="0.3">
      <c r="A5" t="s">
        <v>26</v>
      </c>
      <c r="C5">
        <v>273101.15000000002</v>
      </c>
      <c r="D5">
        <v>166877.21</v>
      </c>
      <c r="E5">
        <f t="shared" si="0"/>
        <v>0</v>
      </c>
      <c r="H5">
        <f t="shared" si="1"/>
        <v>0</v>
      </c>
      <c r="I5">
        <f t="shared" si="2"/>
        <v>-1</v>
      </c>
      <c r="K5">
        <f>IFERROR(B5/J5,0)</f>
        <v>0</v>
      </c>
      <c r="N5">
        <f>IFERROR(M5/J5,0)</f>
        <v>0</v>
      </c>
      <c r="Q5">
        <f>IFERROR(P5/SUM(J5),0)</f>
        <v>0</v>
      </c>
      <c r="R5">
        <f t="shared" ref="R5:R15" si="5">SUM(Z5+AC5)</f>
        <v>0</v>
      </c>
      <c r="S5" t="e">
        <f t="shared" si="3"/>
        <v>#DIV/0!</v>
      </c>
      <c r="T5">
        <f t="shared" ref="T5:T15" si="6">SUM(AC5)</f>
        <v>0</v>
      </c>
      <c r="U5" t="e">
        <f t="shared" si="4"/>
        <v>#DIV/0!</v>
      </c>
      <c r="Z5">
        <f t="shared" ref="Z5:Z15" si="7">Y5/1.15</f>
        <v>0</v>
      </c>
      <c r="AC5">
        <f t="shared" ref="AC5:AC15" si="8">SUM(AB5)/1.15</f>
        <v>0</v>
      </c>
    </row>
    <row r="6" spans="1:29" x14ac:dyDescent="0.3">
      <c r="A6" t="s">
        <v>21</v>
      </c>
      <c r="C6">
        <v>205533.83</v>
      </c>
      <c r="D6">
        <v>317233.91999999998</v>
      </c>
      <c r="E6">
        <f t="shared" si="0"/>
        <v>0</v>
      </c>
      <c r="H6">
        <f t="shared" si="1"/>
        <v>0</v>
      </c>
      <c r="I6">
        <f t="shared" si="2"/>
        <v>-1</v>
      </c>
      <c r="K6">
        <f>IFERROR(B6/J6,0)</f>
        <v>0</v>
      </c>
      <c r="N6">
        <f>IFERROR(O7/J6,0)</f>
        <v>0</v>
      </c>
      <c r="Q6">
        <f>IFERROR(P6/SUM(J6),0)</f>
        <v>0</v>
      </c>
      <c r="R6">
        <f t="shared" si="5"/>
        <v>0</v>
      </c>
      <c r="S6" t="e">
        <f t="shared" si="3"/>
        <v>#DIV/0!</v>
      </c>
      <c r="T6">
        <f t="shared" si="6"/>
        <v>0</v>
      </c>
      <c r="U6" t="e">
        <f t="shared" si="4"/>
        <v>#DIV/0!</v>
      </c>
      <c r="Z6">
        <f t="shared" si="7"/>
        <v>0</v>
      </c>
      <c r="AC6">
        <f t="shared" si="8"/>
        <v>0</v>
      </c>
    </row>
    <row r="7" spans="1:29" x14ac:dyDescent="0.3">
      <c r="A7" t="s">
        <v>15</v>
      </c>
      <c r="C7">
        <v>199073.79</v>
      </c>
      <c r="D7">
        <v>254835.6</v>
      </c>
      <c r="E7">
        <f t="shared" si="0"/>
        <v>0</v>
      </c>
      <c r="H7">
        <f t="shared" si="1"/>
        <v>0</v>
      </c>
      <c r="I7">
        <f t="shared" si="2"/>
        <v>-1</v>
      </c>
      <c r="K7">
        <f>IFERROR(B7/J7,0)</f>
        <v>0</v>
      </c>
      <c r="N7">
        <f>IFERROR(#REF!/J7,0)</f>
        <v>0</v>
      </c>
      <c r="Q7">
        <f>IFERROR(#REF!/SUM(J7),0)</f>
        <v>0</v>
      </c>
      <c r="R7">
        <f t="shared" si="5"/>
        <v>0</v>
      </c>
      <c r="S7" t="e">
        <f t="shared" si="3"/>
        <v>#DIV/0!</v>
      </c>
      <c r="T7">
        <f t="shared" si="6"/>
        <v>0</v>
      </c>
      <c r="U7" t="e">
        <f t="shared" si="4"/>
        <v>#DIV/0!</v>
      </c>
      <c r="Z7">
        <f t="shared" si="7"/>
        <v>0</v>
      </c>
      <c r="AC7">
        <f t="shared" si="8"/>
        <v>0</v>
      </c>
    </row>
    <row r="8" spans="1:29" x14ac:dyDescent="0.3">
      <c r="A8" t="s">
        <v>27</v>
      </c>
      <c r="D8">
        <v>125945.97</v>
      </c>
      <c r="E8">
        <f t="shared" si="0"/>
        <v>0</v>
      </c>
      <c r="H8">
        <f t="shared" si="1"/>
        <v>0</v>
      </c>
      <c r="I8">
        <f t="shared" si="2"/>
        <v>-1</v>
      </c>
      <c r="K8">
        <f>IFERROR(B8/J8,0)</f>
        <v>0</v>
      </c>
      <c r="N8">
        <f>IFERROR(M8/J8,0)</f>
        <v>0</v>
      </c>
      <c r="Q8">
        <f>IFERROR(P8/SUM(J8),0)</f>
        <v>0</v>
      </c>
      <c r="R8">
        <f t="shared" si="5"/>
        <v>0</v>
      </c>
      <c r="S8" t="e">
        <f t="shared" si="3"/>
        <v>#DIV/0!</v>
      </c>
      <c r="T8">
        <f t="shared" si="6"/>
        <v>0</v>
      </c>
      <c r="U8" t="e">
        <f t="shared" si="4"/>
        <v>#DIV/0!</v>
      </c>
      <c r="Z8">
        <f t="shared" si="7"/>
        <v>0</v>
      </c>
      <c r="AC8">
        <f t="shared" si="8"/>
        <v>0</v>
      </c>
    </row>
    <row r="9" spans="1:29" x14ac:dyDescent="0.3">
      <c r="A9" t="s">
        <v>23</v>
      </c>
      <c r="C9">
        <v>192463.68</v>
      </c>
      <c r="D9">
        <v>243010.12</v>
      </c>
      <c r="E9">
        <f t="shared" si="0"/>
        <v>0</v>
      </c>
      <c r="H9">
        <f t="shared" si="1"/>
        <v>0</v>
      </c>
      <c r="I9">
        <f t="shared" si="2"/>
        <v>-1</v>
      </c>
      <c r="K9">
        <f>IFERROR(B9/J9,0)</f>
        <v>0</v>
      </c>
      <c r="N9">
        <f>IFERROR(M9/J9,0)</f>
        <v>0</v>
      </c>
      <c r="Q9">
        <f>IFERROR(P9/SUM(J9),0)</f>
        <v>0</v>
      </c>
      <c r="R9">
        <f t="shared" si="5"/>
        <v>0</v>
      </c>
      <c r="S9" t="e">
        <f t="shared" si="3"/>
        <v>#DIV/0!</v>
      </c>
      <c r="T9">
        <f t="shared" si="6"/>
        <v>0</v>
      </c>
      <c r="U9" t="e">
        <f t="shared" si="4"/>
        <v>#DIV/0!</v>
      </c>
      <c r="Z9">
        <f t="shared" si="7"/>
        <v>0</v>
      </c>
      <c r="AC9">
        <f t="shared" si="8"/>
        <v>0</v>
      </c>
    </row>
    <row r="10" spans="1:29" x14ac:dyDescent="0.3">
      <c r="A10" t="s">
        <v>16</v>
      </c>
      <c r="D10">
        <v>191397.82</v>
      </c>
      <c r="E10">
        <f t="shared" si="0"/>
        <v>0</v>
      </c>
      <c r="H10">
        <f t="shared" si="1"/>
        <v>0</v>
      </c>
      <c r="I10">
        <f>IFERROR((SUM(B11-D10)/D10),0)</f>
        <v>-1</v>
      </c>
      <c r="K10">
        <f>IFERROR(B11/J11,0)</f>
        <v>0</v>
      </c>
      <c r="N10">
        <f>IFERROR(M11/J11,0)</f>
        <v>0</v>
      </c>
      <c r="Q10">
        <f>IFERROR(P11/SUM(J11),0)</f>
        <v>0</v>
      </c>
      <c r="R10">
        <f t="shared" si="5"/>
        <v>0</v>
      </c>
      <c r="S10" t="e">
        <f t="shared" si="3"/>
        <v>#DIV/0!</v>
      </c>
      <c r="T10">
        <f t="shared" si="6"/>
        <v>0</v>
      </c>
      <c r="U10" t="e">
        <f t="shared" si="4"/>
        <v>#DIV/0!</v>
      </c>
      <c r="Z10">
        <f t="shared" si="7"/>
        <v>0</v>
      </c>
      <c r="AC10">
        <f t="shared" si="8"/>
        <v>0</v>
      </c>
    </row>
    <row r="11" spans="1:29" x14ac:dyDescent="0.3">
      <c r="A11" t="s">
        <v>17</v>
      </c>
      <c r="C11">
        <v>126454.51</v>
      </c>
      <c r="D11">
        <v>86713.33</v>
      </c>
      <c r="E11">
        <f t="shared" si="0"/>
        <v>0</v>
      </c>
      <c r="H11">
        <f t="shared" si="1"/>
        <v>0</v>
      </c>
      <c r="I11">
        <f>IFERROR((SUM(#REF!-D11)/D11),0)</f>
        <v>0</v>
      </c>
      <c r="K11">
        <f>IFERROR(B12/J12,0)</f>
        <v>0</v>
      </c>
      <c r="N11">
        <f>IFERROR(#REF!/J12,0)</f>
        <v>0</v>
      </c>
      <c r="Q11">
        <f>IFERROR(#REF!/SUM(J12),0)</f>
        <v>0</v>
      </c>
      <c r="R11">
        <f t="shared" si="5"/>
        <v>0</v>
      </c>
      <c r="S11" t="e">
        <f t="shared" si="3"/>
        <v>#DIV/0!</v>
      </c>
      <c r="T11">
        <f t="shared" si="6"/>
        <v>0</v>
      </c>
      <c r="U11" t="e">
        <f t="shared" si="4"/>
        <v>#DIV/0!</v>
      </c>
      <c r="Z11">
        <f t="shared" si="7"/>
        <v>0</v>
      </c>
      <c r="AC11">
        <f t="shared" si="8"/>
        <v>0</v>
      </c>
    </row>
    <row r="12" spans="1:29" x14ac:dyDescent="0.3">
      <c r="A12" t="s">
        <v>55</v>
      </c>
      <c r="C12">
        <v>226860.14</v>
      </c>
      <c r="D12">
        <v>206751.49</v>
      </c>
      <c r="E12">
        <f t="shared" si="0"/>
        <v>0</v>
      </c>
      <c r="H12">
        <f t="shared" si="1"/>
        <v>0</v>
      </c>
      <c r="I12">
        <f>IFERROR((SUM(B12-D12)/D12),0)</f>
        <v>-1</v>
      </c>
      <c r="K12">
        <f>IFERROR(B12/J12,0)</f>
        <v>0</v>
      </c>
      <c r="N12">
        <f>IFERROR(M12/J12,0)</f>
        <v>0</v>
      </c>
      <c r="Q12">
        <f>IFERROR(P12/SUM(J12),0)</f>
        <v>0</v>
      </c>
      <c r="R12">
        <f t="shared" si="5"/>
        <v>0</v>
      </c>
      <c r="S12" t="e">
        <f t="shared" si="3"/>
        <v>#DIV/0!</v>
      </c>
      <c r="T12">
        <f t="shared" si="6"/>
        <v>0</v>
      </c>
      <c r="U12" t="e">
        <f t="shared" si="4"/>
        <v>#DIV/0!</v>
      </c>
      <c r="Z12">
        <f t="shared" si="7"/>
        <v>0</v>
      </c>
      <c r="AC12">
        <f t="shared" si="8"/>
        <v>0</v>
      </c>
    </row>
    <row r="13" spans="1:29" x14ac:dyDescent="0.3">
      <c r="A13" t="s">
        <v>33</v>
      </c>
      <c r="C13">
        <v>128519.42</v>
      </c>
      <c r="E13">
        <f t="shared" si="0"/>
        <v>0</v>
      </c>
      <c r="H13">
        <f t="shared" si="1"/>
        <v>0</v>
      </c>
      <c r="I13">
        <f>IFERROR((SUM(B13-D13)/D13),0)</f>
        <v>0</v>
      </c>
      <c r="K13">
        <f>IFERROR(B13/J13,0)</f>
        <v>0</v>
      </c>
      <c r="N13">
        <f>IFERROR(M13/J13,0)</f>
        <v>0</v>
      </c>
      <c r="Q13">
        <f>IFERROR(P13/SUM(J13),0)</f>
        <v>0</v>
      </c>
      <c r="R13">
        <f t="shared" si="5"/>
        <v>0</v>
      </c>
      <c r="S13" t="e">
        <f t="shared" si="3"/>
        <v>#DIV/0!</v>
      </c>
      <c r="T13">
        <f t="shared" si="6"/>
        <v>0</v>
      </c>
      <c r="U13" t="e">
        <f t="shared" si="4"/>
        <v>#DIV/0!</v>
      </c>
      <c r="Z13">
        <f t="shared" si="7"/>
        <v>0</v>
      </c>
      <c r="AC13">
        <f t="shared" si="8"/>
        <v>0</v>
      </c>
    </row>
    <row r="14" spans="1:29" x14ac:dyDescent="0.3">
      <c r="A14" t="s">
        <v>20</v>
      </c>
      <c r="C14">
        <v>143873.67000000001</v>
      </c>
      <c r="D14">
        <v>144600.03</v>
      </c>
      <c r="E14">
        <f t="shared" si="0"/>
        <v>0</v>
      </c>
      <c r="H14">
        <f t="shared" si="1"/>
        <v>0</v>
      </c>
      <c r="I14">
        <f>IFERROR((SUM(B14-D14)/D14),0)</f>
        <v>-1</v>
      </c>
      <c r="K14">
        <f>IFERROR(B14/J14,0)</f>
        <v>0</v>
      </c>
      <c r="N14">
        <f>IFERROR(M14/J14,0)</f>
        <v>0</v>
      </c>
      <c r="Q14">
        <f>IFERROR(P14/SUM(J14),0)</f>
        <v>0</v>
      </c>
      <c r="R14">
        <f t="shared" si="5"/>
        <v>0</v>
      </c>
      <c r="S14" t="e">
        <f t="shared" si="3"/>
        <v>#DIV/0!</v>
      </c>
      <c r="T14">
        <f t="shared" si="6"/>
        <v>0</v>
      </c>
      <c r="U14" t="e">
        <f t="shared" si="4"/>
        <v>#DIV/0!</v>
      </c>
      <c r="Z14">
        <f t="shared" si="7"/>
        <v>0</v>
      </c>
      <c r="AC14">
        <f t="shared" si="8"/>
        <v>0</v>
      </c>
    </row>
    <row r="15" spans="1:29" x14ac:dyDescent="0.3">
      <c r="A15" t="s">
        <v>22</v>
      </c>
      <c r="C15">
        <v>138171.04999999999</v>
      </c>
      <c r="D15">
        <v>152846.04</v>
      </c>
      <c r="E15">
        <f t="shared" si="0"/>
        <v>0</v>
      </c>
      <c r="H15">
        <f t="shared" si="1"/>
        <v>0</v>
      </c>
      <c r="I15">
        <f>IFERROR((SUM(B15-D15)/D15),0)</f>
        <v>-1</v>
      </c>
      <c r="K15">
        <f>IFERROR(B15/J15,0)</f>
        <v>0</v>
      </c>
      <c r="N15">
        <f>IFERROR(M15/J15,0)</f>
        <v>0</v>
      </c>
      <c r="Q15">
        <f>IFERROR(P15/SUM(J15),0)</f>
        <v>0</v>
      </c>
      <c r="R15">
        <f t="shared" si="5"/>
        <v>0</v>
      </c>
      <c r="S15" t="e">
        <f t="shared" si="3"/>
        <v>#DIV/0!</v>
      </c>
      <c r="T15">
        <f t="shared" si="6"/>
        <v>0</v>
      </c>
      <c r="U15" t="e">
        <f t="shared" si="4"/>
        <v>#DIV/0!</v>
      </c>
      <c r="Z15">
        <f t="shared" si="7"/>
        <v>0</v>
      </c>
      <c r="AC15">
        <f t="shared" si="8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297</vt:i4>
      </vt:variant>
      <vt:variant>
        <vt:lpstr>Named Ranges</vt:lpstr>
      </vt:variant>
      <vt:variant>
        <vt:i4>73</vt:i4>
      </vt:variant>
    </vt:vector>
  </HeadingPairs>
  <TitlesOfParts>
    <vt:vector size="370" baseType="lpstr">
      <vt:lpstr>Dec 25 - Jan 1 17</vt:lpstr>
      <vt:lpstr>Dec 25 - Dec 31 17</vt:lpstr>
      <vt:lpstr>Jan 1 - Jan 7</vt:lpstr>
      <vt:lpstr>Jan 8 - Jan 14</vt:lpstr>
      <vt:lpstr>Jan 15 - Jan 21</vt:lpstr>
      <vt:lpstr>Jan 22 - Jan 28</vt:lpstr>
      <vt:lpstr>Jan 29 - Feb 4</vt:lpstr>
      <vt:lpstr>Feb 5 - Feb 11</vt:lpstr>
      <vt:lpstr>Feb 12 - Feb 18</vt:lpstr>
      <vt:lpstr>Feb 19 - Feb 25</vt:lpstr>
      <vt:lpstr>Feb 26 - Mar 4</vt:lpstr>
      <vt:lpstr>Mar 5 - Mar 11</vt:lpstr>
      <vt:lpstr>Mar 12 - Mar 18</vt:lpstr>
      <vt:lpstr>Mar 19 - Mar 25</vt:lpstr>
      <vt:lpstr>Mar 26 - Apr 1</vt:lpstr>
      <vt:lpstr>Apr 2 - Apr 8</vt:lpstr>
      <vt:lpstr>Apr 9 - Apr 15</vt:lpstr>
      <vt:lpstr>Apr 16 - Apr 22</vt:lpstr>
      <vt:lpstr>Apr 23 - Apr 29</vt:lpstr>
      <vt:lpstr>Apr 30 - May 6</vt:lpstr>
      <vt:lpstr>May 7 - May 13</vt:lpstr>
      <vt:lpstr>May 14 - May 20</vt:lpstr>
      <vt:lpstr>May 21 - May 27</vt:lpstr>
      <vt:lpstr>May 28 - Jun 3</vt:lpstr>
      <vt:lpstr>Jun 4 - Jun 10</vt:lpstr>
      <vt:lpstr>Jun 11 - Jun 17</vt:lpstr>
      <vt:lpstr>Jun 18 - Jun 24</vt:lpstr>
      <vt:lpstr>Jun 25 - Jul 1</vt:lpstr>
      <vt:lpstr>Jul 2 - Jul 8</vt:lpstr>
      <vt:lpstr>Jul 9 - Jul 15</vt:lpstr>
      <vt:lpstr>Jul 16 - Jul 22</vt:lpstr>
      <vt:lpstr>Jul 23 - Jul 29</vt:lpstr>
      <vt:lpstr>Jul 30 - Aug 5</vt:lpstr>
      <vt:lpstr>Aug 6 - Aug 12</vt:lpstr>
      <vt:lpstr>Aug 13 - Aug 19</vt:lpstr>
      <vt:lpstr>Aug 20 - Aug 26</vt:lpstr>
      <vt:lpstr>Aug 27 - Sept 2</vt:lpstr>
      <vt:lpstr>Sept 3 - Sept 9</vt:lpstr>
      <vt:lpstr>Sept 10 - Sept 16</vt:lpstr>
      <vt:lpstr>Sept 17 - Sept 23</vt:lpstr>
      <vt:lpstr>Sept 24 - Sept 30</vt:lpstr>
      <vt:lpstr>Oct 1 - Oct 7</vt:lpstr>
      <vt:lpstr>Oct 8 - Oct 14</vt:lpstr>
      <vt:lpstr>Oct 15 - Oct 21</vt:lpstr>
      <vt:lpstr>Oct 22 - Oct 28</vt:lpstr>
      <vt:lpstr>Oct 29 - Nov 4</vt:lpstr>
      <vt:lpstr>Nov 5 - Nov 11</vt:lpstr>
      <vt:lpstr>Nov 12 - Nov 18</vt:lpstr>
      <vt:lpstr>Nov 19 - Nov 25</vt:lpstr>
      <vt:lpstr>Nov 26 - Dec 2</vt:lpstr>
      <vt:lpstr>Dec 3 - Dec 9</vt:lpstr>
      <vt:lpstr>Dec 10 - Dec 16</vt:lpstr>
      <vt:lpstr>Dec 17 - Dec 23</vt:lpstr>
      <vt:lpstr>Dec 24 - Dec 30</vt:lpstr>
      <vt:lpstr>Dec 31 - Jan 6</vt:lpstr>
      <vt:lpstr>Jan 7 - Jan 13</vt:lpstr>
      <vt:lpstr>Jan 14 - Jan 20</vt:lpstr>
      <vt:lpstr>Jan 21 - Jan 27</vt:lpstr>
      <vt:lpstr>28 Jan - 3 Feb</vt:lpstr>
      <vt:lpstr>4 Feb - 10 Feb</vt:lpstr>
      <vt:lpstr>11 Feb - 17 Feb</vt:lpstr>
      <vt:lpstr>18 Feb - 24 Feb</vt:lpstr>
      <vt:lpstr>25 Feb - 3 Mar</vt:lpstr>
      <vt:lpstr>4 Mar- 10 Mar</vt:lpstr>
      <vt:lpstr>11 Mar- 17 Mar</vt:lpstr>
      <vt:lpstr>18 Mar- 24 Mar</vt:lpstr>
      <vt:lpstr>25 Mar- 31 Mar</vt:lpstr>
      <vt:lpstr>1 Apr- 7 Apr</vt:lpstr>
      <vt:lpstr>8 Apr- 14 Apr</vt:lpstr>
      <vt:lpstr>15 Apr- 21 Apr</vt:lpstr>
      <vt:lpstr>22 Apr- 28 Apr</vt:lpstr>
      <vt:lpstr>29 Apr- 5 May</vt:lpstr>
      <vt:lpstr>6 May - 12 May</vt:lpstr>
      <vt:lpstr>13 May - 19 May</vt:lpstr>
      <vt:lpstr>20 May - 26 May</vt:lpstr>
      <vt:lpstr>27 May - 2 June</vt:lpstr>
      <vt:lpstr>3 June - 9 June</vt:lpstr>
      <vt:lpstr>10 June - 16 June</vt:lpstr>
      <vt:lpstr>17 June - 23 June</vt:lpstr>
      <vt:lpstr>24 June - 30 June</vt:lpstr>
      <vt:lpstr>1 July - 7 July</vt:lpstr>
      <vt:lpstr>8 July - 14 July</vt:lpstr>
      <vt:lpstr>15 July - 21 July</vt:lpstr>
      <vt:lpstr>22 July - 28 July</vt:lpstr>
      <vt:lpstr>29 July - 4 August</vt:lpstr>
      <vt:lpstr>5 August - 11 August</vt:lpstr>
      <vt:lpstr>12 August - 18 August</vt:lpstr>
      <vt:lpstr>19 August - 25 August</vt:lpstr>
      <vt:lpstr>26 August - 1 September</vt:lpstr>
      <vt:lpstr>2 Sept - 8 Sept</vt:lpstr>
      <vt:lpstr>9 Sept - 15 Sept</vt:lpstr>
      <vt:lpstr>16 Sept - 22 Sept</vt:lpstr>
      <vt:lpstr>23 Sept - 29 Sept</vt:lpstr>
      <vt:lpstr>30 Sept - 6 Oct</vt:lpstr>
      <vt:lpstr>7 Oct - 13 Oct</vt:lpstr>
      <vt:lpstr>14 Oct - 20 Oct</vt:lpstr>
      <vt:lpstr>21 Oct - 27 Oct</vt:lpstr>
      <vt:lpstr>28 Oct - 3 Nov</vt:lpstr>
      <vt:lpstr>4 Nov - 10 Nov</vt:lpstr>
      <vt:lpstr>11 Nov - 17 Nov</vt:lpstr>
      <vt:lpstr>18 Nov - 24 Nov</vt:lpstr>
      <vt:lpstr>25 Nov - 1 Dec</vt:lpstr>
      <vt:lpstr>2 Dec - 8 Dec</vt:lpstr>
      <vt:lpstr>9 Dec - 15 Dec</vt:lpstr>
      <vt:lpstr>16 Dec - 22 Dec</vt:lpstr>
      <vt:lpstr>23 Dec - 29 Dec</vt:lpstr>
      <vt:lpstr>30 Dec - 5 Jan</vt:lpstr>
      <vt:lpstr>6 Jan - 12 Jan</vt:lpstr>
      <vt:lpstr>13 Jan - 19 Jan</vt:lpstr>
      <vt:lpstr>20 Jan - 26 Jan</vt:lpstr>
      <vt:lpstr>27 Jan - 2 Feb</vt:lpstr>
      <vt:lpstr>3 Feb - 9 Feb</vt:lpstr>
      <vt:lpstr>10 Feb - 16 Feb</vt:lpstr>
      <vt:lpstr>17 Feb - 23 Feb</vt:lpstr>
      <vt:lpstr>24 Feb - 1 March</vt:lpstr>
      <vt:lpstr>2 March - 8 March</vt:lpstr>
      <vt:lpstr>9 March - 15 March</vt:lpstr>
      <vt:lpstr>16 March - 22 March</vt:lpstr>
      <vt:lpstr>1 May - 3 May 2020</vt:lpstr>
      <vt:lpstr>4 May - 10 May 2020</vt:lpstr>
      <vt:lpstr>11 May - 17 May 2020</vt:lpstr>
      <vt:lpstr>18 May - 24 May 2020</vt:lpstr>
      <vt:lpstr>25 May - 31 May 2020</vt:lpstr>
      <vt:lpstr>1 June - 7 June 2020</vt:lpstr>
      <vt:lpstr>8 June - 14 June 2020</vt:lpstr>
      <vt:lpstr>15 June - 21 June 2020</vt:lpstr>
      <vt:lpstr>22 June - 28 June 2020</vt:lpstr>
      <vt:lpstr>29 June - 5 July 2020</vt:lpstr>
      <vt:lpstr>6 July - 12 July 2020</vt:lpstr>
      <vt:lpstr>13 July - 19 July 2020</vt:lpstr>
      <vt:lpstr>20 July - 26 July 2020</vt:lpstr>
      <vt:lpstr>27 July - 2 August 2020</vt:lpstr>
      <vt:lpstr>3 August - 9 August 2020</vt:lpstr>
      <vt:lpstr>10 August - 16 August 2020</vt:lpstr>
      <vt:lpstr>17 August - 23 August 2020</vt:lpstr>
      <vt:lpstr>24 August - 30 August 2020</vt:lpstr>
      <vt:lpstr>31 August - 6 Sept 2020</vt:lpstr>
      <vt:lpstr>7 Sept - 13 Sept 2020</vt:lpstr>
      <vt:lpstr>14 Sept - 20 Sept 2020</vt:lpstr>
      <vt:lpstr>21 Sept - 27 Sept 2020</vt:lpstr>
      <vt:lpstr>28 Sept - 4 Oct 2020</vt:lpstr>
      <vt:lpstr>5 Oct - 11 Oct 2020</vt:lpstr>
      <vt:lpstr>12 Oct - 18 Oct 2020</vt:lpstr>
      <vt:lpstr>19 Oct - 25 Oct 2020</vt:lpstr>
      <vt:lpstr>26 Oct - 1 Nov 2020</vt:lpstr>
      <vt:lpstr>2 - 8 Nov 2020</vt:lpstr>
      <vt:lpstr>9 - 15 Nov 2020</vt:lpstr>
      <vt:lpstr>16 - 22 Nov 2020</vt:lpstr>
      <vt:lpstr>23 - 29 Nov 2020</vt:lpstr>
      <vt:lpstr>30 Nov - 6 Dec 2020</vt:lpstr>
      <vt:lpstr>7 - 13 Dec 2020</vt:lpstr>
      <vt:lpstr>14 - 20 Dec 2020</vt:lpstr>
      <vt:lpstr>21 - 27 Dec 2020</vt:lpstr>
      <vt:lpstr>28 Dec 2020 - 3 Jan 2021</vt:lpstr>
      <vt:lpstr>4 - 10 Jan 2021</vt:lpstr>
      <vt:lpstr>11 - 17 Jan 2021</vt:lpstr>
      <vt:lpstr>18 - 24 Jan 2021</vt:lpstr>
      <vt:lpstr>25 - 31 Jan 2021</vt:lpstr>
      <vt:lpstr>1 - 7 Feb 2021</vt:lpstr>
      <vt:lpstr>8 - 14 Feb 2021</vt:lpstr>
      <vt:lpstr>15 - 21 Feb 2021</vt:lpstr>
      <vt:lpstr>22 - 28 Feb 2021</vt:lpstr>
      <vt:lpstr>1 - 7 March 2021</vt:lpstr>
      <vt:lpstr>8 - 14 March 2021</vt:lpstr>
      <vt:lpstr>15 - 21 March 2021</vt:lpstr>
      <vt:lpstr>22 - 28 March 2021</vt:lpstr>
      <vt:lpstr>29 March - 4 April 2021</vt:lpstr>
      <vt:lpstr>5 - 11 April 2021</vt:lpstr>
      <vt:lpstr>12 - 18 April 2021</vt:lpstr>
      <vt:lpstr>19 - 25 April 2021</vt:lpstr>
      <vt:lpstr>26 April - 2 May 2021</vt:lpstr>
      <vt:lpstr>3 - 9 May 2021</vt:lpstr>
      <vt:lpstr>10 - 16 May 2021</vt:lpstr>
      <vt:lpstr>17 - 23 May 2021</vt:lpstr>
      <vt:lpstr>24 - 30 May 2021</vt:lpstr>
      <vt:lpstr>31 May - 6 June 2021</vt:lpstr>
      <vt:lpstr>7 - 13 June 2021</vt:lpstr>
      <vt:lpstr>14 - 20 June 2021</vt:lpstr>
      <vt:lpstr>21 - 27 June 2021</vt:lpstr>
      <vt:lpstr>28 June - 4 July 2021</vt:lpstr>
      <vt:lpstr>5 - 11 July 2021</vt:lpstr>
      <vt:lpstr>12 - 18 July 2021</vt:lpstr>
      <vt:lpstr>19 - 25 July 2021</vt:lpstr>
      <vt:lpstr>26 July - 1 August 2021</vt:lpstr>
      <vt:lpstr>2 - 8 August 2021</vt:lpstr>
      <vt:lpstr>9 - 15 August 2021</vt:lpstr>
      <vt:lpstr>16 - 22 August 2021</vt:lpstr>
      <vt:lpstr>23 - 29 August 2021</vt:lpstr>
      <vt:lpstr>30 August - 5 Sept 2021</vt:lpstr>
      <vt:lpstr>6 - 12 Sept 2021</vt:lpstr>
      <vt:lpstr>13 - 19 Sept 2021</vt:lpstr>
      <vt:lpstr>20 - 26 Sept 2021</vt:lpstr>
      <vt:lpstr>27 Sept - 3 Oct 2021</vt:lpstr>
      <vt:lpstr>4 - 10 Oct 2021</vt:lpstr>
      <vt:lpstr>11 - 17 Oct 2021</vt:lpstr>
      <vt:lpstr>18 - 24 Oct 2021</vt:lpstr>
      <vt:lpstr>25 - 31 Oct 2021</vt:lpstr>
      <vt:lpstr>1 - 7 Nov</vt:lpstr>
      <vt:lpstr>8 - 14 Nov</vt:lpstr>
      <vt:lpstr>15 - 21 Nov</vt:lpstr>
      <vt:lpstr>22 - 28 Nov</vt:lpstr>
      <vt:lpstr>29 Nov - 5 Dec</vt:lpstr>
      <vt:lpstr>6 - 12 Dec</vt:lpstr>
      <vt:lpstr>13 - 19 Dec</vt:lpstr>
      <vt:lpstr>20 - 26 Dec</vt:lpstr>
      <vt:lpstr>27 Dec - 2 Jan 2022</vt:lpstr>
      <vt:lpstr>3 - 9 Jan 2022</vt:lpstr>
      <vt:lpstr>10 - 16 Jan 2022</vt:lpstr>
      <vt:lpstr>17 - 23 Jan 2022</vt:lpstr>
      <vt:lpstr>24 - 30 Jan 2022</vt:lpstr>
      <vt:lpstr>31 Jan - 6 Feb 2022</vt:lpstr>
      <vt:lpstr>7 - 13 Feb 2022</vt:lpstr>
      <vt:lpstr>14 - 20 Feb 2022</vt:lpstr>
      <vt:lpstr>21 - 27 Feb 2022</vt:lpstr>
      <vt:lpstr>28 Feb - 6 March 2022</vt:lpstr>
      <vt:lpstr>7 March - 13 March 2022</vt:lpstr>
      <vt:lpstr>14 March - 20 March 2022</vt:lpstr>
      <vt:lpstr>21 March - 27 March 2022</vt:lpstr>
      <vt:lpstr>28 March - 3 April 2022</vt:lpstr>
      <vt:lpstr>4 April - 10 April 2022 </vt:lpstr>
      <vt:lpstr>11 April - 17 April 2022</vt:lpstr>
      <vt:lpstr>18 April - 24 April 2022</vt:lpstr>
      <vt:lpstr>25 April - 1 May 2022</vt:lpstr>
      <vt:lpstr>2 May - 8 May 2022</vt:lpstr>
      <vt:lpstr>9 May - 15 May 2022</vt:lpstr>
      <vt:lpstr>16 May - 22 May 2022</vt:lpstr>
      <vt:lpstr>23 May - 29 May 2022</vt:lpstr>
      <vt:lpstr>30 May - 5 June 2022</vt:lpstr>
      <vt:lpstr>6 June - 12 June 2022</vt:lpstr>
      <vt:lpstr>13 June - 19 June 2022</vt:lpstr>
      <vt:lpstr>20 June - 26 June 2022</vt:lpstr>
      <vt:lpstr>27 June - 3 July 2022</vt:lpstr>
      <vt:lpstr>4 July - 10 July 2022</vt:lpstr>
      <vt:lpstr>11 July - 17 July 2022</vt:lpstr>
      <vt:lpstr>18 July - 24 July 2022</vt:lpstr>
      <vt:lpstr>25 July - 31 July 2022</vt:lpstr>
      <vt:lpstr>1 Aug - 7 Aug 2022</vt:lpstr>
      <vt:lpstr>8 Aug - 14 Aug 2022</vt:lpstr>
      <vt:lpstr>15 Aug - 21 Aug 2022</vt:lpstr>
      <vt:lpstr>22 Aug - 28 Aug 2022</vt:lpstr>
      <vt:lpstr>29 Aug - 4 Sep 2022 </vt:lpstr>
      <vt:lpstr>5 Sep - 11 Sep 2022</vt:lpstr>
      <vt:lpstr>12 Sep - 18 Sep 2022</vt:lpstr>
      <vt:lpstr>19 Sep - 25 Sep 2022</vt:lpstr>
      <vt:lpstr>26 Sep - 02 Oct 2022</vt:lpstr>
      <vt:lpstr>03 Oct - 09 Oct 2022 </vt:lpstr>
      <vt:lpstr>10 Oct -16 Oct 2022</vt:lpstr>
      <vt:lpstr>17 Oct -23 Oct 2022</vt:lpstr>
      <vt:lpstr>24 Oct -30 Oct 2022</vt:lpstr>
      <vt:lpstr>31 Oct - 06 Nov 2022</vt:lpstr>
      <vt:lpstr>07 Nov - 13 Nov  2022 </vt:lpstr>
      <vt:lpstr>14 Nov - 20 Nov  2022</vt:lpstr>
      <vt:lpstr>21 Nov - 27 Nov  2022</vt:lpstr>
      <vt:lpstr>28 Nov - 04 Dec  2022</vt:lpstr>
      <vt:lpstr>5 Dec - 11 Dec  2022</vt:lpstr>
      <vt:lpstr>12 Dec - 18 Dec  2022</vt:lpstr>
      <vt:lpstr>19 Dec - 25 Dec  2022</vt:lpstr>
      <vt:lpstr>26 Dec - 01 Jan 2023</vt:lpstr>
      <vt:lpstr>02 Jan - 08 Jan 2023</vt:lpstr>
      <vt:lpstr>09 Jan - 15 Jan 2023</vt:lpstr>
      <vt:lpstr>16 Jan - 22 Jan 2023</vt:lpstr>
      <vt:lpstr>23 Jan - 29 Jan 2023</vt:lpstr>
      <vt:lpstr>30 Jan - 05 Feb 2023</vt:lpstr>
      <vt:lpstr>6 Feb - 12 Feb 2023</vt:lpstr>
      <vt:lpstr>13 Feb - 19 Feb 2023</vt:lpstr>
      <vt:lpstr>20 Feb - 26 Feb 2023</vt:lpstr>
      <vt:lpstr>27 Feb - 5 Mar 2023</vt:lpstr>
      <vt:lpstr>6 Mar - 12 Mar 2023 </vt:lpstr>
      <vt:lpstr>13 Mar - 19 Mar 2023</vt:lpstr>
      <vt:lpstr>20 Mar - 26 Mar 2023 </vt:lpstr>
      <vt:lpstr>27 Mar - 02 April 2023  </vt:lpstr>
      <vt:lpstr>03 Mar - 09 April 2023  </vt:lpstr>
      <vt:lpstr>10 Mar - 16 April 2023   </vt:lpstr>
      <vt:lpstr>17 Mar - 23 April 2023    </vt:lpstr>
      <vt:lpstr>24 APRIL -30 April 2023 </vt:lpstr>
      <vt:lpstr>01 May- 07 May 2023 </vt:lpstr>
      <vt:lpstr>08 May - 14 May 2023</vt:lpstr>
      <vt:lpstr>15 May - 21 May 2023 </vt:lpstr>
      <vt:lpstr>22 May - 28 May 2023  </vt:lpstr>
      <vt:lpstr>29 May - 04 June 2023  </vt:lpstr>
      <vt:lpstr>05 June - 11 June 2023</vt:lpstr>
      <vt:lpstr>12 June - 18 June 2023</vt:lpstr>
      <vt:lpstr>19 June - 25 June 2023</vt:lpstr>
      <vt:lpstr>26 June - 2 July 2023</vt:lpstr>
      <vt:lpstr>03 July - 9 July 2023 </vt:lpstr>
      <vt:lpstr>10 July - 16 July 2023  </vt:lpstr>
      <vt:lpstr>17 July - 23 July 2023</vt:lpstr>
      <vt:lpstr>Data</vt:lpstr>
      <vt:lpstr>24 July - 30 July 2023</vt:lpstr>
      <vt:lpstr>31 August - 06 August 2023 </vt:lpstr>
      <vt:lpstr>07 August - 13 August 2023</vt:lpstr>
      <vt:lpstr>14  August - 20 August 2023</vt:lpstr>
      <vt:lpstr>sheet1</vt:lpstr>
      <vt:lpstr>Promo</vt:lpstr>
      <vt:lpstr>Naming Convertions</vt:lpstr>
      <vt:lpstr>created_sheet_20230905_192337</vt:lpstr>
      <vt:lpstr>created_sheet_20230906_153918</vt:lpstr>
      <vt:lpstr>'1 Apr- 7 Apr'!Print_Area</vt:lpstr>
      <vt:lpstr>'11 Feb - 17 Feb'!Print_Area</vt:lpstr>
      <vt:lpstr>'11 Mar- 17 Mar'!Print_Area</vt:lpstr>
      <vt:lpstr>'15 Apr- 21 Apr'!Print_Area</vt:lpstr>
      <vt:lpstr>'18 Feb - 24 Feb'!Print_Area</vt:lpstr>
      <vt:lpstr>'18 Mar- 24 Mar'!Print_Area</vt:lpstr>
      <vt:lpstr>'22 Apr- 28 Apr'!Print_Area</vt:lpstr>
      <vt:lpstr>'25 Feb - 3 Mar'!Print_Area</vt:lpstr>
      <vt:lpstr>'25 Mar- 31 Mar'!Print_Area</vt:lpstr>
      <vt:lpstr>'28 Jan - 3 Feb'!Print_Area</vt:lpstr>
      <vt:lpstr>'29 Apr- 5 May'!Print_Area</vt:lpstr>
      <vt:lpstr>'4 Feb - 10 Feb'!Print_Area</vt:lpstr>
      <vt:lpstr>'4 Mar- 10 Mar'!Print_Area</vt:lpstr>
      <vt:lpstr>'6 May - 12 May'!Print_Area</vt:lpstr>
      <vt:lpstr>'8 Apr- 14 Apr'!Print_Area</vt:lpstr>
      <vt:lpstr>'Apr 16 - Apr 22'!Print_Area</vt:lpstr>
      <vt:lpstr>'Apr 2 - Apr 8'!Print_Area</vt:lpstr>
      <vt:lpstr>'Apr 23 - Apr 29'!Print_Area</vt:lpstr>
      <vt:lpstr>'Apr 30 - May 6'!Print_Area</vt:lpstr>
      <vt:lpstr>'Apr 9 - Apr 15'!Print_Area</vt:lpstr>
      <vt:lpstr>'Aug 13 - Aug 19'!Print_Area</vt:lpstr>
      <vt:lpstr>'Aug 20 - Aug 26'!Print_Area</vt:lpstr>
      <vt:lpstr>'Aug 27 - Sept 2'!Print_Area</vt:lpstr>
      <vt:lpstr>'Aug 6 - Aug 12'!Print_Area</vt:lpstr>
      <vt:lpstr>'Dec 10 - Dec 16'!Print_Area</vt:lpstr>
      <vt:lpstr>'Dec 17 - Dec 23'!Print_Area</vt:lpstr>
      <vt:lpstr>'Dec 24 - Dec 30'!Print_Area</vt:lpstr>
      <vt:lpstr>'Dec 25 - Dec 31 17'!Print_Area</vt:lpstr>
      <vt:lpstr>'Dec 25 - Jan 1 17'!Print_Area</vt:lpstr>
      <vt:lpstr>'Dec 3 - Dec 9'!Print_Area</vt:lpstr>
      <vt:lpstr>'Dec 31 - Jan 6'!Print_Area</vt:lpstr>
      <vt:lpstr>'Feb 12 - Feb 18'!Print_Area</vt:lpstr>
      <vt:lpstr>'Feb 19 - Feb 25'!Print_Area</vt:lpstr>
      <vt:lpstr>'Feb 26 - Mar 4'!Print_Area</vt:lpstr>
      <vt:lpstr>'Feb 5 - Feb 11'!Print_Area</vt:lpstr>
      <vt:lpstr>'Jan 1 - Jan 7'!Print_Area</vt:lpstr>
      <vt:lpstr>'Jan 14 - Jan 20'!Print_Area</vt:lpstr>
      <vt:lpstr>'Jan 15 - Jan 21'!Print_Area</vt:lpstr>
      <vt:lpstr>'Jan 21 - Jan 27'!Print_Area</vt:lpstr>
      <vt:lpstr>'Jan 22 - Jan 28'!Print_Area</vt:lpstr>
      <vt:lpstr>'Jan 29 - Feb 4'!Print_Area</vt:lpstr>
      <vt:lpstr>'Jan 7 - Jan 13'!Print_Area</vt:lpstr>
      <vt:lpstr>'Jan 8 - Jan 14'!Print_Area</vt:lpstr>
      <vt:lpstr>'Jul 16 - Jul 22'!Print_Area</vt:lpstr>
      <vt:lpstr>'Jul 2 - Jul 8'!Print_Area</vt:lpstr>
      <vt:lpstr>'Jul 23 - Jul 29'!Print_Area</vt:lpstr>
      <vt:lpstr>'Jul 30 - Aug 5'!Print_Area</vt:lpstr>
      <vt:lpstr>'Jul 9 - Jul 15'!Print_Area</vt:lpstr>
      <vt:lpstr>'Jun 11 - Jun 17'!Print_Area</vt:lpstr>
      <vt:lpstr>'Jun 18 - Jun 24'!Print_Area</vt:lpstr>
      <vt:lpstr>'Jun 25 - Jul 1'!Print_Area</vt:lpstr>
      <vt:lpstr>'Jun 4 - Jun 10'!Print_Area</vt:lpstr>
      <vt:lpstr>'Mar 12 - Mar 18'!Print_Area</vt:lpstr>
      <vt:lpstr>'Mar 19 - Mar 25'!Print_Area</vt:lpstr>
      <vt:lpstr>'Mar 26 - Apr 1'!Print_Area</vt:lpstr>
      <vt:lpstr>'Mar 5 - Mar 11'!Print_Area</vt:lpstr>
      <vt:lpstr>'May 14 - May 20'!Print_Area</vt:lpstr>
      <vt:lpstr>'May 21 - May 27'!Print_Area</vt:lpstr>
      <vt:lpstr>'May 28 - Jun 3'!Print_Area</vt:lpstr>
      <vt:lpstr>'May 7 - May 13'!Print_Area</vt:lpstr>
      <vt:lpstr>'Nov 12 - Nov 18'!Print_Area</vt:lpstr>
      <vt:lpstr>'Nov 19 - Nov 25'!Print_Area</vt:lpstr>
      <vt:lpstr>'Nov 26 - Dec 2'!Print_Area</vt:lpstr>
      <vt:lpstr>'Nov 5 - Nov 11'!Print_Area</vt:lpstr>
      <vt:lpstr>'Oct 1 - Oct 7'!Print_Area</vt:lpstr>
      <vt:lpstr>'Oct 15 - Oct 21'!Print_Area</vt:lpstr>
      <vt:lpstr>'Oct 22 - Oct 28'!Print_Area</vt:lpstr>
      <vt:lpstr>'Oct 29 - Nov 4'!Print_Area</vt:lpstr>
      <vt:lpstr>'Oct 8 - Oct 14'!Print_Area</vt:lpstr>
      <vt:lpstr>'Sept 10 - Sept 16'!Print_Area</vt:lpstr>
      <vt:lpstr>'Sept 17 - Sept 23'!Print_Area</vt:lpstr>
      <vt:lpstr>'Sept 24 - Sept 30'!Print_Area</vt:lpstr>
      <vt:lpstr>'Sept 3 - Sept 9'!Print_Area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</dc:creator>
  <cp:lastModifiedBy>DELL</cp:lastModifiedBy>
  <dcterms:created xsi:type="dcterms:W3CDTF">2014-02-03T07:52:37Z</dcterms:created>
  <dcterms:modified xsi:type="dcterms:W3CDTF">2023-09-06T13:42:03Z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0x0101009D39BEE419EEB24A9A4AFF94A5081A5A</vt:lpwstr>
  </property>
</Properties>
</file>